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Government" sheetId="2" r:id="rId6"/>
    <sheet state="visible" name="Private" sheetId="3" r:id="rId7"/>
    <sheet state="hidden" name="DOH Hospitals" sheetId="4" r:id="rId8"/>
    <sheet state="hidden" name="Authorized Bed Capacity" sheetId="5" r:id="rId9"/>
    <sheet state="hidden" name="ABC Provincial Distribution" sheetId="6" r:id="rId10"/>
    <sheet state="hidden" name="Dialysis Unit Regional Distribu" sheetId="7" r:id="rId11"/>
    <sheet state="hidden" name="Hospital Provincial Distributio" sheetId="8" r:id="rId12"/>
    <sheet state="hidden" name="Ownership Classification of Gov" sheetId="9" r:id="rId13"/>
    <sheet state="hidden" name="Sheet13" sheetId="10" r:id="rId14"/>
    <sheet state="hidden" name="Master Data" sheetId="11" r:id="rId15"/>
    <sheet state="hidden" name="Metadata " sheetId="12" r:id="rId16"/>
  </sheets>
  <definedNames>
    <definedName hidden="1" localSheetId="3" name="_xlnm._FilterDatabase">'DOH Hospitals'!$A$1:$AG$76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0">
      <text>
        <t xml:space="preserve">Please Type Facility Name in Caps
e.g. SAN LAZARO HOSPITAL</t>
      </text>
    </comment>
    <comment authorId="0" ref="M23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4">
      <text>
        <t xml:space="preserve">Please Type Facility Name in Caps
e.g. SAN LAZARO HOSPITAL</t>
      </text>
    </comment>
    <comment authorId="0" ref="M21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31">
      <text>
        <t xml:space="preserve">Please Type Facility Name in Caps
e.g. SAN LAZARO HOSPITAL</t>
      </text>
    </comment>
    <comment authorId="0" ref="M8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1">
      <text>
        <t xml:space="preserve">Please Type Facility Name in Caps
e.g. SAN LAZARO HOSPITAL</t>
      </text>
    </comment>
    <comment authorId="0" ref="M29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3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5">
      <text>
        <t xml:space="preserve">Please Type Facility Name in Caps
e.g. SAN LAZARO HOSPITAL</t>
      </text>
    </comment>
    <comment authorId="0" ref="G432">
      <text>
        <t xml:space="preserve">Please Type Facility Name in Caps
e.g. SAN LAZARO HOSPITAL</t>
      </text>
    </comment>
    <comment authorId="0" ref="M8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9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2">
      <text>
        <t xml:space="preserve">Please Type Facility Name in Caps
e.g. SAN LAZARO HOSPITAL</t>
      </text>
    </comment>
    <comment authorId="0" ref="M30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8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6">
      <text>
        <t xml:space="preserve">Please Type Facility Name in Caps
e.g. SAN LAZARO HOSPITAL</t>
      </text>
    </comment>
    <comment authorId="0" ref="G433">
      <text>
        <t xml:space="preserve">Please Type Facility Name in Caps
e.g. SAN LAZARO HOSPITAL</t>
      </text>
    </comment>
    <comment authorId="0" ref="M8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00">
      <text>
        <t xml:space="preserve">Please Type Facility Name in Caps
e.g. SAN LAZARO HOSPITAL</t>
      </text>
    </comment>
    <comment authorId="0" ref="M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67">
      <text>
        <t xml:space="preserve">Please list down  add-ons services as applicable in your institutio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3">
      <text>
        <t xml:space="preserve">Please Type Facility Name in Caps
e.g. SAN LAZARO HOSPITAL</t>
      </text>
    </comment>
    <comment authorId="0" ref="M2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7">
      <text>
        <t xml:space="preserve">Please Type Facility Name in Caps
e.g. SAN LAZARO HOSPITAL</t>
      </text>
    </comment>
    <comment authorId="0" ref="M21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4">
      <text>
        <t xml:space="preserve">Please Type Facility Name in Caps
e.g. SAN LAZARO HOSPITAL</t>
      </text>
    </comment>
    <comment authorId="0" ref="M3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8">
      <text>
        <t xml:space="preserve">Please Type Facility Name in Caps
e.g. SAN LAZARO HOSPITAL</t>
      </text>
    </comment>
    <comment authorId="0" ref="T4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35">
      <text>
        <t xml:space="preserve">Please Type Facility Name in Caps
e.g. SAN LAZARO HOSPITAL</t>
      </text>
    </comment>
    <comment authorId="0" ref="M8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5">
      <text>
        <t xml:space="preserve">Please Type Facility Name in Caps
e.g. SAN LAZARO HOSPITAL</t>
      </text>
    </comment>
    <comment authorId="0" ref="M30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2">
      <text>
        <t xml:space="preserve">Please Type Facility Name in Caps
e.g. SAN LAZARO HOSPITAL</t>
      </text>
    </comment>
    <comment authorId="0" ref="M23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386">
      <text>
        <t xml:space="preserve">Please Type Facility Name in Caps
e.g. SAN LAZARO HOSPITAL</t>
      </text>
    </comment>
    <comment authorId="0" ref="M4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9">
      <text>
        <t xml:space="preserve">Please Type Facility Name in Caps
e.g. SAN LAZARO HOSPITAL</t>
      </text>
    </comment>
    <comment authorId="0" ref="T4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36">
      <text>
        <t xml:space="preserve">Please Type Facility Name in Caps
e.g. SAN LAZARO HOSPITAL</t>
      </text>
    </comment>
    <comment authorId="0" ref="M8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6">
      <text>
        <t xml:space="preserve">Please Type Facility Name in Caps
e.g. SAN LAZARO HOSPITAL</t>
      </text>
    </comment>
    <comment authorId="0" ref="M2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8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0">
      <text>
        <t xml:space="preserve">Please Type Facility Name in Caps
e.g. SAN LAZARO HOSPITAL</t>
      </text>
    </comment>
    <comment authorId="0" ref="M28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T4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37">
      <text>
        <t xml:space="preserve">Please Type Facility Name in Caps
e.g. SAN LAZARO HOSPITAL</t>
      </text>
    </comment>
    <comment authorId="0" ref="M9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7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7">
      <text>
        <t xml:space="preserve">Please Type Facility Name in Caps
e.g. SAN LAZARO HOSPITAL</t>
      </text>
    </comment>
    <comment authorId="0" ref="M2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8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1">
      <text>
        <t xml:space="preserve">Please Type Facility Name in Caps
e.g. SAN LAZARO HOSPITAL</t>
      </text>
    </comment>
    <comment authorId="0" ref="M28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7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5">
      <text>
        <t xml:space="preserve">Please Type Facility Name in Caps
e.g. SAN LAZARO HOSPITAL</t>
      </text>
    </comment>
    <comment authorId="0" ref="M2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4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2">
      <text>
        <t xml:space="preserve">Please Type Facility Name in Caps
e.g. SAN LAZARO HOSPITAL</t>
      </text>
    </comment>
    <comment authorId="0" ref="M29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39">
      <text>
        <t xml:space="preserve">Please Type Facility Name in Caps
e.g. SAN LAZARO HOSPITAL</t>
      </text>
    </comment>
    <comment authorId="0" ref="M9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7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6">
      <text>
        <t xml:space="preserve">Please Type Facility Name in Caps
e.g. SAN LAZARO HOSPITAL</t>
      </text>
    </comment>
    <comment authorId="0" ref="M24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390">
      <text>
        <t xml:space="preserve">Please Type Facility Name in Caps
e.g. SAN LAZARO HOSPITAL</t>
      </text>
    </comment>
    <comment authorId="0" ref="M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9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2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40">
      <text>
        <t xml:space="preserve">Please Type Facility Name in Caps
e.g. SAN LAZARO HOSPITAL</t>
      </text>
    </comment>
    <comment authorId="0" ref="M9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7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7">
      <text>
        <t xml:space="preserve">Please Type Facility Name in Caps
e.g. SAN LAZARO HOSPITAL</t>
      </text>
    </comment>
    <comment authorId="0" ref="M2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24">
      <text>
        <t xml:space="preserve">Please Type Facility Name in Caps
e.g. SAN LAZARO HOSPITAL</t>
      </text>
    </comment>
    <comment authorId="0" ref="M7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5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4">
      <text>
        <t xml:space="preserve">Please Type Facility Name in Caps
e.g. SAN LAZARO HOSPITAL</t>
      </text>
    </comment>
    <comment authorId="0" ref="M29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2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8">
      <text>
        <t xml:space="preserve">Please Type Facility Name in Caps
e.g. SAN LAZARO HOSPITAL</t>
      </text>
    </comment>
    <comment authorId="0" ref="M2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25">
      <text>
        <t xml:space="preserve">Please Type Facility Name in Caps
e.g. SAN LAZARO HOSPITAL</t>
      </text>
    </comment>
    <comment authorId="0" ref="M7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5">
      <text>
        <t xml:space="preserve">Please Type Facility Name in Caps
e.g. SAN LAZARO HOSPITAL</t>
      </text>
    </comment>
    <comment authorId="0" ref="M29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42">
      <text>
        <t xml:space="preserve">Please Type Facility Name in Caps
e.g. SAN LAZARO HOSPITAL</t>
      </text>
    </comment>
    <comment authorId="0" ref="M9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P9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Z227">
      <text>
        <t xml:space="preserve">Responder updated this value.</t>
      </text>
    </comment>
    <comment authorId="0" ref="G79">
      <text>
        <t xml:space="preserve">Please Type Facility Name in Caps
e.g. SAN LAZARO HOSPITAL</t>
      </text>
    </comment>
    <comment authorId="0" ref="M1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26">
      <text>
        <t xml:space="preserve">Please Type Facility Name in Caps
e.g. SAN LAZARO HOSPITAL</t>
      </text>
    </comment>
    <comment authorId="0" ref="M7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2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6">
      <text>
        <t xml:space="preserve">Please Type Facility Name in Caps
e.g. SAN LAZARO HOSPITAL</t>
      </text>
    </comment>
    <comment authorId="0" ref="M29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377">
      <text>
        <t xml:space="preserve">Please Type Facility Name in Caps
e.g. SAN LAZARO HOSPITAL</t>
      </text>
    </comment>
    <comment authorId="0" ref="M4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0">
      <text>
        <t xml:space="preserve">Please Type Facility Name in Caps
e.g. SAN LAZARO HOSPITAL</t>
      </text>
    </comment>
    <comment authorId="0" ref="G427">
      <text>
        <t xml:space="preserve">Please Type Facility Name in Caps
e.g. SAN LAZARO HOSPITAL</t>
      </text>
    </comment>
    <comment authorId="0" ref="M8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394">
      <text>
        <t xml:space="preserve">Please Type Facility Name in Caps
e.g. SAN LAZARO HOSPITAL</t>
      </text>
    </comment>
    <comment authorId="0" ref="M4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7">
      <text>
        <t xml:space="preserve">Please Type Facility Name in Caps
e.g. SAN LAZARO HOSPITAL</t>
      </text>
    </comment>
    <comment authorId="0" ref="M29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P4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14">
      <text>
        <t xml:space="preserve">Please Type Facility Name in Caps
e.g. SAN LAZARO HOSPITAL</t>
      </text>
    </comment>
    <comment authorId="0" ref="G81">
      <text>
        <t xml:space="preserve">Please Type Facility Name in Caps
e.g. SAN LAZARO HOSPITAL</t>
      </text>
    </comment>
    <comment authorId="0" ref="M1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428">
      <text>
        <t xml:space="preserve">Please Type Facility Name in Caps
e.g. SAN LAZARO HOSPITAL</t>
      </text>
    </comment>
    <comment authorId="0" ref="M8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2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8">
      <text>
        <t xml:space="preserve">Please Type Facility Name in Caps
e.g. SAN LAZARO HOSPITAL</t>
      </text>
    </comment>
    <comment authorId="0" ref="M29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9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4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7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2">
      <text>
        <t xml:space="preserve">Please Type Facility Name in Caps
e.g. SAN LAZARO HOSPITAL</t>
      </text>
    </comment>
    <comment authorId="0" ref="M8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9">
      <text>
        <t xml:space="preserve">Please Type Facility Name in Caps
e.g. SAN LAZARO HOSPITAL</t>
      </text>
    </comment>
    <comment authorId="0" ref="M29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38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3">
      <text>
        <t xml:space="preserve">Please Type Facility Name in Caps
e.g. SAN LAZARO HOSPITAL</t>
      </text>
    </comment>
    <comment authorId="0" ref="G430">
      <text>
        <t xml:space="preserve">Please Type Facility Name in Caps
e.g. SAN LAZARO HOSPITAL</t>
      </text>
    </comment>
    <comment authorId="0" ref="M8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6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33">
      <text>
        <t xml:space="preserve">Please Type Facility Name in Caps
e.g. SAN LAZARO HOSPITAL</t>
      </text>
    </comment>
    <comment authorId="0" ref="G100">
      <text>
        <t xml:space="preserve">Please Type Facility Name in Caps
e.g. SAN LAZARO HOSPITAL</t>
      </text>
    </comment>
    <comment authorId="0" ref="M19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34">
      <text>
        <t xml:space="preserve">Please Type Facility Name in Caps
e.g. SAN LAZARO HOSPITAL</t>
      </text>
    </comment>
    <comment authorId="0" ref="G101">
      <text>
        <t xml:space="preserve">Please Type Facility Name in Caps
e.g. SAN LAZARO HOSPITAL</t>
      </text>
    </comment>
    <comment authorId="0" ref="J1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0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6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35">
      <text>
        <t xml:space="preserve">Please Type Facility Name in Caps
e.g. SAN LAZARO HOSPITAL</t>
      </text>
    </comment>
    <comment authorId="0" ref="D102">
      <text>
        <t xml:space="preserve">Please Type Facility Name in Caps
e.g. SAN LAZARO HOSPITAL</t>
      </text>
    </comment>
    <comment authorId="0" ref="J1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0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J1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03">
      <text>
        <t xml:space="preserve">Please Type Facility Name in Caps
e.g. SAN LAZARO HOSPITAL</t>
      </text>
    </comment>
    <comment authorId="0" ref="G136">
      <text>
        <t xml:space="preserve">Please Type Facility Name in Caps
e.g. SAN LAZARO HOSPITAL</t>
      </text>
    </comment>
    <comment authorId="0" ref="M2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J10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30">
      <text>
        <t xml:space="preserve">Please Type Facility Name in Caps
e.g. SAN LAZARO HOSPITAL</t>
      </text>
    </comment>
    <comment authorId="0" ref="M86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37">
      <text>
        <t xml:space="preserve">Please Type Facility Name in Caps
e.g. SAN LAZARO HOSPITAL</t>
      </text>
    </comment>
    <comment authorId="0" ref="M17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31">
      <text>
        <t xml:space="preserve">Please Type Facility Name in Caps
e.g. SAN LAZARO HOSPITAL</t>
      </text>
    </comment>
    <comment authorId="0" ref="M8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6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3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38">
      <text>
        <t xml:space="preserve">Please Type Facility Name in Caps
e.g. SAN LAZARO HOSPITAL</t>
      </text>
    </comment>
    <comment authorId="0" ref="G105">
      <text>
        <t xml:space="preserve">Please Type Facility Name in Caps
e.g. SAN LAZARO HOSPITAL</t>
      </text>
    </comment>
    <comment authorId="0" ref="M17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32">
      <text>
        <t xml:space="preserve">Please Type Facility Name in Caps
e.g. SAN LAZARO HOSPITAL</t>
      </text>
    </comment>
    <comment authorId="0" ref="M8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3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39">
      <text>
        <t xml:space="preserve">Please Type Facility Name in Caps
e.g. SAN LAZARO HOSPITAL</t>
      </text>
    </comment>
    <comment authorId="0" ref="G106">
      <text>
        <t xml:space="preserve">Please Type Facility Name in Caps
e.g. SAN LAZARO HOSPITAL</t>
      </text>
    </comment>
    <comment authorId="0" ref="M20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67">
      <text>
        <t xml:space="preserve">Please Type Facility Name in Caps
e.g. SAN LAZARO HOSPITAL</t>
      </text>
    </comment>
    <comment authorId="0" ref="M86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40">
      <text>
        <t xml:space="preserve">Please Type Facility Name in Caps
e.g. SAN LAZARO HOSPITAL</t>
      </text>
    </comment>
    <comment authorId="0" ref="G107">
      <text>
        <t xml:space="preserve">Please Type Facility Name in Caps
e.g. SAN LAZARO HOSPITAL</t>
      </text>
    </comment>
    <comment authorId="0" ref="M20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7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3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08">
      <text>
        <t xml:space="preserve">Please Type Facility Name in Caps
e.g. SAN LAZARO HOSPITAL</t>
      </text>
    </comment>
    <comment authorId="0" ref="G141">
      <text>
        <t xml:space="preserve">Please Type Facility Name in Caps
e.g. SAN LAZARO HOSPITAL</t>
      </text>
    </comment>
    <comment authorId="0" ref="J10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7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42">
      <text>
        <t xml:space="preserve">Please Type Facility Name in Caps
e.g. SAN LAZARO HOSPITAL</t>
      </text>
    </comment>
    <comment authorId="0" ref="G109">
      <text>
        <t xml:space="preserve">Please Type Facility Name in Caps
e.g. SAN LAZARO HOSPITAL</t>
      </text>
    </comment>
    <comment authorId="0" ref="M20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7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36">
      <text>
        <t xml:space="preserve">Please Type Facility Name in Caps
e.g. SAN LAZARO HOSPITAL</t>
      </text>
    </comment>
    <comment authorId="0" ref="G803">
      <text>
        <t xml:space="preserve">Please Type Facility Name in Caps
e.g. SAN LAZARO HOSPITAL</t>
      </text>
    </comment>
    <comment authorId="0" ref="G737">
      <text>
        <t xml:space="preserve">Please Type Facility Name in Caps
e.g. SAN LAZARO HOSPITAL</t>
      </text>
    </comment>
    <comment authorId="0" ref="M83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43">
      <text>
        <t xml:space="preserve">Please Type Facility Name in Caps
e.g. SAN LAZARO HOSPITAL</t>
      </text>
    </comment>
    <comment authorId="0" ref="G110">
      <text>
        <t xml:space="preserve">Please Type Facility Name in Caps
e.g. SAN LAZARO HOSPITAL</t>
      </text>
    </comment>
    <comment authorId="0" ref="M17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37">
      <text>
        <t xml:space="preserve">Please Type Facility Name in Caps
e.g. SAN LAZARO HOSPITAL</t>
      </text>
    </comment>
    <comment authorId="0" ref="M83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44">
      <text>
        <t xml:space="preserve">Please Type Facility Name in Caps
e.g. SAN LAZARO HOSPITAL</t>
      </text>
    </comment>
    <comment authorId="0" ref="G111">
      <text>
        <t xml:space="preserve">Please Type Facility Name in Caps
e.g. SAN LAZARO HOSPITAL</t>
      </text>
    </comment>
    <comment authorId="0" ref="M17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38">
      <text>
        <t xml:space="preserve">Please Type Facility Name in Caps
e.g. SAN LAZARO HOSPITAL</t>
      </text>
    </comment>
    <comment authorId="0" ref="M8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45">
      <text>
        <t xml:space="preserve">Please Type Facility Name in Caps
e.g. SAN LAZARO HOSPITAL</t>
      </text>
    </comment>
    <comment authorId="0" ref="G112">
      <text>
        <t xml:space="preserve">Please Type Facility Name in Caps
e.g. SAN LAZARO HOSPITAL</t>
      </text>
    </comment>
    <comment authorId="0" ref="M21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7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13">
      <text>
        <t xml:space="preserve">Please Type Facility Name in Caps
e.g. SAN LAZARO HOSPITAL</t>
      </text>
    </comment>
    <comment authorId="0" ref="G146">
      <text>
        <t xml:space="preserve">Please Type Facility Name in Caps
e.g. SAN LAZARO HOSPITAL</t>
      </text>
    </comment>
    <comment authorId="0" ref="J11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7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40">
      <text>
        <t xml:space="preserve">Please Type Facility Name in Caps
e.g. SAN LAZARO HOSPITAL</t>
      </text>
    </comment>
    <comment authorId="0" ref="M8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47">
      <text>
        <t xml:space="preserve">Please Type Facility Name in Caps
e.g. SAN LAZARO HOSPITAL</t>
      </text>
    </comment>
    <comment authorId="0" ref="M4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14">
      <text>
        <t xml:space="preserve">Please Type Facility Name in Caps
e.g. SAN LAZARO HOSPITAL</t>
      </text>
    </comment>
    <comment authorId="0" ref="J14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J1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8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0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48">
      <text>
        <t xml:space="preserve">Please Type Facility Name in Caps
e.g. SAN LAZARO HOSPITAL</t>
      </text>
    </comment>
    <comment authorId="0" ref="M4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15">
      <text>
        <t xml:space="preserve">Please Type Facility Name in Caps
e.g. SAN LAZARO HOSPITAL</t>
      </text>
    </comment>
    <comment authorId="0" ref="M4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J14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J11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8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76">
      <text>
        <t xml:space="preserve">Please Type Facility Name in Caps
e.g. SAN LAZARO HOSPITAL</t>
      </text>
    </comment>
    <comment authorId="0" ref="M8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0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49">
      <text>
        <t xml:space="preserve">Please Type Facility Name in Caps
e.g. SAN LAZARO HOSPITAL</t>
      </text>
    </comment>
    <comment authorId="0" ref="G116">
      <text>
        <t xml:space="preserve">Please Type Facility Name in Caps
e.g. SAN LAZARO HOSPITAL</t>
      </text>
    </comment>
    <comment authorId="0" ref="M18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1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17">
      <text>
        <t xml:space="preserve">Please Type Facility Name in Caps
e.g. SAN LAZARO HOSPITAL</t>
      </text>
    </comment>
    <comment authorId="0" ref="M18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78">
      <text>
        <t xml:space="preserve">Please Type Facility Name in Caps
e.g. SAN LAZARO HOSPITAL</t>
      </text>
    </comment>
    <comment authorId="0" ref="G745">
      <text>
        <t xml:space="preserve">Please Type Facility Name in Caps
e.g. SAN LAZARO HOSPITAL</t>
      </text>
    </comment>
    <comment authorId="0" ref="M84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1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51">
      <text>
        <t xml:space="preserve">Please Type Facility Name in Caps
e.g. SAN LAZARO HOSPITAL</t>
      </text>
    </comment>
    <comment authorId="0" ref="G118">
      <text>
        <t xml:space="preserve">Please Type Facility Name in Caps
e.g. SAN LAZARO HOSPITAL</t>
      </text>
    </comment>
    <comment authorId="0" ref="M1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12">
      <text>
        <t xml:space="preserve">Please Type Facility Name in Caps
e.g. SAN LAZARO HOSPITAL</t>
      </text>
    </comment>
    <comment authorId="0" ref="M8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7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52">
      <text>
        <t xml:space="preserve">Please Type Facility Name in Caps
e.g. SAN LAZARO HOSPITAL</t>
      </text>
    </comment>
    <comment authorId="0" ref="G119">
      <text>
        <t xml:space="preserve">Please Type Facility Name in Caps
e.g. SAN LAZARO HOSPITAL</t>
      </text>
    </comment>
    <comment authorId="0" ref="M18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1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13">
      <text>
        <t xml:space="preserve">Please Type Facility Name in Caps
e.g. SAN LAZARO HOSPITAL</t>
      </text>
    </comment>
    <comment authorId="0" ref="M84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1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53">
      <text>
        <t xml:space="preserve">Please Type Facility Name in Caps
e.g. SAN LAZARO HOSPITAL</t>
      </text>
    </comment>
    <comment authorId="0" ref="G120">
      <text>
        <t xml:space="preserve">Please Type Facility Name in Caps
e.g. SAN LAZARO HOSPITAL</t>
      </text>
    </comment>
    <comment authorId="0" ref="J1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8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48">
      <text>
        <t xml:space="preserve">Please Type Facility Name in Caps
e.g. SAN LAZARO HOSPITAL</t>
      </text>
    </comment>
    <comment authorId="0" ref="M8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21">
      <text>
        <t xml:space="preserve">Please Type Facility Name in Caps
e.g. SAN LAZARO HOSPITAL</t>
      </text>
    </comment>
    <comment authorId="0" ref="M18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49">
      <text>
        <t xml:space="preserve">Please Type Facility Name in Caps
e.g. SAN LAZARO HOSPITAL</t>
      </text>
    </comment>
    <comment authorId="0" ref="M81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4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1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22">
      <text>
        <t xml:space="preserve">Please Type Facility Name in Caps
e.g. SAN LAZARO HOSPITAL</t>
      </text>
    </comment>
    <comment authorId="0" ref="M18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1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1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23">
      <text>
        <t xml:space="preserve">Please Type Facility Name in Caps
e.g. SAN LAZARO HOSPITAL</t>
      </text>
    </comment>
    <comment authorId="0" ref="M18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17">
      <text>
        <t xml:space="preserve">Please Type Facility Name in Caps
e.g. SAN LAZARO HOSPITAL</t>
      </text>
    </comment>
    <comment authorId="0" ref="G751">
      <text>
        <t xml:space="preserve">Please Type Facility Name in Caps
e.g. SAN LAZARO HOSPITAL</t>
      </text>
    </comment>
    <comment authorId="0" ref="M81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1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24">
      <text>
        <t xml:space="preserve">Please Type Facility Name in Caps
e.g. SAN LAZARO HOSPITAL</t>
      </text>
    </comment>
    <comment authorId="0" ref="M19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1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1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2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5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53">
      <text>
        <t xml:space="preserve">Please Type Facility Name in Caps
e.g. SAN LAZARO HOSPITAL</t>
      </text>
    </comment>
    <comment authorId="0" ref="M8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1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2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26">
      <text>
        <t xml:space="preserve">Please Type Facility Name in Caps
e.g. SAN LAZARO HOSPITAL</t>
      </text>
    </comment>
    <comment authorId="0" ref="G93">
      <text>
        <t xml:space="preserve">Please Type Facility Name in Caps
e.g. SAN LAZARO HOSPITAL</t>
      </text>
    </comment>
    <comment authorId="0" ref="J1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9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27">
      <text>
        <t xml:space="preserve">Please Type Facility Name in Caps
e.g. SAN LAZARO HOSPITAL</t>
      </text>
    </comment>
    <comment authorId="0" ref="M4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J12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9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8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2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28">
      <text>
        <t xml:space="preserve">Please Type Facility Name in Caps
e.g. SAN LAZARO HOSPITAL</t>
      </text>
    </comment>
    <comment authorId="0" ref="J1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9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8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P8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5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29">
      <text>
        <t xml:space="preserve">Please Type Facility Name in Caps
e.g. SAN LAZARO HOSPITAL</t>
      </text>
    </comment>
    <comment authorId="0" ref="J12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9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57">
      <text>
        <t xml:space="preserve">Please Type Facility Name in Caps
e.g. SAN LAZARO HOSPITAL</t>
      </text>
    </comment>
    <comment authorId="0" ref="M8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30">
      <text>
        <t xml:space="preserve">Please Type Facility Name in Caps
e.g. SAN LAZARO HOSPITAL</t>
      </text>
    </comment>
    <comment authorId="0" ref="M19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24">
      <text>
        <t xml:space="preserve">Please Type Facility Name in Caps
e.g. SAN LAZARO HOSPITAL</t>
      </text>
    </comment>
    <comment authorId="0" ref="G725">
      <text>
        <t xml:space="preserve">Please Type Facility Name in Caps
e.g. SAN LAZARO HOSPITAL</t>
      </text>
    </comment>
    <comment authorId="0" ref="M85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2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31">
      <text>
        <t xml:space="preserve">Please Type Facility Name in Caps
e.g. SAN LAZARO HOSPITAL</t>
      </text>
    </comment>
    <comment authorId="0" ref="M19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25">
      <text>
        <t xml:space="preserve">Please Type Facility Name in Caps
e.g. SAN LAZARO HOSPITAL</t>
      </text>
    </comment>
    <comment authorId="0" ref="M85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2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D165">
      <text>
        <t xml:space="preserve">Please Type Facility Name in Caps
e.g. SAN LAZARO HOSPITAL</t>
      </text>
    </comment>
    <comment authorId="0" ref="G132">
      <text>
        <t xml:space="preserve">Please Type Facility Name in Caps
e.g. SAN LAZARO HOSPITAL</t>
      </text>
    </comment>
    <comment authorId="0" ref="G99">
      <text>
        <t xml:space="preserve">Please Type Facility Name in Caps
e.g. SAN LAZARO HOSPITAL</t>
      </text>
    </comment>
    <comment authorId="0" ref="J1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3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26">
      <text>
        <t xml:space="preserve">Please Type Facility Name in Caps
e.g. SAN LAZARO HOSPITAL</t>
      </text>
    </comment>
    <comment authorId="0" ref="G793">
      <text>
        <t xml:space="preserve">Please Type Facility Name in Caps
e.g. SAN LAZARO HOSPITAL</t>
      </text>
    </comment>
    <comment authorId="0" ref="M8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2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9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M7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7">
      <text>
        <t xml:space="preserve">Please Type Facility Name in Caps
e.g. SAN LAZARO HOSPITAL</t>
      </text>
    </comment>
    <comment authorId="0" ref="L6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59">
      <text>
        <t xml:space="preserve">Please Type Facility Name in Caps
e.g. SAN LAZARO HOSPITAL</t>
      </text>
    </comment>
    <comment authorId="0" ref="T3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0">
      <text>
        <t xml:space="preserve">Please Type Facility Name in Caps
e.g. SAN LAZARO HOSPITAL</t>
      </text>
    </comment>
    <comment authorId="0" ref="M7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8">
      <text>
        <t xml:space="preserve">Please Type Facility Name in Caps
e.g. SAN LAZARO HOSPITAL</t>
      </text>
    </comment>
    <comment authorId="0" ref="P1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K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68">
      <text>
        <t xml:space="preserve">1000 (8/15/2024)</t>
      </text>
    </comment>
    <comment authorId="0" ref="M6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0">
      <text>
        <t xml:space="preserve">Please Type Facility Name in Caps
e.g. SAN LAZARO HOSPITAL</t>
      </text>
    </comment>
    <comment authorId="0" ref="M6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1">
      <text>
        <t xml:space="preserve">Please Type Facility Name in Caps
e.g. SAN LAZARO HOSPITAL</t>
      </text>
    </comment>
    <comment authorId="0" ref="M1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9">
      <text>
        <t xml:space="preserve">Please Type Facility Name in Caps
e.g. SAN LAZARO HOSPITAL</t>
      </text>
    </comment>
    <comment authorId="0" ref="K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1">
      <text>
        <t xml:space="preserve">Please Type Facility Name in Caps
e.g. SAN LAZARO HOSPITAL</t>
      </text>
    </comment>
    <comment authorId="0" ref="G28">
      <text>
        <t xml:space="preserve">Please Type Facility Name in Caps
e.g. SAN LAZARO HOSPITAL</t>
      </text>
    </comment>
    <comment authorId="0" ref="M6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P6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X6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2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2">
      <text>
        <t xml:space="preserve">Please Type Facility Name in Caps
e.g. SAN LAZARO HOSPITAL</t>
      </text>
    </comment>
    <comment authorId="0" ref="M4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0">
      <text>
        <t xml:space="preserve">Please Type Facility Name in Caps
e.g. SAN LAZARO HOSPITAL</t>
      </text>
    </comment>
    <comment authorId="0" ref="M7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2">
      <text>
        <t xml:space="preserve">Please Type Facility Name in Caps
e.g. SAN LAZARO HOSPITAL</t>
      </text>
    </comment>
    <comment authorId="0" ref="G29">
      <text>
        <t xml:space="preserve">Please Type Facility Name in Caps
e.g. SAN LAZARO HOSPITAL</t>
      </text>
    </comment>
    <comment authorId="0" ref="M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P6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2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U62">
      <text>
        <t xml:space="preserve">6 - as of (8/14/2024)</t>
      </text>
    </comment>
    <comment authorId="0" ref="M2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13">
      <text>
        <t xml:space="preserve">Please Type Facility Name in Caps
e.g. SAN LAZARO HOSPITAL</t>
      </text>
    </comment>
    <comment authorId="0" ref="M1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1">
      <text>
        <t xml:space="preserve">Please Type Facility Name in Caps
e.g. SAN LAZARO HOSPITAL</t>
      </text>
    </comment>
    <comment authorId="0" ref="M7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3">
      <text>
        <t xml:space="preserve">Please Type Facility Name in Caps
e.g. SAN LAZARO HOSPITAL</t>
      </text>
    </comment>
    <comment authorId="0" ref="G30">
      <text>
        <t xml:space="preserve">Please Type Facility Name in Caps
e.g. SAN LAZARO HOSPITAL</t>
      </text>
    </comment>
    <comment authorId="0" ref="M6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1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4">
      <text>
        <t xml:space="preserve">Please Type Facility Name in Caps
e.g. SAN LAZARO HOSPITAL</t>
      </text>
    </comment>
    <comment authorId="0" ref="G31">
      <text>
        <t xml:space="preserve">Please Type Facility Name in Caps
e.g. SAN LAZARO HOSPITAL</t>
      </text>
    </comment>
    <comment authorId="0" ref="M6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2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7">
      <text>
        <t xml:space="preserve">Please Type Facility Name in Caps
e.g. SAN LAZARO HOSPITAL</t>
      </text>
    </comment>
    <comment authorId="0" ref="M7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5">
      <text>
        <t xml:space="preserve">Please Type Facility Name in Caps
e.g. SAN LAZARO HOSPITAL</t>
      </text>
    </comment>
    <comment authorId="0" ref="G32">
      <text>
        <t xml:space="preserve">Please Type Facility Name in Caps
e.g. SAN LAZARO HOSPITAL</t>
      </text>
    </comment>
    <comment authorId="0" ref="M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2">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P6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7">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9">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8">
      <text>
        <t xml:space="preserve">Please Type Facility Name in Caps
e.g. SAN LAZARO HOSPITAL</t>
      </text>
    </comment>
    <comment authorId="0" ref="M74">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41">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8">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66">
      <text>
        <t xml:space="preserve">Please Type Facility Name in Caps
e.g. SAN LAZARO HOSPITAL</t>
      </text>
    </comment>
    <comment authorId="0" ref="G33">
      <text>
        <t xml:space="preserve">Please Type Facility Name in Caps
e.g. SAN LAZARO HOSPITAL</t>
      </text>
    </comment>
    <comment authorId="0" ref="M66">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rHIVda Confirmatory Laboratory (7/3/2024
1 Type II C.S F4-H404 (7/3/2024)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33">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25">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L5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M50">
      <text>
        <t xml:space="preserve">Please list down  add-ons services as applicable in your institution separated by comma.
(e.g. Blood Bank,  Pharmacy)   
List of Add-ons Services
G6PD Confirmatory
rHIVda Confirmatory Laboratory
Dialysis Clinic
Diagnostic X-ray Services
HIV Testing Laboratory
Physical Medicine and Rehabilitation Unit
Blood Bank
Specialized Diagnostic X-ray Services
Tertiary Laboratory w/ histopathology
Anatomic Pathology
Dental X-ray Services
Ambulatory Surgical Clinic
Blood Collection Unit
Cancer Treatment Facility
Laboratory for Drinking Water Analysis
Radiation Therapy Service
Radiation Oncology Services
Pharmacy
Mobile Clinical Laboratory
Psychiatric Care
Molecular Lab</t>
      </text>
    </comment>
    <comment authorId="0" ref="G9">
      <text>
        <t xml:space="preserve">Please Type Facility Name in Caps
e.g. SAN LAZARO HOSPITAL</t>
      </text>
    </comment>
  </commentList>
</comments>
</file>

<file path=xl/sharedStrings.xml><?xml version="1.0" encoding="utf-8"?>
<sst xmlns="http://schemas.openxmlformats.org/spreadsheetml/2006/main" count="31771" uniqueCount="12124">
  <si>
    <t>Region</t>
  </si>
  <si>
    <t>CHD</t>
  </si>
  <si>
    <r>
      <rPr>
        <rFont val="Arial Narrow"/>
        <b/>
        <color rgb="FFFFFFFF"/>
        <sz val="25.0"/>
      </rPr>
      <t xml:space="preserve"> Regional Distribution of Hospitals in the Philippines
</t>
    </r>
    <r>
      <rPr>
        <rFont val="Arial Narrow"/>
        <b/>
        <color rgb="FFFBBC04"/>
        <sz val="21.0"/>
      </rPr>
      <t>(as of June 30, 2026)</t>
    </r>
  </si>
  <si>
    <t>GOVERNMENT</t>
  </si>
  <si>
    <t xml:space="preserve">TOTAL </t>
  </si>
  <si>
    <t>PRIVATE</t>
  </si>
  <si>
    <t>GOVT AND PRIVATE HOSPITALS</t>
  </si>
  <si>
    <t>TOTAL</t>
  </si>
  <si>
    <t>LEVEL 1</t>
  </si>
  <si>
    <t>LEVEL 2</t>
  </si>
  <si>
    <t>LEVEL 3</t>
  </si>
  <si>
    <t>NCR</t>
  </si>
  <si>
    <t>METRO MANILA</t>
  </si>
  <si>
    <t>#</t>
  </si>
  <si>
    <t>NHFR CODE</t>
  </si>
  <si>
    <t>REGION</t>
  </si>
  <si>
    <t>PROVINCE</t>
  </si>
  <si>
    <t>CITY/ MUNICIPALITY</t>
  </si>
  <si>
    <t>BLDG OR HOUSE NO., STREET, BRGY (as applicable)</t>
  </si>
  <si>
    <t>NAME OF HOSPITAL</t>
  </si>
  <si>
    <t>OWNERSHIP</t>
  </si>
  <si>
    <t>NAME OF FACILITY</t>
  </si>
  <si>
    <t>OWNERSHIP CLASS</t>
  </si>
  <si>
    <t>CLASS</t>
  </si>
  <si>
    <t>SERVCE  CAPABILITY</t>
  </si>
  <si>
    <t>ABC</t>
  </si>
  <si>
    <t>ADD-ONS SERVICES</t>
  </si>
  <si>
    <t>BLOOD SERVICE FACILITY
(Service Capability)</t>
  </si>
  <si>
    <t>rHIVda Confirmatory Laboratory</t>
  </si>
  <si>
    <t>AMBULANCE (No./ TYPE / PLATE NO.)  Pls. Seperate if different Type</t>
  </si>
  <si>
    <t xml:space="preserve"> rHIV Confirmatory Laboratory</t>
  </si>
  <si>
    <t>TOTAL NO. OF AMBULANCE (TYPE 1)</t>
  </si>
  <si>
    <t>TOTAL NO. OF AMBULANCE (TYPE 2)</t>
  </si>
  <si>
    <t xml:space="preserve">TOTAL NO. OF AMBULANCE </t>
  </si>
  <si>
    <t>NAME OF AMBULANCE SERVICE PROVIDER IF W/ MOA</t>
  </si>
  <si>
    <r>
      <rPr>
        <rFont val="Arial"/>
        <b/>
        <color rgb="FFFFFFFF"/>
        <sz val="10.0"/>
      </rPr>
      <t>NO OF DIALYSIS STATION</t>
    </r>
    <r>
      <rPr>
        <rFont val="Arial"/>
        <b/>
        <color rgb="FFFFFFFF"/>
        <sz val="10.0"/>
      </rPr>
      <t xml:space="preserve"> 
</t>
    </r>
    <r>
      <rPr>
        <rFont val="Arial"/>
        <b/>
        <color rgb="FFFFFFFF"/>
        <sz val="10.0"/>
      </rPr>
      <t>(If Applicable)</t>
    </r>
  </si>
  <si>
    <r>
      <rPr>
        <rFont val="Arial"/>
        <b/>
        <color rgb="FFFFFFFF"/>
        <sz val="10.0"/>
      </rPr>
      <t xml:space="preserve">CTF CLASSIFICATION
</t>
    </r>
    <r>
      <rPr>
        <rFont val="Arial"/>
        <b/>
        <color rgb="FFFFFFFF"/>
        <sz val="10.0"/>
      </rPr>
      <t>(If Applicable)</t>
    </r>
  </si>
  <si>
    <r>
      <rPr>
        <rFont val="Arial"/>
        <b/>
        <color rgb="FFFFFFFF"/>
        <sz val="10.0"/>
      </rPr>
      <t>CLINICAL LAB CLASSIFICATION 
(</t>
    </r>
    <r>
      <rPr>
        <rFont val="Arial"/>
        <b/>
        <color rgb="FFFFFFFF"/>
        <sz val="10.0"/>
      </rPr>
      <t>If Applicable</t>
    </r>
    <r>
      <rPr>
        <rFont val="Arial"/>
        <b/>
        <color rgb="FFFFFFFF"/>
        <sz val="10.0"/>
      </rPr>
      <t>)</t>
    </r>
  </si>
  <si>
    <r>
      <rPr>
        <rFont val="Arial"/>
        <b/>
        <color rgb="FFFFFFFF"/>
        <sz val="11.0"/>
      </rPr>
      <t>NO OF DIALYSIS STATION</t>
    </r>
    <r>
      <rPr>
        <rFont val="Arial"/>
        <b/>
        <color rgb="FFFFFFFF"/>
        <sz val="11.0"/>
      </rPr>
      <t xml:space="preserve"> 
</t>
    </r>
    <r>
      <rPr>
        <rFont val="Arial"/>
        <b/>
        <color rgb="FFFFFFFF"/>
        <sz val="11.0"/>
      </rPr>
      <t>(If Applicable)</t>
    </r>
  </si>
  <si>
    <t>NAME OF DIALYSIS PROVIDER (If Applicable)</t>
  </si>
  <si>
    <t>MEDICAL DIRECTOR/               CHIEF OF HOSPITAL</t>
  </si>
  <si>
    <t>CTF CLASSIFICATION
(If Applicable)</t>
  </si>
  <si>
    <t>CONTACT NOS.</t>
  </si>
  <si>
    <t>CLINICAL LAB CLASSIFICATION 
(If Applicable)</t>
  </si>
  <si>
    <t>E-MAIL ADDRESS</t>
  </si>
  <si>
    <t>VALIDITY FROM</t>
  </si>
  <si>
    <t>VALIDITY UNTIL</t>
  </si>
  <si>
    <t>LICENSE NO.</t>
  </si>
  <si>
    <t>APPLICATION STATUS</t>
  </si>
  <si>
    <t>REMARKS</t>
  </si>
  <si>
    <t>03441</t>
  </si>
  <si>
    <t>02593</t>
  </si>
  <si>
    <t>REGION 1</t>
  </si>
  <si>
    <t>Ilocos Norte</t>
  </si>
  <si>
    <t>Bacarra</t>
  </si>
  <si>
    <t>National Highway, Brgy. 21, Libtong</t>
  </si>
  <si>
    <t>DR. BONIFACIA V. ALBANO MEMORIAL HOSPITAL</t>
  </si>
  <si>
    <t>Batac</t>
  </si>
  <si>
    <t>Barangay 6, San Julian, Batac, Ilocos Norte</t>
  </si>
  <si>
    <t>Private</t>
  </si>
  <si>
    <t>MARIANO MARCOS MEMORIAL HOSPITAL AND MEDICAL CENTER</t>
  </si>
  <si>
    <t>N/A</t>
  </si>
  <si>
    <t>General</t>
  </si>
  <si>
    <t>Level 1</t>
  </si>
  <si>
    <t>Government</t>
  </si>
  <si>
    <t>DOH RETAINED</t>
  </si>
  <si>
    <t>Blood Station</t>
  </si>
  <si>
    <t>No</t>
  </si>
  <si>
    <t>Level 3</t>
  </si>
  <si>
    <t>Bacarra Municipal Health Office</t>
  </si>
  <si>
    <t>Dialysis Clinic (18 stations)
Blood Bank (with additional function to collect, test &amp; process blood)
G6PD Confirmatory
rHIVda Confirmatory Laboratory
HIV Testing Laboratory
Specialized Diagnostic X-ray Services (Computed Tomography, Mammography, Bone Densitometry)
Dental X-Ray Services (Panoramic &amp; Cephalometric)</t>
  </si>
  <si>
    <t>Blood Bank with additional function</t>
  </si>
  <si>
    <t>Yes</t>
  </si>
  <si>
    <t>1. Type II-ALS, CS-A1U494
2. Type II-ALS, CS-F4H475
3. Type II-ALS, Plate No. NFN9289
4. Type II-ALS, CS-F130109</t>
  </si>
  <si>
    <t>Secondary</t>
  </si>
  <si>
    <t>Dr. Juanita Marita A. Cua</t>
  </si>
  <si>
    <t>077-670-3142
09495991813</t>
  </si>
  <si>
    <t>bmc_1970@yahoo.com</t>
  </si>
  <si>
    <t>01-0050-26-H1-2</t>
  </si>
  <si>
    <t>Renewal</t>
  </si>
  <si>
    <t>01804</t>
  </si>
  <si>
    <t>Castro St., Brgy 11 Ben-Agan</t>
  </si>
  <si>
    <t>GAOAT GENERAL HOSPITAL</t>
  </si>
  <si>
    <t>1, Type I Plate No. CRR359, CR No. 038600000009042</t>
  </si>
  <si>
    <t>Dr. Ramon M. Gaoat</t>
  </si>
  <si>
    <t>077-600-0450
09399129112</t>
  </si>
  <si>
    <t>gaoatgeneralhospital@gmail.com</t>
  </si>
  <si>
    <t>01-0023-26-H1-2</t>
  </si>
  <si>
    <t>17409</t>
  </si>
  <si>
    <t>ILOCOS REGION</t>
  </si>
  <si>
    <t>Laoag City</t>
  </si>
  <si>
    <t>Legaspi St., Brgy. 29, Sto Tomas</t>
  </si>
  <si>
    <t>KARMELLI CLINIC &amp; HOSPITAL</t>
  </si>
  <si>
    <t>Tertiary</t>
  </si>
  <si>
    <t>Maria Lourdes K. Otayza, MD, CESO V, FPOGS, AF-ACHSM</t>
  </si>
  <si>
    <t>Intensive Care Unit - 8 units</t>
  </si>
  <si>
    <t>mmmhmc.cao@gmail.com</t>
  </si>
  <si>
    <t>Philippines Red Cross</t>
  </si>
  <si>
    <t>Dr. Norman Panfilo Rabago</t>
  </si>
  <si>
    <t>DOH002593</t>
  </si>
  <si>
    <t xml:space="preserve">077-772-2292/2752; 607-0364;
</t>
  </si>
  <si>
    <t>karmelliclinic_hospital@yahoo.com</t>
  </si>
  <si>
    <t>01-0049-26-H1-2</t>
  </si>
  <si>
    <t>DECENTRALIZED TO ILOCOS CHD (EFFECTIVE JANUARY 2025)</t>
  </si>
  <si>
    <t>05640</t>
  </si>
  <si>
    <t>San Nicolas</t>
  </si>
  <si>
    <t>29 Bonoan St. Barangay 2</t>
  </si>
  <si>
    <t>43601</t>
  </si>
  <si>
    <t>THE BLACK NAZARENE HOSPITAL INC.</t>
  </si>
  <si>
    <t>Ilocos Sur</t>
  </si>
  <si>
    <r>
      <rPr>
        <rFont val="Arial"/>
        <b/>
        <color rgb="FFFFFFFF"/>
        <sz val="11.0"/>
      </rPr>
      <t>NO OF DIALYSIS STATION</t>
    </r>
    <r>
      <rPr>
        <rFont val="Arial"/>
        <b/>
        <color rgb="FFFFFFFF"/>
        <sz val="11.0"/>
      </rPr>
      <t xml:space="preserve"> 
</t>
    </r>
    <r>
      <rPr>
        <rFont val="Arial"/>
        <b/>
        <color rgb="FFFFFFFF"/>
        <sz val="11.0"/>
      </rPr>
      <t>(If Applicable)</t>
    </r>
  </si>
  <si>
    <t>Level 2</t>
  </si>
  <si>
    <t>Candon City</t>
  </si>
  <si>
    <t xml:space="preserve">Specialized Diagnostic X-ray Services:Computed Tomography
</t>
  </si>
  <si>
    <t>Parioc Primero</t>
  </si>
  <si>
    <t>ILOCOS SUR MEDICAL CENTER</t>
  </si>
  <si>
    <t>1, Type II, Plate No. AAU
5454
CR No.204141464</t>
  </si>
  <si>
    <t>Dr. Jonathan G. Noble</t>
  </si>
  <si>
    <t>it.tbnhi@gmail.com</t>
  </si>
  <si>
    <t>01-0011-26-H2-2</t>
  </si>
  <si>
    <t>05234</t>
  </si>
  <si>
    <t>APPLICATION STATUS
(IF WITH CHANGES)</t>
  </si>
  <si>
    <t>Bantay</t>
  </si>
  <si>
    <t>Roxas Dike</t>
  </si>
  <si>
    <t>Specialized Diagnostic X-ray Services:Computed Tomography
Anatomical Pathology (Surgical, Cytology and Frozen Section)
Magnetic Resonance Imaging</t>
  </si>
  <si>
    <t>METRO VIGAN HOSPITAL</t>
  </si>
  <si>
    <t>1, Type II, CS No. P8 D518
 CR No. 437704610</t>
  </si>
  <si>
    <t>HIV Testing Laboratory, Specialized Diagnostic X-ray Services:Computed Tomography (Ilocos Sur CT Scan &amp; Diagnostic Center, Inc.)
Mamography
Litotripsy</t>
  </si>
  <si>
    <t xml:space="preserve">2, Type2 Plate No: AFC 172 CR No: 13215544-6
Plate No. IAF 9508, CR No. 0003188796 </t>
  </si>
  <si>
    <t>Dr. Digna Ragasa</t>
  </si>
  <si>
    <t>0917-8431311</t>
  </si>
  <si>
    <t>00023</t>
  </si>
  <si>
    <t>metroviganhospital1998@gmail.com</t>
  </si>
  <si>
    <t>01-0002-26-H2-2</t>
  </si>
  <si>
    <t>City of Candon Hospital</t>
  </si>
  <si>
    <t>32085</t>
  </si>
  <si>
    <t>Guimod</t>
  </si>
  <si>
    <t>Dr. Angel D. Trinidad</t>
  </si>
  <si>
    <t>NORTHSIDE DOCTORS HOSPITAL</t>
  </si>
  <si>
    <t>09164976615</t>
  </si>
  <si>
    <t>Specialized Diagnostic X-ray Services:Computed Tomography
Dialysis</t>
  </si>
  <si>
    <t>1,Type 2, IAC 8439 Cr No. 0003130243</t>
  </si>
  <si>
    <t>Dr. Rosita P. Rialubin</t>
  </si>
  <si>
    <t>0917-1472661</t>
  </si>
  <si>
    <t>northsidedochosp@yahoo.com</t>
  </si>
  <si>
    <t>01-0028-26-H2-2</t>
  </si>
  <si>
    <t>Bangui</t>
  </si>
  <si>
    <t>ilocossurmedicalcenter@gmail.com</t>
  </si>
  <si>
    <t>Brgy. Abaca</t>
  </si>
  <si>
    <t>00343</t>
  </si>
  <si>
    <t>Cabugao</t>
  </si>
  <si>
    <t>Singson St., Rizal</t>
  </si>
  <si>
    <t>BANGUI DISTRICT HOSPITAL</t>
  </si>
  <si>
    <t>PIRA HOSPITAL, INC.</t>
  </si>
  <si>
    <t>01-0018-25-H2-1</t>
  </si>
  <si>
    <t>LGU</t>
  </si>
  <si>
    <t>Clinical Chemistry: Troponin-I, HbA1c
Immunology/Serology: FT4, T4, TSH, Prostate-Specific Antigen (PSA), C-Reative Protein (CRP)</t>
  </si>
  <si>
    <t>1, Type I, Plate No. TOG388, CR No. 41786299-2</t>
  </si>
  <si>
    <t>Dr. Maria Alejandra Rlyn P. Narcelles</t>
  </si>
  <si>
    <t xml:space="preserve">2, 1, Type 1, Plate No. SNA 7900, CR No. 0006909396
1, Type 1, Plate No. SND 7359, CR No. 41760608-1
</t>
  </si>
  <si>
    <t>077-604-9802
09177125823</t>
  </si>
  <si>
    <t>pirahospital@yahoo.com</t>
  </si>
  <si>
    <t>02777</t>
  </si>
  <si>
    <t>01-0015-26-H1-2</t>
  </si>
  <si>
    <t>Existing with Changes</t>
  </si>
  <si>
    <t>Add-on Service</t>
  </si>
  <si>
    <t>La Union</t>
  </si>
  <si>
    <t xml:space="preserve"> Add-on:
Clinical Chemistry:  HbA1c, Troponin-I
Immunology/Serology: TSH, FT4, T4, Prostate Specific Antigen (PSA), C-Reactive Protein (CRP)
Issued LTO (7-15-25)</t>
  </si>
  <si>
    <t>San Fernando City</t>
  </si>
  <si>
    <t>07032</t>
  </si>
  <si>
    <t>Barangay Parian, San Fernando City, La Union</t>
  </si>
  <si>
    <t>Manila North Road, Baclig</t>
  </si>
  <si>
    <t>ILOCOS TRAINING AND REGIONAL MEDICAL CENTER</t>
  </si>
  <si>
    <t>SUERO GENERAL HOSPITAL</t>
  </si>
  <si>
    <t>Clinical Chemistry : Serum, Ca, Billirubin, HbA1c, Albumin, Magnesium, Total Protein, Amylase, B-HCG
Immunology and Serology : Troponin 1- Quantitative , Thypidot, TSH, FT4, Prostate-Specific Antigen (PSA), Anti-HCV Rapid Test Kits, Anti-HAV Rapid Test Kits, C-Reative Protein (CRP)</t>
  </si>
  <si>
    <t>Dr. Elvin Chester S. Alcoriza</t>
  </si>
  <si>
    <t>1, Type I, Plate No.CAN 2339</t>
  </si>
  <si>
    <t>Dialysis Clinic (13 stations)
Blood Bank (with additional function to collect, test &amp; process blood)
G6PD Confirmatory Laboratory 
rHIVda Confirmatory Laboratory
HIV Testing Laboratory
Laboratory for Drinking Water Analysis
Specialized Diagnostic X-ray Services( Computed Tomography)
Dental X-ray Services (Peri-apical)</t>
  </si>
  <si>
    <t>banguidh@gmail.com</t>
  </si>
  <si>
    <t>Dr. Chita S. Suero</t>
  </si>
  <si>
    <t>suerogenhosp@yahoo.com</t>
  </si>
  <si>
    <t xml:space="preserve">1. Type II-ALS, CS-P6-F319
2. Type II-ALS, CS-F2-1960
3. Type II-ALS, CS-F4-H390
</t>
  </si>
  <si>
    <t>01-0041-26-H1-2</t>
  </si>
  <si>
    <t xml:space="preserve"> Add-on:
Clinical Chemistry: Albumin, Magnesium, Total Protein, Calcium, Bililrubin, HbA1c, Amylase , B-HCG
Immunology/Serology: TSH, FT4, Prostate-Specific Antigen (PSA), Anti- HCV Rapid Test Kits, Anti-HAV Rapid Test Kits
Issued LTO (04-10-25)
Add-on:
Sars-Cov-2
Issued LTO (11/18/2025)
Ambulatory Surgical Clinic (Ophthalmologic Surgery)
Issued LTO (12/02/2025)</t>
  </si>
  <si>
    <t>02871</t>
  </si>
  <si>
    <t>Tablac</t>
  </si>
  <si>
    <t>01-0024-26-H1-1</t>
  </si>
  <si>
    <t>CANDON GENERAL HOSPITAL</t>
  </si>
  <si>
    <t>REGION 2</t>
  </si>
  <si>
    <t>CAGAYAN VALLEY REGION</t>
  </si>
  <si>
    <t>Clinical Chemistry: HbA1c, Amylase, Lipase, Total Bilirubin, Direct and Indirect Bilirubin, Lactate Dehydrogenase, Alkaline Phosphatase, Magnesium, Phosphorus, Total Protein, Albumin, Troponin-I (Qualitative), Troponin-T (Quantitative)
Immunology/Serology: Widal, Hepa A (HAV IgM Qualitative), Anti-HCV (Qualitative), Anti HBS (Qualitative), Thyroid Functions (T4, T3, FT3, FT4, TSH)
Clinical Microscopy: Micral Test</t>
  </si>
  <si>
    <t>1, Type I, Plate No. AAS 9640, CR No. 199150630</t>
  </si>
  <si>
    <t xml:space="preserve"> 
Dr. Eduardo M. Badua III</t>
  </si>
  <si>
    <t xml:space="preserve"> 
0912-016-0904</t>
  </si>
  <si>
    <t>nmr.itrmc20@gmail.com</t>
  </si>
  <si>
    <t>Mr. Dino T. Chua</t>
  </si>
  <si>
    <t xml:space="preserve">077-742-6098 
09173151975
</t>
  </si>
  <si>
    <t>candongeneralhospital@gmail.com</t>
  </si>
  <si>
    <t>DOH002777</t>
  </si>
  <si>
    <t>01-0016-26-H1-2</t>
  </si>
  <si>
    <t xml:space="preserve"> Add-on:
Immunology/Serology: TSH, FT4, FT3, T3, T4
Issued LTO (03-14-25)</t>
  </si>
  <si>
    <t>5976</t>
  </si>
  <si>
    <t>00273</t>
  </si>
  <si>
    <t>1. Type 2, Plate No. 130109, 
CR No. 0000138877
2. Type 2, Plate No. NCC 3199, 
CR No. 311617261
3. Type 2, Plate No. 130209
CR No. 40521664-1
4. Type 2, Plate No. SND 5647,
CR No. 177609202</t>
  </si>
  <si>
    <t>Bldg. 33, 25 De Marzo St., San Antonio</t>
  </si>
  <si>
    <t>CANDON ST. MARTIN DE PORRES HOSPITAL</t>
  </si>
  <si>
    <t>Pangasinan</t>
  </si>
  <si>
    <t>Dagupan City</t>
  </si>
  <si>
    <t>Arellano St., Dagupan City</t>
  </si>
  <si>
    <t>Specialized Diagnostic Services (Computed Tomography)
Ambulatory Surgical Clinic (Ophthalmologic Surgery)
Intensive Care Unit</t>
  </si>
  <si>
    <t>1, Type I, Plate No. NGD 2563, Conduction No.F3 G662, CR No. 38392438</t>
  </si>
  <si>
    <t>REGION 1 MEDICAL CENTER</t>
  </si>
  <si>
    <t>Dr. Modesto A. Pacquing</t>
  </si>
  <si>
    <t>smphpldt@gmail.com stmartindeporreshospital@yahoo.com</t>
  </si>
  <si>
    <t>Dr. Maria Lourdes K. Otayza</t>
  </si>
  <si>
    <t>01-0025-26-H1-2</t>
  </si>
  <si>
    <t>077-600-8000</t>
  </si>
  <si>
    <t>mmmh_doh@yahoo.com</t>
  </si>
  <si>
    <t>Dialysis Clinic (6 stations)
G6PD Confirmatory 
rHIVda Confirmatory Laboratory
HIV Testing Laboratory
Laboratory for Drinking Water Analysis
Pharmacy (2)
Acute-Chronic Psychiatric Care Facility -16 beds
Specialized Diagnostic X-ray Services (Computed Tomography)
Dental X-Ray Services (Panoramic, Cephalometric, Peri-apical )</t>
  </si>
  <si>
    <t>00359</t>
  </si>
  <si>
    <t>01-0004-26-L3-1</t>
  </si>
  <si>
    <t>Blood Bank</t>
  </si>
  <si>
    <t>43 Madarang St., San Jose</t>
  </si>
  <si>
    <t>RESONABLE HOSPITAL</t>
  </si>
  <si>
    <t>1. Type II-ALS, CS-A3G442
2. Type II-ALS, CS-A2Q659
3. Type II-ALS, CS-F21983
4. Type II-ALS, Plate No. 130106</t>
  </si>
  <si>
    <t>02073</t>
  </si>
  <si>
    <t>Brgy. 23 San Matias, P. Gomez St.</t>
  </si>
  <si>
    <t>GOV. ROQUE B. ABLAN SR. MEMORIAL HOSPITAL</t>
  </si>
  <si>
    <t>Dr. Maureen M. Resonable</t>
  </si>
  <si>
    <t>077-742-6461
09175131575</t>
  </si>
  <si>
    <t>resonablehospital2002@gmail.com</t>
  </si>
  <si>
    <t>01-0040-26-H1-2</t>
  </si>
  <si>
    <t>Blood Station, HIV Testing Lab, Specialized Diagnostic X-ray Services:Computed Tomography
Dialysis</t>
  </si>
  <si>
    <t>04075</t>
  </si>
  <si>
    <t xml:space="preserve">1, TYPE 2, Plate No. 
130102 CR No. 0006914752
</t>
  </si>
  <si>
    <t>Sinait</t>
  </si>
  <si>
    <t>Maharlika Highway, Brgy. Namnama</t>
  </si>
  <si>
    <t>CORPUZ CLINIC AND HOSPITAL</t>
  </si>
  <si>
    <t>Dr. Arlene G. Ragasa</t>
  </si>
  <si>
    <t>Dr. Joseph Roland Mejia</t>
  </si>
  <si>
    <t>772-0303</t>
  </si>
  <si>
    <t>CT-Scan Services 
Clinical Chemistry: HbA1c, Troponin-I, Magnesium, Phosphorus, Alkaline Phosphate, Ionized Calcium, Amylase, Lipase, Albumin, Total Calcium, Bilirubin (Total, Direct, Indirect)
Immunology and Serology: Prostate-Specific Antigen (PSA), Thyroid Profile (TSH, FT4, FT3, T4, T3), C-Reactive Protein (CRP), Procalcitonin (PCT), Anti-Streptolysin O (ASO), Carcinoembryonic Antigen (CEA), CK-MB, PRO-BNP, B- HCG
Hematology: D-Dimer
Others: Arterial Blood Gas</t>
  </si>
  <si>
    <t>pho_grbasmh@yahoo.com</t>
  </si>
  <si>
    <t>653-7162</t>
  </si>
  <si>
    <t>01-0026-26-H2-1</t>
  </si>
  <si>
    <t>1, Type I, Plate No. NFO6840, CR No. 46149177-4</t>
  </si>
  <si>
    <t>region1mc@gmail.com</t>
  </si>
  <si>
    <t>Add-on (DIALYSIS-6 stations)</t>
  </si>
  <si>
    <t>Dr. Martin V. Corpuz</t>
  </si>
  <si>
    <t xml:space="preserve">
09175653740
09175133380
09175653944
09178987025</t>
  </si>
  <si>
    <t>DOH000273</t>
  </si>
  <si>
    <t>00611</t>
  </si>
  <si>
    <t>corpuzclinichospital@yahoo.com</t>
  </si>
  <si>
    <t>01-0007-26-H1-2</t>
  </si>
  <si>
    <t>Brgy. 46 Nalbo</t>
  </si>
  <si>
    <t>LAOAG CITY GENERAL HOSPITAL</t>
  </si>
  <si>
    <t xml:space="preserve"> Add-on:
Clinical Chemistry: Magnesium, Alkaline Phosphatase (ALP), Phosphorus, Ionized Calcium, Amylase, Lipase, Albumin, Total Calcium, Bilirubin, CK-MB, Pro-BNP, B-HCG 
Immunology/Serology: C-Reactive Protein (CRP), Procalcitonin (PCT), Anti-Streptolysin O (ASO), Carcinoembryonic Antigen (CEA)
Hematology: D-Dimer
Issued LTO (03-24-25)</t>
  </si>
  <si>
    <t>30122</t>
  </si>
  <si>
    <t>HIV Testing Lab.
Blood Station
Diagnostic x-ray (Level 3)
Clinical Chemistry: Troponin-I, Troponin-T, HbA1c, CK-MB, Calcium, Phosphorus, Magnesium, Lactate Dehydrogenase (LDH), Alkaline Phosphatase (ALP)
Immunology/Serology: Prostate-Specific Antigen (PSA), TSH, FT3, FT4
Others: Arterial Blood Gas (ABG)</t>
  </si>
  <si>
    <t>National Highway, Tapao</t>
  </si>
  <si>
    <t>STO. CRISTO MILAGROSO HOSPITAL</t>
  </si>
  <si>
    <t>1, Type 1, Plate No. SHY 134, CR No. 6354465-5</t>
  </si>
  <si>
    <t xml:space="preserve">
1, Type 1, Plate No. IAG 5495, CR No. 007620471</t>
  </si>
  <si>
    <t>Rosales</t>
  </si>
  <si>
    <t>Dr. Marsha Lou A. Wapan</t>
  </si>
  <si>
    <t>REGION 3</t>
  </si>
  <si>
    <t>Government Center Carmay East</t>
  </si>
  <si>
    <t>077-670-6304
09955817054
09338708355</t>
  </si>
  <si>
    <t>CENTRAL LUZON</t>
  </si>
  <si>
    <t>lcgh_lc@yahoo.com</t>
  </si>
  <si>
    <t>CONRADO F. ESTRELLA REGIONAL MEDICAL AND TRAUMA CENTER</t>
  </si>
  <si>
    <t>01-0046-26-H1-1</t>
  </si>
  <si>
    <t xml:space="preserve"> Add-on:
 Clinical Chemistry: Troponin-I, Troponin-T, HbA1c, CK-MB, Calcium, Phosphorus, Magnesium, Lactate Dehydrogenase (LDH), Alkaline Phosphatase (ALP)
Immunology/Serology: Prostate-Speficic Antigen (PSA), TSH, FT3, FT4
Others: Arterial Blood Gas (ABG)
Issued LTO (03/31/25)</t>
  </si>
  <si>
    <t>05358</t>
  </si>
  <si>
    <t>Dr. Nanette Q. Yagumyum</t>
  </si>
  <si>
    <t>Blood Bank with additional function
Specialized Diagnostic X-ray Services:Computed Tomography
Magnetic Resonance Imaging</t>
  </si>
  <si>
    <t>San. Nicolas</t>
  </si>
  <si>
    <t>stocristomilagrosohospital@gmail.com</t>
  </si>
  <si>
    <t>CITY OF CANDON HOSPITAL (Dr. Ricardo R. Gacula Memorial Medical Center)</t>
  </si>
  <si>
    <t>01-0035-26-H1-2</t>
  </si>
  <si>
    <t>1, Type I, Conduction No. F4KH16
CR No: 43183187</t>
  </si>
  <si>
    <t>Add on: 
Ambulance Service Provider: 1, Type 1, Plate No. IAG 5495, CR No. 007620471
LTO Issued (01/05/2026)</t>
  </si>
  <si>
    <t>00365</t>
  </si>
  <si>
    <t>Sta. Maria</t>
  </si>
  <si>
    <t>Simpson St., Poblacion Sur</t>
  </si>
  <si>
    <t>REYES ULEP CLINIC AND HOSPITAL</t>
  </si>
  <si>
    <t>HBA1C
Immunology &amp; Serology 
Troponin -I, Troponin T</t>
  </si>
  <si>
    <t>1, Type I, Plate No. AFF 436</t>
  </si>
  <si>
    <t>Specialized Diagnostic X-ray Services:Computed Tomography (City of Candon Doctors, Inc)
Dialysis Clinic.</t>
  </si>
  <si>
    <t xml:space="preserve">1, Type2, Conduction Sticker No. P6 B441, CR No. 405214805
</t>
  </si>
  <si>
    <t>Dr. Erwin R. Ulep</t>
  </si>
  <si>
    <t>reyesulepclinicandhospital@gmail.com</t>
  </si>
  <si>
    <t>01-0010-26-H1-2</t>
  </si>
  <si>
    <t>Dr. Archimedes A. Mercado</t>
  </si>
  <si>
    <t>05694</t>
  </si>
  <si>
    <t>742-5675</t>
  </si>
  <si>
    <t>cityofcandonhospital@
yahoo.com</t>
  </si>
  <si>
    <t>Dr. Emerson B. Patawaran</t>
  </si>
  <si>
    <t>Vigan City</t>
  </si>
  <si>
    <t>01-0013-26-H2-1</t>
  </si>
  <si>
    <t>Rizal Street Extension, Brgy. Tamag,</t>
  </si>
  <si>
    <t>0755296863 / 
09177819724</t>
  </si>
  <si>
    <t>ILOCOS SUR COOPERATIVE MEDICAL MISSION GROUP AND HOSPITAL</t>
  </si>
  <si>
    <t>cfermtc@gmail.com</t>
  </si>
  <si>
    <t>Clinical Chemistry: HbA1c, Ferritin
Immunology/Serology: TSH, FT4, FT3, Prostate-Specific Antigen (PSA), Troponin-I, Anti-HAV Rapid Test Kits, HAV IgM, Salmonella Typhi Rapid Test Kit</t>
  </si>
  <si>
    <t>01-0015-25-H2-1</t>
  </si>
  <si>
    <t>Metro Vigan Hospital</t>
  </si>
  <si>
    <t>applied for bld. Bank w/additional function (3.21,25)</t>
  </si>
  <si>
    <t>Dr. Abraham Auberon Austria</t>
  </si>
  <si>
    <t>iscmmgh_coop@yahoo.com.ph</t>
  </si>
  <si>
    <t>Dialysis
Rapid HIV Diagnostic Algorithm
Blood Bank wiht additional functions
Specialized Diagnostic X-ray Services:Computed Tomography
Anatomical Pathology (Surgical, Cytology and Frozen Section)
Magnetic Resonance Imaging</t>
  </si>
  <si>
    <t>01-0043-26-H1-2</t>
  </si>
  <si>
    <t>1, Type II, CS No. P8 D518
 CR No. 437704610</t>
  </si>
  <si>
    <t>Add-on:
Clinical Chemistry: Hba1c, Troponin-I
Immunology/Serology: TSH, FT3, FT4, Ferritin, Prostate Specific Antigen (PSA), Anti-HAV Rapid Test Kit, Salmonella Typhi Rapid Test Kit
Issued LTO (7-30-25)</t>
  </si>
  <si>
    <t>5201</t>
  </si>
  <si>
    <t>00376</t>
  </si>
  <si>
    <t>Batanes</t>
  </si>
  <si>
    <t>Basco</t>
  </si>
  <si>
    <t>National Road, Kayhuvokan</t>
  </si>
  <si>
    <t>Pantay Daya</t>
  </si>
  <si>
    <t>mcc@ismc.doh.gov.ph</t>
  </si>
  <si>
    <t>VQR FOUNDATION FOR MEDICAL AND COMMUNITY DEVELOPMENT, INC.</t>
  </si>
  <si>
    <t>01-0016-26-H2-1</t>
  </si>
  <si>
    <t>BATANES GENERAL HOSPITAL</t>
  </si>
  <si>
    <t>Clinical Chemistry: HbA1c, Total Protein, Albumin
Immunology and Serology: Thyroid Function Test, Troponin-I, Prostate-Specific Antigen (PSA)</t>
  </si>
  <si>
    <t>00431</t>
  </si>
  <si>
    <t>Northside Doctors' Hospital</t>
  </si>
  <si>
    <t>Cervantes</t>
  </si>
  <si>
    <t>National Road, Rosario</t>
  </si>
  <si>
    <t>Dr. Glenn Agileo C. Battad</t>
  </si>
  <si>
    <t>ILOCOS SUR DISTRICT HOSPITAL-BESSANG PASS CERVANTES</t>
  </si>
  <si>
    <t xml:space="preserve">077-647-2788
</t>
  </si>
  <si>
    <t>st.jamesvqrhospital@yahoo.com</t>
  </si>
  <si>
    <t>01-0020-26-H1-2</t>
  </si>
  <si>
    <t xml:space="preserve">Blood Bank, Drug Testing Lab, Pharmacy, Hospital Blood Bank with additional functions, Diagnostic X-ray (Levell 2) , Computed Tamography,Mammography , rHIVda Confirmatory Laboratory, Covid-19 (SARS-CoV 2) Testing Laboratory </t>
  </si>
  <si>
    <t>00312</t>
  </si>
  <si>
    <t>Agoo</t>
  </si>
  <si>
    <t>1/Type 1/OV 9116</t>
  </si>
  <si>
    <t>Luis Hora Regional Memorial Hospital</t>
  </si>
  <si>
    <t>Mac Arther H-way, San Pedro</t>
  </si>
  <si>
    <t>AGOO FAMILY HOSPITAL</t>
  </si>
  <si>
    <t>Dr. Theresa A. Basabas</t>
  </si>
  <si>
    <t>Clinical Chemistry: HbA1c, Magnesium, Phosphorus, Calcium
Immunology and Serology: Troponin- I , Tyhphidot</t>
  </si>
  <si>
    <t>bessangpassmemorialhospital@yahoo.com</t>
  </si>
  <si>
    <t>01-0003-26-H1-1</t>
  </si>
  <si>
    <t>Dr. Jose E. Aspiras Jr.</t>
  </si>
  <si>
    <t>Dr. Jeffrey Antony T. Canceran</t>
  </si>
  <si>
    <t>docjoe1959@yahoo.com</t>
  </si>
  <si>
    <t>00281</t>
  </si>
  <si>
    <t>09190996724</t>
  </si>
  <si>
    <t>01-0038-26-H1-2</t>
  </si>
  <si>
    <t>REGION 4-A</t>
  </si>
  <si>
    <t xml:space="preserve"> bataneshospital@gmail.com</t>
  </si>
  <si>
    <t>CALABARZON</t>
  </si>
  <si>
    <t>02-16-25-H1-1</t>
  </si>
  <si>
    <t>05004</t>
  </si>
  <si>
    <t>Magsingal</t>
  </si>
  <si>
    <t>Sta. Monica</t>
  </si>
  <si>
    <t>ILOCOS SUR DISTRICT HOSPITAL-MAGSINGAL</t>
  </si>
  <si>
    <t>Widdoes St. Brgy. II,</t>
  </si>
  <si>
    <t>BETHANY HOSPITAL INC.</t>
  </si>
  <si>
    <t>Clinical Chemistry: Magnesium, Phosphorus, Total Bilirubin, Total Protein, Albumin, Alkaline Phosphatase (ALP), Lactate Dehydrogenase (LDH), Anti-HBS Rapid Test Kit, Troponin- I, HbA1c
Immunology/Serology: CTnI/CK-MB/Myo Triple Cardiac Markers, TSH, FT4, FT3, T3, T4, Prostate Specific Antigen (PSA), C-Reactive Protein (CRP)</t>
  </si>
  <si>
    <t>Anatomic Pathology (surgical &amp; cytology)
 Blood Bank
 HIV Testing Laboratory
 Specialized Diagnostic X-ray Services: Computed Tomography, Mammography, Bone Densinometry, Litotripsy, TumorLocalization and Simulation-Bethany Cancer Center (Philippine Oncololog Ctr. Corp)
 Radiation Oncology-Bethany Cancer Center (Philippine Oncololog Ctr. Corp)
 Conventioanl Radiation Therapy
 3D Conformal Radiation therapy
 Intensity Modulated Radiation Therapy
Mobile Clinic Laboratory</t>
  </si>
  <si>
    <t>02162</t>
  </si>
  <si>
    <t>1, Type2, Plate No.AEA 8687, CR No. 285615746</t>
  </si>
  <si>
    <t>1, Type 1, Plate No. GB 7112, CR No. 262898296</t>
  </si>
  <si>
    <t>Cagayan</t>
  </si>
  <si>
    <t>Dr. Gualberto Marcial T. Basco</t>
  </si>
  <si>
    <t>Tuguegarao City</t>
  </si>
  <si>
    <t>0905-2532600</t>
  </si>
  <si>
    <t>Maharlika Highway, Carig</t>
  </si>
  <si>
    <t>bethanyhospital.mis@gmail.com</t>
  </si>
  <si>
    <t>Dr. Mirtle Ruth Ato-Tanawit</t>
  </si>
  <si>
    <t>CAGAYAN VALLEY MEDICAL CENTER</t>
  </si>
  <si>
    <t>01-0012-26-H2-2</t>
  </si>
  <si>
    <t>077-604-0577
 09361982146</t>
  </si>
  <si>
    <t>hospitalmagsingaldistrict@yahoo.com</t>
  </si>
  <si>
    <t>01-0019-26-H1-1</t>
  </si>
  <si>
    <t>05674</t>
  </si>
  <si>
    <t>Ancheta St., Catbangen</t>
  </si>
  <si>
    <t xml:space="preserve"> Add-on:
Clinical Chemistry: Magnesium, Phosphorus, Total Bilirubin, Total Protein, Albumin, Alkaline Phosphatase (ALP), Lactate Dehydrogensae (LDH), Anti-HBS Rapid Test Kit, Troponin-I, HbA1c
Imunology/Serology:  CTnI/CK-MB/Myo Triple Cardiac Markers, TSH, FT4, FT3, T3, T4, Prostate Specific Antigen (PSA), C-Reactive Protein (CRP)
Issued LTO (05-28-25)</t>
  </si>
  <si>
    <t>LA UNION MEDICAL DIAGNOSTIC CENTER AND HOSPITAL, INC.</t>
  </si>
  <si>
    <t>04036</t>
  </si>
  <si>
    <t>HIV Testing Laboratory
Intensive Care Unit  (3 Beds)</t>
  </si>
  <si>
    <t>Narvacan</t>
  </si>
  <si>
    <t>2,Type I, Plate No. CAI 3168 &amp;
Conduction No. P40038, CR No. 36946032-4</t>
  </si>
  <si>
    <t>Paratong</t>
  </si>
  <si>
    <t>Dr. Evamarie D. Madayag</t>
  </si>
  <si>
    <t>ILOCOS SUR DISTRICT HOSPITAL-NARVACAN</t>
  </si>
  <si>
    <t>072-607-8339/3898
09084164480
09951686286</t>
  </si>
  <si>
    <t>launionmed@gmail.com</t>
  </si>
  <si>
    <t>Specialty Center – Infectious Disease and Tropital Medicine (BC) 
G6PD Confirmatory                                        Specialized Diagnostic X-ray Services:        
rHIVda Confirmatory Laboratory                                Computed Tomography        
Laboratory for Drinking Water Analysis                        Mammography
Blood Bank (with addt’l funtions to collect,                        Dental
test &amp; process blood)                                                SPECT/CT
Dental Laboratory (Removable Prostheses Services)      Magnetic Resonance Imaging
-        Complete Dentures                                Radiation Therapy Services:
-        Removable Partial Dentures w/out                Conventional Radiation Therapy
Metal framework                                3D Conformal Radiation Therapy
        Conventional acrylic dentures                   Intensity Modulated Radiation Therapy
Covid-19 Testing Laboratory</t>
  </si>
  <si>
    <t>01-0037-26-H1-2</t>
  </si>
  <si>
    <t xml:space="preserve">Clinical Chemistry Examinations: Lipase, HbA1c,Amylase, ALP, LDH, Albumin, Bilirubin (DIrect &amp; Total), Total Protein, Total Calcium, Ionized Calcium, Ionized Magnesium
Machine-based Serological and Immunological Testing:
Troponin I (Quantitative &amp; Qualitative), CEA, CA-125, Thyroid Function Tests (TSH, FT4, FT3, T4, T3), Cardiac Triple (Quantitative), HCV (Rapid), CRP (Quantitative)
</t>
  </si>
  <si>
    <t>00400</t>
  </si>
  <si>
    <t xml:space="preserve">6, Type II, Plate No. A6P528,Type II, C.S No. P61624, Type II, C.S No. F4K526,Type I, C.S No. A6Z515,Type I, C.S No. F21949, Type 1, Plate No. SND 3323, </t>
  </si>
  <si>
    <t>2, Type 1, Plate No. SAA 5184, CR No. 236646292
Type 1, Plate No. F4K411, CR No. 431831864</t>
  </si>
  <si>
    <t>Carlatan, San Fernando City, La Union</t>
  </si>
  <si>
    <t>LORMA MEDICAL CENTER, INC.</t>
  </si>
  <si>
    <t>Dr. Junardin B. Soliven</t>
  </si>
  <si>
    <t>077-604-0271 
09172172115
09060215440</t>
  </si>
  <si>
    <t>cisdhhospital@yahoo.com</t>
  </si>
  <si>
    <t>Dialysis Clinic (22 stations)
HIV Testing Laboratory
Pharmacy (2)
Mobile Clinical Laboratory
COVID-19 Testing Laboratory
Clinical Laboratory for Molecular Pathology
Specialized Diagnostic X-ray Services (Computed Tomography, Mammography, Cardiac Catheterization, Bone Densitometry, Digital Subtraction Angiography, Percutaneous Transluminal Angioplasty, Tumour Localization and Simulation)
Dental X-Ray Services (Panoramic, Cephalometric, Peri-apical, Intra-oral Dental Service)</t>
  </si>
  <si>
    <t>Dr. Cherry Lou M. Antonio</t>
  </si>
  <si>
    <t>01-0005-26-H1-1</t>
  </si>
  <si>
    <t>(078) 304-1410 (078) 304-0033 (078) 302- 0000 09176285312</t>
  </si>
  <si>
    <t>1. Type 2, Plate No. IAB 3356,
CR No. 35742981-1</t>
  </si>
  <si>
    <t>02463</t>
  </si>
  <si>
    <t xml:space="preserve">cvmcr2@gmail.com </t>
  </si>
  <si>
    <t>Dr. Mario T. Bautista</t>
  </si>
  <si>
    <t>Santa Lucia</t>
  </si>
  <si>
    <t>072-888-2616
(0917)5288406</t>
  </si>
  <si>
    <t>National Highway, San Juan</t>
  </si>
  <si>
    <t>iso.lorma@gmail.com</t>
  </si>
  <si>
    <t>ILOCOS SUR DISTRICT HOSPITAL-STA LUCIA</t>
  </si>
  <si>
    <t>01-0001-26-L3-2</t>
  </si>
  <si>
    <t>HIV Testing Laboratory
Clinical Chemistry: HBA1c
Immunological Testing: Troponin -I Qualitative and Quantitative</t>
  </si>
  <si>
    <t>00375</t>
  </si>
  <si>
    <t>Alaminos City</t>
  </si>
  <si>
    <t>Bolaney</t>
  </si>
  <si>
    <t>ISDH- Narvacan</t>
  </si>
  <si>
    <t>ALAMINOS DOCTORS HOSPITAL</t>
  </si>
  <si>
    <t>REGION 4-B</t>
  </si>
  <si>
    <t>MIMAROPA</t>
  </si>
  <si>
    <t>Dr. Winston Jake P. Etalin</t>
  </si>
  <si>
    <t>1, Type I, Plate No.AAB 1655, CR No. 180962504</t>
  </si>
  <si>
    <t>09209141967
09151633280</t>
  </si>
  <si>
    <t>staluciadistricthospital@yahoo.com.ph</t>
  </si>
  <si>
    <t>01-0029-26-H1-1</t>
  </si>
  <si>
    <t>Dr. Jaime R. Maron</t>
  </si>
  <si>
    <t>075-696-1843 / 
09162502788
09209687680
09278201805</t>
  </si>
  <si>
    <t>aldochos2000@gmail.com</t>
  </si>
  <si>
    <t>01-0021-26-H1-2</t>
  </si>
  <si>
    <t>00254</t>
  </si>
  <si>
    <t>Maharlika Highway, Brgy. Curtin</t>
  </si>
  <si>
    <t>00285</t>
  </si>
  <si>
    <t>ILOCOS SUR DISTRICT HOSPITAL-SINAIT</t>
  </si>
  <si>
    <t>Sadsaran Street, Poblacion</t>
  </si>
  <si>
    <t>C &amp; H MEDICAL AND SURGICAL CLINIC, INC.</t>
  </si>
  <si>
    <t>HIV Testing Laboratory
Clinical Chemistry: HbA1c, Amylase, Total protein,Total Billirubin,Direct 
Billirubin, Albumin
Serological and Immunological Testing: Cardiac Markers,
Troponin I, CK-MB, Tumor Marker,
Beta HCG, Thyroid Function Test</t>
  </si>
  <si>
    <t>LGU San Juan, Ilocos Sur</t>
  </si>
  <si>
    <t>Dr. Grace G. Humilde-Catambing</t>
  </si>
  <si>
    <t>Dr. Porfirio D. Tugas Jr.</t>
  </si>
  <si>
    <t>cnhhospital@yahoo.com</t>
  </si>
  <si>
    <t>isdhsinait@gmail.com</t>
  </si>
  <si>
    <t>01-0051-26-H1-2</t>
  </si>
  <si>
    <t>01-0009-26-H1-1</t>
  </si>
  <si>
    <t>51958</t>
  </si>
  <si>
    <t>Bayambang</t>
  </si>
  <si>
    <t>03212</t>
  </si>
  <si>
    <t>San Carlos Road, Asin</t>
  </si>
  <si>
    <t>JULIUS K. QUIAMBAO (JKQ) MEDICAL AND WELLNESS CENTER</t>
  </si>
  <si>
    <t>Tagudin</t>
  </si>
  <si>
    <t>Bio</t>
  </si>
  <si>
    <t>ILOCOS SUR DISTRICT HOSPITAL-TAGUDIN</t>
  </si>
  <si>
    <t>Dialysis Clinic
 Diagnostic X-ray Services 
 (Level 3): Computed Tomography, Mammography, Dental CBCT
MAgnetic Resonance Imaging
Blood Bank</t>
  </si>
  <si>
    <t>1,Type II, Plate No. NHR 9368 CR No. 0044109509</t>
  </si>
  <si>
    <t>Clinical Chemistry: HbA1c
Immunological &amp; Serological Testing: TSH,T3,T4</t>
  </si>
  <si>
    <t>Dr. Dave C. Gamboa</t>
  </si>
  <si>
    <t>0969-5022675</t>
  </si>
  <si>
    <t>compliance@jkqmwc.com</t>
  </si>
  <si>
    <t>01-0006-26-H2-2</t>
  </si>
  <si>
    <t>Ilocos Sur Medical Center</t>
  </si>
  <si>
    <t>04232</t>
  </si>
  <si>
    <t>Juan Luna St., Poblacion Sur</t>
  </si>
  <si>
    <t>Dr. Julianito L. Bona</t>
  </si>
  <si>
    <t>NUESTRO SEÑOR SANTO NIÑO HOSPITAL, INC.</t>
  </si>
  <si>
    <t>077-748-7015 / 
09190977594</t>
  </si>
  <si>
    <t>tagudin_hospital@yahoo.com</t>
  </si>
  <si>
    <t>HIV Testing Laboratory
Clinical Chemistry
HBA1c, Immunology and Serology
Troponin I, TSH, FT3, FT4</t>
  </si>
  <si>
    <t>1, Type I, Plate No. CBF 6273, CR No. 42584441-4</t>
  </si>
  <si>
    <t>01-0006-26-H1-1</t>
  </si>
  <si>
    <t>Dr. Charisse T. Alvarez</t>
  </si>
  <si>
    <t>02-01-25-H3-1</t>
  </si>
  <si>
    <t>075-633-5805 / 
09156472085</t>
  </si>
  <si>
    <t>nssnh@yahoo.com</t>
  </si>
  <si>
    <t>01-0008-26-H1-2</t>
  </si>
  <si>
    <t>05002</t>
  </si>
  <si>
    <t>51959</t>
  </si>
  <si>
    <t>Binmaley</t>
  </si>
  <si>
    <t>National Road, Brgy. Naguilayan</t>
  </si>
  <si>
    <t>03313</t>
  </si>
  <si>
    <t>Quirino Blvd. Tamag</t>
  </si>
  <si>
    <t>CENTRAL PANGASINAN HOSPITAL AND MEDICAL CENTER</t>
  </si>
  <si>
    <t>ILOCOS SUR PROVINCIAL HOSPITAL GABRIELA SILANG</t>
  </si>
  <si>
    <t>Isabela</t>
  </si>
  <si>
    <t>Dialysis Clinic
 Diagnostic X-ray Services
  (Level 2)</t>
  </si>
  <si>
    <t>Santiago City</t>
  </si>
  <si>
    <t>1,Type II, Plate No. NIU 9155 CR No. 0047102971</t>
  </si>
  <si>
    <t>Corner Recto Avenue, Zamora St., Rosario</t>
  </si>
  <si>
    <t>Dr. Ferdinand Florendo</t>
  </si>
  <si>
    <t>SOUTHERN ISABELA MEDICAL CENTER</t>
  </si>
  <si>
    <t>Blood Bank (with additional function to collect, test &amp; process blood)
HIV Testing LAboratory
Rapid HIV Didagnostic Algorithm (rHIVda)
Dialysis (5 stastions)
Diagnostic X-Ray Services (Level 3)
Specialized Diagnostic X-ray Services:Computed Tomography, Mamography
Dental X-ray Services: Panoramic
Magnetic Resonance Imaging
Covid-19 (SARS-CoV-2) Resting Laboratory, artridge-based polymerase chain reaction
Molecular Pathology</t>
  </si>
  <si>
    <t>0915-7196061</t>
  </si>
  <si>
    <t>cphmc.corp@gmail.com</t>
  </si>
  <si>
    <t>01-0004-26-H2-2</t>
  </si>
  <si>
    <t>1, Type 2, Plate No.
NEV 8246
CR No: 436875445</t>
  </si>
  <si>
    <t>50658</t>
  </si>
  <si>
    <t>23 De Venecia Road, Malued, Dagupan City, Pangasinan</t>
  </si>
  <si>
    <t>ALLIED CARE EXPERTS (ACE) MEDICAL CENTER-PANGASINAN, INC.</t>
  </si>
  <si>
    <t>Dr. Enrique Pocholo Baquiran</t>
  </si>
  <si>
    <t xml:space="preserve">Blood Bank with additional function,rHIVda Confirmatory Laboratory, Covid-19 (SARS COV-2) Testing Laboratory, Speacialized Diagnostic X-ray Services: Computed Tomography, Dental, Bone Densitometry </t>
  </si>
  <si>
    <t>674-1813</t>
  </si>
  <si>
    <t>pho_gabriela@yahoo.com</t>
  </si>
  <si>
    <t>AmbulatorySurgical Clinic Diagnostic X-ray Services (Level 3)
Dialysis Clinic (8 stations)</t>
  </si>
  <si>
    <t>3, Type II, Plate No. BAA 6899 ; Type II, Plate No. F4H 451, Plate No. P5Q285</t>
  </si>
  <si>
    <t>1, Type2, Plate No.CBE 3481, CR No. 46042202-3</t>
  </si>
  <si>
    <t>Dr. Bennet Go-Ong</t>
  </si>
  <si>
    <t>02877</t>
  </si>
  <si>
    <t>REGION 5</t>
  </si>
  <si>
    <t>acemcpangasinan.admin@gmail.com</t>
  </si>
  <si>
    <t>BICOL REGION</t>
  </si>
  <si>
    <t>01-0022-26-H2-2</t>
  </si>
  <si>
    <t xml:space="preserve">Usec. Glenn Mathew B. Baggao-OIC </t>
  </si>
  <si>
    <t>(078) 307-2637 (078) 705-0459</t>
  </si>
  <si>
    <t xml:space="preserve">simc.mcc0421@gmail.com </t>
  </si>
  <si>
    <t>00340</t>
  </si>
  <si>
    <t>Burgos St., Poblacion Oeste</t>
  </si>
  <si>
    <t>CUISON HOSPITAL, INCORPORATED</t>
  </si>
  <si>
    <t>Clinical Chemistry: HbA1c
Immunology and Serology:Troponin- I, TSH, T3, T4, Prostate-Specific Antigen (PSA). H. pylori, Anti-HCV Rapid Test Kits, Anti-HAV Rapid Test Kits</t>
  </si>
  <si>
    <t>Nazareth General Hospital</t>
  </si>
  <si>
    <t>Dr. Conrado H. Cuison</t>
  </si>
  <si>
    <t>cuisonhospinc@gmail.com</t>
  </si>
  <si>
    <t>02-02-25-H3-1</t>
  </si>
  <si>
    <t>01-0034-26-H1-2</t>
  </si>
  <si>
    <t>04701</t>
  </si>
  <si>
    <t>Mcarthur Highway, Mayombo District</t>
  </si>
  <si>
    <t>DAGUPAN DOCTORS VILLAFLOR MEMORIAL HOSPITAL, INC.</t>
  </si>
  <si>
    <t>02703</t>
  </si>
  <si>
    <t xml:space="preserve">HIV Testing Laboratory
Dialysis Clinic
Diagnostic X-ray Services (Level 3)
Specialized Diagnostic X-ray Services: Computed Tomography, Mammography, Bone Densinometry, Tumor Localization and Simulation, Litotripsy
Radiation Therapy Service Category: Level 3)
Radiation Therapy Services: Conventional Radiation Therapy, 3D Conformal Radiation Therapy, Intensity Modulated Radiation Therapy
     Cardiac Catheterization 
Dental X-ray Services: Peri-apical
Covid-19 (SARS-COV-2) Testing Laboratory, Reverese transcriptase-polymerase chaiin reaction, cartridge-based polymerase chain reaction
Cancer Treatment Unit(Systemic Therapy)
</t>
  </si>
  <si>
    <t>Nueva Vizcaya</t>
  </si>
  <si>
    <t>1, Type II Plate No. NGY 247
CR No. 42070833-0</t>
  </si>
  <si>
    <t>Bayombong</t>
  </si>
  <si>
    <t>Cancer Treatment Unit in a General Hospital</t>
  </si>
  <si>
    <t>Magsaysay</t>
  </si>
  <si>
    <t>Nazareno</t>
  </si>
  <si>
    <t>Dr. Vivencio V. Villaflor</t>
  </si>
  <si>
    <t>REGION II TRAUMA AND MEDICAL CENTER</t>
  </si>
  <si>
    <t>09950917916
09062951678</t>
  </si>
  <si>
    <t>licensing@villaflorhospital.com.ph</t>
  </si>
  <si>
    <t>LA UNION MEDICAL CENTER</t>
  </si>
  <si>
    <t>01-0017-26-H2-2</t>
  </si>
  <si>
    <t>02879</t>
  </si>
  <si>
    <t>Bonuan Gueset</t>
  </si>
  <si>
    <t>DECENA GENERAL HOSPITAL</t>
  </si>
  <si>
    <t>Blood Bank (with add’l functions to collect, test, and process blood), rHIVda Confirmatory Laboratory Satellite Clinical Laborator (OPD-Secondary), Covid-19 Testing Laboratory, Molecular Pathology, Ambulatory Surgical Clinic: - Opthalmologic Surgery,  Specialized Diagnostic X-ray Services: *Computed Tomography *Mammography *Magnetic Resonance Imaging Dental: *Panoramic/Cephalometric, *Periapical</t>
  </si>
  <si>
    <t>Medical Centrum Dagupan</t>
  </si>
  <si>
    <t xml:space="preserve">1, Type II, Plate No. 131210 </t>
  </si>
  <si>
    <t>Dr. Madelyn F. Decena</t>
  </si>
  <si>
    <t>Blood bank (with additional function to collect, test &amp; process blood)
HIV Testing LAboratory, Pharmacy (2)
Specialized Diagnostic X-ray Services:Computed Tomography</t>
  </si>
  <si>
    <t>dgh_dag@yahoo.com</t>
  </si>
  <si>
    <t>01-0027-26-H1-2</t>
  </si>
  <si>
    <t>2, Type 2, Plate No: SAA 2076 
CR No. 214787510
 CS: MU 3982 CR No: 342082996</t>
  </si>
  <si>
    <t>00373</t>
  </si>
  <si>
    <t>Dr. Ray P. Suanding</t>
  </si>
  <si>
    <t>329 Mcarthur Highway, Tapuac</t>
  </si>
  <si>
    <t xml:space="preserve">(078) 805- 3560 </t>
  </si>
  <si>
    <t>LUZON MEDICAL CENTER, INC.</t>
  </si>
  <si>
    <t>r2tmc@doh.gov.ph</t>
  </si>
  <si>
    <t>HIV Testing Laboratory
Dialysis Clinic
Specialized Diagnostic X-ray Services: Computed Tomography</t>
  </si>
  <si>
    <t>1, Type II, Plate No. WPY 145
CR #: 35739538-2</t>
  </si>
  <si>
    <t>Dr. Paquito S. Fuentes</t>
  </si>
  <si>
    <t>luzonmedicalcenter@gmail.com</t>
  </si>
  <si>
    <t>01-0009-26-H2-2</t>
  </si>
  <si>
    <t>3120</t>
  </si>
  <si>
    <t>AB Fernandez Avenue East</t>
  </si>
  <si>
    <t>MEDICAL CENTRUM DAGUPAN</t>
  </si>
  <si>
    <t>Dr. Sarah Jane Villanueva</t>
  </si>
  <si>
    <t>02-03-25-H3-1</t>
  </si>
  <si>
    <t>HIV Testing Laboratory
 Dialysis Clinic
 Specialized Diagnostic X-ray Services:Computed Tomography, Mammography</t>
  </si>
  <si>
    <t>607-5938
09273298668</t>
  </si>
  <si>
    <t>1, Type 2 Plate No. NCW 5471
 CR No. 320476763</t>
  </si>
  <si>
    <t>lumc_official02@yahoo.com</t>
  </si>
  <si>
    <t>Dr. Eugenio De Leon</t>
  </si>
  <si>
    <t>0928-7676693</t>
  </si>
  <si>
    <t>medcentrum_dagupan@yahoo.com.ph</t>
  </si>
  <si>
    <t>01-0001-26-H2-2</t>
  </si>
  <si>
    <t>4637</t>
  </si>
  <si>
    <t>01-0003-26-H2-1</t>
  </si>
  <si>
    <t>Bataan</t>
  </si>
  <si>
    <t>Balanga City</t>
  </si>
  <si>
    <t>REGION 6</t>
  </si>
  <si>
    <t>203 Perez Boulevard</t>
  </si>
  <si>
    <t>Manahan St., Tenejero</t>
  </si>
  <si>
    <t>NAZARETH GENERAL HOSPITAL</t>
  </si>
  <si>
    <t>BATAAN GENERAL HOSPITAL AND MEDICAL CENTER</t>
  </si>
  <si>
    <t>HIV Testing Laboratory
 Dialysis Clinic
 Diagnostic X-ray Services (Level 3)
 Specialized Diagnostic X-ray Services;Computed Tomography, Mammography, Litotripsy, C-arm</t>
  </si>
  <si>
    <t>WESTERN VISAYAS REGION</t>
  </si>
  <si>
    <t>1, Typer 2, Plate No. AAP 5417
 CR No. 2026725153</t>
  </si>
  <si>
    <t>03199</t>
  </si>
  <si>
    <t>Dr. Edmundo G. Exconde</t>
  </si>
  <si>
    <t>0977-7564299</t>
  </si>
  <si>
    <t>eeg_ngh@yahoo.com</t>
  </si>
  <si>
    <t>Specialized x-ray: CT Mammography, Dental; Magentic Resonance Imaging; Pharmacy (2); G6PD Confirmatory Test, HIV Testing Laboratory; rHIVda Confirmatory Laboratory, Laboratory for Drinking Water Analysis, Blood Bank with additional functions:(collect, test and process blood)</t>
  </si>
  <si>
    <t>Bacnotan</t>
  </si>
  <si>
    <t>01-0027-26-H2-2</t>
  </si>
  <si>
    <t>Poblacion</t>
  </si>
  <si>
    <t>BACNOTAN DISTRICT HOSPITAL</t>
  </si>
  <si>
    <t>4/ Type II/ A4 R680, A4 0057, F3 0816, F4 H478</t>
  </si>
  <si>
    <t>03555</t>
  </si>
  <si>
    <t>Tapuac District</t>
  </si>
  <si>
    <t>SPECIALIST GROUP HOSPITAL AND TRAUMA CENTER</t>
  </si>
  <si>
    <t>HIV Testing Laboratory
Dialysisc Clinic
Specialized Diagnostic X-ray Services:Computed Tomography, Mammography</t>
  </si>
  <si>
    <t>Clinical Chemistry: Troponin-I, HbA1c
Immunology/Serology: TSH, T3, T4,  C-Reactive Protein (CRP)</t>
  </si>
  <si>
    <t>1, Type2, Plate No. ICL 2144, Cr No. 241932180</t>
  </si>
  <si>
    <t>Dr. Carlito V. Arenas</t>
  </si>
  <si>
    <t>075-522-2254</t>
  </si>
  <si>
    <t>2, Type 1, Plate No. MU 3987, CR No. 342144924
 &amp; Plate No. SAA 2072, CR No. 212396240</t>
  </si>
  <si>
    <t>carl_md2000@yahoo.com
 sghtchr@gmail.com
 sghtcitdept@gmail.com</t>
  </si>
  <si>
    <t>01-0010-26-H2-2</t>
  </si>
  <si>
    <t>05789</t>
  </si>
  <si>
    <t>Nable St.</t>
  </si>
  <si>
    <t>THE MEDICAL CITY PANGASINAN</t>
  </si>
  <si>
    <t>Dr. Zenserly D. Pagaduan</t>
  </si>
  <si>
    <t>HIV Testing Laboratory, Specialized Diagnostic X-ray Services: Computed Tomography
Monile Clinical Laboratory</t>
  </si>
  <si>
    <t>072-607-4044 /
09171734922</t>
  </si>
  <si>
    <t>1, Type 2 , Plate NO. NIN 9232
CR No. 48044121-6</t>
  </si>
  <si>
    <t>bdh_bacnotan@yahoo.com</t>
  </si>
  <si>
    <t>Dr. Juan Antonio Maximiano Escano</t>
  </si>
  <si>
    <t>01-0032-26-H1-1</t>
  </si>
  <si>
    <t>0925-7072534</t>
  </si>
  <si>
    <t>tmcpangasinan@themedicalcity.com</t>
  </si>
  <si>
    <t>01-0029-26-H2-2</t>
  </si>
  <si>
    <t>Add-on:
Clinical Chemistry: Troponin-I, HbA1c
Immunology/Serology: TSH, T3, T4,  C-Reactive Protein (CRP)
Issued LTO (12/22/2025)</t>
  </si>
  <si>
    <t>5122</t>
  </si>
  <si>
    <t>Lingayen</t>
  </si>
  <si>
    <t>Solis St.,</t>
  </si>
  <si>
    <t>JESUS NAZARENE GENERAL HOSPITAL</t>
  </si>
  <si>
    <t>Dr. Glory Baltazar</t>
  </si>
  <si>
    <t>237-2269/3635</t>
  </si>
  <si>
    <t>Specialized Diagnostic X-ray Services:Computed Tomography</t>
  </si>
  <si>
    <t>1, Type II, Plate No. BCL 4508
CR No; 0065888320</t>
  </si>
  <si>
    <t>bataanghmc2020@gmail.com</t>
  </si>
  <si>
    <t>Dr. Dick Lee Ong</t>
  </si>
  <si>
    <t>03432</t>
  </si>
  <si>
    <t>09334900058
 09773485328</t>
  </si>
  <si>
    <t>03-0022-25-H3-1</t>
  </si>
  <si>
    <t>jngh08@yahoo.com</t>
  </si>
  <si>
    <t>Existing HF with Changes</t>
  </si>
  <si>
    <t>Balaoan</t>
  </si>
  <si>
    <t>01-0008-26-H2-2</t>
  </si>
  <si>
    <t>Bungol</t>
  </si>
  <si>
    <t>BALAOAN DISTRICT HOSPITAL</t>
  </si>
  <si>
    <t>Increase Bed</t>
  </si>
  <si>
    <t>39821</t>
  </si>
  <si>
    <t>Malasiqui</t>
  </si>
  <si>
    <t>Brgy. Cabatling</t>
  </si>
  <si>
    <t>UNIVERSAL HEALTH GENERAL HOSPITAL</t>
  </si>
  <si>
    <t>2, Type I, Plate No. NU3951, CR No. 342083044, &amp; Plate No. SAA 2078, CR No. 214788674</t>
  </si>
  <si>
    <t>Specialized Diagnostic X-ray Services: Computed Tomography</t>
  </si>
  <si>
    <t>1, Type II, Plate No. 1115
CR NO: 0683597</t>
  </si>
  <si>
    <t>Mariveles</t>
  </si>
  <si>
    <t>P. Monroe St. Pob.</t>
  </si>
  <si>
    <t>Dr. Ruby Soccrro Elguira</t>
  </si>
  <si>
    <t>0917-7915894</t>
  </si>
  <si>
    <t>Dr. Mark Anthony S. Tomboc</t>
  </si>
  <si>
    <t>uhgh143@gmail.com</t>
  </si>
  <si>
    <t>072-607-1186
0970-654-8805</t>
  </si>
  <si>
    <t>MARIVELES MENTAL WELLNESS AND GENERAL HOSPITAL</t>
  </si>
  <si>
    <t>bldh.balaoan@gmail.com</t>
  </si>
  <si>
    <t>01-0024-26-H2-2</t>
  </si>
  <si>
    <t>01-0012-26-H1-1</t>
  </si>
  <si>
    <t>30123</t>
  </si>
  <si>
    <t>Specialty</t>
  </si>
  <si>
    <t>Mangatarem</t>
  </si>
  <si>
    <t>Umangan</t>
  </si>
  <si>
    <t>MBP-BLESSED TRINITY GENERAL HOSPITAL, INC.</t>
  </si>
  <si>
    <t>02952</t>
  </si>
  <si>
    <t>Caba</t>
  </si>
  <si>
    <t>Poblacion Sur</t>
  </si>
  <si>
    <r>
      <rPr>
        <rFont val="Arial"/>
        <color rgb="FF000000"/>
        <sz val="11.0"/>
      </rPr>
      <t xml:space="preserve"> </t>
    </r>
    <r>
      <rPr>
        <rFont val="Arial"/>
        <b/>
        <color rgb="FF000000"/>
        <sz val="11.0"/>
      </rPr>
      <t>Custodial Psychiatric Care (500 ABC</t>
    </r>
    <r>
      <rPr>
        <rFont val="Arial"/>
        <color rgb="FF000000"/>
        <sz val="11.0"/>
      </rPr>
      <t xml:space="preserve">), Dental Clinic, Dental X-ray, X-ray Services Level 2, </t>
    </r>
    <r>
      <rPr>
        <rFont val="Arial"/>
        <b/>
        <color rgb="FF000000"/>
        <sz val="11.0"/>
      </rPr>
      <t>Level 1 Hosp (18 ABC)</t>
    </r>
  </si>
  <si>
    <t>CABA DISTRICT HOSPITAL</t>
  </si>
  <si>
    <t>Mangatarem District Hospital</t>
  </si>
  <si>
    <t>Type I, Plate No. P61 781 &amp; P61 515</t>
  </si>
  <si>
    <t>Dr. Rhodora P. Maron</t>
  </si>
  <si>
    <t>075-632-1288</t>
  </si>
  <si>
    <t>HAV IgG/IgM, S. typhi, Leptospira test, HbA1c</t>
  </si>
  <si>
    <t>mbpbtghinc@gmail.com</t>
  </si>
  <si>
    <t>01-0045-26-H1-2</t>
  </si>
  <si>
    <t>2,Type I, Plate No. SAA2077, CR No. 214787591 &amp; Plate No. MU 4887, CR No. 342083011</t>
  </si>
  <si>
    <t>00301</t>
  </si>
  <si>
    <t>Mcarthur Highway, Carmen West</t>
  </si>
  <si>
    <t>REGION 7</t>
  </si>
  <si>
    <t>Dr. Antonio L. Valdriz Jr.</t>
  </si>
  <si>
    <t>CENTRAL VISAYAS REGION</t>
  </si>
  <si>
    <t>DEL CARMEN MEDICAL CLINIC AND HOSPITAL, INC.</t>
  </si>
  <si>
    <t>09125559918
09564817840</t>
  </si>
  <si>
    <t>cdh@launion.gov.ph</t>
  </si>
  <si>
    <t>Clinical Chemistry: Troponin-I, Lactate Dehydrogenase (LDH), Ionized Calcium, Magnesium, Phosphorus, Total Protein, Albumin, HbA1c, Alkaline Phosphatease (ALP), Pro-BNP
Immunology/Serology: C- Reactive Protein (CRP), Ferritin, Procalcitonin (PCT), FT3, FT4, TSH, Anti-HCV Rapid Test Kits, Anti-HAV Rapid Test Kits
Hematology: D-Dimer, APTT, PTPA
Others: Arterial Blood Gas (ABG)
Tertiary Clinical Laboratory</t>
  </si>
  <si>
    <t>01-0030-26-H1-1</t>
  </si>
  <si>
    <t>Dennis Ordona, MD, FPCP, MPM</t>
  </si>
  <si>
    <t>(047) 6339006
(047) 9354617
(047) 9354138</t>
  </si>
  <si>
    <t>Conrado F. Estrella Regional Medical and Trauma Center</t>
  </si>
  <si>
    <t>Add on: Immunology/Serology: HAV IgG/IgM, S. typhi, Leptospira test, HbA1c
Issued LTO (03/06/2026)</t>
  </si>
  <si>
    <t xml:space="preserve">planning.mmwgh@gmail.com     </t>
  </si>
  <si>
    <t>Dr. Ma. Carmen S. Ausa</t>
  </si>
  <si>
    <t>9162173137
9688835568
9159713686</t>
  </si>
  <si>
    <t>delcarmenhospital@yahoo.com</t>
  </si>
  <si>
    <t>01-0044-26-H1-2</t>
  </si>
  <si>
    <t>03-0145-25-H1-1</t>
  </si>
  <si>
    <t>03757</t>
  </si>
  <si>
    <t xml:space="preserve"> Add-on: 
Clinical Chemistry: Troponin-I, Lactate Dehydrogenase (LDH), Ionized Calcium, Magnesium, Phosphorus, Total Protein, Albumin, HbA1c, Alkaline Phosphatase (ALP), Pro-BNP, Arterial Blood Gas 
Immunology/Serology: C-Reactive Protein (CRP), Ferritin, Procalcitonin (PCT), FT3, FT4, TSH, Anti-HCV Rapid Test Kits, Anti-HAV Rapid Test Kits 
Hematology: D-Dimer
Issued LTO (03-26-25)
Tertiary Clinical Laboratory 
Issued LTO (11-28-25)</t>
  </si>
  <si>
    <t>Naguilian</t>
  </si>
  <si>
    <t>04517</t>
  </si>
  <si>
    <t>Natividad</t>
  </si>
  <si>
    <t>NAGUILIAN DISTRICT HOSPITAL</t>
  </si>
  <si>
    <t>6A Carmen West</t>
  </si>
  <si>
    <t>DR. MARCELO M. CHAN MEMORIAL HOSPITAL, INC.</t>
  </si>
  <si>
    <t>Clinical Chemistry: HbA1c, Troponin-I
Immunology/Serology: Typhoid test kit, Leptospira, Anti-HAV Rapid Test Kit</t>
  </si>
  <si>
    <t>Bulacan</t>
  </si>
  <si>
    <t>Bocaue</t>
  </si>
  <si>
    <t>2,Type I, Plate No. MU 3971, CR No. 342083022 &amp; 
Plate no. SAA 2069, CR No. 219396203</t>
  </si>
  <si>
    <t>Igulot</t>
  </si>
  <si>
    <t>JONI VILLANUEVA GENERAL HOSPITAL</t>
  </si>
  <si>
    <t>Dr. Maria Theresa C. Lecitona</t>
  </si>
  <si>
    <t>Dr. Cinderella P. Florendo</t>
  </si>
  <si>
    <t>09682595910
09228669359</t>
  </si>
  <si>
    <t>072-609-1853 / 
09209696745</t>
  </si>
  <si>
    <t>dmmcmhi@yahoo.com</t>
  </si>
  <si>
    <t>ndh@launion.gov.ph</t>
  </si>
  <si>
    <t>01-0042-26-H1-2</t>
  </si>
  <si>
    <t>01-0048-26-H1-1</t>
  </si>
  <si>
    <t>37941</t>
  </si>
  <si>
    <t>Add-on: 
Clinical Chemistry: HbA1c, Troponin-I
Immunology/Serology: Typhoid test kit, Leptospira, Anti-HAV Rapid Test Kit
Issued LTO (10/24/2025)</t>
  </si>
  <si>
    <t>ASC (General Surgery, Pediatric Surgery, Reproductive Health Surgery)</t>
  </si>
  <si>
    <t>Purok 5, Carmay East</t>
  </si>
  <si>
    <t>04628</t>
  </si>
  <si>
    <t>ROSALES CHUA PUN MEMORIAL HOSPITAL</t>
  </si>
  <si>
    <t>Rosario</t>
  </si>
  <si>
    <t>Concepcion</t>
  </si>
  <si>
    <t>Type I Conduction Sticker F4J 639</t>
  </si>
  <si>
    <t>Clinical Chemistry
HBA1c
Immunology and Serology
TSH, FT3,FT4</t>
  </si>
  <si>
    <t>ROSARIO DISTRICT HOSPITAL</t>
  </si>
  <si>
    <t>1, Type I, Plate No. NCW 5969, CR No. 320442555</t>
  </si>
  <si>
    <t>HIV Testing Laboratory</t>
  </si>
  <si>
    <t>Dr. Carlos L. Chua</t>
  </si>
  <si>
    <t>1, Type 1, Plate No. SAA 2070, CR No. 212396225</t>
  </si>
  <si>
    <t>075-523-1373 / 
09692910161</t>
  </si>
  <si>
    <t>rchuapun.hosp@gmail.com</t>
  </si>
  <si>
    <t>01-0013-26-H1-2</t>
  </si>
  <si>
    <t>Dr. Michelle D. Arellano</t>
  </si>
  <si>
    <t>04631</t>
  </si>
  <si>
    <t>072-687-0456/9988
09088101985</t>
  </si>
  <si>
    <t>rdh@launion.gov.ph</t>
  </si>
  <si>
    <t>San Carlos City</t>
  </si>
  <si>
    <t>Brgy. Ilang</t>
  </si>
  <si>
    <t>01-0047-26-H1-1</t>
  </si>
  <si>
    <t>BLESSED FAMILY DOCTORS GENERAL HOSPITAL, INC.</t>
  </si>
  <si>
    <t>Blood Station
Dialysis Clinic (Hemotek Renal Center, Inc.)
Specialized Diagnostic X-ray Services: Computed Tomography, Mammography
Dental</t>
  </si>
  <si>
    <t>1, Type2, Plate No: ABH 8920 CR No: 341031633</t>
  </si>
  <si>
    <t>Dr. Alfred P. Bernal</t>
  </si>
  <si>
    <t>0907-9550303
0995-4017889</t>
  </si>
  <si>
    <t>bfdgh_2003@yahoo.com.ph</t>
  </si>
  <si>
    <t>01-0007-26-H2-2</t>
  </si>
  <si>
    <t>Renely Tungol, MD, MPH-HSD, MHA, CSEE</t>
  </si>
  <si>
    <t>00370</t>
  </si>
  <si>
    <t>Dialysis Clinic (13 stations)
G6PD Confirmatory Laboratory 
HIV Testing Laboratory
Laboratory for Drinking Water Analysis
Specialized Diagnostic X-ray Services( Computed Tomography)
Dental X-ray Services (Peri-apical)
COVID-19 Testing Laboratory
Clinical Laboratory for Molecular Pathology</t>
  </si>
  <si>
    <t>259 Rizal Avenue</t>
  </si>
  <si>
    <t>jonivgh.hrmu@gmail.com</t>
  </si>
  <si>
    <t>ELGUIRA GENERAL HOSPITAL</t>
  </si>
  <si>
    <t xml:space="preserve">1. Type 2, Plate No. P6 F319, 
CR No. 39071155-4
2. Type 2, Plate No. F2 1960, 
CR No. 4318-29296
3. Type 2, Plate No. F4 H390,
CR No. 436887371
</t>
  </si>
  <si>
    <t>HIV Testing Laboratory
Dialysis Clinic
Specialized Diagnostic X-ray Services: Computed Tomography
Dental X-ray Panoramic</t>
  </si>
  <si>
    <t>1, Type II, Plate No. ABI 1862
CR No. 0683445</t>
  </si>
  <si>
    <t>03-0200-25-H2-1</t>
  </si>
  <si>
    <t>REGION 8</t>
  </si>
  <si>
    <t>EASTERN VISAYAS REGION</t>
  </si>
  <si>
    <t>Dr. Samuel B. Elguira</t>
  </si>
  <si>
    <t>0981-2822489
09238280447</t>
  </si>
  <si>
    <t xml:space="preserve">  Dr. Unity H. Cortez (OIC-Medical Center Chief II)</t>
  </si>
  <si>
    <t xml:space="preserve"> 
072-607-6418
09158554459</t>
  </si>
  <si>
    <t>ehospitalbilling@gmail.com</t>
  </si>
  <si>
    <t>itrmc2010@yahoo.com
nmr.itrmc20@gmail.com</t>
  </si>
  <si>
    <t>01-0003-26-L3-1</t>
  </si>
  <si>
    <t>01-0019-26-H2-2</t>
  </si>
  <si>
    <t>Nueva Ecija</t>
  </si>
  <si>
    <t>Cabanatuan City</t>
  </si>
  <si>
    <t>Mabini Street</t>
  </si>
  <si>
    <t>DR. PAULINO J. GARCIA MEMORIAL RESEARCH &amp; MEDICAL CENTER</t>
  </si>
  <si>
    <t>6871</t>
  </si>
  <si>
    <t>03374</t>
  </si>
  <si>
    <t>Rizal Avenue</t>
  </si>
  <si>
    <t>Sabaro, Poblacion</t>
  </si>
  <si>
    <t>PANGASINAN DOCTORS HOSPITAL</t>
  </si>
  <si>
    <t>WESTERN PANGASINAN DISTRICT HOSPITAL</t>
  </si>
  <si>
    <t>BB+ with addtl function to collect, test &amp; process blood, Molecular Pathology (SARS-CoV2 detection, HPV genotyping, BRAF mutation detection, NRAS mutation detection, KRAS mutation detection, EGFR mutation detection, MTB/ RIF detection, MTB/ XDR detection, HIV viral load, HCV viral load, HBV viral load, HER2/ NUE FISH),Specialized x-ray: CT, Mammography, Bone Densitometer; Dental X-ray; Satellite Pharmacy (ER, OR, Oncology)</t>
  </si>
  <si>
    <t>1, Type II, Plate No. NAS 8210, CR No. 27905867-3</t>
  </si>
  <si>
    <t>Dr. Mita Brown</t>
  </si>
  <si>
    <t>2/ Type II/ CS# F30946; CS# F30933</t>
  </si>
  <si>
    <t>2, Type I, Conduction No.YW 5718, CR No. 241079694 &amp; Plate No. F4A487, CR No. 39410462-0</t>
  </si>
  <si>
    <t>recordspdh@gmail.com</t>
  </si>
  <si>
    <t>01-0023-26-H2-2</t>
  </si>
  <si>
    <t>01806</t>
  </si>
  <si>
    <t>Dr. Ma. Teresa G. Sanchez</t>
  </si>
  <si>
    <t>Martin P. Posadas Avenue</t>
  </si>
  <si>
    <t>075-632-3810</t>
  </si>
  <si>
    <t>VIRGEN MILAGROSA MEDICAL CENTER, INC.</t>
  </si>
  <si>
    <t>wpdhalaminosnew@yahoo.com</t>
  </si>
  <si>
    <t>01-0004-26-H1-1</t>
  </si>
  <si>
    <t>HIV Testing Laboratory, Specialized Diagnostic X-ray Services: Computed Tomography</t>
  </si>
  <si>
    <t>1, Type II, Plate No. TLQ 681
 CR No. 14125460-6</t>
  </si>
  <si>
    <t>38481</t>
  </si>
  <si>
    <t>Dr. Angelo B. Juan</t>
  </si>
  <si>
    <t>075-532-9999</t>
  </si>
  <si>
    <t>vmmc1957@gmail.com</t>
  </si>
  <si>
    <t>Asingan</t>
  </si>
  <si>
    <t>Bypass Road, Dupac</t>
  </si>
  <si>
    <t>01-0018-26-H2-2</t>
  </si>
  <si>
    <t>ASINGAN COMMUNITY HOSPITAL (SANTIAGO ABELLA GINEZ SR. MEM'L HOSPITAL)</t>
  </si>
  <si>
    <t>REGION 9</t>
  </si>
  <si>
    <t>ZAMBOANGA PENINSULA</t>
  </si>
  <si>
    <t>25849</t>
  </si>
  <si>
    <t>Sison</t>
  </si>
  <si>
    <t>Barangay Artacho</t>
  </si>
  <si>
    <t>NORTHERN LUZON ADVENTIST HOSPITAL, INC.</t>
  </si>
  <si>
    <t>Clinical Chemistry: HbA1c
Serology and Immunological Testing: 
Troponin-I</t>
  </si>
  <si>
    <t>Jose Ravinar J. Austria, MD, MBA-H, FPSGS, FPCS</t>
  </si>
  <si>
    <t xml:space="preserve">1, Type 1, Plate No. F4J725, CR No. 44964724-3
</t>
  </si>
  <si>
    <t xml:space="preserve">Clinical Chemistry:
HbA1c, Troponin-I, Magnesium, Ionized Calcium
Immunology/Serology: Anti-HAV (IgG/IgM) Rapid Test Kits, Salmonella Typhi (IgG/IgM) Rapid Test Kits, H. pylori Ab Rapid Test Kits, TSH, FT4, FT3, T3, T4, Prostate-Specific Antigen (PSA) </t>
  </si>
  <si>
    <t>044-463-8286</t>
  </si>
  <si>
    <t>dr.pjgmrmc85cabanatuan@gmail.com</t>
  </si>
  <si>
    <t>1, Type I, Plate No. AKA 9937</t>
  </si>
  <si>
    <t>Dr. Ma. Teresa M. Aquino</t>
  </si>
  <si>
    <t>Dr. Antonio T. Cariño</t>
  </si>
  <si>
    <t>03-0046-25-H3-1</t>
  </si>
  <si>
    <t>asinhosp@yahoo.com</t>
  </si>
  <si>
    <t>075-632-3200 
09614283409
96614283409</t>
  </si>
  <si>
    <t>nlahospital@yahoo.com</t>
  </si>
  <si>
    <t>01-0018-26-H1-L1</t>
  </si>
  <si>
    <t>01-0017-26-H1-2</t>
  </si>
  <si>
    <t xml:space="preserve">
</t>
  </si>
  <si>
    <t xml:space="preserve"> Add-on:
Clinical Chemistry: HbA1c, Troponin-I, Magnesium, Ionized Calcium
Immunology/Serology: Anti- HAV (IgG/IgM) Rapid Test Kits, Salmonella Typhi (IgG/IgM) Rapid Test Kits, H. pylori Ab Rapid Test Kits, TSH, FT4, FT3, T3, T4, Prostate-Sepcific Antigen (PSA)
Issued LTO (04-14-25)</t>
  </si>
  <si>
    <t>03225</t>
  </si>
  <si>
    <t>Tayug</t>
  </si>
  <si>
    <t>Barangobong</t>
  </si>
  <si>
    <t>04320</t>
  </si>
  <si>
    <t>TAYUG FAMILY HOSPITAL</t>
  </si>
  <si>
    <t>Talavera</t>
  </si>
  <si>
    <t>Maestrang Kikay</t>
  </si>
  <si>
    <t>TALAVERA GENERAL HOSPITAL</t>
  </si>
  <si>
    <t>Dialysis Clinic
Specialized Diagnostic X-ray Services: Computed Tomography
Covid 19 (SARS-COV-2) Testing Laboratory (Pangasinan Molecular
Diagnostic Laboratory) Reverse Transcriptase-polymerase reaction</t>
  </si>
  <si>
    <t>Bical Norte</t>
  </si>
  <si>
    <t>1, ,Type II, Plate No. NNI 884
 CR No. 308411983</t>
  </si>
  <si>
    <t>BAYAMBANG DISTRICT HOSPITAL</t>
  </si>
  <si>
    <t>Dr. Joy R. Ubaldo</t>
  </si>
  <si>
    <t>0998-8609177</t>
  </si>
  <si>
    <t>tayugfamilyhospital@yahoo.com</t>
  </si>
  <si>
    <t>01-0021-26-H2-2</t>
  </si>
  <si>
    <t>ASC (General, Otorhinolaryngologic, Pediatric, Reproductive Health, Urologic); rHIVda Confirmatory Laboratory; Special Diagnostic (Dental)</t>
  </si>
  <si>
    <t>Clinical Chemistry, HbA1c, Calcium,
Serology and Immunological Testing Thypidot, Troponin I 
Leptospira Thyroid function Test</t>
  </si>
  <si>
    <t>02191</t>
  </si>
  <si>
    <t>Urdaneta</t>
  </si>
  <si>
    <t>25 High School Drive, San Vicente West, 5th District</t>
  </si>
  <si>
    <t>1,Type I, Conduction No. S4J507, CR No. 449973985</t>
  </si>
  <si>
    <t>DIVINE MERCY FOUNDATION OF URDANETA HOSPITAL</t>
  </si>
  <si>
    <t>2/Type II/ CS# VK4553; CS# A6Z586</t>
  </si>
  <si>
    <t>1, Type I, Plate No. AEN 229, CR No. 08204635</t>
  </si>
  <si>
    <t>Dr. Rhonulfo F. Fama</t>
  </si>
  <si>
    <t>075-592-2958</t>
  </si>
  <si>
    <t>Dr. Anita  C. Tarectecan</t>
  </si>
  <si>
    <t>bayambang_districthospital80@yahoo.com</t>
  </si>
  <si>
    <t>(075) 656- 2103
09175002025</t>
  </si>
  <si>
    <t>dmhospurd@gmail.com</t>
  </si>
  <si>
    <t>Dr. Ma. Isabel S. Gallardo</t>
  </si>
  <si>
    <t>01-0001-26-H1-2</t>
  </si>
  <si>
    <t>01-0014-26-H1-L1</t>
  </si>
  <si>
    <t>044-940-7136</t>
  </si>
  <si>
    <t>teh_talavera@yahoo.com</t>
  </si>
  <si>
    <t>Add-on: Ambulance Service Provider  
Issued License 04-24-25</t>
  </si>
  <si>
    <t>05449</t>
  </si>
  <si>
    <t>07479</t>
  </si>
  <si>
    <t>Mcarthur Highway, San Vicente</t>
  </si>
  <si>
    <t>URDANETA SACRED HEART HOSPITAL, INC.</t>
  </si>
  <si>
    <t>03-0141-25-H2-1</t>
  </si>
  <si>
    <t>Bolinao</t>
  </si>
  <si>
    <t>Sampaloc</t>
  </si>
  <si>
    <t>BOLINAO COMMUNITY HOSPITAL</t>
  </si>
  <si>
    <t>Anatomic Pathology
Blood bank with additional function
HIV Testing Laboratory
Dialysis Clinic
Diagnostic X-ray Services (Level 3)
Specialized Diagnostic X-ray Services: Computed Tomography, Mammography
Dental
Magnetic Resonance Imaging</t>
  </si>
  <si>
    <t>1, Type II, Playe No. NEW 8614
 CR No. 38248597-2</t>
  </si>
  <si>
    <t>Dr. Darius Parinas</t>
  </si>
  <si>
    <t>0999-2207328</t>
  </si>
  <si>
    <t>urdanetasacredhearthospital@gmail.com 
 ushhi1@yahoo.com</t>
  </si>
  <si>
    <t>Pampanga</t>
  </si>
  <si>
    <t>2,Type I, Plate no. YW 2080 &amp; Type I, Conduction No. F4A202, CR No. 39425385</t>
  </si>
  <si>
    <t>01-0015-26-H2-2</t>
  </si>
  <si>
    <t>Dolores</t>
  </si>
  <si>
    <t>35565</t>
  </si>
  <si>
    <t>JOSE B. LINGAD MEMORIAL GENERAL HOSPITAL</t>
  </si>
  <si>
    <t>REGION 10</t>
  </si>
  <si>
    <t>Abulug</t>
  </si>
  <si>
    <t>Dr. Genevieve S. Rivera</t>
  </si>
  <si>
    <t>NORTHERN MINDANAO REGION</t>
  </si>
  <si>
    <t>No. 7 National Highway,</t>
  </si>
  <si>
    <t>APAYAO CAGAYAN MEDICAL CENTER INC.</t>
  </si>
  <si>
    <t>HBB++, rHIVda Confirmatory Lab, Acute Psychiatric Care Facility-10, Covid-19 (SARS-CoV-2) Testing Laboratory: RT-PCR &amp; Cartridge-Based, Specialized X-ray: CT , Mammography, Lithotripsy, Cardiac Catheterization, Digital Subtraction Angiography, Dental, MRI</t>
  </si>
  <si>
    <t>09267271282/
09778509125</t>
  </si>
  <si>
    <t>3/Type II/ CS# F4H407, CS# F3J731, Plate No. SAA 2203</t>
  </si>
  <si>
    <t>bolinao_c_h@ymail.com</t>
  </si>
  <si>
    <t>Pharmacy,Diagnostic X-ray (Level 2) , Specialized Diagnostic X-ray Services: Computed Tamography, Physical Medicine and Rehabilitation Unit</t>
  </si>
  <si>
    <t>01-0036-26-H1-1</t>
  </si>
  <si>
    <t>1/Type 1/CBM 5684</t>
  </si>
  <si>
    <t>Dr. Veronica P. Rivera</t>
  </si>
  <si>
    <t>apayaocagayanmedcenter@gmail.com</t>
  </si>
  <si>
    <t>02-30-26-H1-2</t>
  </si>
  <si>
    <t>Rehabilitation Unit (3rd Quarter- 10/8/2025) Dialysis Station with 10 Stations (10/24/2025-4th Quarter)</t>
  </si>
  <si>
    <t>1791</t>
  </si>
  <si>
    <t>Aparri</t>
  </si>
  <si>
    <t>Diego Silang Street,Punta</t>
  </si>
  <si>
    <t>CHARLES W. SELBY MEMORIAL HOSPITAL, INC.</t>
  </si>
  <si>
    <t>Pharmacy, Diagnostic X-ray (Level 2) ,Special Serology (S. typhi, HAV, HCV, PSA) Special Chemistry ( Calcium, total potein, Alb, HbA1c, Trop I, Pro- Calcitonin) Thyroid Function Test (T3, T4, TSH) Hormone (FSH, LH)</t>
  </si>
  <si>
    <t>Dialysis Clinic (6 stations)
G6PD Confirmatory 
HIV Testing Laboratory
Laboratory for Drinking Water Analysis
Pharmacy (2)
Acute-Chronic Psychiatric Care Facility -16 beds
Specialized Diagnostic X-ray Services (Computed Tomography, mammography, digital subtraction angiography)
Dental X-Ray Services (Panoramic, Cephalometric, Peri-apical )</t>
  </si>
  <si>
    <t>1/Type 1/BAG 5524</t>
  </si>
  <si>
    <t>1. Type 2, Plate No. 010101, 
CR No. 334607943
2.  Type 2, Plate No. NAK 4485, 
CR No. 338808525 
3. Type 2, Plate No. 130109, 
CR No. 35982830-2
4. Type 2, Plate No. 130106, 
CR No. 38609095-0</t>
  </si>
  <si>
    <t>Dr. Monserrat S. Chichioco</t>
  </si>
  <si>
    <t>045-961-3921/963-2279</t>
  </si>
  <si>
    <t>Dr. Joseph Roland O. Mejia</t>
  </si>
  <si>
    <t>075-515-89-16</t>
  </si>
  <si>
    <t>01-0002-26-L3-1</t>
  </si>
  <si>
    <t>00475</t>
  </si>
  <si>
    <t>Dasol</t>
  </si>
  <si>
    <t>Bobonot</t>
  </si>
  <si>
    <t>mcc@jblmgh.com.ph</t>
  </si>
  <si>
    <t>Dr. Vivien Irene E. Pagayatan</t>
  </si>
  <si>
    <t>DASOL COMMUNITY HOSPITAL (COL. DOMINGO A. VALDEZ MEMORIAL HOSPITAL)</t>
  </si>
  <si>
    <t>09175183301 (078) 888-2485</t>
  </si>
  <si>
    <t>CWSMHI@gmail.com</t>
  </si>
  <si>
    <t>02-28-26-H1-2</t>
  </si>
  <si>
    <t>03-0215-25-H3-1</t>
  </si>
  <si>
    <t>Change of Ambulance Unit (3/24/2025)</t>
  </si>
  <si>
    <t>1, Type I, Plate no.  SND 6129, CR No. 39410463-1</t>
  </si>
  <si>
    <t>384</t>
  </si>
  <si>
    <t>Macanaya</t>
  </si>
  <si>
    <t>LYCEUM OF APARRI HOSPITAL</t>
  </si>
  <si>
    <t>Dr. Ginalyn R. Malalis</t>
  </si>
  <si>
    <t>dasolcommunityhospital@gmail.com</t>
  </si>
  <si>
    <t>01-0039-26-H1-1</t>
  </si>
  <si>
    <t>Batangas</t>
  </si>
  <si>
    <t>Batangas City</t>
  </si>
  <si>
    <t>01824</t>
  </si>
  <si>
    <t>Kumintang Ibaba, Batangas City</t>
  </si>
  <si>
    <t>Pharmacy, Diagnostic X-ray (Level 2)</t>
  </si>
  <si>
    <t>BATANGAS MEDICAL CENTER</t>
  </si>
  <si>
    <t>Jimenez St., Poblacion</t>
  </si>
  <si>
    <t>LINGAYEN DISTRICT HOSPITAL (DON MARIANO C. VERSOZA MEMORIAL HOSPITAL)</t>
  </si>
  <si>
    <t>Rev. Fr. Joel M. Reyes</t>
  </si>
  <si>
    <t>(078) 377-3830 09165132472</t>
  </si>
  <si>
    <t>lyceumhospital0407@gmail.com</t>
  </si>
  <si>
    <t>02-38-26-H1-2</t>
  </si>
  <si>
    <t>Blood Bank (with additional function to collect, test &amp; process), rHIVda Confirmatory Laboratory, HIV Testing Laboratory, Pharmacy (2) Specialized Diagnostic X-ray Servicess, Radiation Therapy  Services, Dental X-ray Services</t>
  </si>
  <si>
    <t>Clinical Chemistry: HbA1c, Troponin- I
Immunology/Serology: TSH, FT3, FT4, Leptospira, Typhidot Rapid Tests Kits</t>
  </si>
  <si>
    <t>REGION 11</t>
  </si>
  <si>
    <t>2 Units</t>
  </si>
  <si>
    <t>DAVAO REGION</t>
  </si>
  <si>
    <t>Camalaniugan</t>
  </si>
  <si>
    <t>Bulala</t>
  </si>
  <si>
    <t>GRUPO MEDICO DE DIOS INC.</t>
  </si>
  <si>
    <t>n/a</t>
  </si>
  <si>
    <t>Computed Tomography</t>
  </si>
  <si>
    <t>2, Type I, Plate No. A4H639 &amp; Plate No. NDR 6077</t>
  </si>
  <si>
    <t>1, Type 2, Plate No. BAH 9236</t>
  </si>
  <si>
    <t>Dr. Ramoncito C. Magnaye</t>
  </si>
  <si>
    <t>Dr. Aurelio O. Carino</t>
  </si>
  <si>
    <t>075-542-2295
09223852982</t>
  </si>
  <si>
    <t>Dr. Emy D. Sangalang</t>
  </si>
  <si>
    <t>ldh_pang@yahoo.com</t>
  </si>
  <si>
    <t>(078) 377-2142 09176251597</t>
  </si>
  <si>
    <t>grupomedicodedios.ph@gmail.com</t>
  </si>
  <si>
    <t>01-0031-26-H1-1</t>
  </si>
  <si>
    <t>02-02-26-H2-2</t>
  </si>
  <si>
    <t>Change of Ambulance Unit- 3/12/2026 (1st Quarter)</t>
  </si>
  <si>
    <t xml:space="preserve"> Add-on: 
Clinical Chemistry: Troponin- I, HbA1c
Immunology/Serology: TSH, FT3, FT4, Leptospira, Typhidot Rapid Tests Kits
Issued LTO (03-26-25)
Add on Services: Dialysis Clinic: 13 Stations 
Issued LTO (06-02-25)</t>
  </si>
  <si>
    <t>5597</t>
  </si>
  <si>
    <t>Sta. Ana</t>
  </si>
  <si>
    <t>04280</t>
  </si>
  <si>
    <t>Sta. Cruz</t>
  </si>
  <si>
    <t>FR. GERRY FILIPPETTO MEMORIAL FOUNDATION HOSPITAL,INC.</t>
  </si>
  <si>
    <t>Manaoag</t>
  </si>
  <si>
    <t>cao@batmc.doh.gov.ph</t>
  </si>
  <si>
    <t>Baritao</t>
  </si>
  <si>
    <t>MANAOAG COMMUNITY HOSPITAL</t>
  </si>
  <si>
    <t>Pharmacy, Diagnostic X-ray (Level 1)  ,Clinical Laboratories Add Ons: Special Chemistry ( HbA1c, Troponin I) Special Serology ( TSH, fT3, fT4, S, Typhi, HAV, RAT)</t>
  </si>
  <si>
    <t>1/Type 1/BAA 8844</t>
  </si>
  <si>
    <t>Clinical Chemistry: HbA1c, Troponin- I</t>
  </si>
  <si>
    <t>DOH002829</t>
  </si>
  <si>
    <t>1,Type I, Plate No. 131206, CR No. 35423967-5</t>
  </si>
  <si>
    <t>C/O HFSRB</t>
  </si>
  <si>
    <t>Dr. Sheryl C. Bajet</t>
  </si>
  <si>
    <t>09196716858 09635974964</t>
  </si>
  <si>
    <t>fgfmfh@yahoo.com</t>
  </si>
  <si>
    <t>Dr. Donn P. Doria</t>
  </si>
  <si>
    <t>02-20-26-H1-2</t>
  </si>
  <si>
    <t>075-5230992</t>
  </si>
  <si>
    <t>manaoagcommunityhospital2013@yahoo.com.ph</t>
  </si>
  <si>
    <t>50291</t>
  </si>
  <si>
    <t>01-0011-26-H1-1</t>
  </si>
  <si>
    <t>Cavite</t>
  </si>
  <si>
    <t xml:space="preserve"> Add-on:
Clinical Chemistry: HbA1c, Troponin-I
Issued LTO (06-11-25)</t>
  </si>
  <si>
    <t>Bacoor City</t>
  </si>
  <si>
    <t>Pallu Road, Barangay Pallua Norte, Tuguegarao City, Cagayan</t>
  </si>
  <si>
    <t>ALLIED CARE EXPERTS (ACE) MEDICAL CENTER- TUGUEGARAO, INC</t>
  </si>
  <si>
    <t>022132</t>
  </si>
  <si>
    <t>Reyville Subdivision, Brgy. Habay Ii, Bacoor, Cavite</t>
  </si>
  <si>
    <t>SOUTHERN TAGALOG REGIONAL HOSPITAL (BACOOR DISTRICT HOSPITAL)</t>
  </si>
  <si>
    <t>Casilagan</t>
  </si>
  <si>
    <t>MANGATAREM DISTRICT HOSPITAL</t>
  </si>
  <si>
    <t>Clinical Laboratory for Anatomic Pathology: * Histopathology Specialized Diagnostic X-ray Services: Computed Tamography</t>
  </si>
  <si>
    <t>1, Type 2, Plate No. BAF 2778</t>
  </si>
  <si>
    <t>3,Type I, Plate No. YX 0377, CR No. 241274740, Plate No. 13120, CR No. 35423970-1 &amp; CR No. 4497400-0,  Conduction Sticker S4H111</t>
  </si>
  <si>
    <t>Dr. Danilo A. Domingo</t>
  </si>
  <si>
    <t>angylle.acemtug.qa@gmail.com</t>
  </si>
  <si>
    <t>Diagnostic X-ray Services (Level 2) NICU- 3, ICU-6</t>
  </si>
  <si>
    <t>Dr. Eusebio DG. Sison</t>
  </si>
  <si>
    <t>02-13-26-H2-2</t>
  </si>
  <si>
    <t>mangataremdistricthospital@gmail.com</t>
  </si>
  <si>
    <t>1st Quarter- Change of Medical Director</t>
  </si>
  <si>
    <t>Type 1 F3 Y821</t>
  </si>
  <si>
    <t>01-0022-26-H1-1</t>
  </si>
  <si>
    <t>40025</t>
  </si>
  <si>
    <t>Caritan Centro</t>
  </si>
  <si>
    <t>CAGAYAN UNITED DOCTORS MEDICAL CENTER OF TUGUEGARAO CITY, INC.</t>
  </si>
  <si>
    <t>00243</t>
  </si>
  <si>
    <t>Mapandan</t>
  </si>
  <si>
    <t>24 Fire Tree St. Poblacion</t>
  </si>
  <si>
    <t>MAPANDAN COMMUNITY HOSPITAL</t>
  </si>
  <si>
    <t>Specialized Diagnostic X-ray Services: Computed Tomography , Magnetic Resonance Imaging (MRI) Physical Medicine and Rehabilitation Unit</t>
  </si>
  <si>
    <t>1,Type II, Plate No. BAE 5076,</t>
  </si>
  <si>
    <t>Clinical Chemistry: HbA1c, Troponin- I
Immunology/Serology: H. pylori test, Typhidot, T3, T4, FT3, FT4, TSH</t>
  </si>
  <si>
    <t>REGION 12</t>
  </si>
  <si>
    <t>1,Type I, Conduction Sticker F4-J720, CR No. 283263466</t>
  </si>
  <si>
    <t>SOCCSKSARGEN</t>
  </si>
  <si>
    <t>Dr. Mildred C. Ferrer- Banatao</t>
  </si>
  <si>
    <t>(078) 304-8888</t>
  </si>
  <si>
    <t>cudmci@gmail.com</t>
  </si>
  <si>
    <t>Dr. Pablito G. Banta</t>
  </si>
  <si>
    <t>02-03-26-H2-2</t>
  </si>
  <si>
    <t xml:space="preserve">075-632-0491
</t>
  </si>
  <si>
    <t>Dr. Ruby Ephraim M. Rubiano</t>
  </si>
  <si>
    <t>mapandancommhosp@yahoo.com</t>
  </si>
  <si>
    <t>(046) 418-3644</t>
  </si>
  <si>
    <t>01-0026-26-H1-1</t>
  </si>
  <si>
    <t>Additional Services- Magnetic Resonance Imaging (MRI) (3/27/2025- 1st Quarter)</t>
  </si>
  <si>
    <t>bdh_62@yahoo.com</t>
  </si>
  <si>
    <t>32023</t>
  </si>
  <si>
    <t>Add-on:
Clinical Chemistry: HbA1c, Troponin-I
Immunology/Serology: H. pylori test, Typhidot, T3, T4, FT3, FT4, TSH
Issued LTO (06-19-25)</t>
  </si>
  <si>
    <t>Arellano cor. Burgos St., Brgy. Centro 06</t>
  </si>
  <si>
    <t>02819</t>
  </si>
  <si>
    <t>DIVINE MERCY WELLNESS AND MEDICAL CENTER</t>
  </si>
  <si>
    <t>4A-0079-25-H2-1</t>
  </si>
  <si>
    <t>Pozorrubio</t>
  </si>
  <si>
    <t>Talogtog</t>
  </si>
  <si>
    <t>POZORRUBIO COMMUNITY HOSPITAL</t>
  </si>
  <si>
    <t xml:space="preserve">Clinical Chemistry: Troponin-I, HbA1c
</t>
  </si>
  <si>
    <t xml:space="preserve">Diagnostic X-Ray (Level 3), Ambulatory Surgical Clinic (Lithotripsy), (HIMA Care International Health Services) , Clinical Laboratory for Anatomic Pathology: * Histopathology 
Specialized Diagnostic X-ray Services: Computed Tamography, Mammography 
</t>
  </si>
  <si>
    <t>1, Type 2, Plate No. BAG 4637</t>
  </si>
  <si>
    <t>1,Type I, Plate No. FIR 283</t>
  </si>
  <si>
    <t>Quezon</t>
  </si>
  <si>
    <t>Dr. Manuel David Hipolito</t>
  </si>
  <si>
    <t>Tagkawayan</t>
  </si>
  <si>
    <t>(078) 844-2925</t>
  </si>
  <si>
    <t>Munting Parang, Tagkawayan, Quezon</t>
  </si>
  <si>
    <t>Dr. Agnes Leored D. Rioflorido</t>
  </si>
  <si>
    <t>a.dmwc@yahoo.com</t>
  </si>
  <si>
    <t xml:space="preserve">075-632-3978
</t>
  </si>
  <si>
    <t>MARIA L. ELEAZAR GENERAL HOSPITAL</t>
  </si>
  <si>
    <t>pozmunhospital@gmail.com</t>
  </si>
  <si>
    <t>02-18-26-H2-2</t>
  </si>
  <si>
    <t>01-0002-26-H1-1</t>
  </si>
  <si>
    <t>Change Name</t>
  </si>
  <si>
    <t>1st Quarter (3/13/2025)- Change of Name &amp; Delisting of Hemodialysis Clinic ; 2nd Quarter ( 7/8/2025)-  12 Dialysis Stations, 3rd Quarter Ambulatory Surgical Clinic (Lithotripsy) (HIMA Care International Health Services)- 7/28/2025</t>
  </si>
  <si>
    <t>4403</t>
  </si>
  <si>
    <t>Add-on:
Clinical Chemistry: HbA1c, Troponin-I
Issued LTO (11/28/2025)</t>
  </si>
  <si>
    <t>#141-A Bonifacio Street, Centro 1</t>
  </si>
  <si>
    <t>DR. DOMINGO S. DE LEON GENERAL HOSPITAL</t>
  </si>
  <si>
    <t>Diagnostic X-Ray (Level 2), Physical Medicine and Rehabilation Unit, Clinical Laboratory- Add ons:  Special Chemistry (HBA1C, Ferritin, Triponin I, Calcium, Albumin) Special Serology (CKMB, PSA,CRP) Miscellaneous (S. Typhi IgG/IgM, Mlaria RDT) Thyroid Function Test (fT3, fT4, TSH)</t>
  </si>
  <si>
    <t>1/Type 1/UQI 530</t>
  </si>
  <si>
    <t>Diagnostic X-ray Services (Level 2)
Pharmacy</t>
  </si>
  <si>
    <t>Dr. Romeo DL. Calubaquib</t>
  </si>
  <si>
    <t>(078) 255-1606 (078) 844-0013</t>
  </si>
  <si>
    <t>clinica.deleon50@hotmail.com</t>
  </si>
  <si>
    <t>02-34-26-H1-2</t>
  </si>
  <si>
    <t>1, Type I, Conduction No. F4KH16
CR No: 43183187-5</t>
  </si>
  <si>
    <t>Change of Medical Director (3rd Quarter- 8/12/2025), Physical Medicine and Rehabilitation Unit (10/21/2025- 4th Quarter)</t>
  </si>
  <si>
    <t>8483</t>
  </si>
  <si>
    <t>Enrile Blvd, Caggay</t>
  </si>
  <si>
    <t>DR. RONALD P. GUZMAN MEDICAL CENTER, INC.</t>
  </si>
  <si>
    <t>Reynaldo E. Florido</t>
  </si>
  <si>
    <t>01-0014-26-H2-1</t>
  </si>
  <si>
    <t>9228304873/ 042-9110599/</t>
  </si>
  <si>
    <t>Physical Medicine and Rehabilitation Unit,   Computed Tomography
                                                  Bone Densitometry
                                                  Dental Radiography
                                                       *Panoramic
                                                       *Periapical
 Diagnostic X-ray (Level 3)</t>
  </si>
  <si>
    <t>mlegh.tk11474@gmail.com/ hfdumlegh@gmail.com</t>
  </si>
  <si>
    <t>1, Type II, Plate No.  CBU 1423</t>
  </si>
  <si>
    <t>1917</t>
  </si>
  <si>
    <t>Dr. Charles Ronald Guzman</t>
  </si>
  <si>
    <t>4A-0209-25-H1-1</t>
  </si>
  <si>
    <t>(078) 304-0925 (078) 304-0926 09178419034</t>
  </si>
  <si>
    <t>ao_rpgmc@yahoo.com</t>
  </si>
  <si>
    <t>Bolingit</t>
  </si>
  <si>
    <t>PANGASINAN PROVINICIAL HOSPITAL</t>
  </si>
  <si>
    <t>02-04-26-H2-2</t>
  </si>
  <si>
    <t>REGION 13</t>
  </si>
  <si>
    <t>CARAGA</t>
  </si>
  <si>
    <t>Palawan</t>
  </si>
  <si>
    <t>4697</t>
  </si>
  <si>
    <t>Culion</t>
  </si>
  <si>
    <t>Brgy. Tiza</t>
  </si>
  <si>
    <t>CULION SANITARIUM AND GENERAL HOSPITAL</t>
  </si>
  <si>
    <t>Blood Bank (with additional function to collect, test &amp; process)
HIV Testing Laboratory
RApid HIV Diagnostic Algorithm (rHIVda)
Dialysis Clinic
Specialized Diagnostic X-ray Servicess; Computed Tomography
COVID-19 (SARS-COV-2) Testing Laboratory (Pangasinan Molecular Diagnostic Laboratory) Reverse TRanscriptase-Polymerase Chain Reaction</t>
  </si>
  <si>
    <t>#54 Washington Street, Centro 04</t>
  </si>
  <si>
    <t>1, Type 2, CS No: S3 0382 CR No: 44997499-6</t>
  </si>
  <si>
    <t>HOLY INFANT HOSPITAL TUGUEGARAO INC.</t>
  </si>
  <si>
    <t>Dr. Cipriano Fernandez</t>
  </si>
  <si>
    <t>0933-4637274</t>
  </si>
  <si>
    <t>desu.pph@gmail.com</t>
  </si>
  <si>
    <t>Pharmacy,Diagnostic X-ray (Level 2) , CL-Secondary with additional functions: Special Chem ( TP, Albumin, Phosphorus, Amylase, ALP, Troponin I, I-Ca, T-Ca) Special Serology ( S. Typhi, H. Pylori, RAT, HAV, HCV)</t>
  </si>
  <si>
    <t>Level 3 Gen. Radiography
Radiography/Fluoroscopy (Mobile C-arm)
Computed Tomography
Mammography
Vita Air Oxygen Plant
HIV Laboratory Testing (Screening)
Dialysis Clinic (10 stations)</t>
  </si>
  <si>
    <t>1, Type 1, Plate No. CAQ 8410</t>
  </si>
  <si>
    <t>01-0020-26-H2-1</t>
  </si>
  <si>
    <t xml:space="preserve">1 / Type 2 / Plate No. NEH 4023 CR# 35260766-2
1 / Type 1 /  Plate No. NGT 7848 / CR No. 41745567-3 </t>
  </si>
  <si>
    <t>Dr. Aileen M. Guzman</t>
  </si>
  <si>
    <t>(078) 844-1039 09175184828</t>
  </si>
  <si>
    <t>5829</t>
  </si>
  <si>
    <t>holyinfanthospital@yahoo.com</t>
  </si>
  <si>
    <t>02-13-26-H1-2</t>
  </si>
  <si>
    <t>MARIA REGINA M. CALIMAG, MD, DPCP, DPCCP</t>
  </si>
  <si>
    <t>New Magallanes</t>
  </si>
  <si>
    <t>Change of Medical Director- 6/11/2025</t>
  </si>
  <si>
    <t>EASTERN PANGASINAN DISTRICT HOSPITAL</t>
  </si>
  <si>
    <t>csghadserv@gmail.com</t>
  </si>
  <si>
    <t>#04 Bagay Road, Atulayan Sur</t>
  </si>
  <si>
    <t>Anatomic Pathology (surgical, cytology and frozedn section)Specialized Diagnostic X-ray Services:Computed Tomography</t>
  </si>
  <si>
    <t>RAPHAEL GENERAL HOSPITAL</t>
  </si>
  <si>
    <t>4B-0022-25-H2-1</t>
  </si>
  <si>
    <t xml:space="preserve">
1. Type 2-ALS Conduction Sticker No. f4 J413
CR No: 44964724-0
</t>
  </si>
  <si>
    <t>Clinical Laboratory for Anatomic Pathology: Histopathology, Diagnostic X-Ray ( Level 2) Computed Tamography</t>
  </si>
  <si>
    <t>1, Type II, Plate No. NGL8065</t>
  </si>
  <si>
    <t>0926-3000057
 09663204020</t>
  </si>
  <si>
    <t>Puerto Princesa City</t>
  </si>
  <si>
    <t>Dr. Jospeh Richard P. Guzman</t>
  </si>
  <si>
    <t>epdh_tayug@yahoo.com</t>
  </si>
  <si>
    <t>#220 Malvar St., Brgy. San Miguel</t>
  </si>
  <si>
    <t>raphaelgeneralhospital@gmail.com</t>
  </si>
  <si>
    <t>OSPITAL NG PALAWAN</t>
  </si>
  <si>
    <t>01-0005-26-H2-1</t>
  </si>
  <si>
    <t>02-10-26-H2-2</t>
  </si>
  <si>
    <t>02854</t>
  </si>
  <si>
    <t>Umingan</t>
  </si>
  <si>
    <t>5071</t>
  </si>
  <si>
    <t>Burgos St., Poblacion West</t>
  </si>
  <si>
    <t>UMINGAN COMMUNITY HOSPITAL</t>
  </si>
  <si>
    <t>Luna Extension, Ugac Norte</t>
  </si>
  <si>
    <t>ST. PAUL HOSPITAL OF TUGUEGARAO, INC.</t>
  </si>
  <si>
    <t>Level 3 Gen. Radiography
Computed Tomography
Radio - Fluoroscopy
rHIVda Confirmatory Laboratory (CrCL)</t>
  </si>
  <si>
    <t>1 / Type 2 /  Plate No. A3X 342</t>
  </si>
  <si>
    <t>1, Type I, Conduction No. F4 5408, CR No. 44964719-2</t>
  </si>
  <si>
    <t xml:space="preserve">Clinical Laboratory for Anatomic Pathology: Histopathology, Diagnostic X-ray (Level 3), Cardiac Catheterization, Physical Rehabilitation and Medicine Unit
Computed Tomography, Mammography, Bone Densitometry,Cardiac Catherization, Magnetic Resonance Imaging, Dental Radiography
</t>
  </si>
  <si>
    <t>DR. MELECIO N. DY</t>
  </si>
  <si>
    <t>(048) 434-8339 loc 217</t>
  </si>
  <si>
    <t>1, Type 2, C.R. No. 249195645 Plate No. NCD 6149</t>
  </si>
  <si>
    <t>ospital.palawan@yahoo.com</t>
  </si>
  <si>
    <t>Dr. Sonny Edward V. Urbano</t>
  </si>
  <si>
    <t>075-5776-5033
09338198389</t>
  </si>
  <si>
    <t>4B-0010-25-H2-1</t>
  </si>
  <si>
    <t>Dr. Edilyn T. Quilang</t>
  </si>
  <si>
    <t>uminganch@yahoo.com</t>
  </si>
  <si>
    <t>(078) 844-2578 local 126 &amp; 128 09778397905</t>
  </si>
  <si>
    <t>sph_tuguegarao@yahoo.com.ph</t>
  </si>
  <si>
    <t>01-0033-26-H1-1</t>
  </si>
  <si>
    <t>02-07-25-H2-2</t>
  </si>
  <si>
    <t>Albay</t>
  </si>
  <si>
    <t>00265</t>
  </si>
  <si>
    <t>Daraga</t>
  </si>
  <si>
    <t>Daraga, Albay</t>
  </si>
  <si>
    <t>4862</t>
  </si>
  <si>
    <t>BICOL REGIONAL HOSPITAL AND MEDICAL CENTER</t>
  </si>
  <si>
    <t>Alicia</t>
  </si>
  <si>
    <t>#100 Rizal Street, Magsaysay</t>
  </si>
  <si>
    <t>Dilan Paurido</t>
  </si>
  <si>
    <t>LUCAS-PAGUILA MEDICAL HOSPITAL INCORPORATED</t>
  </si>
  <si>
    <t>URDANETA DISTRICT HOSPITAL (DON AMADEO J. PEREZ SR. MEMORIAL GENERAL HOSPITAL)</t>
  </si>
  <si>
    <t>HIV Testing Laboratory, Ambulatory Surgical Clinic, G6PD Confirmatory, Specialized Diagnostic X-ray Services</t>
  </si>
  <si>
    <t xml:space="preserve">Pharmacy, Clinical Laboratory,  Diagnostic X-ray (Level 1) add-on services: Special Chemistry ( Myoglobin, CK-MB, Pro-BNP, AFP, Albumin, HbA1c, Trop I, Ferritin, Pro-calcitonin, Amylase, Lipase, Total Protein) Special Serology (CRP) Tumor Markers ( PSA) Thyroid Function Test (TSH, FT3, FT4) Hematology (D-Dimer) 
</t>
  </si>
  <si>
    <t>1 Unit</t>
  </si>
  <si>
    <t>HIV Testing Laboratory
Thyroid Function Test
 (TSH, FT4, FT3)</t>
  </si>
  <si>
    <t>1/Type1/TJI 806</t>
  </si>
  <si>
    <t>2, Type I, Plate No. SND 6115
&amp; Plate No. NDQ 7967</t>
  </si>
  <si>
    <t>Dr. Mila L. Paguila</t>
  </si>
  <si>
    <t>D. Eric Raymond Rabonar</t>
  </si>
  <si>
    <t>(078) 325-1619</t>
  </si>
  <si>
    <t xml:space="preserve"> (052) 732-5555</t>
  </si>
  <si>
    <t>lpmch100@gmail.com</t>
  </si>
  <si>
    <t>brhmc.cares@gmail.com</t>
  </si>
  <si>
    <t>02-02-26-H1-2</t>
  </si>
  <si>
    <t>Dr. Arnulfo L. Olivar</t>
  </si>
  <si>
    <t>075-632-6248</t>
  </si>
  <si>
    <t>3560</t>
  </si>
  <si>
    <t>urdanetadistricthospital@gmail.com</t>
  </si>
  <si>
    <t>01-0028-26-H1-1</t>
  </si>
  <si>
    <t>National Highway, San Antonio</t>
  </si>
  <si>
    <t>DOH000270</t>
  </si>
  <si>
    <t>MANANGO HOSPITAL</t>
  </si>
  <si>
    <t>Pharmacy, Diagnostic X-ray (Level 1) , Special Chem ( Albumin, Total Protein, i-Ca, t-Ca,HbA1c, Troponin I, CKMB) Special Serology (HAV, HCV, S.Typhi, Leptospira, H. Pylori) Thyroid Function Test (TSH, T3,T4,fT3,fT4)</t>
  </si>
  <si>
    <t>duplicate NHFR</t>
  </si>
  <si>
    <t>De Vera Medical Center Inc.</t>
  </si>
  <si>
    <t>Dr. Danilo M. Manango</t>
  </si>
  <si>
    <t>(078) 323-2056</t>
  </si>
  <si>
    <t>records.manango@gmail.com</t>
  </si>
  <si>
    <t>02-44-26-H1-2</t>
  </si>
  <si>
    <t>692</t>
  </si>
  <si>
    <t>Pasuquin Street, San Jose</t>
  </si>
  <si>
    <t>PADRON - TIBIO MEDICAL CLINIC</t>
  </si>
  <si>
    <t>Camarines Sur</t>
  </si>
  <si>
    <t>Cabusao</t>
  </si>
  <si>
    <t>San Pedro, Cabusao, Camarines Sur</t>
  </si>
  <si>
    <t>BICOL REGION GENERAL HOSPITAL AND GERIATRIC MEDICAL CENTER</t>
  </si>
  <si>
    <t>Pharmacy, Diagnostic X-ray (Level 1) , Clinical Laboratory Add ons Services: Electrolytes (iCa) Special Chemistry (HbA1c, pro-BNP, PCT, Ferritin, CRP, Amy) Special Serology (PSA, Trop I) Special Hematology (D-dimer) Thyroid Function (fT3, fT4, TSH)</t>
  </si>
  <si>
    <t>Isabela United Doctors Medical Center</t>
  </si>
  <si>
    <t>NIR</t>
  </si>
  <si>
    <t>Dr. Natalie P. Tibio</t>
  </si>
  <si>
    <t>(078) 652-5101 09950545321</t>
  </si>
  <si>
    <t>Drug Testing Lab, Pharmacy, Hospital Blood Bank (with additional functions to collect test &amp; process blood)  Diagnostic X-ray (Levell 2) , Speciialized Diagnostic X-ray Services: Computed Tamography,Mammography ,Bone Densitometry, Magnetic Resonance Imaging,  rHIVda Confirmatory Laboratory, Covid-19 (SARS-CoV 2) Testing Laboratory, Clinical Laboratory for Anatomic PAthology: * Histopathology</t>
  </si>
  <si>
    <t>padrontibio.medc@yahoo.com.ph</t>
  </si>
  <si>
    <t>02-36-26-H1-2</t>
  </si>
  <si>
    <t>Ambulatory Surgical Clinic
Dialysis 15 stations
X-ray Level III
Specialized Diagnostic X-Ray Services: Computed Tomography and Bone Densitomtry, G6PD Confirmatory</t>
  </si>
  <si>
    <t>2/Type 2/NCF 3752 &amp; Type 2, SNN 3186</t>
  </si>
  <si>
    <t>1, Type 2</t>
  </si>
  <si>
    <t>Clinical Laboratory Add ons Services: Electrolytes (iCa) Special Chemistry (HbA1c, pro-BNP, PCT, Ferritin, CRP) Special Serology (PSA, Trop I) Special Hematology (D-dimer) Thyroid Function (fT3, fT4, TSH) - 2nd Quarter (4/29/2025)</t>
  </si>
  <si>
    <t>5526</t>
  </si>
  <si>
    <t>Dr. Ramon C. Echano, Jr</t>
  </si>
  <si>
    <t>bataneshospital@gmail.com</t>
  </si>
  <si>
    <t>brghgmc@gmail.com</t>
  </si>
  <si>
    <t>NEGROS ISLAND REGION</t>
  </si>
  <si>
    <t>Quezon Street, Magsaysay</t>
  </si>
  <si>
    <t>02-14-26-H1-1</t>
  </si>
  <si>
    <t>TOMAS-CACAL MEDICAL CLINIC AND HOSPITAL</t>
  </si>
  <si>
    <t>05-0017-25-H2-1</t>
  </si>
  <si>
    <t>Additional 1 Type 2 Ambulance Unit- 5/11/2026 (2nd Quarte)</t>
  </si>
  <si>
    <t>Pharmacy,Clinical Laboratory Add ons: Special Chenistry ( HbA1c, CKMB) Special Serology ( PSA, Trop I) Special Hematology ( D-dimer) Thyroid Function ( fT4, TSH)</t>
  </si>
  <si>
    <t>1/Type1/XRF 657</t>
  </si>
  <si>
    <t>07486</t>
  </si>
  <si>
    <t>Naga City</t>
  </si>
  <si>
    <t>Dr. Ferdinand O. Cacal</t>
  </si>
  <si>
    <t>Concepcion Pequeña, Naga City</t>
  </si>
  <si>
    <t>(078) 325-1200 09366559643</t>
  </si>
  <si>
    <t>BICOL MEDICAL CENTER</t>
  </si>
  <si>
    <t>tomas_cacal@yahoo.com</t>
  </si>
  <si>
    <t>02-07-26-H1-2</t>
  </si>
  <si>
    <t>National Highway, Toran</t>
  </si>
  <si>
    <t>Clinical Laboratory Add ons- ( 3/7/2025- 1st Quarter)</t>
  </si>
  <si>
    <t>APARRI PROVINCIAL HOSPITAL</t>
  </si>
  <si>
    <t>4793</t>
  </si>
  <si>
    <t>Blood Bank (with additional function to collect, test &amp; process), Ambulatory Surgical Clinic, rHIVda Confirmatory Laboratory, Specialized Diagnostic X-ray Servicess, Dental Service</t>
  </si>
  <si>
    <t>Province</t>
  </si>
  <si>
    <t>1. Type II, Plate No. Nam 2001
2. Type II, Plate No. Nam 2003</t>
  </si>
  <si>
    <t>Cabatuan</t>
  </si>
  <si>
    <t>Centro</t>
  </si>
  <si>
    <t>CABATUAN FAMILY HOSPITAL, INC.</t>
  </si>
  <si>
    <t>Pharmacy, Diagnostic X-ray (Level 1) , Dental Clinic Hormone (AFP, LH, Progestone, FSH) Special Chemistry ( Total Bilirubin, Direct Bilirubin, TP, D-dimer, Alb, Globulin, ALP, C3, HbA1c, Vit. D, Trop I, CK-MB) S;pecial Hematology (ESR) Special Serology (ASO, S. typhi, Leptospira, PSA, CEA, CRP) Thyroid Function Test (TSH, fT3, fT4)</t>
  </si>
  <si>
    <t>Dr. Ronnie Gregorio B. Gigantone III</t>
  </si>
  <si>
    <t>1/Type 1/CS No. P8P 6970</t>
  </si>
  <si>
    <t>(054) 472-6125</t>
  </si>
  <si>
    <t>bmc.cao2022@gmail.com</t>
  </si>
  <si>
    <t>Dr. Diana Rhea V. Garde</t>
  </si>
  <si>
    <t>DOH000278</t>
  </si>
  <si>
    <t>(078) 377-3207  09363718430</t>
  </si>
  <si>
    <t xml:space="preserve">Pharmacy,  Diagnostic X-ray (Level 1) , Clinical Laboratory add-on services:                       
    Special Hematology: (D-dimer)            
    Special Serology: (Pro-Calcitonin, PSA, CRP)                             
    Special Chemistry: (Troponin-I, HbA1c, pro-BNP, Amylase, Lipase,  
   ALP, Total Protein, Albumin, Bilirubin, Magnesium, 
                                     Phosphorus, total calcium, Ionized calcium)                                     
    Thyroid Function: (FT3, FT4, TSH) 
</t>
  </si>
  <si>
    <t>aparriprovincialhospital@gmail.com</t>
  </si>
  <si>
    <t>1/Type1/ NAO 8928</t>
  </si>
  <si>
    <t>02-32-26-H1-1</t>
  </si>
  <si>
    <t>Dr. Sergio A. Uy</t>
  </si>
  <si>
    <t>(078) 652-0783  09175915850</t>
  </si>
  <si>
    <t>cabatuanfhi@gmail.com</t>
  </si>
  <si>
    <t>04346</t>
  </si>
  <si>
    <t>02-16-26-H1-2</t>
  </si>
  <si>
    <t>Ballesteros</t>
  </si>
  <si>
    <t>Cabuluan West</t>
  </si>
  <si>
    <t>Iloilo</t>
  </si>
  <si>
    <t>BALLESTEROS DISTRICT HOSPITAL</t>
  </si>
  <si>
    <t>378</t>
  </si>
  <si>
    <t>Barotac Nuevo</t>
  </si>
  <si>
    <t>Brgy. Tabucan</t>
  </si>
  <si>
    <t>Cauayan City</t>
  </si>
  <si>
    <t>#27 Burgos Street, District 2,</t>
  </si>
  <si>
    <t>DON JOSE S. MONFORT MEDICAL CENTER</t>
  </si>
  <si>
    <t>CAUAYAN MEDICAL SPECIALISTS HOSPITAL</t>
  </si>
  <si>
    <t>Pharmacy, Diagnostic X-ray (Level 1)</t>
  </si>
  <si>
    <t>1,Type 1/ P8M230</t>
  </si>
  <si>
    <t>Pharmacy, Intensive Care Unit-10, Diagnostic X-Ray (Level 2) ( Computed Tamography), Clinical Laboratory for Anatomic Pathology: Histopathology , Magnetic Resonance Imaging (MRI)</t>
  </si>
  <si>
    <t>1/Type 1/VO 8774</t>
  </si>
  <si>
    <t>Dr. Nicasio M. Galano, Jr.</t>
  </si>
  <si>
    <t>ballesterosdistricthospital@gmail.com</t>
  </si>
  <si>
    <t>Dr. Francisco D. Acosta</t>
  </si>
  <si>
    <t>02-40-26-H1-1</t>
  </si>
  <si>
    <t>(078) 652-1401 09560457170</t>
  </si>
  <si>
    <t>1 / I / CS F0 W696</t>
  </si>
  <si>
    <t>cmshinc_1401@yahoo.com</t>
  </si>
  <si>
    <t>02-22-26-H1-2</t>
  </si>
  <si>
    <t>00235</t>
  </si>
  <si>
    <t>Add ons: Magnetic Resonance Imaging- 3/26/2026- 1st Quarter</t>
  </si>
  <si>
    <t>Gen. Batalla</t>
  </si>
  <si>
    <t>NA</t>
  </si>
  <si>
    <t>MATILDE A. OLIVAS DISTRICT HOSPITAL</t>
  </si>
  <si>
    <t>3670</t>
  </si>
  <si>
    <t>Dr. Mariano S. Hembra</t>
  </si>
  <si>
    <t># 71 FNDY Blvd., San Fermin</t>
  </si>
  <si>
    <t>DR. ESTER R. GARCIA MEDICAL CENTER, INC.</t>
  </si>
  <si>
    <t>djsmonfortmceh@yahoo.com.ph</t>
  </si>
  <si>
    <t>Pharmacy ,rHIVda Confirmatory Laboratory, Diagnostic X-ray (Level 1)</t>
  </si>
  <si>
    <t>06-0002-25-H2-1</t>
  </si>
  <si>
    <t>1/Type 1/P8Q 044</t>
  </si>
  <si>
    <t xml:space="preserve">Pharmacy, Diagnostic X-ray (Level 2) ,Computed Tamography, Clinical Laboratory with Add Ons: Electrolytes (iCa, Phos, Mg, Tcal) Special Chemistry (HbA1c, Lipase, LDH, Amy, ABG, CKMB, NT-proBNP, Ferritin, TPAG, T. Bilirubin, Alkaline Phosphate) Special Serology ( Troponin I, Anti-HBS, Typhidot, H. Pylori, HCV, HAV, ESR, Lepstospira, CRP, ASO, RF) Special Hematology (D-Dimer) Tumor Markers (PSA, CEA, AFP, PCT) Thyroid Function Test (TSH, T3, T4, fT3, fT4) 
</t>
  </si>
  <si>
    <t>Dr. Charito C. Cipriano</t>
  </si>
  <si>
    <t>1/Type 1/NGB 9212</t>
  </si>
  <si>
    <t>(078) 377-1041 09668619798</t>
  </si>
  <si>
    <t>matildeaolivas@yahoo.com</t>
  </si>
  <si>
    <t>02-37-26-H1-1</t>
  </si>
  <si>
    <t>Dr. Jose Narciso R. Garcia</t>
  </si>
  <si>
    <t>(078) 652-2694 09550027864</t>
  </si>
  <si>
    <t>Iloilo City</t>
  </si>
  <si>
    <t>ergmchumanresourcehr@gmail.com</t>
  </si>
  <si>
    <t>Q. Abeto Street, Mandurriao, Iloilo City</t>
  </si>
  <si>
    <t>02-01-26-H1-2</t>
  </si>
  <si>
    <t xml:space="preserve">CAR </t>
  </si>
  <si>
    <t>WESTERN VISAYAS MEDICAL CENTER</t>
  </si>
  <si>
    <t>03400</t>
  </si>
  <si>
    <t>CORDILLERA</t>
  </si>
  <si>
    <t>30152</t>
  </si>
  <si>
    <t>National Highway, Brgy. Cabaruan</t>
  </si>
  <si>
    <t>Gonzaga</t>
  </si>
  <si>
    <t>ISABELA UNITED DOCTORS MEDICAL CENTER, INC</t>
  </si>
  <si>
    <t>Barangay Smart</t>
  </si>
  <si>
    <t>ALFONSO PONCE ENRILE MEMORIAL DISTRICT HOSPITAL</t>
  </si>
  <si>
    <t>HIV Testing Laboratory, rHIV Confirmatory Laboratory,, Laboraotry for Drinking Analysis, Specialized Diagnostic X-ray Services</t>
  </si>
  <si>
    <t>Diagnostic X-Ray Services (Level 3) Specialized Diagnostic X-Ray Services: Computed Tomography,Mammography, Magnetic Resonance Imaging , Clinical Laboratory for Anatomic Pathology: Histopathology, Cancer Treatment Unit in a General Hospital</t>
  </si>
  <si>
    <t>Type II, Plate Number F21992, F4K421</t>
  </si>
  <si>
    <t>Pharmacy, Diagnostic X-ray (Level 1) , Clinical Laboratory add ons services: Special Serology (Leptospira, S. typhi)</t>
  </si>
  <si>
    <t>2– Type II, Plate No. UOP 741 Type II, Plate No. BCL 5722</t>
  </si>
  <si>
    <t>1/Type 1/P8 G950</t>
  </si>
  <si>
    <t>Dr. Robert John T. Uy</t>
  </si>
  <si>
    <t>(078) 307-5146</t>
  </si>
  <si>
    <t>iudmc@yahoo.com.ph</t>
  </si>
  <si>
    <t>02-11-26-H2-2</t>
  </si>
  <si>
    <t>Dr. Mildred Evelyn Frances M. Palpallatoc</t>
  </si>
  <si>
    <t>(078) 377-7499 0905201194</t>
  </si>
  <si>
    <t>apemdhospital@gmail.com</t>
  </si>
  <si>
    <t>Incresed in ABC from 142 to 180 - (2/10/2026- 1st Quarter) and Diagnostic X-Ray from Level 2 to Level 3 (2/11/2026- 1st Quarter)</t>
  </si>
  <si>
    <t>02-06-26-H1-1</t>
  </si>
  <si>
    <t>Dr. Joseph Dean Nicolo</t>
  </si>
  <si>
    <t>2506</t>
  </si>
  <si>
    <t>(033) 330-7700</t>
  </si>
  <si>
    <t>Clinical Lab add ons Services- 1st Quarter (3/31/2026)</t>
  </si>
  <si>
    <t>Cordon</t>
  </si>
  <si>
    <t>akuwvmc2017@gmail.com</t>
  </si>
  <si>
    <t>00230</t>
  </si>
  <si>
    <t>JAVONILLO HOSPITAL, INC.</t>
  </si>
  <si>
    <t>DOH005034</t>
  </si>
  <si>
    <t>Lasam</t>
  </si>
  <si>
    <t>Ignacio B. Jurado</t>
  </si>
  <si>
    <t>LASAM DISTRICT HOSPITAL</t>
  </si>
  <si>
    <t>Pharmacy, Diagnostic X-ray (Level 1) ,Clinical Laboratory add ons:  Special Chemistry (HbA1c)  Special Serology (S. typhi)</t>
  </si>
  <si>
    <t>1/Type 1/PAI 176</t>
  </si>
  <si>
    <t>Dr. Emerson A. Javonillo</t>
  </si>
  <si>
    <t>Pharmacy, Diagnostic X-ray (Level 1) , Clinical Laboratory add ons: Special Serology (Leptospira, S. typhi)</t>
  </si>
  <si>
    <t>(078) 682-0112</t>
  </si>
  <si>
    <t>1,Type 1/ P8J865</t>
  </si>
  <si>
    <t>Santa Barbara</t>
  </si>
  <si>
    <t>javonillohospital2015@gmail.com</t>
  </si>
  <si>
    <t>Brgy. Inangayan</t>
  </si>
  <si>
    <t>02-45-26-H1-2</t>
  </si>
  <si>
    <t>WESTERN VISAYAS SANITARIUM AND GENERAL HOSPITAL</t>
  </si>
  <si>
    <t>Dialysis Clinic Station (11/27/2025)</t>
  </si>
  <si>
    <t>Dr. Aireme Q. Duca-OIC</t>
  </si>
  <si>
    <t>33468</t>
  </si>
  <si>
    <t>lasamdistricthospital@yahoo.com</t>
  </si>
  <si>
    <t>Echague</t>
  </si>
  <si>
    <t>02-31-26-H1-1</t>
  </si>
  <si>
    <t>National Highway, Ipil</t>
  </si>
  <si>
    <t>ISABELA SOUTH SPECIALISTS HOSPITAL, INC.</t>
  </si>
  <si>
    <t>Clinical add ons: 1st Quarter (3/17/2026)</t>
  </si>
  <si>
    <t>Leprosy Care Services, HIV Testing Laboratory (Screening), Physical Medicine and Rehabilitation Unit, Diagnostic X-ray Services (Level 2), Specialized X-ray Services (Computed Tomography), Special Chemistry Test, C- Reactive Protein
         HBs Ab (Qualitative), HAV IgM (Qualitative)
         HbA1c, Troponin I, Salmonella Typhi, D-Dimer</t>
  </si>
  <si>
    <t>01979</t>
  </si>
  <si>
    <t>Piat</t>
  </si>
  <si>
    <t>Maguilling</t>
  </si>
  <si>
    <t>1 / I / NFY 4178</t>
  </si>
  <si>
    <t>NUESTRA SEÑORA DE PIAT DISTRICT HOSPITAL</t>
  </si>
  <si>
    <t>Pharmacy, Diagnostic X-Ray (Level 3), Computed Tamography</t>
  </si>
  <si>
    <t>1/Type 1/BCL 7035</t>
  </si>
  <si>
    <t>Dr. Marimae B. Lopez</t>
  </si>
  <si>
    <t>Pharmacy,Mobile Clinical Laboratory, Clinical Laboratory add ons: Special Serology (Leptospira, S. typhi)</t>
  </si>
  <si>
    <t>(078) 323-1398 09675034899</t>
  </si>
  <si>
    <t>isshi2015@gmail.com</t>
  </si>
  <si>
    <t>02-14-26-H1-2</t>
  </si>
  <si>
    <t>1/Type 1/P9 J669</t>
  </si>
  <si>
    <t>Dr. Judy Ann T. Dumayas</t>
  </si>
  <si>
    <t>033-523-9515</t>
  </si>
  <si>
    <t>wvsanitarium1927@gmail.com</t>
  </si>
  <si>
    <t>Dr. Teodoro James B. Mallabo</t>
  </si>
  <si>
    <t>078-846-0254</t>
  </si>
  <si>
    <t>nspdh01@yahoo.com</t>
  </si>
  <si>
    <t>06-0035-25-H1-1</t>
  </si>
  <si>
    <t>02-41-26-H1-1</t>
  </si>
  <si>
    <t>Add ons services (5/25/2026-3rd Quarter)</t>
  </si>
  <si>
    <t>05179</t>
  </si>
  <si>
    <t>318</t>
  </si>
  <si>
    <t>Tuao</t>
  </si>
  <si>
    <t>Purok 4, Bulagao</t>
  </si>
  <si>
    <t>Ilagan City</t>
  </si>
  <si>
    <t>TUAO DISTRICT HOSPITAL</t>
  </si>
  <si>
    <t>Burgos Street, Centro</t>
  </si>
  <si>
    <t>DR. VICTOR S. VILLAROMAN MEMORIAL HOSPITAL</t>
  </si>
  <si>
    <t>Bohol</t>
  </si>
  <si>
    <t>Tagbilaran City</t>
  </si>
  <si>
    <t>Miguel Parras St., Tagbilaran City, Bohol</t>
  </si>
  <si>
    <t>1/Type1/SBA 1760</t>
  </si>
  <si>
    <t>GOVERNOR CELESTINO GALLARES MEMORIAL MEDICAL CENTER</t>
  </si>
  <si>
    <t>1/Type 1/ZRD 673</t>
  </si>
  <si>
    <t>Dr. Rowena Martina C. Sion</t>
  </si>
  <si>
    <t>Dr. Ma. Vida Villaroman-Singson</t>
  </si>
  <si>
    <t>tdh_pgoc@yahoo.com</t>
  </si>
  <si>
    <t>(078) 624- 1474 09171008061</t>
  </si>
  <si>
    <t>BARMM</t>
  </si>
  <si>
    <t>02-24-26-H1-1</t>
  </si>
  <si>
    <t>MOH - BARMM</t>
  </si>
  <si>
    <t>dvsvmh@gmail.com</t>
  </si>
  <si>
    <t>02-18-26-H1-2</t>
  </si>
  <si>
    <t>Change of Ambulance Unit From K1R522 TO SBA 1760 (10/28/2025-4t Quarter)</t>
  </si>
  <si>
    <t>5453</t>
  </si>
  <si>
    <t>Blood Bank  with Additional Functions, G6PD Confirmatory Laboratory, rHIVda Confirmatory Laboratory, Tertiary Clinical Laboratory with Histopathology, Pharmacy, Specialized Diagnostic X-ray Services, Cancer Treatment Unit in a General Hospital</t>
  </si>
  <si>
    <t>National Highway, Baligatan</t>
  </si>
  <si>
    <t>ISABELA DOCTORS GENERAL HOSPITAL, INC.</t>
  </si>
  <si>
    <t>1 Type 2</t>
  </si>
  <si>
    <t>Pharmacy, Diagnostic X-ray (Level 2),Intensive Care Unit (ICU)-6 Beds, Neonatal Intensive Care Unit (NICU)- 1 Incubator,Specialized Diagnostic X-ray Services: Computed Tamography, Mammography , Dental Clinic</t>
  </si>
  <si>
    <t>1/Type 1/XSN 149 &amp; BAH 6620</t>
  </si>
  <si>
    <t>Dr. Carlo Rey S. Simon</t>
  </si>
  <si>
    <t>Mutya Kismet T. Macuno, MD</t>
  </si>
  <si>
    <t>(078) 624-0255 09562210825</t>
  </si>
  <si>
    <t>Specialty Center – Infectious Disease and Tropital Medicine (BC), Clinical Laboratory for Molecular Pathology,
G6PD Confirmatory                                        Specialized Diagnostic X-ray Services:        
rHIVda Confirmatory Laboratory                                Computed Tomography        
Laboratory for Drinking Water Analysis                        Mammography
Blood Bank (with addt’l funtions to collect,                        Dental
test &amp; process blood)                                                SPECT/CT
Dental Laboratory (Removable Prostheses Services)      Magnetic Resonance Imaging
-        Complete Dentures                                Radiation Therapy Services:
-        Removable Partial Dentures w/out                Conventional Radiation Therapy
Metal framework                                3D Conformal Radiation Therapy
        Conventional acrylic dentures                   Intensity Modulated Radiation Therapy
Covid-19 Testing Laboratory</t>
  </si>
  <si>
    <t>idghinc@gmail.com</t>
  </si>
  <si>
    <t>(038) 411-3185</t>
  </si>
  <si>
    <t>02-15-26-H1-2</t>
  </si>
  <si>
    <t>6, Type II, Plate No. A6P528,Type II, C.S No. P61624, Type II, C.S No. F4K526,Type I, C.S No. A6Z515,Type I, C.S No. F21949, Type 1, Plate No. SND 3092,</t>
  </si>
  <si>
    <t>gcgmh_bohol@yahoo.com.ph; gallares.bohol@gmail.com; gcgmhcao@gmail.com</t>
  </si>
  <si>
    <t>Add ons Service: Dental Clinic- (02/09/2026- 1st Quarter)</t>
  </si>
  <si>
    <t>DOH005389</t>
  </si>
  <si>
    <t>36940</t>
  </si>
  <si>
    <t>('(078) 302-0000</t>
  </si>
  <si>
    <t>ommc@cvmc.doh.gov.ph</t>
  </si>
  <si>
    <t>1AH26, San Manuel</t>
  </si>
  <si>
    <t>02-01-26-H3-1</t>
  </si>
  <si>
    <t>PROVIDERS MULTIPURPOSE COOPERATIVE MEDICAL CENTER</t>
  </si>
  <si>
    <t>Increase in ABC from 649 to 700- 3/16/2026- 1st Quarter; Increase in Dialysis Station from 7 to 9- 3/25/2026 (1st Quarter)</t>
  </si>
  <si>
    <t>00707</t>
  </si>
  <si>
    <t>Pharmacy,Pharmacy,Dental Clinic,Intensive Care Unit- 4 Units, Dental Clinic, Diagnostic X-ray (Level 2), Specialized Diagnostic X-ray Services: Computed Tamography, Dental CBCT</t>
  </si>
  <si>
    <t>Luna Street, Centro 6</t>
  </si>
  <si>
    <t>Ubay</t>
  </si>
  <si>
    <t>TUGUEGARAO CITY PEOPLE'S GENERAL HOSPITAL</t>
  </si>
  <si>
    <t>1/Type 1/NBL 6182</t>
  </si>
  <si>
    <t>Bood, Ubay, Bohol</t>
  </si>
  <si>
    <t>Dr. Mary Grace P. Bumanglag</t>
  </si>
  <si>
    <t>DON EMILIO DEL VALLE MEMORIAL HOSPITAL</t>
  </si>
  <si>
    <t>09619054140 (078) 420-3588</t>
  </si>
  <si>
    <t>pmpcmedicalcenter@gmail.com</t>
  </si>
  <si>
    <t>1/Type 2/SAA 4744</t>
  </si>
  <si>
    <t>02-10-26-H1-2</t>
  </si>
  <si>
    <t>Upgraded</t>
  </si>
  <si>
    <t>Dr. Marcos Mallillin</t>
  </si>
  <si>
    <t>Upgrade from Secondary to Tertiary Clinical Lab (3/24/2025- 1st Quarter) Additional Service: ICU-4 Beds ( 1st Quarter-3/28/2025) Dental Clinic- Change of Location ( 2nd Quarter- 4/22/2025) Add On sefvices- Dental CBCT (12/4/2025)</t>
  </si>
  <si>
    <t>(078) 844-1337 (078) 844-5995  09068493659</t>
  </si>
  <si>
    <t>BS-Blood Collecting Unit, Pharmacy, rHIVDA, Specialized Diagnostic X-ray Services, CT-Scan, Mammogram, MRI</t>
  </si>
  <si>
    <t>6720</t>
  </si>
  <si>
    <t>tuguegaraocityPGH@yahoo.com</t>
  </si>
  <si>
    <t>Blood Collection Unit/Blood Services</t>
  </si>
  <si>
    <t>02-03-26-H1-1</t>
  </si>
  <si>
    <t>Roxas</t>
  </si>
  <si>
    <t>Doña Syquia Street, Bantug</t>
  </si>
  <si>
    <t>A.M. YUMENA GENERAL HOSPITAL INC.</t>
  </si>
  <si>
    <t>1 Type II - F3J730, SND3950</t>
  </si>
  <si>
    <t>06551</t>
  </si>
  <si>
    <t>Cabagan</t>
  </si>
  <si>
    <t>Ngarag</t>
  </si>
  <si>
    <t>MILAGROS ALBANO DISTRICT HOSPITAL</t>
  </si>
  <si>
    <t>Pharmacy, Diagnostic X-ray (Level 1) , Clinical Laboratory Add Ons: Special Chemistry ( Phosphorus, Mg, Albumin,  HbA1c, CRP, Trop I, iCa, Ferritin, Pro-Calcitonin) Special Serology (HCV, Typhoid) Tumor Markers (PSA) Thyroid Function Test (TSH, fT3, fT4) Hematology (D-Dimer)</t>
  </si>
  <si>
    <t>1/Type1 1/NBX 6596</t>
  </si>
  <si>
    <t>Dr. Antonio M. Yumena</t>
  </si>
  <si>
    <t>(078) 642-0171 09949060878</t>
  </si>
  <si>
    <t>Nelson A. Elle, MD, DTMPH, MScIH</t>
  </si>
  <si>
    <t>a.m.yumenageneralhospitalinc@gmail.com</t>
  </si>
  <si>
    <t>(038) 518-8301</t>
  </si>
  <si>
    <t>02-08-26-H1-2</t>
  </si>
  <si>
    <t>devmh.ubay@devmh.doh.gov.ph</t>
  </si>
  <si>
    <t>2/Type 1/SBA 1064 &amp; 1070</t>
  </si>
  <si>
    <t>2751</t>
  </si>
  <si>
    <t>07-006-25-200-H2-1</t>
  </si>
  <si>
    <t>Dr. Edencita Paguirigan</t>
  </si>
  <si>
    <t>(078) 325-2069 09626361023</t>
  </si>
  <si>
    <t>madh_cabagan@yahoo.com</t>
  </si>
  <si>
    <t>Rang-ayan</t>
  </si>
  <si>
    <t>02-17-26-H1-1</t>
  </si>
  <si>
    <t>DAYOS-PASCUAL MEDICAL CLINIC</t>
  </si>
  <si>
    <t>06513</t>
  </si>
  <si>
    <t>Cebu</t>
  </si>
  <si>
    <t>Cebu City</t>
  </si>
  <si>
    <t>Pharmacy,Diagnostic X-ray (Level 1),  Special Chemistry (Troponin-I, NT- pro BNP, HbA1c, Ica, CK-MB, microalbumin) Special Serology (ASO, PSA, Procalcitonin, S. typhi, Covid 19 test, B-HCG, HCV, Anti- Hbs, AFP, CRP, CEA, influenza test kit) Special Hematology (D-dimer, Ferritin)Thyroid Function Test (TSH, fT3, fT4, T3, T4)</t>
  </si>
  <si>
    <t>Rosemarie Reyes Street, District 1</t>
  </si>
  <si>
    <t>Basak, San Nicolas, Cebu City, Cebu</t>
  </si>
  <si>
    <t>CAUAYAN DISTRICT HOSPITAL</t>
  </si>
  <si>
    <t>Total No. of Hospitals:</t>
  </si>
  <si>
    <t>SAINT ANTHONY MOTHER AND CHILD HOSPITAL</t>
  </si>
  <si>
    <t>Dumlao Hospital</t>
  </si>
  <si>
    <t>Dr. Charito D. Dayos</t>
  </si>
  <si>
    <t>dpmcroxas@gmail.com jocelyndayos@gmail.com</t>
  </si>
  <si>
    <t>02-39-26-H1-2</t>
  </si>
  <si>
    <t>(2nd Quarter- 4/14/2025) Clinical Laboratory Add ons services: Special Chemistry (Troponin-I, NT- pro BNP, HbA1c, Ica, CK-MB, microalbumin) Special Serology (FT3, T3, T4,TSH,FT4, ASO, PSA, Procalcitonin, S. typhi, Covid 19 test, B-HCG, HCV, Anti- Hbs, AFP, CRP, CEA, influenza test kit) Special Hematology (D-dimer, Ferritin)</t>
  </si>
  <si>
    <t>313</t>
  </si>
  <si>
    <t>Blood Station, Pharmacy, Specialized Diagnostic X-ray Services, Dental Clinic</t>
  </si>
  <si>
    <t>Pharmacy, Diagnostic X-ray (Level 2) Dental Clinic    Clinical Laboratory Add ons Services:  Special Chem ( iCa, HbA1C, Ferritin, PCT) Special Serology (HAV, HCV, S. Typhi, TSH, CRP, CKMB) Special Hematology (D-Dimer) Thyroid Function Test (TSH, fT3, fT4) Tumor Markers (PSA)</t>
  </si>
  <si>
    <t>#28 S. Osmeña Street, Vira</t>
  </si>
  <si>
    <t>DUMLAO HOSPITAL</t>
  </si>
  <si>
    <t>1/Type 1/SBA 3692</t>
  </si>
  <si>
    <t>1 Type I</t>
  </si>
  <si>
    <t>Dr. Herrison O. Alejandro</t>
  </si>
  <si>
    <t>Pharmacy,Computed Tamography, Clinical Laboratory Add ons: Special Serology (Trop I, Anti-HBS) Special Chemistry (HbA1c, Ferritin, PCT, NT-proBNP, CRP) Special Hematology (D-dimer) Thyroid Function Test (TSH, t3,t4,fT3, fT4) Tumor Markers (PSA)</t>
  </si>
  <si>
    <t>(078) 260-1120 09171789163</t>
  </si>
  <si>
    <t>1/Type 1/XHX 952</t>
  </si>
  <si>
    <t>cdh_isabela@yahoo.com</t>
  </si>
  <si>
    <t>Dr. Noemi B. Dumlao</t>
  </si>
  <si>
    <t>02-09-26-H1-1</t>
  </si>
  <si>
    <t>(078) 642-0003 09176341564</t>
  </si>
  <si>
    <t>hospital_dumlao@yahoo.com</t>
  </si>
  <si>
    <t>02-27-26-H1-2</t>
  </si>
  <si>
    <t>02996</t>
  </si>
  <si>
    <t>Increase in Dialysis Station from 6 to 8 Stations (2nd Quarter- 5/5/2026)</t>
  </si>
  <si>
    <t>Ipil</t>
  </si>
  <si>
    <t>ECHAGUE DISTRICT HOSPITAL</t>
  </si>
  <si>
    <t>Pharmacy, Dental Clinic, Diagnostic X-ray (Level 1), Clinical Laboratory Add ons: Special Chemistry (HbA1c, Magnesium, Phosphorus, Trop I, CK-MB) Special Serology (Leptospira, CRP, HAV,HCV, S. typhi) Thyroid FunctionTest (fT3, fT4, TSH) Tumor Markers (PSA)</t>
  </si>
  <si>
    <t>1/Type1/ MT 519</t>
  </si>
  <si>
    <t>National Highway, Bantug</t>
  </si>
  <si>
    <t>HEALTH CITY MEDICAL CENTER OF ISABELA, INC</t>
  </si>
  <si>
    <t>Dr. Rhoda Jacquelyn P. Gaffud</t>
  </si>
  <si>
    <t>(078) 305-9088</t>
  </si>
  <si>
    <t>echague_districthospital@yahoo.com</t>
  </si>
  <si>
    <t>02-35-26-H1-1</t>
  </si>
  <si>
    <t>Clincal Laboratory add ons- 2/9/2026 (1st Quarter)</t>
  </si>
  <si>
    <t>Juanito T. Tiu, MD, DPPS, MBA-HA</t>
  </si>
  <si>
    <t>40076</t>
  </si>
  <si>
    <t>Barangay Lullutan</t>
  </si>
  <si>
    <t>CITY OF ILAGAN MEDICAL CENTER</t>
  </si>
  <si>
    <t>(032) 261-9989 loc. 5106</t>
  </si>
  <si>
    <t>Pharmacy , rHIVda Confirmatory Laboratory, Mobile Clinical Laboratory, Computed Tamography</t>
  </si>
  <si>
    <t>Computed Tomography, Clinical Laboratory for Anatomic Pathology- Hispathology</t>
  </si>
  <si>
    <t>1, Type 1 Plate No. F4E 260</t>
  </si>
  <si>
    <t>1, Type 2, Plate No. BAG 5432</t>
  </si>
  <si>
    <r>
      <rPr>
        <color rgb="FF000000"/>
        <sz val="11.0"/>
        <u/>
      </rPr>
      <t>mcc.sec@samch.doh.gov.ph</t>
    </r>
  </si>
  <si>
    <t>Dr. Herbee M. Barrios</t>
  </si>
  <si>
    <t>Dr. Nikki R. Rillon</t>
  </si>
  <si>
    <t>09569365277 09999932534</t>
  </si>
  <si>
    <t>cimc_admin@cityofilagan.gov.ph</t>
  </si>
  <si>
    <t>hcmciinc2022@gmail.com</t>
  </si>
  <si>
    <t>02-17-26-H2-1</t>
  </si>
  <si>
    <t>02-01-26-H2-2</t>
  </si>
  <si>
    <t>Decrease in ABC of Dialysis Station (4th Quarter- 11/5/2025)</t>
  </si>
  <si>
    <t>07487</t>
  </si>
  <si>
    <t>Authorized Dialysis tation- 8 Stations- 2nd Quarter (4/29/2026)</t>
  </si>
  <si>
    <t>Maharlika Road, Calamagui 2nd</t>
  </si>
  <si>
    <t>3566</t>
  </si>
  <si>
    <t>GOVERNOR FAUSTINO N. DY SR. MEMORIAL HOSPITAL</t>
  </si>
  <si>
    <t>#220 San Bernabe Street, Vira</t>
  </si>
  <si>
    <t>SOLLER GENERAL HOSPITAL, INC.</t>
  </si>
  <si>
    <t>07-088-25-100-H2-1</t>
  </si>
  <si>
    <t>Pharmacy, Lab. for Drinking Water Analysis Dental Clinic, Mobile Clinical Laboratory,Blood bank (with addt'l function to collect, test, process blood), Diagnostic X-ray (level2), Specialized Diagnostic X-ray Services: Computed tamography Special Chemistry (HbA1c) Special Hematology ( ESR) Special Serology (Covid RAT, Trop I, CK-MB, CRP, HAV, HCV, S. typhi, ASO) Tumor Markers (AFP, PSA) Hyroid Function Test (TSH, fT3, fT4, T3, T4)</t>
  </si>
  <si>
    <t>1/Type1/SBA 6604</t>
  </si>
  <si>
    <t xml:space="preserve">Pharmacy, Diagnostic X-ray (Level 1) , Clinical Laboratory add-on services:  
Special Hematology: (D-dimer, Ferritin)              
Special Serology:                                                 
(Anti-HBS, CEA, B-HCG, PSA,AFP, HCV, H.pylori Ag, COVID-19 IgG/IgM)
Special Chemistry:
 Pro-Calcitonin, CKMB, NT-proBNP, Troponin, Albumin, Phosphorus, Amylase, Lipase,
 Iron, ALP, T-Bili, LDH, Mg, HbA1c, CRP, HSCRP+CRP, Total Protein, GGT, CK)
Thyroid Function: (T3, T4, fT3, fT4, TSH)
</t>
  </si>
  <si>
    <t>Dr. Arlene M. Lazaro</t>
  </si>
  <si>
    <t>(078) 624-1688</t>
  </si>
  <si>
    <t>1/Type 1/ WOY 347</t>
  </si>
  <si>
    <t>gfndsmh@yahoo.com.ph</t>
  </si>
  <si>
    <t>02-26-26-H1-1</t>
  </si>
  <si>
    <t>Dr. Eden U. Soller</t>
  </si>
  <si>
    <t>Clinical Laboratories Add ons: Special Chemistry (HbA1c) Special Hematology ( ESR) Special Serology (Covid RAT, Trop I, CK-MB, CRP, HAV, HCV, S. typhi, ASO) Tumor Markers (AFP, PSA) Hyroid Function Teast (TSH, fT3, fT4, T3, T4) - ( 3rd Quarter-9/18/2025)</t>
  </si>
  <si>
    <t>(078) 642-0129</t>
  </si>
  <si>
    <t>soller_hospital@yahoo.com</t>
  </si>
  <si>
    <t>02676</t>
  </si>
  <si>
    <t>02-04-26-H1-2</t>
  </si>
  <si>
    <t>San Antonio</t>
  </si>
  <si>
    <t>MANUEL A. ROXAS DISTRICT HOSPITAL</t>
  </si>
  <si>
    <t>33471</t>
  </si>
  <si>
    <t>San Mateo</t>
  </si>
  <si>
    <t>Quirino Street, Barangay 1</t>
  </si>
  <si>
    <t>SAN MATEO MULTICARE HOSPITAL INC.</t>
  </si>
  <si>
    <t>Pharmacy, Diagnostic X-ray (Level 1) , Clinical Laboratory Add Ons: Special Chemistry (Mg, Albumin, I-Ca, HbA1c, CRP, Ctnl/CKMB/Myo) Special Serology (TSH, fT3, fT4, T3,T4, PSA, B-HCG, RAT, Salmonella, AFP)</t>
  </si>
  <si>
    <t>1/Type1/MS 7093</t>
  </si>
  <si>
    <t>1/Type 1/BAA 4820</t>
  </si>
  <si>
    <t>Dr. Imelda Guillermo</t>
  </si>
  <si>
    <t>(078) 642-0152 09995043314</t>
  </si>
  <si>
    <t>mardh_rxs@yahoo.com.ph</t>
  </si>
  <si>
    <t>Dr. Josephine L. Agcaoili</t>
  </si>
  <si>
    <t>(078) 323-2543 09067834298</t>
  </si>
  <si>
    <t>02-19-26-H1-1</t>
  </si>
  <si>
    <t>sanmateomulticare@gmail.com</t>
  </si>
  <si>
    <t>02-29-26-H1-2</t>
  </si>
  <si>
    <t>GENERAL</t>
  </si>
  <si>
    <t>05461</t>
  </si>
  <si>
    <t>1688</t>
  </si>
  <si>
    <t>San Mariano</t>
  </si>
  <si>
    <t>Sta. Filomena</t>
  </si>
  <si>
    <t>B. Rodriguez St., Sambag II, Cebu City, Cebu</t>
  </si>
  <si>
    <t>SAN MARIANO COMMUNITY HOSPITAL</t>
  </si>
  <si>
    <t>Purok 5, National Highway, Mabini</t>
  </si>
  <si>
    <t>ADVENTIST HOSPITAL - SANTIAGO CITY, INC</t>
  </si>
  <si>
    <t>SPECIALTY</t>
  </si>
  <si>
    <t>Governor Faustino N. Dy Sr. Memorial Hospital</t>
  </si>
  <si>
    <t>VICENTE SOTTO MEMORIAL MEDICAL CENTER</t>
  </si>
  <si>
    <t>Cancer Treatment Unit in a General Hospital Systematic Therapy, Clinical Laboratory for Anatomic Pathology: * Histopathology, Diagnostic Xray (Level 2), Specialized Diagnostic X-ray- Computed Tomography</t>
  </si>
  <si>
    <t>Dr. Jesus C. Salvador</t>
  </si>
  <si>
    <t>1,Type 2, Plate No. BAA9226</t>
  </si>
  <si>
    <t>sanmariano_communityhospital@yahoo.com</t>
  </si>
  <si>
    <t>l1</t>
  </si>
  <si>
    <t>02-12-26-H1-1</t>
  </si>
  <si>
    <t>Dr. Rheinald Joel M. Biscaro</t>
  </si>
  <si>
    <t>(078) 324-7259 09209713902</t>
  </si>
  <si>
    <t>adminsec@adventisthealth-stg.com</t>
  </si>
  <si>
    <t>02-16-26-H2-2</t>
  </si>
  <si>
    <t>Bllood Bank (09/24/2025- 3rd Quarter) Increase in ABC- From 50 to 68 ( 11/ 14/2025- 4th Quarter)</t>
  </si>
  <si>
    <t>Judge Taguinod St., Centro East</t>
  </si>
  <si>
    <t>rHIVda Confirmatory Laboratory, Covid-19 (SARS COV-2) Testing Laboratory, Speacialized Diagnostic X-ray Services: Computed Tomography, Dental, Bone Densitometry</t>
  </si>
  <si>
    <t>CALLANG GENERAL HOSPITAL AND MEDICAL CENTER, INC.</t>
  </si>
  <si>
    <t>Blood Bank with Additional Functions, Tertiary Clinical Laboratory with Histopatholog, rHIVda Confirmatory Laboratory, Laboratory for Drinking Water Analysis, Pharmacy, Specialized Diagnostic X-ray Services</t>
  </si>
  <si>
    <t>l2</t>
  </si>
  <si>
    <t>3, Type II, Plate No. BAA 6897 ; Type II, Plate No. SND 5652, Plate No. P5Q 285</t>
  </si>
  <si>
    <t>Physical Medicine and Rehabilitation Unit Computed Tomography, Diagnostic X-Ray (Level 3)</t>
  </si>
  <si>
    <t>Dr. Butch Loreto O. Garcia , III</t>
  </si>
  <si>
    <t>1,Type 2, Plate No. BCL 7099</t>
  </si>
  <si>
    <t>mcc@simc.doh.gov.ph</t>
  </si>
  <si>
    <t>02-03-26-H3-1</t>
  </si>
  <si>
    <t>Dr. Belinda A. Ramos</t>
  </si>
  <si>
    <t>(078) 305- 0734</t>
  </si>
  <si>
    <t>callang_hospital@yahoo.com</t>
  </si>
  <si>
    <t>Add ons: Bone Densitometry ( 1st Quarter- 3/25/2025)</t>
  </si>
  <si>
    <t>03667</t>
  </si>
  <si>
    <t>02-07-26-H2-2</t>
  </si>
  <si>
    <t>Bambang</t>
  </si>
  <si>
    <t>Almaguer North</t>
  </si>
  <si>
    <t>Changed Ownership/Mgt</t>
  </si>
  <si>
    <t>NUEVA VIZCAYA PROVINCIAL HOSPITAL</t>
  </si>
  <si>
    <t>l3</t>
  </si>
  <si>
    <t>Change of Medical Director (3rd Quarter)</t>
  </si>
  <si>
    <t>Four Lanes, Purok 4A, Calaocan</t>
  </si>
  <si>
    <t>DE VERA MEDICAL CENTER, INC.</t>
  </si>
  <si>
    <t>Hospital Blood Bank with additional functions, rHIVda Confirmatory Laboratory, Dental Clinic, Computed Tamography Clinical Laboratory Add ons:  Special Chemistry (Total Bilirubin, Direct Bilirubin, Total Protein, Albumin, ALP, Trop I, CK-MB, HbA1c, CRP) Special Serology (Leptospira, S. Typhi, H.pylori, chlamydia, Anti-HCV,Rubella IgG) Hepatitis Profile (Anti-HBS, Anti-HBEAg, HbsAG (Quanti), Anti- HBc Thyroid Function Test (fT3, fT4, TSH) Tumor Markers (PSA)</t>
  </si>
  <si>
    <t>2/Type1/NEO 7340 &amp; SNA 9491</t>
  </si>
  <si>
    <t>Dr. Arlene I. Jara</t>
  </si>
  <si>
    <t>(078) 392-2959 09228680843</t>
  </si>
  <si>
    <t>plgunuevavizcaya.nvph@gmail.com</t>
  </si>
  <si>
    <t>02-11-26-H1-1</t>
  </si>
  <si>
    <t>Gerardo M. Aquino, Jr., MD, MHA, CEO VI</t>
  </si>
  <si>
    <t>Blood Bank (with additional function to collect, test and process blood), Cancer Treatment Unit in a General Hospital, Physical Medicine and Rehabilitation Unit, Clinical Laboratory for Anatomic Pathology: *Histopathology, Ambulatory Surgical Clinic: - Colorectal Surgery - General Surgery - Opthalmologic Surgery - Orthopedic Surgery - Otorhinolaryngologic Surgery - Pediatric Surgery - Reproductive Health Surgery -Thoraric Surgery -Urologic Surgery, Diagnostic X- ray Services (Level 3) Specialized Diagnostic X-ray Services: Computed Tamography, Magnetic Resonance Imaging (MRI)</t>
  </si>
  <si>
    <t>Clnical Laboratory Add ons- (2/13/2026- 1st Quarter), Delisting of 1 Ambu Unit- (3/4/2026- 1st Quarter)</t>
  </si>
  <si>
    <t>(032) 344-7756; 253-9891-99</t>
  </si>
  <si>
    <t>1, Type II, Plate No. BAA 4041</t>
  </si>
  <si>
    <t>mcc@vsmmc.doh.gov.ph</t>
  </si>
  <si>
    <t>Dr. Bonaleth M. De Vera</t>
  </si>
  <si>
    <t>078-305-2787 09175567455</t>
  </si>
  <si>
    <t>dvmc20@yahoo.com</t>
  </si>
  <si>
    <t>02-05-26-H2-2</t>
  </si>
  <si>
    <t>DOH005937</t>
  </si>
  <si>
    <t>Add Ons: Dialysis Station- 12 Stations (3rd Quarter- 9/3/2025)  Increase of ABC from 74 to 88 (4th Quarter- 10/6/2025) Add ons Services- MRI (1/19/2026)</t>
  </si>
  <si>
    <t>Blood Bank (with add’l functions to collect, test, and process blood), rHIVda Confirmatory Laboratory Satellite Clinical Laborator (OPD-Secondary), Covid-19 Testing Laboratory, Molecular Pathology, Ambulatory Surgical Clinic: - Opthalmologic Surgery,  Specialized Diagnostic X-ray Services: *Computed Tomography *Mammography * Dental Magnetic Resonance Imaging</t>
  </si>
  <si>
    <t>4471</t>
  </si>
  <si>
    <t>1, Type II, Plate No. 131210 &amp; CS No. F4H 504</t>
  </si>
  <si>
    <t>#16 Abuag Street, Villasis</t>
  </si>
  <si>
    <t>(</t>
  </si>
  <si>
    <t>(078) 508- 3560 (078) 392-1058</t>
  </si>
  <si>
    <t>FLORES MEMORIAL MEDICAL CENTER</t>
  </si>
  <si>
    <t>r2tmc@riitmc.doh.gov.ph</t>
  </si>
  <si>
    <t>02-02-26-H3-1</t>
  </si>
  <si>
    <t>Mandaue City</t>
  </si>
  <si>
    <t>Northroad, Jagobiao, Mandaue City, Cebu</t>
  </si>
  <si>
    <t>Add ons: Molecular Pathology, Ambulatory Surgical Clinic: - Opthalmologic Surgery (1st Quarter- 3/14/2025)</t>
  </si>
  <si>
    <t>Pharmacy,Ambulatory Surgical Clinic (Lithotripsy)  Diagnostic X-Ray (Level 3), Electrolytes (Total Calcium, Ionizd Calcium) Special Hematology (D-dimer, Ferritin) Special Serology (PSA, Typhidot,HCV,HAV, H. pylori) Special Chemistry (HbA1c, Procalcitonin, CRP, cTn1, Phosp, Mg, ALP, Amylase, Lipase, Albumin, Total Bilirubin, Direct Bilirubin, Indirect Bilirubin) Hormone (AFP, b-HCG, LH) Thyroid Function Test (TSH, fT3, fT4, T3, T4)</t>
  </si>
  <si>
    <t>03818</t>
  </si>
  <si>
    <t>EVERSLEY CHILDS SANITARIUM AND GENERAL HOSPITAL</t>
  </si>
  <si>
    <t>Dupax del Norte</t>
  </si>
  <si>
    <t>Sitio Tanap, Malasin</t>
  </si>
  <si>
    <t>Renmar Specialist’s Hospital</t>
  </si>
  <si>
    <t>DUPAX DISTRICT HOSPITAL</t>
  </si>
  <si>
    <t>Total</t>
  </si>
  <si>
    <t>Dr. Frederick Agtarap</t>
  </si>
  <si>
    <t>(078) 305-1255 09175745016</t>
  </si>
  <si>
    <t>a.aofmh@yahoo.com</t>
  </si>
  <si>
    <t>02-25-26-H1-2</t>
  </si>
  <si>
    <t>Pharmacy, Diagnostic X-ray ( Level 2),Dental Clinic</t>
  </si>
  <si>
    <t>Blood Station, Pharmacy, Diagnostic X-ray Services (Level 3)</t>
  </si>
  <si>
    <t>Add Ons services: (4/27/2026)</t>
  </si>
  <si>
    <t>1/Type1/POM 482</t>
  </si>
  <si>
    <t>9771</t>
  </si>
  <si>
    <t>2 Type 2 - GAJ 7595 and 1301-1492664</t>
  </si>
  <si>
    <t>Dr. Simplicio P. Daran</t>
  </si>
  <si>
    <t>Maharlika Highway, Corner Patul Road, Plaridel</t>
  </si>
  <si>
    <t>plgunuevavizcaya.ddh@gmail.com</t>
  </si>
  <si>
    <t>RENMAR SPECIALISTS' HOSPITAL</t>
  </si>
  <si>
    <t>02-33-26-H1-1</t>
  </si>
  <si>
    <t>02828</t>
  </si>
  <si>
    <t>Kayapa</t>
  </si>
  <si>
    <t>Pythagoras M. Zerna, MD, DPBS, FPSGS, FPCS</t>
  </si>
  <si>
    <t>Pampang</t>
  </si>
  <si>
    <t>LT. TIDANG MEMORIAL HOSPITAL</t>
  </si>
  <si>
    <t>(032) 346-2468</t>
  </si>
  <si>
    <t>Pharmacy, Diagnostic X-ray (Level 1) , Clinical Laboratory Add ons: Electrolytes (Total Calcium, Ionized Calcium) Special Chemistry (Magnesium, Phosphorus, Lipase, Albumin, Amylase, HbA1c, D-dimer, CRP, Trop-I) Special Serology (Anti-HCV, S. Typhi/ typhidot) Special Hematolgy (ESR) Tumor Markers (AFP, CEA, PSA, Procalcitonin) Thyroid Function Test (T3,T4, fT3,fT4, TSH)</t>
  </si>
  <si>
    <t>mcc@ecsgh.doh.gov.ph</t>
  </si>
  <si>
    <t>1/Type 1/BAA 5970</t>
  </si>
  <si>
    <t>Pharmacy,Diagnostic X-ray (Level 1) , Clinical Laboratory Add ons: Special Serology (Leptospira, S. typhi, H. pylori, Hepatitis C)</t>
  </si>
  <si>
    <t>07-084-25-200-H2-1</t>
  </si>
  <si>
    <t>1/Type 1/VG 1249</t>
  </si>
  <si>
    <t>Dr. Renato A. Elefante</t>
  </si>
  <si>
    <t>(078) 305-2743 09155238730</t>
  </si>
  <si>
    <t>renmarspecialistshospital@gmail.com</t>
  </si>
  <si>
    <t>Dr. Jerraliza  D. Tannagan</t>
  </si>
  <si>
    <t>02-43-26-H1-2</t>
  </si>
  <si>
    <t>lt.tidangmemorialhospital2003@gmail.com</t>
  </si>
  <si>
    <t>02-23-26-H1-1</t>
  </si>
  <si>
    <t>Clinical Laboratory Add ons Services- 3/12/2026 (1st Quarter)</t>
  </si>
  <si>
    <t>Clinical Add ons- 3/25/2026- 1st Quarter</t>
  </si>
  <si>
    <t>Talisay City</t>
  </si>
  <si>
    <t>34465</t>
  </si>
  <si>
    <t>05639</t>
  </si>
  <si>
    <t>San Isidro, Talisay City, Cebu</t>
  </si>
  <si>
    <t>Quirino</t>
  </si>
  <si>
    <t>Purok 7, National Road, Rizal</t>
  </si>
  <si>
    <t>Cabarroguis</t>
  </si>
  <si>
    <t>CEBU SOUTH MEDICAL CENTER</t>
  </si>
  <si>
    <t>SANTIAGO MEDICAL CITY</t>
  </si>
  <si>
    <t>National Highway, Mangandingay</t>
  </si>
  <si>
    <t>QUIRINO PROVINCE MEDICAL CENTER</t>
  </si>
  <si>
    <t>Pharmacy, Mobile Clinical Laboratory,  Intensive Care Unit, Neonatal Intensive Care Unit (NICU), High Risk Pregnancy Unit, Blood Bank (with addt'l function to collect, test &amp; Process blood) Diagnostic X-ray (Level 2), Specialized Diagnostic X-ray Services: Computed Tamography, Dental Clinic</t>
  </si>
  <si>
    <t>1/Type 2/SBA 4027</t>
  </si>
  <si>
    <t>Blood Station, rHIVda Confirmatory Laboratory, Pharmacy, Diagnostic X-ray Services</t>
  </si>
  <si>
    <t>Clinical Laboratory for Anatomic Pathology: * Histopathology Specialized X-Ray Services: *Computed Tomography, *Mammography,  Magnectic Resonance Imaging</t>
  </si>
  <si>
    <t>Dr. Margaret Jean C. De Guzman</t>
  </si>
  <si>
    <t>1, Type II, Plate No. BAA7444</t>
  </si>
  <si>
    <t>qpmcofficial@gmail.com qphhealth@yahoo.com</t>
  </si>
  <si>
    <t>02-05-26-H1-1</t>
  </si>
  <si>
    <t>2 Type II - Plate No. 131201, CR No. 38242197-0, 382421170-1</t>
  </si>
  <si>
    <t>Dr. Christine Agatha M. Untalan</t>
  </si>
  <si>
    <t>(078) 353 9888</t>
  </si>
  <si>
    <t>Add ons Services: Dentyal Clinic (9/19/2025- 3rd Quarter)</t>
  </si>
  <si>
    <t>santiagomedicalcity@yahoo.com</t>
  </si>
  <si>
    <t>01771</t>
  </si>
  <si>
    <t>02-15-26-H2-2</t>
  </si>
  <si>
    <t>Maddela</t>
  </si>
  <si>
    <t>Agustin D. Agos, MD, FPSGS, FPCS, MA, DODT, PhD-OD, RODC</t>
  </si>
  <si>
    <t>Add ons (Magnetic Resonance Imaging)- (12/12/2025)</t>
  </si>
  <si>
    <t>Diduyon</t>
  </si>
  <si>
    <t>(032) 273-3713; (032) 265-5986</t>
  </si>
  <si>
    <t>MADDELA DISTRICT HOSPITAL</t>
  </si>
  <si>
    <t>none</t>
  </si>
  <si>
    <t>mcc@csmc.doh.gov.ph</t>
  </si>
  <si>
    <t>Tumauini</t>
  </si>
  <si>
    <t>Purok 1, Lalauanan</t>
  </si>
  <si>
    <t>ST. MATTHIAS MEDICAL CENTER OF ISABELA INC.</t>
  </si>
  <si>
    <t>DOH005280</t>
  </si>
  <si>
    <t>Pharmacy, Diagnostic X-ray (Level 1), Clinical Laboratory Add ons: Special Serology (S. Typhi) Electrolytes (iCa)</t>
  </si>
  <si>
    <t>2/Type1/EH 3860; Plate No. SND 3300</t>
  </si>
  <si>
    <t>Computed Tomography, Diagnostic X-Ray (Level 3), Clinical Laboratory for Anatomic Pathology: Histopathology , Cancer Treatment Unit in a General Hospital</t>
  </si>
  <si>
    <t>DOH00743</t>
  </si>
  <si>
    <t>Dr. Ronaldo E. Sanchez</t>
  </si>
  <si>
    <t>09178650834 09985779616</t>
  </si>
  <si>
    <t>1, Type 2, Plate No. BAF 5215</t>
  </si>
  <si>
    <t>mdhquirino1985@yahoo.com</t>
  </si>
  <si>
    <t>Leyte</t>
  </si>
  <si>
    <t>02-21-26-H1-1</t>
  </si>
  <si>
    <t>Palo</t>
  </si>
  <si>
    <t>Brgy. Naga-Naga, Palo, Leyte</t>
  </si>
  <si>
    <t>Dr. Mary Ann Valdez</t>
  </si>
  <si>
    <t>Clinical Lab Add ons: (4/20/2026-2nd Quarter)</t>
  </si>
  <si>
    <t>09171773400 09178839892</t>
  </si>
  <si>
    <t>GOV. BENJAMIN T. ROMUALDEZ GENERAL HOSPITAL &amp; SCHISTOSOMIASIS CENTER</t>
  </si>
  <si>
    <t>5942</t>
  </si>
  <si>
    <t>saintmathiasmedicalcenter@gmail.com</t>
  </si>
  <si>
    <t>Aurora</t>
  </si>
  <si>
    <t>Baler</t>
  </si>
  <si>
    <t>02-12-26-H2-2</t>
  </si>
  <si>
    <t>Brgy. Reserva</t>
  </si>
  <si>
    <t>AURORA MEMORIAL HOSPITAL</t>
  </si>
  <si>
    <t>Dialysis Clinic, Physical Medicine and Rehabilitation Unit, Dental Clinic</t>
  </si>
  <si>
    <t>Type I/CS#F4K543; CS#F4D090</t>
  </si>
  <si>
    <t>B. BRAUN AVITUM PHILS., INC</t>
  </si>
  <si>
    <t>2 units/Type 1/F3V667,F3V633</t>
  </si>
  <si>
    <t>DR. ARIEL BITONG</t>
  </si>
  <si>
    <t>042-209-4256</t>
  </si>
  <si>
    <t>auroramemhos@gmail.com</t>
  </si>
  <si>
    <t>4698</t>
  </si>
  <si>
    <t>03-0205-26-H1-1</t>
  </si>
  <si>
    <t>Provincial</t>
  </si>
  <si>
    <t>Solano</t>
  </si>
  <si>
    <t>427</t>
  </si>
  <si>
    <t>Ballesteros street, Roxas, Solano, Nueva Vizcaya</t>
  </si>
  <si>
    <t>MEDICAL MISSION GROUP HOSPITAL AND HEALTH SERVICES COOPERATIVE</t>
  </si>
  <si>
    <t>Pharmacy, Diagnostic X-Ray (Level 2)</t>
  </si>
  <si>
    <t>1/Type 1/ALA 1207</t>
  </si>
  <si>
    <t>BB++ (collect, test, process), Anatomic/Patholoogy (cytology, surgical and frozen), G6PD Confirmatory Test, rHivda Confirmatory Laboratory, LDWA, CL for Molecular Pathology (RTPCR, Respiratory Panel, HIV Viral Load, HBV, HCV, HPV, SARS-Cov (Flu &amp; RSV Array), MTB RIF, MTB XDR, Specialized Dx Xray Services (CT Scan, Mammo, Digital Subtracttion Angiography, Percutaneous Transluminal Angioplasty, Cardiac Cath, Bone Densitometry, MRI)
Pharmacy (2)</t>
  </si>
  <si>
    <t>Dr. Roderick B. Tambuyat</t>
  </si>
  <si>
    <t>(078) 326-7946</t>
  </si>
  <si>
    <t>mmghhsc_nv@yahoo.com</t>
  </si>
  <si>
    <t>4/Type II/ CS No. A4 R680
CS No. A4 0057
Plate no. F3 0816
Plate no. F4 H478</t>
  </si>
  <si>
    <t>02-42-26-H1-2</t>
  </si>
  <si>
    <t>mcc@bataanghmc.doh.gov.ph</t>
  </si>
  <si>
    <t>Transferred</t>
  </si>
  <si>
    <t>03-0033-26-H3-1</t>
  </si>
  <si>
    <t>Increased in ABC, Change of Location ( 4/4/2025)</t>
  </si>
  <si>
    <t>5566</t>
  </si>
  <si>
    <t>2694</t>
  </si>
  <si>
    <t>Dinalupihan</t>
  </si>
  <si>
    <t>San Ramon</t>
  </si>
  <si>
    <t>Bascaran</t>
  </si>
  <si>
    <t>JOSE C. PAYUMO JR. MEMORIAL HOSPITAL</t>
  </si>
  <si>
    <t>PLTCI - LUIS A. TIAM MEDICAL CENTER</t>
  </si>
  <si>
    <t>Dialysis Clinic, Diagnostic X-ray Services Level 2, Dental Clinic, ASC (General, Orthopedic, Otorhinolaryngolog, Pediatric, Reproductive Health, Thoracic Surgery)</t>
  </si>
  <si>
    <t>1/Type II CR#37255359-1
 1/Type I/ Plate# A4R620</t>
  </si>
  <si>
    <t>1, Type II, Plate No. CAB 7696</t>
  </si>
  <si>
    <t>Dr. Deodar Q. Dimaunahan (OIC- Chief of Hospital)</t>
  </si>
  <si>
    <t>0923-748-4800</t>
  </si>
  <si>
    <t>g_abara@yahoo.com/jcpayumo@bataan.gov.ph</t>
  </si>
  <si>
    <t>Dr. Ricardo F. Adriano, Jr.</t>
  </si>
  <si>
    <t>03-0145-26- H1-1</t>
  </si>
  <si>
    <t>(078) 808-0042 (078) 805-3682 09999924609</t>
  </si>
  <si>
    <t>pltci_lat.medicalcenter@yahoo.com</t>
  </si>
  <si>
    <t>02-06-26-H2-2</t>
  </si>
  <si>
    <t>38400</t>
  </si>
  <si>
    <t>Ave. Of The Phils, Freeport Area Of Bataan</t>
  </si>
  <si>
    <t>FREEPORT AREA OF BATAAN GENERAL HOSPITAL</t>
  </si>
  <si>
    <t>Dr. Lyn L. Verona</t>
  </si>
  <si>
    <t>National Highway, Brgy. Roxas</t>
  </si>
  <si>
    <t>SALUBRIS INC.</t>
  </si>
  <si>
    <t>Dental Clinic</t>
  </si>
  <si>
    <t>gbtrghsc.mcc@gmail.com</t>
  </si>
  <si>
    <t>1/Type I/ Plate No. NAO 4717</t>
  </si>
  <si>
    <t>Dr. Glory V. Baltazar</t>
  </si>
  <si>
    <t>08-035-25-H1-1</t>
  </si>
  <si>
    <t>047-613-4130/09282133098</t>
  </si>
  <si>
    <t>Physical Rehabilitation Unit, Specialized Diagnostic X-ray Services: Computed Tamography</t>
  </si>
  <si>
    <t>mdh@bataan.gov.ph</t>
  </si>
  <si>
    <t>03-0209-26-H1-1</t>
  </si>
  <si>
    <t>1, Type II, Plate No. NAU 1549</t>
  </si>
  <si>
    <t>1977</t>
  </si>
  <si>
    <t>DOH05139</t>
  </si>
  <si>
    <t>Dr. Excelsior G. Valdez</t>
  </si>
  <si>
    <t>(078) 362 4839 09171489977</t>
  </si>
  <si>
    <t>salubrismedical@gmail.com</t>
  </si>
  <si>
    <t>Tacloban City</t>
  </si>
  <si>
    <t>02-08-26-H2-2</t>
  </si>
  <si>
    <t>Barangay 93 Bagacay, Tacloban City, Eastern Visayas</t>
  </si>
  <si>
    <t>EASTERN VISAYAS MEDICAL CENTER</t>
  </si>
  <si>
    <t>Custodial Psychiatric Care (500 ABC), Dental Clinic (In- patient &amp; out-patient), Dental X-ray, X-ray Services Level 2, Level 1 Hosp (18 ABC), Specialized Diagnostic X-ray Service: Dental</t>
  </si>
  <si>
    <t>Brgy. Suklayin, Baler</t>
  </si>
  <si>
    <t>PREMIERE GENERAL HOSPITAL OF NUEVA ECIJA BALER AURORA</t>
  </si>
  <si>
    <t>Blood Bank (with additional function to collect, test &amp; process)
G6PD Confirmatory, HIV Testing Laboratory, Specialized Diagnostic X-ray Servicess</t>
  </si>
  <si>
    <t>Dr. Dennis Dayao L. Ordoña</t>
  </si>
  <si>
    <t>planning.mmwgh@gmail.com</t>
  </si>
  <si>
    <t>Specialized X-ray: Computed Tomography, ASC</t>
  </si>
  <si>
    <t>03-0092-26-H1-1</t>
  </si>
  <si>
    <t>1/ Type 2/ Plate No. CCA 5424</t>
  </si>
  <si>
    <t>1890</t>
  </si>
  <si>
    <t>Orani</t>
  </si>
  <si>
    <t>Lourdes Street Ma.Fe Subdivision</t>
  </si>
  <si>
    <t>Dr. Ma. Laarni Dela Cruz</t>
  </si>
  <si>
    <t>ANTONINO "TONY" P. ROMAN MEMORIAL HOSPITAL</t>
  </si>
  <si>
    <t>042-8724-6929/0912-119-4763</t>
  </si>
  <si>
    <t>Dr. Joseph Michael Jaro</t>
  </si>
  <si>
    <t>premieregeneral@yahoo.com</t>
  </si>
  <si>
    <t>(053) 888-2735</t>
  </si>
  <si>
    <t>03-0008-26-H2-2</t>
  </si>
  <si>
    <t>evrmccao@gmail.com</t>
  </si>
  <si>
    <t>Transferred/Location</t>
  </si>
  <si>
    <t>Laboratory</t>
  </si>
  <si>
    <t>2/Type I/Plate# 030101; Plate# F4D127</t>
  </si>
  <si>
    <t>40043</t>
  </si>
  <si>
    <t>Sampaguita Street, St. Joseph Subd.</t>
  </si>
  <si>
    <t>Dr. Rosalie Manubay</t>
  </si>
  <si>
    <t>047-431-2827</t>
  </si>
  <si>
    <t>BALANGA MEDICAL CENTER CORPORATION</t>
  </si>
  <si>
    <t>odhbataan@yahoo.com</t>
  </si>
  <si>
    <t>03-0213-26-H1-1</t>
  </si>
  <si>
    <t>FORMERLY ORANI DISTRICT HOSPITAL</t>
  </si>
  <si>
    <t>6858</t>
  </si>
  <si>
    <t>Baliuag</t>
  </si>
  <si>
    <t>Diagnostic X-ray Level2, 
 Specialized X-ray- CT, Tertiary Laboratory,asc,Dental Clinic,NICU 6bassinets</t>
  </si>
  <si>
    <t>Carpa Vilage,Sabang</t>
  </si>
  <si>
    <t>BALIUAG DISTRICT HOSPITAL</t>
  </si>
  <si>
    <t>1/TypeI/NFN8318</t>
  </si>
  <si>
    <t>Dr. Marites Cabral-Tamayo</t>
  </si>
  <si>
    <t>Diagnostic X-ray Level 2
rHIVda Confirmatory Laboratory, Dental Clinic</t>
  </si>
  <si>
    <t>047-237-4428/1111</t>
  </si>
  <si>
    <t>balangamed.cc@gmail.com</t>
  </si>
  <si>
    <t>2/Type I/ CS# F4D058; CS# F4D101</t>
  </si>
  <si>
    <t>03-0040-26-H1-2</t>
  </si>
  <si>
    <t>Dr. Joseph Paul Cruzcosa,MPA</t>
  </si>
  <si>
    <t>044-766-2913/099-8960-5240</t>
  </si>
  <si>
    <t>bdhospital1970@gmail.com</t>
  </si>
  <si>
    <t>03-0083-26-H1-1</t>
  </si>
  <si>
    <t>3008</t>
  </si>
  <si>
    <t>Cuaderno St. Doña Francisca Subdivision</t>
  </si>
  <si>
    <t>46878</t>
  </si>
  <si>
    <t>BATAAN DOCTOR'S HOSPITAL &amp; MEDICAL CENTER</t>
  </si>
  <si>
    <t>ASC (General Surgery, Colorectal, Pediatric Surgery, Reproductive Health Surgery, Ophthalmology, Thoracic, Urologic)</t>
  </si>
  <si>
    <t>Specialized x-ray: CT, Mammography, Dental; Physical Medicine &amp; Rehabilitation Unit, Ambulatory Surgical Clinic, Dialysis Clinic,</t>
  </si>
  <si>
    <t>1/Type I/ Conduction Sticker F4J 639, 1 /type II/ F4J763</t>
  </si>
  <si>
    <t>1/ Type 2/ Plate No. CAO 8923</t>
  </si>
  <si>
    <t>Dr. Francisco L. Pascual III</t>
  </si>
  <si>
    <t>047-237-2050/0919-067-8121</t>
  </si>
  <si>
    <t>batdocs@yahoo.com</t>
  </si>
  <si>
    <t>jvgh@centralluzon.doh.gov.ph; cc: jvghomcc@gmail.com</t>
  </si>
  <si>
    <t>03-0226-26-H2-2</t>
  </si>
  <si>
    <t>03-0177-26-H2-1</t>
  </si>
  <si>
    <t>4569</t>
  </si>
  <si>
    <t>2726</t>
  </si>
  <si>
    <t>Bulakan</t>
  </si>
  <si>
    <t>Don Manuel Banzon Ave., Brgy. Doña Francisca</t>
  </si>
  <si>
    <t>Bagumbayan,Bulakan</t>
  </si>
  <si>
    <t>GREGORIO DEL PILAR DISTRICT HOSPITAL</t>
  </si>
  <si>
    <t>BATAAN ST. JOSEPH HOSPITAL &amp; MEDICAL CENTER CORP.</t>
  </si>
  <si>
    <t>Diagnostic X-ray Services (Level 2)</t>
  </si>
  <si>
    <t>1/Type I, CS# F4J798</t>
  </si>
  <si>
    <t>Specialized X-ray: Computed Tomography&amp; Mammography, Magnetic Resonance Imaging, Cardiac Catheterization, Dialysis, Ambulatory Surgical Clinic, Physical Medicine and Rehabilitation Unit,Tertiary Lab</t>
  </si>
  <si>
    <t>1/ Type 2/ Plate No. CAO 8348</t>
  </si>
  <si>
    <t>Dr. Roselle Acob</t>
  </si>
  <si>
    <t>044-762-3748/0922-298-1112</t>
  </si>
  <si>
    <t>gdpdh@bulacan.gov.ph</t>
  </si>
  <si>
    <t>Dr. Angel B. Aquino</t>
  </si>
  <si>
    <t>03-0187-26-H1-1</t>
  </si>
  <si>
    <t>047-237-2009, 3009,0226 loc 128</t>
  </si>
  <si>
    <t>bsjh_72@yahoo.com</t>
  </si>
  <si>
    <t>03-0170-26-H2-2</t>
  </si>
  <si>
    <t>Calumpit</t>
  </si>
  <si>
    <t>Caniogan</t>
  </si>
  <si>
    <t>38108</t>
  </si>
  <si>
    <t>CALUMPIT DISTRICT HOSPITAL</t>
  </si>
  <si>
    <t>Lot 1 Psd 25823 Roman, National Highway, Brgy. Tenejero</t>
  </si>
  <si>
    <t>CENTRO MEDICO DE SANTISIMO ROSARIO, INC.</t>
  </si>
  <si>
    <t>Diagnostic X-ray Level2</t>
  </si>
  <si>
    <t>1/Type I/ CS# F5J O92</t>
  </si>
  <si>
    <t>Dialysis Clinic, Physical Medicine and Rehabilitation Unit,  Ambulatory Surgical Clinic (Colorectal Surgery, General Surgery, Ophthalmologic Surgery, Otorhinolaryngologic Surgery, Thoracic Surgery, &amp; Urologic Surgery),  Diagnostic X-ray Services (Level 3)  Specialized Diagnostic X-ray Service: Computed Tomography ,Tertiary lab</t>
  </si>
  <si>
    <t>Dr. Cynthia Cervania- Basco</t>
  </si>
  <si>
    <t>044-802-8988/ 0993-384-7742</t>
  </si>
  <si>
    <t>1/ Type 2/ Plate No. CBL 227</t>
  </si>
  <si>
    <t>cdh@bulacan.gov.ph</t>
  </si>
  <si>
    <t>03-0175-26-H1-1</t>
  </si>
  <si>
    <t>Dr. Diana P. Zabala</t>
  </si>
  <si>
    <t>3283</t>
  </si>
  <si>
    <t>047-633-0000</t>
  </si>
  <si>
    <t>marketing.cmsr@gmail.com cmsrbalanga@gmail.com</t>
  </si>
  <si>
    <t>Guiguinto</t>
  </si>
  <si>
    <t>Bliss , Tabe</t>
  </si>
  <si>
    <t>03-0089-26-H2-2</t>
  </si>
  <si>
    <t>MAYOR ISAGANI C. PASCUAL HOSPITAL</t>
  </si>
  <si>
    <t>Zamboanga del Norte</t>
  </si>
  <si>
    <t>3180</t>
  </si>
  <si>
    <t>Calero Street, Ibayo</t>
  </si>
  <si>
    <t>ISAAC &amp; CATALINA MEDICAL CENTER</t>
  </si>
  <si>
    <t>2/Type I/ CS# F4C773; CS# F4D096</t>
  </si>
  <si>
    <t>Dapitan City</t>
  </si>
  <si>
    <t>Dr. Paul Ruel C. Camiña, FPOA, FPCS, MPH</t>
  </si>
  <si>
    <t>044-760-7775/7776</t>
  </si>
  <si>
    <t>Lawaan</t>
  </si>
  <si>
    <t>ospitalgto@gmail.com</t>
  </si>
  <si>
    <t>03-0181-26-H1-1</t>
  </si>
  <si>
    <t xml:space="preserve"> ICU- 2 beds, NICU - 4 bassinets, Dialysis Clinic, Tertiary Lab, Physical Medicine and Rehabilitation Unit, Ambulatory Surgical Clinic, Dental Clinic
 Diagnostic X-ray Level 2,
 Specialized X-ray- Ct and Mammography</t>
  </si>
  <si>
    <t>DR. JOSE RIZAL MEMORIAL HOSPITAL</t>
  </si>
  <si>
    <t>1/Type I/ Plate# RGX347</t>
  </si>
  <si>
    <t>Dr. Edgardo B. Guzman</t>
  </si>
  <si>
    <t>047-237-1435</t>
  </si>
  <si>
    <t>icmc_balanga@pldtdsl.net</t>
  </si>
  <si>
    <t>03-0212-26H1-2</t>
  </si>
  <si>
    <t>3132</t>
  </si>
  <si>
    <t>Hagonoy</t>
  </si>
  <si>
    <t>Toma Cruz St. Sto. Nino</t>
  </si>
  <si>
    <t>EMILIO G. PEREZ MEMORIAL HOSPITAL</t>
  </si>
  <si>
    <t>BATAAN PENINSULA MEDICAL CENTER</t>
  </si>
  <si>
    <t>Dialysis Clinic (Bataan Kidney and Dialysis Center), Clinical Laboratory (Tertiary), ICU (6 beds), ASC, Physical Medicine and Rehabilitation Unit, Diagnostic X-ray Services (Level 2), Specialized: Computed Tomography,NICU 4bassinets</t>
  </si>
  <si>
    <t>Dental Clinic, ASC ( General Surgery, Reproductive Health Surgery)</t>
  </si>
  <si>
    <t>1/Type I/Plate# CBT7881</t>
  </si>
  <si>
    <t>1/Type I/ CS# JR080A</t>
  </si>
  <si>
    <t>Dr. Gerardo C. Morales</t>
  </si>
  <si>
    <t>Dr. Elenita Bautista</t>
  </si>
  <si>
    <t>099-5032-7180</t>
  </si>
  <si>
    <t>egpdh@yahoo.com</t>
  </si>
  <si>
    <t>047-481-2173/09090178228</t>
  </si>
  <si>
    <t>bpmc888@hotmail.com</t>
  </si>
  <si>
    <t>03-0038-26-H1-1</t>
  </si>
  <si>
    <t>03-0150-26-H1-2</t>
  </si>
  <si>
    <t>1677</t>
  </si>
  <si>
    <t>Malolos City</t>
  </si>
  <si>
    <t>99 Potenciano St., Mojon Road</t>
  </si>
  <si>
    <t>Blood Bank w/ add function , Doiagnpstic X-Ray, Computed Tomography</t>
  </si>
  <si>
    <t>BULACAN MEDICAL CENTER</t>
  </si>
  <si>
    <t>Lakandula St., Poblacion</t>
  </si>
  <si>
    <t>MAHESECO MULTIPURPOSE COOPERATIVE</t>
  </si>
  <si>
    <t>rHIVda Confirmatory Laboratory, COVID-19 (SARS COV-2) Testing Laboratory Type of Test 1. Reverse Transcriptase-Polymerase Chain Reaction,2. Cartridge-Based Polymerase Chain Reaction;
 Molecular Laboratory 1. Meningitis and Encephalitis Panel, 2. Respiratory Panel, 3. Blood Culture Identification Panel
 Specialized x-ray: CT, Mammography</t>
  </si>
  <si>
    <t>1/Type II Plate No. SND 4636
1/Type I Plate No. P9-A612</t>
  </si>
  <si>
    <t>Dr. Angelito D. Trinidad</t>
  </si>
  <si>
    <t>0917-509-0817
044-791-0630/662-2675</t>
  </si>
  <si>
    <t>bmc.trinidad25@gmail.com</t>
  </si>
  <si>
    <t>1/Type I/CR No. 336953503</t>
  </si>
  <si>
    <t>03-0215-26- H3-1</t>
  </si>
  <si>
    <t>2Unit of Type II</t>
  </si>
  <si>
    <t>2404</t>
  </si>
  <si>
    <t>Dr. Maria Corazon Cruz Zamora</t>
  </si>
  <si>
    <t>047-935-4192</t>
  </si>
  <si>
    <t>Norzagaray</t>
  </si>
  <si>
    <t>mpc_maheseco.hospital@yahoo.com</t>
  </si>
  <si>
    <t>Municipal Compound Poblacion</t>
  </si>
  <si>
    <t>NORZAGARAY MUNICIPAL HOSPITAL</t>
  </si>
  <si>
    <t>03-0220-26-H1-2</t>
  </si>
  <si>
    <t>6812</t>
  </si>
  <si>
    <t>1/Type I/Plate# 030110</t>
  </si>
  <si>
    <t>Orion</t>
  </si>
  <si>
    <t>J.P. Rizal St.,Wakas</t>
  </si>
  <si>
    <t>ORION ST. MICHAEL HOSPITAL</t>
  </si>
  <si>
    <t>Dr. Joselito C. Santiago</t>
  </si>
  <si>
    <t>044-694-1336</t>
  </si>
  <si>
    <t>joselitocsantiago@yahoo.com</t>
  </si>
  <si>
    <t>03-0227-26-H1-1</t>
  </si>
  <si>
    <t>Dialysis Clinic, Diagnostic X-ray (Level 2), specialized: CT</t>
  </si>
  <si>
    <t>Late renewal</t>
  </si>
  <si>
    <t>1/Type I/ Plate# NIX929</t>
  </si>
  <si>
    <t>3091</t>
  </si>
  <si>
    <t>San Jose del Monte City</t>
  </si>
  <si>
    <t>Bagong Buhay I</t>
  </si>
  <si>
    <t>Dr. Angelito N. Baluyot Jr.</t>
  </si>
  <si>
    <t>OSPITAL NG LUNGSOD NG SAN JOSE DEL MONTE</t>
  </si>
  <si>
    <t>Maria Dinna Viray-Parinas, M.D., MHA</t>
  </si>
  <si>
    <t>0917-571-5706' 0955-103-9876</t>
  </si>
  <si>
    <t>0908-888-5695</t>
  </si>
  <si>
    <t>osmhprove1@yahoo.com</t>
  </si>
  <si>
    <t>dohdjrmh@gmail.com</t>
  </si>
  <si>
    <t>03-0081-26-H2-2</t>
  </si>
  <si>
    <t>Diagnostic X-ray Level2, Sateliite Pharmacy; ASC (Ophthalmologic, General, Colorectal, Thoracic); Physical Medicine and Rehabilitation Unit, Dental Clinic, rHIVda Confirmatory Laboratory</t>
  </si>
  <si>
    <t>2/Type I/ CS# F4B834; F4D065</t>
  </si>
  <si>
    <t>51510</t>
  </si>
  <si>
    <t>Pilar</t>
  </si>
  <si>
    <t>21 F. Nuestro St. Batungbacal, Subd., Sta. Rosa, Pilar</t>
  </si>
  <si>
    <t>Dr. Erbe Bugay</t>
  </si>
  <si>
    <t>09-0029-25-H2-2</t>
  </si>
  <si>
    <t>MT. SAMAT MEDICAL CENTER, INC</t>
  </si>
  <si>
    <t>evelynbrigino@yahoo.com</t>
  </si>
  <si>
    <t>03-0051-26-H1-1</t>
  </si>
  <si>
    <t>5935</t>
  </si>
  <si>
    <t>San Miguel</t>
  </si>
  <si>
    <t>Sta. Rita Old</t>
  </si>
  <si>
    <t>SAN MIGUEL DISTRICT HOSPITAL</t>
  </si>
  <si>
    <t>Hemodialysis Clinic, Ambulatory Surgical Clinic - General Surgery. Otorhinolaryngologic, Oral-Maxillo, Pediatric Surgery, Thoracic Surgery, Urologic, Diagnostic X-ray (Level 3), Specialized X-ray: CT</t>
  </si>
  <si>
    <t>1/Type 2/ Plate NUMBER:  CCC1198</t>
  </si>
  <si>
    <t>Dr. Maria Pamela Oandasan</t>
  </si>
  <si>
    <t>047-613-1144/0945-4866-277</t>
  </si>
  <si>
    <t>1/Type I/ CS# F4J792</t>
  </si>
  <si>
    <t>mt.samatmedicalcenter@gmail.com</t>
  </si>
  <si>
    <t>03-0072-26-H2-2</t>
  </si>
  <si>
    <t>Dr. Arlan Rosegrace S. Balane-Galicia, FPAFP, MMHoA</t>
  </si>
  <si>
    <t>044-678-2070/764-0130/0917-1183-794</t>
  </si>
  <si>
    <t>sanmiguel_districthospital@yahoo.com</t>
  </si>
  <si>
    <t>03-0208-26-H1-1</t>
  </si>
  <si>
    <t>1672</t>
  </si>
  <si>
    <t>Santa Maria</t>
  </si>
  <si>
    <t>ROGACIANO M. MERCADO MEMORIAL HOSPITAL</t>
  </si>
  <si>
    <t>Angat</t>
  </si>
  <si>
    <t>Tapatan Road, Marungko</t>
  </si>
  <si>
    <t>TWIN CARE HOSPITAL</t>
  </si>
  <si>
    <t>*</t>
  </si>
  <si>
    <t>Diagnostic X-ray Level2; Dental Clinic</t>
  </si>
  <si>
    <t>1/Type I/Plate# SLG424</t>
  </si>
  <si>
    <t>Dr. David Rawland M. Domingo</t>
  </si>
  <si>
    <t>044-641-3038</t>
  </si>
  <si>
    <t>rmmmh@bulacan.gov.ph</t>
  </si>
  <si>
    <t>03-0217-26-H1-1</t>
  </si>
  <si>
    <t>ASC (Ophthalmology)</t>
  </si>
  <si>
    <t>Zamboanga del Sur</t>
  </si>
  <si>
    <t>1/Type I Plate No. CBT 7248</t>
  </si>
  <si>
    <t>Margosatubig</t>
  </si>
  <si>
    <t>3492</t>
  </si>
  <si>
    <t>Bongabon</t>
  </si>
  <si>
    <t>MARGOSATUBIG REGIONAL HOSPITAL</t>
  </si>
  <si>
    <t>De Lara Street, Brgy Curva</t>
  </si>
  <si>
    <t>BONGABON DISTRICT HOSPITAL</t>
  </si>
  <si>
    <t>Dr. Albert Salvador</t>
  </si>
  <si>
    <t>1/Type I/ CS# F2G701</t>
  </si>
  <si>
    <t>twincarehospital2021@gmail.com</t>
  </si>
  <si>
    <t>Dr. Avesta Zayin Bautista</t>
  </si>
  <si>
    <t>bongabondistricthospital_ne@yahoo.com.ph
bongabondh1@gmail.com</t>
  </si>
  <si>
    <t>03-0018-26-H1-1</t>
  </si>
  <si>
    <t>03-0078-26-H1-1</t>
  </si>
  <si>
    <t>276</t>
  </si>
  <si>
    <t>Type I</t>
  </si>
  <si>
    <t>Balagtas</t>
  </si>
  <si>
    <t>#516 Brgy. Wawa</t>
  </si>
  <si>
    <t>UNITED BALAGTAS DOCTORS HOSPITAL CORPORATION</t>
  </si>
  <si>
    <t>2/Type II/ CS # F3 0946, CS #F3 0933</t>
  </si>
  <si>
    <t>Dr. Jose Ravinar Austria</t>
  </si>
  <si>
    <t>044- 463-8888</t>
  </si>
  <si>
    <t>mcc@drpjgmrmc.doh.gov.ph
cao@drpjgmrmc.doh.gov.ph</t>
  </si>
  <si>
    <t>03-0101-26-H3-1</t>
  </si>
  <si>
    <t>ASC-Opthalmologic,General,Orthopedic,Otorhino,Reproductive HealthThoracic &amp; Urologic,, Dialysis</t>
  </si>
  <si>
    <t>2213</t>
  </si>
  <si>
    <t>1/Type I/Plate# CAD 8700</t>
  </si>
  <si>
    <t>Maharlika Hi-Way,Daan Sarile</t>
  </si>
  <si>
    <t>EDUARDO L. JOSON MEMORIAL HOSPITAL</t>
  </si>
  <si>
    <t>Dr. Jover C. Punzalan</t>
  </si>
  <si>
    <t>0917-7150041</t>
  </si>
  <si>
    <t>Dr. Levy Tito M De Jesus</t>
  </si>
  <si>
    <t>mrh_gov@yahoo.com.ph</t>
  </si>
  <si>
    <t>044-693-2992/0925-703-1331</t>
  </si>
  <si>
    <t>Diagnostic X-ray (Level 2);
 Specialized X-ray- CT; Dental Clinic; Tertiary Clinical Laboratory; Physical Medicine and Rehabilitation Unit</t>
  </si>
  <si>
    <t>ubdhc2003@yahoo.com.ph</t>
  </si>
  <si>
    <t>1/Type I/Plate# 131204</t>
  </si>
  <si>
    <t>03-0166-26-H1-2</t>
  </si>
  <si>
    <t>09-0046-25-H2-1</t>
  </si>
  <si>
    <t>Dr. Augusto F. Abeleda, Jr.</t>
  </si>
  <si>
    <t>31929</t>
  </si>
  <si>
    <t>044-960-0155
0933-986-4608</t>
  </si>
  <si>
    <t>eljmemorialhospital@gmail.com</t>
  </si>
  <si>
    <t>03-0042-26-H1-1</t>
  </si>
  <si>
    <t>Lot 2975 C-1 Doña Remedios Trinidad Highway, Brgy Pinagbarilan, Baliwag</t>
  </si>
  <si>
    <t>ALLIED CARE EXPERTS (ACE) MEDICAL CENTER-BALIWAG, INC.</t>
  </si>
  <si>
    <t>3801</t>
  </si>
  <si>
    <t>ASC-Colorectal, General, Ophthalmologic, &amp; Pediatric Surgery,Specialized X- Ray: Computed Tomography, Physical Medicine and Rehabilitation Unit, Dialysis Clinic</t>
  </si>
  <si>
    <t>Maharlika Hi-Way</t>
  </si>
  <si>
    <t>M.V. GALLEGO CABANATUAN CITY GENERAL HOSPITAL</t>
  </si>
  <si>
    <t>1/ Type 2/ Plate No. ABB 3866</t>
  </si>
  <si>
    <t>Dr. Aileen Benedicta M. Ong</t>
  </si>
  <si>
    <t>BS/BCU, Diagnostic X-ray Level2, 
Specialized X-ray- Mammography, Dialysis Clinic - 7; Dental Clinic</t>
  </si>
  <si>
    <t>1/Type I/ CS# F4B839</t>
  </si>
  <si>
    <t>acemedicalcenterbaliwag@gmail.com</t>
  </si>
  <si>
    <t>03-0041-26-H2-2</t>
  </si>
  <si>
    <t>Dr. Benedicto S. Joson Jr.</t>
  </si>
  <si>
    <t>5978</t>
  </si>
  <si>
    <t>0919-0899-880
0918-928-9007</t>
  </si>
  <si>
    <t>Zamboanga City</t>
  </si>
  <si>
    <t>mvgccgh01@yahoo.com
mvgallego.ccgh@gmail.com</t>
  </si>
  <si>
    <t>Pasobolong</t>
  </si>
  <si>
    <t>03-0182-26-H1-1</t>
  </si>
  <si>
    <t>ZAMBOANGA REGIONAL MEDICAL CENTER</t>
  </si>
  <si>
    <t>M Ponce St., Tibag</t>
  </si>
  <si>
    <t>259</t>
  </si>
  <si>
    <t>CASTRO MATERNITY HOSPITAL AND MEDICAL CENTER, INC.</t>
  </si>
  <si>
    <t>Gapan City</t>
  </si>
  <si>
    <t>Bayanihan</t>
  </si>
  <si>
    <t>GAPAN DISTRICT HOSPITAL</t>
  </si>
  <si>
    <t>ASC, Respiratory Unit, Physical Medicine and Rehab Unit,
Diagnostic X-ray Level 3; pecialized x-ray- CT, MRI, Mammography,covid19 testing lab,RTPCR</t>
  </si>
  <si>
    <t>IU 4BEDS, 2 BASSINERS , 3 ASP</t>
  </si>
  <si>
    <t>1/Type I/ Plate# TPO 989</t>
  </si>
  <si>
    <t>1/ Type I/CS F5I224</t>
  </si>
  <si>
    <t>Type II</t>
  </si>
  <si>
    <t>Dr. Antonito G. Duque</t>
  </si>
  <si>
    <t>044-486-3346
0918-906-1791</t>
  </si>
  <si>
    <t>Dr. Raymundo C. Castro</t>
  </si>
  <si>
    <t>gapandistricthospital@gmail.com</t>
  </si>
  <si>
    <t>044-766-1462/6026/7022</t>
  </si>
  <si>
    <t>03-0076-26-H1-1</t>
  </si>
  <si>
    <t>busoffice01@yahoo.com</t>
  </si>
  <si>
    <t>03-0053-26-H2-2</t>
  </si>
  <si>
    <t>Hannah R.Turco, M.D</t>
  </si>
  <si>
    <t>3868</t>
  </si>
  <si>
    <t>0917-7081152</t>
  </si>
  <si>
    <t>mcs.hrmo@gmail.com</t>
  </si>
  <si>
    <t>Guimba</t>
  </si>
  <si>
    <t>2779</t>
  </si>
  <si>
    <t>Brgy. Pacac</t>
  </si>
  <si>
    <t>GUIMBA DISTRICT HOSPITAL</t>
  </si>
  <si>
    <t>09-0065-25-H2-1</t>
  </si>
  <si>
    <t>#237 M. Ponce Street</t>
  </si>
  <si>
    <t>MARCELO HOSPITAL OF BALIWAG, INC.</t>
  </si>
  <si>
    <t>Diagnostic X-ray (Level 2)
rHIVda Confirmatory Laboratory</t>
  </si>
  <si>
    <t>1/Type I/CS# F51-137 Cr# 46029023-5 (4/19/2023)</t>
  </si>
  <si>
    <t>Dr. Nenita S. San Jose</t>
  </si>
  <si>
    <t>Diagnostic X-ray Level2
 Specialized X-ray- CT</t>
  </si>
  <si>
    <t>09166158722
09209244800</t>
  </si>
  <si>
    <t>guimbadistricthospital@yahoo.com or @y.c</t>
  </si>
  <si>
    <t>ACE COR Medical Services Inc</t>
  </si>
  <si>
    <t>Dr. Cynthia Aurora Marcelo</t>
  </si>
  <si>
    <t>044-766-4113/0917-624-6486</t>
  </si>
  <si>
    <t>marcelohospitalofbaliwaginc.com</t>
  </si>
  <si>
    <t>Labuan</t>
  </si>
  <si>
    <t>LABUAN GENERAL HOSPITAL</t>
  </si>
  <si>
    <t>03-0188-26-H1-1</t>
  </si>
  <si>
    <t>3122</t>
  </si>
  <si>
    <t>SAN ANTONIO DISTRICT HOSPITAL</t>
  </si>
  <si>
    <t>MOA Immaculate Concepction Medical Center of Central Luzon, inc</t>
  </si>
  <si>
    <t>Immaculate Conception Medical Center</t>
  </si>
  <si>
    <t>Dr. Lenny Joy Johnson Rivera (OIC)</t>
  </si>
  <si>
    <t>0917-3108633</t>
  </si>
  <si>
    <t>Dr. Napoleon S. Palor
OIC- COH</t>
  </si>
  <si>
    <t>lphchd@yahoo.com</t>
  </si>
  <si>
    <t>09122360367
044-486-2534</t>
  </si>
  <si>
    <t>sanantoniodistricthospital2@gmail.com</t>
  </si>
  <si>
    <t>03-0158-26-H1-1</t>
  </si>
  <si>
    <t>09-0048-25-H1-1</t>
  </si>
  <si>
    <t>38153</t>
  </si>
  <si>
    <t>San Jose City</t>
  </si>
  <si>
    <t>A.O Pascual St., R. Eugenio</t>
  </si>
  <si>
    <t>OSPITAL NG LUNGSOD NG SAN JOSE</t>
  </si>
  <si>
    <t>2/Type I/ CS# F4D073; CS# F4D105</t>
  </si>
  <si>
    <t>Basilan</t>
  </si>
  <si>
    <t>Dr. Imelda T. Cornel</t>
  </si>
  <si>
    <t>Isabela City</t>
  </si>
  <si>
    <t>044-4566671</t>
  </si>
  <si>
    <t>olsj3121@gmail.com</t>
  </si>
  <si>
    <t>Binuangan</t>
  </si>
  <si>
    <t>BASILAN MEDICAL CENTER</t>
  </si>
  <si>
    <t>03-0128-26-H1-1</t>
  </si>
  <si>
    <t>03-0065-26-H1-2</t>
  </si>
  <si>
    <t>7485</t>
  </si>
  <si>
    <t>3879</t>
  </si>
  <si>
    <t>Maharlika Hi-Way, Brgy.Malasin</t>
  </si>
  <si>
    <t>SAN JOSE CITY GENERAL HOSPITAL</t>
  </si>
  <si>
    <t>214 B. Aquino Ave. Tangos</t>
  </si>
  <si>
    <t>MEDICA LA SAGRADA FAMILIA, INC.</t>
  </si>
  <si>
    <t>BCU-BS</t>
  </si>
  <si>
    <t>2/Type I/CS# FAD085; CS# F4D108</t>
  </si>
  <si>
    <t>Diagnostic X-ray Level 2</t>
  </si>
  <si>
    <t>Type I, Type II</t>
  </si>
  <si>
    <t>1/Type I /Plate# CAC 3287</t>
  </si>
  <si>
    <t>Dr. Joseph L. Navallo</t>
  </si>
  <si>
    <t>044-511-2265/3087/ 09187929092</t>
  </si>
  <si>
    <t>sanjosegenhosp@yahoo.com
philhealthlinkssanjosecity@gmail.com</t>
  </si>
  <si>
    <t>03-0203-26-H1-1</t>
  </si>
  <si>
    <t>Dr. Patrick Raymond Ramos</t>
  </si>
  <si>
    <t>City</t>
  </si>
  <si>
    <t>044-766-5018/0933-827-0856</t>
  </si>
  <si>
    <t>Sitti Nurussamsi  Amilasan, M.D.</t>
  </si>
  <si>
    <t>39275</t>
  </si>
  <si>
    <t>sagradafamiliahospital@ymail.com</t>
  </si>
  <si>
    <t>0915-6629354</t>
  </si>
  <si>
    <t>03-0030-26-H1-2</t>
  </si>
  <si>
    <t>basgen7300@gmail.com</t>
  </si>
  <si>
    <t>San Leonardo</t>
  </si>
  <si>
    <t>Diversion</t>
  </si>
  <si>
    <t>SAN LEONARDO HOSPITAL</t>
  </si>
  <si>
    <t>09-0064-25-H2-1</t>
  </si>
  <si>
    <t>Dialysis Clinic</t>
  </si>
  <si>
    <t>MOA with Dr. Gloria D. Lacson General Hospital</t>
  </si>
  <si>
    <t>M.Cruz St. Carpa Vil. Sabang</t>
  </si>
  <si>
    <t>RUGAY GENERAL HOSPITAL, INC.</t>
  </si>
  <si>
    <t>Dr. Gloria D. Lacson General Hospital</t>
  </si>
  <si>
    <t>ELENITA B. JAMPIL, MD, MHA</t>
  </si>
  <si>
    <t>Diagnostic X-ray Level 2
 Specialized X-ray- CT, Mammography , ICU-4, ASC (Colorectal, General, Reproductive Health, Thoracic, Urologic)</t>
  </si>
  <si>
    <t>Dr. Evangelista St., Zamboanga City</t>
  </si>
  <si>
    <t>1/Type I/Plate # NQM334</t>
  </si>
  <si>
    <t>ZAMBOANGA CITY MEDICAL CENTER</t>
  </si>
  <si>
    <t>Dr. Angelita Ty. Rugay</t>
  </si>
  <si>
    <t>044-766-3457/09328671156</t>
  </si>
  <si>
    <t>rugaygenhospital@yahoo.com</t>
  </si>
  <si>
    <t>03-0013-26-H1-2</t>
  </si>
  <si>
    <t>1. Type II-ALS, F30847
2. Type II-ALS, F3V618
3. Type II-ALS, F3V719</t>
  </si>
  <si>
    <t>437</t>
  </si>
  <si>
    <t>Sanleonardohospital@gmail.com</t>
  </si>
  <si>
    <t>03-0189-26-H1-1</t>
  </si>
  <si>
    <t>Gov. Halili Ave.,Turo</t>
  </si>
  <si>
    <t>BMMG PHARMACY &amp; HOSPITAL</t>
  </si>
  <si>
    <t>4589</t>
  </si>
  <si>
    <t>Dr. Afdal B. Kunting</t>
  </si>
  <si>
    <t>(062) 991-0573</t>
  </si>
  <si>
    <t>Santo Domingo</t>
  </si>
  <si>
    <t>Prov. Rd., Pulong Bule</t>
  </si>
  <si>
    <t>mc-chief@zcmc.doh.gov.ph</t>
  </si>
  <si>
    <t>STO. DOMINGO DISTRICT HOSPITAL</t>
  </si>
  <si>
    <t>Diagnostic X-ray Level 2; Specialized X-ray: CT; NICU-6 bassinets; Dental Clinic, ASC,</t>
  </si>
  <si>
    <t>DOH010425</t>
  </si>
  <si>
    <t>1/Type I/ Plate# TOZ840</t>
  </si>
  <si>
    <t>1/ Type I/ Plate No. 030102</t>
  </si>
  <si>
    <t>Dr. Geoffrey R. Battad, MHA, FPOA</t>
  </si>
  <si>
    <t>044-913-0988/0915-623-1326</t>
  </si>
  <si>
    <t>bmmghsci@yahoo.com</t>
  </si>
  <si>
    <t>Dr. Darwin S. Panahon</t>
  </si>
  <si>
    <t>03-0156-26-H1-2</t>
  </si>
  <si>
    <t>09173661830
09605099270</t>
  </si>
  <si>
    <t>stodomingodistricthospital@yahoo.com</t>
  </si>
  <si>
    <t>03-0090-26-H1-1</t>
  </si>
  <si>
    <t>43736</t>
  </si>
  <si>
    <t>Sulu</t>
  </si>
  <si>
    <t>2212</t>
  </si>
  <si>
    <t>Jolo</t>
  </si>
  <si>
    <t>2834 Mcarhtur Highway, Brgy. Lolomboy, Bocaue</t>
  </si>
  <si>
    <t>Upper San Raymundo</t>
  </si>
  <si>
    <t>BOCAUE SPECIALISTS MEDICAL CENTER, INC.</t>
  </si>
  <si>
    <t>SULU SANITARIUM AND GENERAL HOSPITAL</t>
  </si>
  <si>
    <t>Maestrang Kikay District</t>
  </si>
  <si>
    <t>Specialized X-ray: Computed Tomography, Dialysis Clinic; Physical Medicine and Rehabilitation Unit</t>
  </si>
  <si>
    <t>ASC (General Surgery, Otorhinolaryngologic surgery, pediatric surgery, reproductive health surgery, urologic surgery)
rHIVda Confirmatory Laboratory
Dialysis Clinic
Blood bank
Special Diagnostic X-ray Service: Dental</t>
  </si>
  <si>
    <t>1/Type II/Plate No. DAP 4327</t>
  </si>
  <si>
    <t>2/Type II/ Plate # VK4553, A62586</t>
  </si>
  <si>
    <t>CT scan</t>
  </si>
  <si>
    <t>Dr. Andro Jesus Fernandez</t>
  </si>
  <si>
    <t>044-816-4331/0923-1674-125</t>
  </si>
  <si>
    <t>bsmchrdepartment@gmail.com</t>
  </si>
  <si>
    <t>Ma. Isabel Gallardo, MD</t>
  </si>
  <si>
    <t>03-0143-26-h2-2</t>
  </si>
  <si>
    <t>0917-512-6883</t>
  </si>
  <si>
    <t>talaverageneralhospital@gmail.com</t>
  </si>
  <si>
    <t>03-0182-26-H2-1</t>
  </si>
  <si>
    <t>241</t>
  </si>
  <si>
    <t>3139</t>
  </si>
  <si>
    <t>Dr. Abdulwaduod H. Abubakar, MD, FSGS, DPBS</t>
  </si>
  <si>
    <t>0927-6088717</t>
  </si>
  <si>
    <t>Angeles City</t>
  </si>
  <si>
    <t>sulusanitarium@ymail.com</t>
  </si>
  <si>
    <t>P. Burgos St. Poblacion</t>
  </si>
  <si>
    <t>Ninoy Aquino Ave.Clark Airbase, Clark</t>
  </si>
  <si>
    <t>AIRFORCE CITY HOSPITAL</t>
  </si>
  <si>
    <t>DR. YANGA'S HOSPITAL, INC.</t>
  </si>
  <si>
    <t>AFP</t>
  </si>
  <si>
    <t>09-0045-25-H1-1</t>
  </si>
  <si>
    <t>1/Type I/Plate# F5J090</t>
  </si>
  <si>
    <t>ASC- Colorectal S., General S., Ophtha. S. Ortho. S., Otorhinolaryngologic S., Thoracic Surgery,  Dental Clinic, Physical Medicine and Rehabilitation Unit
Diagnostic X-ray Level 3, Specialized X-ray- CT, Mammo; Respiratory Unit; ICU - 4</t>
  </si>
  <si>
    <t>1/Type I/Plate# UZQ172</t>
  </si>
  <si>
    <t>Camiguin</t>
  </si>
  <si>
    <t>Mambajao</t>
  </si>
  <si>
    <t>Lakas, Poblacion</t>
  </si>
  <si>
    <t>Col. Darwin R. Farnacio, MHA</t>
  </si>
  <si>
    <t>CAMIGUIN GENERAL HOSPITAL</t>
  </si>
  <si>
    <t>045-599-2014
09338563035</t>
  </si>
  <si>
    <t>AFCH2013@yahoo.com
afch.aibdc@gmail.com</t>
  </si>
  <si>
    <t>Dr. Ma. Theresa B. Flores</t>
  </si>
  <si>
    <t>03-0146-26-H1-1</t>
  </si>
  <si>
    <t>044-692-5307</t>
  </si>
  <si>
    <t>dyhhospital2020@gmail.com</t>
  </si>
  <si>
    <t>Level 2 X-ray Services, Computed Tomography</t>
  </si>
  <si>
    <t>03-0116-26-H1-2</t>
  </si>
  <si>
    <t>4 / Type 1 / Plate#s A8D731, A8D706, SNC 1076, and Cond. Sticker #F4B846</t>
  </si>
  <si>
    <t>5985</t>
  </si>
  <si>
    <t>Bunlo</t>
  </si>
  <si>
    <t>Dr. Gretchen L. Cabalang</t>
  </si>
  <si>
    <t>Lot CIAC-AI Along Mabalacat-Angeles Road, Southern Gateway, Clark Freeport Zone</t>
  </si>
  <si>
    <t>MT. CARMEL MEDICAL CENTER OF BULACAN, INC.</t>
  </si>
  <si>
    <t>(088)387-0535 / telefax (088)387-1216 / 09261495580</t>
  </si>
  <si>
    <t>PAMPANGA PROVINCIAL HOSPITAL - CLARK</t>
  </si>
  <si>
    <t>camgenhospital@yahoo.com / camgenhospital@gmail.com</t>
  </si>
  <si>
    <t>10-0030-25-H1-1</t>
  </si>
  <si>
    <t>Lanao del Sur</t>
  </si>
  <si>
    <t>Marawi City</t>
  </si>
  <si>
    <t>ASC (Colorectal); Diagnostic X-ray Level 2</t>
  </si>
  <si>
    <t>Barangay Datu Saber, 9700 Marawi City, Lanao Del Sur</t>
  </si>
  <si>
    <t>1/Type II// Plate # SGB 1131</t>
  </si>
  <si>
    <t>AMAI PAKPAK MEDICAL CENTER</t>
  </si>
  <si>
    <t>ACE Cor Medical Services INc.</t>
  </si>
  <si>
    <t>Dr. Filfernan Malto</t>
  </si>
  <si>
    <t>Anatomic Pathology, Blood Bank (with additional function to collect, test &amp; process), HIV Testing Laboratory, Specialized Diagnostic X-ray Servicess</t>
  </si>
  <si>
    <t>pph_clark@pampanga.gov.ph</t>
  </si>
  <si>
    <t>Dr. Ethel Christine Tordesillas,MHA</t>
  </si>
  <si>
    <t>03-0232-26-H2-1</t>
  </si>
  <si>
    <t>044-769-0504</t>
  </si>
  <si>
    <t>New Facility</t>
  </si>
  <si>
    <t>mtcarmelmedicalcenter@gmail.com</t>
  </si>
  <si>
    <t>Dr. Shalimar Rakiin</t>
  </si>
  <si>
    <t>03-0191-26-H1-2</t>
  </si>
  <si>
    <t>(063) 876 0001</t>
  </si>
  <si>
    <t>3666</t>
  </si>
  <si>
    <t>info@apmc.doh.gov.ph</t>
  </si>
  <si>
    <t>Villa Rosario, Pampang,Angeles City</t>
  </si>
  <si>
    <t>RAFAEL LAZATIN MEMORIAL MEDICAL CENTER</t>
  </si>
  <si>
    <t>DOH002165</t>
  </si>
  <si>
    <t>187 J.P Rizal St., Binang Ii</t>
  </si>
  <si>
    <t>ST. PAUL HOSPITAL BULACAN, INC</t>
  </si>
  <si>
    <t>Misamis Occidental</t>
  </si>
  <si>
    <t>Ozamiz City</t>
  </si>
  <si>
    <t>Maningcol</t>
  </si>
  <si>
    <t>MAYOR HILARION A. RAMIRO SR. MEDICAL CENTER</t>
  </si>
  <si>
    <t>HBB+, rHIVda Confirmatory Laboratory, Dialysis, ASC (Colorectal, General, Ophthalmologic, Orthopedic, Otorhinolaryngologic, Plastic and Reconstructive, Reproductive Health, Thoracic and Urologic), Level 2 Diagnostic Xray</t>
  </si>
  <si>
    <t>3/Type I/ Plate # F4D155; F4B833;  A2ZB760</t>
  </si>
  <si>
    <t>Blood Bank (with addt'l function to collect, test and process blood), Computed Tomography and Dental, Dialysis Clinic,  G6PD Confirmatory , rHIVda Confirmatory Laboratory, HIV Testing Laboratory, Anatomic Pathology (cytology, Surgical and Frozen Section)</t>
  </si>
  <si>
    <t>Dr. Froilan Canlas</t>
  </si>
  <si>
    <t>045-322-4495
'0943-497-2069</t>
  </si>
  <si>
    <t>3 units (1 unit / Type 2; 2 units / Type 1 / CS No. F30 858 &amp; F3V 603)</t>
  </si>
  <si>
    <t>ona_rlmmc@yahoo.com</t>
  </si>
  <si>
    <t>NICU - 4; HRPU -1; ASC (Colorectal, General, Ophthalmologic Surgery, Orthopedic, Otorhinolargyngologic, Pediatric, Reproductive Health, Thoracic and Urologic); Tertiary Category Clinical Laboratory, Physical Medicine and Rehabilitation Unit, Diagnostic Xray (level 2); Specialized: CT</t>
  </si>
  <si>
    <t>03-0160-26-H1-1</t>
  </si>
  <si>
    <t>(088)521-0440 /(088)521-0022</t>
  </si>
  <si>
    <t>mharsmc@mharsmc.doh.gov.ph</t>
  </si>
  <si>
    <t>258</t>
  </si>
  <si>
    <t>DOH006039</t>
  </si>
  <si>
    <t>Arayat</t>
  </si>
  <si>
    <t>Dr. Filemon Pescador</t>
  </si>
  <si>
    <t>San Agustin Norte,Arayat</t>
  </si>
  <si>
    <t>044-794-1955/0923-606-3862</t>
  </si>
  <si>
    <t>DR. EMIGDIO C. CRUZ SR. MEMORIAL HOSPITAL</t>
  </si>
  <si>
    <t>sphbulacan.inc@gmail.com</t>
  </si>
  <si>
    <t>03-0047-26-H1-2</t>
  </si>
  <si>
    <t>Diagnostic X-ray Level2, Dental Clinic, ASC (General)</t>
  </si>
  <si>
    <t>1/ Type I/ IOK 757</t>
  </si>
  <si>
    <t>Dr. Jayson S. Balita
OIC COH</t>
  </si>
  <si>
    <t>Bustos</t>
  </si>
  <si>
    <t>045-885-0737
09199926379</t>
  </si>
  <si>
    <t>eccsmh@gmail.com</t>
  </si>
  <si>
    <t>Misamis Oriental</t>
  </si>
  <si>
    <t>SNH BUSTOS CORPORATION</t>
  </si>
  <si>
    <t>03-0074-26-H1-1</t>
  </si>
  <si>
    <t>Cagayan de Oro City</t>
  </si>
  <si>
    <t>Capitol Compound, Cagayan De Oro City</t>
  </si>
  <si>
    <t>NORTHERN MINDANAO MEDICAL CENTER</t>
  </si>
  <si>
    <t>1901</t>
  </si>
  <si>
    <t>Floridablanca</t>
  </si>
  <si>
    <t>Basa Airbase, Floridablanca</t>
  </si>
  <si>
    <t>BASA AIRBASE HOSPITAL</t>
  </si>
  <si>
    <t>Blood Bank (with addt'l function to collect, test and process blood), Computed Tomography, Dental, rHIVda Confirmatory Laboratory, HIV Testing Laboratory</t>
  </si>
  <si>
    <t>Diagnostic X-ray Level 2; Specialized Diagnostic X-ray Services: Computed Tomography</t>
  </si>
  <si>
    <t>1/Type I/Plate# WOC604</t>
  </si>
  <si>
    <t>Diagnostic Xray (Level 2), Dental Clinic</t>
  </si>
  <si>
    <t>1/Type I/ Plate# 040110</t>
  </si>
  <si>
    <t>Dr. Pablito F. Mendoza</t>
  </si>
  <si>
    <t>044-761-8337/0917-637-2153</t>
  </si>
  <si>
    <t>snhbustscrpration@yahoo.com</t>
  </si>
  <si>
    <t>Dr. Jose C. Chan</t>
  </si>
  <si>
    <t>03-0211-26-H1-2</t>
  </si>
  <si>
    <t>(08822) 72-63-62</t>
  </si>
  <si>
    <t>LTC Cherry V. Sison MC</t>
  </si>
  <si>
    <t>nmmc_cdo@yahoo.com</t>
  </si>
  <si>
    <t>045-299-9700loc 3567</t>
  </si>
  <si>
    <t>babhadwpaf@yahoo.com</t>
  </si>
  <si>
    <t>03-0075-26-H1-1</t>
  </si>
  <si>
    <t>DOH006049</t>
  </si>
  <si>
    <t>2576</t>
  </si>
  <si>
    <t>F. Fajardo St. Poblacion</t>
  </si>
  <si>
    <t>STA. CRUZ MULTISPECIALTY HOSPITAL, INC. (FORMERLY STA. CRUZ HOSPITAL)</t>
  </si>
  <si>
    <t>San Jose,Floridablanca</t>
  </si>
  <si>
    <t>ROMANA PANGAN DISTRICT HOSPITAL</t>
  </si>
  <si>
    <t>Davao del Norte</t>
  </si>
  <si>
    <t>Tagum City</t>
  </si>
  <si>
    <t>Diagnostic X-ray Level2, Dental Clinic, ASC (General, Otorhinolaryngologic, Pediatric, Reproductive Health)</t>
  </si>
  <si>
    <t>Apokon, Tagum City</t>
  </si>
  <si>
    <t>DAVAO REGIONAL MED. CENTER</t>
  </si>
  <si>
    <t>1/Type I/ IOK K755</t>
  </si>
  <si>
    <t>Diagnostic X-ray Level 2; Specialized: CT; ASC Ophthalmologic Surgery (Sta. Cruz Eye Center Corporation)</t>
  </si>
  <si>
    <t>1/Type I/ Plate# AAU9761</t>
  </si>
  <si>
    <t>Rachell P. Gutierrez, M.D., MHM</t>
  </si>
  <si>
    <t>045-970-0488
09336205494</t>
  </si>
  <si>
    <t>romanapangan_district@yahoo.com
rpdh@pampanga.gov.ph
romana.pangan.district.1965@gmail.com</t>
  </si>
  <si>
    <t>Dr. Corazon de Jesus-Josue</t>
  </si>
  <si>
    <t>03-0079-26-H1-1</t>
  </si>
  <si>
    <t>044-202-4263</t>
  </si>
  <si>
    <t>Blood Bank (with additional function to collect, test &amp; process), HIV Testing Laboratory, Specialized Diagnostic X-ray Servicess, Radiology Oncology, Dental X-ray Services</t>
  </si>
  <si>
    <t>stacruzhosp@yahoo.com.ph</t>
  </si>
  <si>
    <t>03-0106-26-H1-2</t>
  </si>
  <si>
    <t>256</t>
  </si>
  <si>
    <t>Guagua</t>
  </si>
  <si>
    <t>Sta. Rita,Guagua</t>
  </si>
  <si>
    <t>1945</t>
  </si>
  <si>
    <t>DIOSDADO P. MACAPAGAL MEMORIAL HOSPITAL</t>
  </si>
  <si>
    <t># 113 Cagayan Valley Road</t>
  </si>
  <si>
    <t>GUIGUINTO POLYMEDIC HOSPITAL, INC.</t>
  </si>
  <si>
    <t>Dr. Bryan O. Dalid</t>
  </si>
  <si>
    <t>084-400-3347/4003050</t>
  </si>
  <si>
    <t>Dental Clinic, Ambulatory Surgical Clinic (General, Pediatric, Reproductive), Molecular Pathology - Pampanga Molecular Laboratory (Covid-19, Hepatitis B &amp;C, HIV, Tuberculosis, dengue confirmatory), Diagnostic X-ray Level2
 Specialized X-ray: Computed Tomography, Dental</t>
  </si>
  <si>
    <t>cao@drmc.doh.gov.p</t>
  </si>
  <si>
    <t>1/Type I/ SAA 2239</t>
  </si>
  <si>
    <t>DOH000268</t>
  </si>
  <si>
    <t>Diagnostic X-ray Level 2 Specialized X-ray- CT, ASC (Ophthalmologic Surgery)</t>
  </si>
  <si>
    <t>Dr. Fleur-De-Lis M. Zapanta</t>
  </si>
  <si>
    <t>1/Type I/ Plate# CAG 6090</t>
  </si>
  <si>
    <t>045-900-2112
09334633808</t>
  </si>
  <si>
    <t>dpmmhguagua@gmail.com</t>
  </si>
  <si>
    <t>03-0094-26-H1-1</t>
  </si>
  <si>
    <t>Dr. Rafael Cruz</t>
  </si>
  <si>
    <t>Davao del Sur</t>
  </si>
  <si>
    <t>044-794-0788</t>
  </si>
  <si>
    <t>4604</t>
  </si>
  <si>
    <t>guiguintopolymedichospital@yahoo.com</t>
  </si>
  <si>
    <t>Davao City</t>
  </si>
  <si>
    <t>03-0115-26-H1-2</t>
  </si>
  <si>
    <t>Lubao</t>
  </si>
  <si>
    <t>J.P. Laurel Ave., Bajada</t>
  </si>
  <si>
    <t>Plaza, San Nicolas 1St,Poblacion, Lubao</t>
  </si>
  <si>
    <t>SOUTHERN PHILIPPINES MEDICAL CENTER</t>
  </si>
  <si>
    <t>ESCOLASTICA ROMERO DISTRICT HOSPITAL</t>
  </si>
  <si>
    <t>5964</t>
  </si>
  <si>
    <t>Halang, San Pedro</t>
  </si>
  <si>
    <t>DIVINE WORD HOSPITAL</t>
  </si>
  <si>
    <t>Diagnostic X-ray Level2; Specialized X-ray - CT; NICU- 15 Bassinets. Tertiary Lab, Mobile clinical Laboratory, Dental Clinic</t>
  </si>
  <si>
    <t>HIV Testing Laboratory, Psychiatric Care Facility-Acute Chronic, rHIVda Confirmatory Laboratory, Cancer Treatment Unit, Specialized Diagnostic X-ray Services,</t>
  </si>
  <si>
    <t>2/Type I/ IOK 759; SND 3128</t>
  </si>
  <si>
    <t>3 Units</t>
  </si>
  <si>
    <t>Dr. Zenon V. Ponce</t>
  </si>
  <si>
    <t>045-971-6329</t>
  </si>
  <si>
    <t>escolasticaromero_hospital@yahoo.com</t>
  </si>
  <si>
    <t>Emilio G. Perez Memorial Hospital</t>
  </si>
  <si>
    <t>03-0023-26-H1-1</t>
  </si>
  <si>
    <t>Dr. Mahala M. Maborang</t>
  </si>
  <si>
    <t>Dr. Ricardo Audan</t>
  </si>
  <si>
    <t>044-793-0034</t>
  </si>
  <si>
    <t>3754</t>
  </si>
  <si>
    <t>082-2272731</t>
  </si>
  <si>
    <t>divinewordhospital2023@gmail.com</t>
  </si>
  <si>
    <t>coh.spmc@gmail.com</t>
  </si>
  <si>
    <t>03-0224-26-H1-2</t>
  </si>
  <si>
    <t>Mabalacat City</t>
  </si>
  <si>
    <t>Dau, Mabalacat</t>
  </si>
  <si>
    <t>MABALACAT DISTRICT HOSPITAL</t>
  </si>
  <si>
    <t>DOH000275</t>
  </si>
  <si>
    <t>25678</t>
  </si>
  <si>
    <t>Toma Cruz Street, Sto. Ñiño</t>
  </si>
  <si>
    <t>MATEO-MABBORANG GENERAL HOSPITAL</t>
  </si>
  <si>
    <t>Diagnostic X-ray Level2, Dental Clinic, ASC (General), rHIVda Confirmatory Laboratory</t>
  </si>
  <si>
    <t>1/Type I/ F5J 087</t>
  </si>
  <si>
    <t>Davao Occidental</t>
  </si>
  <si>
    <t>Diagnostic X-ray Level 2
 Specialized X-ray- CT</t>
  </si>
  <si>
    <t>Malita</t>
  </si>
  <si>
    <t>Dr. Vincent Rasalan</t>
  </si>
  <si>
    <t>045-3312801/09951081032</t>
  </si>
  <si>
    <t>Lacaron, Malita, Davao Occidental</t>
  </si>
  <si>
    <t>mdh_mabalacat@yahoo.com.ph
mdh@pampanga.gov.ph
lovelycozma@gmail.com</t>
  </si>
  <si>
    <t>Emilio G. Perez Memorial District Hospital</t>
  </si>
  <si>
    <t>03-0159-26-H1-1</t>
  </si>
  <si>
    <t>DAVAO OCCIDENTAL GENERAL HOSPITAL</t>
  </si>
  <si>
    <t>Dr. Erwin P. Mabborang</t>
  </si>
  <si>
    <t>044-793-5574</t>
  </si>
  <si>
    <t>629</t>
  </si>
  <si>
    <t>mateo_mabborang@yahoo.com</t>
  </si>
  <si>
    <t>03-0225-26-H1-2</t>
  </si>
  <si>
    <t>Macabebe</t>
  </si>
  <si>
    <t>Batasan, Macabebe</t>
  </si>
  <si>
    <t>DOMINGO B. FLORES DISTRICT HOSPITAL</t>
  </si>
  <si>
    <t>43642</t>
  </si>
  <si>
    <t>Capitol View Park Subdivision, Brgy. Bulihan</t>
  </si>
  <si>
    <t>MOA</t>
  </si>
  <si>
    <t>Diagnostic X-ray Level2, Dental Clinic</t>
  </si>
  <si>
    <t>ALLIED CARE EXPERTS (ACE) MALOLOS DOCTORS, INC.</t>
  </si>
  <si>
    <t>1/Type I/ Plate# IOK 753</t>
  </si>
  <si>
    <t>Dr. Nathaniel Miguel Mercado</t>
  </si>
  <si>
    <t>ASC (General S., Pediatric S, Plastic and Reconstructive S, Thoracic S, Reproductive Health S, Colorectal S, Orthopedic, Urologic, OMF, Otorhinolaryngologic), Cancer Treatment Unit, Dialysis Clinic - 12, Pedia ICU - 3 Beds, Physical Medicine and Rehabilitation Unit (RMAR Corporation), Diagnostic X-ray Services (Level 3), Specialized Diagnostic X-ray Services: CT, Mammography, MRI, Dental)</t>
  </si>
  <si>
    <t>045-921-3733
09209684084</t>
  </si>
  <si>
    <t>Dr. Glinard L. Quezada</t>
  </si>
  <si>
    <t>bethlili.hernandez@gmail.com</t>
  </si>
  <si>
    <t>03-0165-26-H1-1</t>
  </si>
  <si>
    <t>Type II, CS No. F4 K651</t>
  </si>
  <si>
    <t>11-35-25-40-H1-1</t>
  </si>
  <si>
    <t>1844</t>
  </si>
  <si>
    <t>Dr. Bethoven Go</t>
  </si>
  <si>
    <t>044-816-7698/0933-817-2327</t>
  </si>
  <si>
    <t>Magalang</t>
  </si>
  <si>
    <t>ace.malolos.doctors@gmail.com</t>
  </si>
  <si>
    <t>San Pablo,Magalang</t>
  </si>
  <si>
    <t>DR. ANDRES LUCIANO DISTRICT HOSPITAL</t>
  </si>
  <si>
    <t>03-0197-26-H2-2</t>
  </si>
  <si>
    <t>25677</t>
  </si>
  <si>
    <t>Maguindanao</t>
  </si>
  <si>
    <t>Sultan Kudarat</t>
  </si>
  <si>
    <t># 44 Camia Street, Brgy. Dakila</t>
  </si>
  <si>
    <t>1/Type I/F5J 101</t>
  </si>
  <si>
    <t>Ungap, Sultan Kudarat</t>
  </si>
  <si>
    <t>GRAMAN MEDICAL &amp; MATERNITY HOSPITAL INC.</t>
  </si>
  <si>
    <t>COTABATO SANITARIUM AND GENERAL HOSPITAL</t>
  </si>
  <si>
    <t>Dr. Miriam Sun-Arenas</t>
  </si>
  <si>
    <t>045-866-0400
09228303159</t>
  </si>
  <si>
    <t>balitucandistrict@yahoo.com</t>
  </si>
  <si>
    <t>03-0108-26-H1-1</t>
  </si>
  <si>
    <t>Dialysis Clinic - 13,tertiary lab, ICU - 3, NICU - 4, ASC (Thoracic), Diagnostic Xray (Level 2); Specialized: CT, Covid 19 testing lab: RT-PCR,cartidge based PCR</t>
  </si>
  <si>
    <t>1/ Type I/ Plate# AQA5453</t>
  </si>
  <si>
    <t>23749</t>
  </si>
  <si>
    <t>200 (GENERAL-100/CUSTODIAL-100)</t>
  </si>
  <si>
    <t>Mexico</t>
  </si>
  <si>
    <t>Mexico-Magalang Rd, San Carlos, Mexico</t>
  </si>
  <si>
    <t>Dr. Anna Grace R. Sevilla</t>
  </si>
  <si>
    <t>044-896-2292/ 0917 544 1793</t>
  </si>
  <si>
    <t>MEXICO COMMUNITY HOSPITAL</t>
  </si>
  <si>
    <t>gramanHospital@yahoo.com</t>
  </si>
  <si>
    <t>Dialysis Clinic, Diagnostic X-ray Services, rHIVda Confirmatory Laboratory (4/12/24)</t>
  </si>
  <si>
    <t>03-0210-26-H1-2</t>
  </si>
  <si>
    <t>NAO4136, N2A515</t>
  </si>
  <si>
    <t>3159</t>
  </si>
  <si>
    <t>Mcarthur Hi-Way</t>
  </si>
  <si>
    <t>ASC-General Surgery, Thoracic Surgery, Reproductive Health Surgery, Dialysis Station, Diagnostic X-ray Level2,Specialized: Dental and CT, Dental Clinic,</t>
  </si>
  <si>
    <t>MALOLOS MATERNITY HOSPITAL &amp; EYE CENTER</t>
  </si>
  <si>
    <t>1/Type I/ CS# F4J895</t>
  </si>
  <si>
    <t>Mexico Community Hospital</t>
  </si>
  <si>
    <t>ASC-Ophthalmologic Surgery</t>
  </si>
  <si>
    <t>Dr. Judith Katherine Borromeo</t>
  </si>
  <si>
    <t>045-966-3719</t>
  </si>
  <si>
    <t>mexicocommunity.hospital@yahoo.com
billymalonzo@gmail.com
mch_phic@yahoo.com</t>
  </si>
  <si>
    <t>03-0162-26-H1-1</t>
  </si>
  <si>
    <t>Santissima Trinidad Hospital</t>
  </si>
  <si>
    <t>Municipality of Mexico</t>
  </si>
  <si>
    <t>Dr. Carolyn R. Crisostomo</t>
  </si>
  <si>
    <t>4053</t>
  </si>
  <si>
    <t>044-791-1930/ 0968-711-6982</t>
  </si>
  <si>
    <t>IBRAHIM V. PANGATO JR., MD, MAHA, CESE</t>
  </si>
  <si>
    <t>kgcbcris@yahoo.com.ph</t>
  </si>
  <si>
    <t>Porac</t>
  </si>
  <si>
    <t>03-0043-26-H1-2</t>
  </si>
  <si>
    <t>Babo Sacan, Porac</t>
  </si>
  <si>
    <t>cotsan1936@gmail.com</t>
  </si>
  <si>
    <t>JOSE SONGCO LAPID DISTRICT HOSPITAL</t>
  </si>
  <si>
    <t>4830</t>
  </si>
  <si>
    <t>12-016-25-H2-1</t>
  </si>
  <si>
    <t>MALOLOS SAN VICENTE HOSPITAL</t>
  </si>
  <si>
    <t>1/Type I/ SAA2238</t>
  </si>
  <si>
    <t>Dr. Edel Marla S. Tiamson</t>
  </si>
  <si>
    <t>045-963-0494
09420282818</t>
  </si>
  <si>
    <t>pdhphic@yahoo.com
jsldh.porac@gmail.com</t>
  </si>
  <si>
    <t>ASC-Colorectal,General,Orthopedic,Pediatric,Reproductive Health,Thoracic</t>
  </si>
  <si>
    <t>03-0141-26-H1-1</t>
  </si>
  <si>
    <t>North Cotabato</t>
  </si>
  <si>
    <t>Cotabato City</t>
  </si>
  <si>
    <t>Sinsuat Avenue, Cotabato City</t>
  </si>
  <si>
    <t>271</t>
  </si>
  <si>
    <t>COTABATO REGIONAL AND MEDICAL CENTER</t>
  </si>
  <si>
    <t>1/Type I/ Plate# AJA 5173</t>
  </si>
  <si>
    <t>Dr. Corazon Tantoco-Villan</t>
  </si>
  <si>
    <t>044-791-5760</t>
  </si>
  <si>
    <t>malolossanvicentehospital@yahoo.com.ph</t>
  </si>
  <si>
    <r>
      <rPr>
        <rFont val="Arial"/>
        <b/>
        <color rgb="FFFFFFFF"/>
        <sz val="15.0"/>
      </rPr>
      <t xml:space="preserve">Regional Distribution of Authorized Bed Capacity Per Region
</t>
    </r>
    <r>
      <rPr>
        <rFont val="Arial"/>
        <b/>
        <color rgb="FFE69138"/>
        <sz val="15.0"/>
      </rPr>
      <t>(as of December 31, 2026)</t>
    </r>
  </si>
  <si>
    <t>03-0135-26-H1-2</t>
  </si>
  <si>
    <t>Blood Bank (with additional function to collect, test &amp; process), rHIVda Confirmatory Laboratory, HIV Testing Laboratory, Laboratory for Drinking Water Analysis, Specialized Diagnostic X-ray Servicess, Dental X-ray Services</t>
  </si>
  <si>
    <t>5975</t>
  </si>
  <si>
    <t>F.Estrella St., Sto. Rosario</t>
  </si>
  <si>
    <t>MARY IMMACULATE MATERNITY AND GENERAL HOSPITAL INC</t>
  </si>
  <si>
    <t>Dr. Ishmael R. Demaren, MHA, FPCS, FPSGS, FPSCRS</t>
  </si>
  <si>
    <t>(064) 421-2340.</t>
  </si>
  <si>
    <t>crmc_12@yahoo.com</t>
  </si>
  <si>
    <t>DOH000459</t>
  </si>
  <si>
    <t>NICU - 4, HRPU, Diagnostic Xray (L2), Clinical Laboratory (Tertiary)</t>
  </si>
  <si>
    <t>1/Type I/ Plate# NDX 4517</t>
  </si>
  <si>
    <t>South Cotabato</t>
  </si>
  <si>
    <t>Surallah</t>
  </si>
  <si>
    <t>Crossing Curva, Brgy. Dajay, Surallah</t>
  </si>
  <si>
    <t>SOCCSKSARGEN GENERAL HOSPITAL</t>
  </si>
  <si>
    <t>Dr. Ana Maria Malabanan</t>
  </si>
  <si>
    <t xml:space="preserve">HBB++, rHIVda Confirmatory Lab, Acute Psychiatric Care Facility-10, Covid-19 (SARS-CoV-2) Testing Laboratory: RT-PCR &amp; Cartridge-Based, Specialized X-ray: CT , Mammography, Lithotripsy, Cardiac Catheterization, Digital Subtraction Angiography, Dental, MRI, Clinical Laboratory for Molecular pathology (RT-PCR) SarsCov2/FluA/FLUB/RSV, PCR,M.Pox Virus,PCR, Leptospira, HCV Voral Load, HIV Viral load, HBV Viral Load, PCR, B. Pertussis and other atypical pathogens 
Multiple PCR ; Respiratory panel, Pneumonia Panel, Meningitis Panel, LAMP, Dengue Viral RNA, VPD, Measles/RubellaM. , VPD Japanese Encephalitis, VPD, Rotavirus Ag, MTB/RIF Detection, MTB/XDR Detection </t>
  </si>
  <si>
    <t>044-791-7274</t>
  </si>
  <si>
    <t>mimh99@yahoo.com.ph</t>
  </si>
  <si>
    <t>TOTAL GOV'T.</t>
  </si>
  <si>
    <t>03-0178-26-H1-2</t>
  </si>
  <si>
    <t>St. Theresa Dialysis Center- 20 units
JBLMGH- 8 units</t>
  </si>
  <si>
    <t>7650</t>
  </si>
  <si>
    <t xml:space="preserve">Diagnostic X-ray (Level 2)
Pharmacy
</t>
  </si>
  <si>
    <t>03-0202-26-H3-1</t>
  </si>
  <si>
    <t>Mojon Road</t>
  </si>
  <si>
    <t>2
Type 1
F3W177 , CR no. 47373797-2 
N2A509 , CR no. 450946506</t>
  </si>
  <si>
    <t>TOTAL PRIVATE</t>
  </si>
  <si>
    <t>43735</t>
  </si>
  <si>
    <t>CERIL M. BORROMEO, MD, FPPS, MHA</t>
  </si>
  <si>
    <t>Peo Cmpd, Mcarthur Highway, Sindalan</t>
  </si>
  <si>
    <t>OFELIA MENDOZA MATERNITY &amp; GENERAL HOSPITAL</t>
  </si>
  <si>
    <t>OFW HOSPITAL</t>
  </si>
  <si>
    <t>sghregionxii@gmail.com</t>
  </si>
  <si>
    <t>DMW</t>
  </si>
  <si>
    <t>12-028-25-H1-1</t>
  </si>
  <si>
    <t>Surigao del Norte</t>
  </si>
  <si>
    <t>Dapa</t>
  </si>
  <si>
    <t>BARANGAY 1 (POB.)</t>
  </si>
  <si>
    <t>SIARGAO ISLAND MEDICAL CENTER</t>
  </si>
  <si>
    <t>Specialized Diagnostic X-ray Services (Level 3)
Computed Tomography</t>
  </si>
  <si>
    <t>Ofelia L. Mendoza Maternity and General Hospital (Liang)</t>
  </si>
  <si>
    <t>X-ray (Level 1)</t>
  </si>
  <si>
    <t>Ambulance Service Type I</t>
  </si>
  <si>
    <t>Dr. Ofelia L. Mendoza</t>
  </si>
  <si>
    <t>044-662-5060/09087719612</t>
  </si>
  <si>
    <t>1/Type II/ CS# K1V436</t>
  </si>
  <si>
    <t>olmmgh@yahoo.com</t>
  </si>
  <si>
    <t>03-0148-26-H1-2</t>
  </si>
  <si>
    <t>Dr. Chloe C. Digal</t>
  </si>
  <si>
    <t>(0950) 536 2182</t>
  </si>
  <si>
    <t>siargaodh@gmail.com</t>
  </si>
  <si>
    <t>16-15-25-H1-1</t>
  </si>
  <si>
    <t>Dr. Jose Dante Dator</t>
  </si>
  <si>
    <t>2919</t>
  </si>
  <si>
    <t>ofwhospital@gmail.com</t>
  </si>
  <si>
    <t>DOH043735</t>
  </si>
  <si>
    <t>#4 Guareno St., Liang</t>
  </si>
  <si>
    <t>*c/o central office. no forwarded LTO</t>
  </si>
  <si>
    <t>Surigao City</t>
  </si>
  <si>
    <t>7484</t>
  </si>
  <si>
    <t>CARAGA REGIONAL HOSPITAL</t>
  </si>
  <si>
    <t>Bulaon Resettlement Csfp</t>
  </si>
  <si>
    <t>Dialysis</t>
  </si>
  <si>
    <t>RICARDO P. RODRIGUEZ MEMORIAL HOSPITAL</t>
  </si>
  <si>
    <t>1/Type I/Plate# ABA9021</t>
  </si>
  <si>
    <t>1 Type II-ALS, CS. F4H413</t>
  </si>
  <si>
    <t>Dr. Edward Mendoza</t>
  </si>
  <si>
    <t>044-791-0003/09175173234</t>
  </si>
  <si>
    <t>Dr. Cheryl A. Gotinga, DPPS</t>
  </si>
  <si>
    <t>ASC- General Surgery, Dental Clinic, Level 2 Diagnostic Xray</t>
  </si>
  <si>
    <t>826-24-59/ 826-31-57/826-1748</t>
  </si>
  <si>
    <t>03-0151-26-H1-2</t>
  </si>
  <si>
    <t>caragahospital@gmail.com</t>
  </si>
  <si>
    <t>DOH001918</t>
  </si>
  <si>
    <t>1/Type I/ CS# IOK754</t>
  </si>
  <si>
    <t>350</t>
  </si>
  <si>
    <t>Surigao del Sur</t>
  </si>
  <si>
    <t>Tandag City</t>
  </si>
  <si>
    <t>Tandag, Surigao Del Sur</t>
  </si>
  <si>
    <t>702 Matimbo</t>
  </si>
  <si>
    <t>ADELA SERRA TY MEMORIAL MEDICAL CENTER</t>
  </si>
  <si>
    <t>Dr. Jingle Maray</t>
  </si>
  <si>
    <t>045-963-4240</t>
  </si>
  <si>
    <t>ROMEL CRUZ HOSPITAL</t>
  </si>
  <si>
    <t>ricardo_p_rodriguez_mem_hosp43@yahoo.com</t>
  </si>
  <si>
    <t>03-0032-26-H1-1</t>
  </si>
  <si>
    <t>Blood Bank (with additional function to collect, test &amp; process), rHIVda Confirmatory Laboratory, HIV Testing Laboratory, Specialized Diagnostic X-ray Servicess, Dialysis Station</t>
  </si>
  <si>
    <t>4297</t>
  </si>
  <si>
    <t>ASC-Ophthalmologic Surgery, Diagnostic X-ray Level 2, Dialysis Clinic - 8</t>
  </si>
  <si>
    <t>Janice P. Alcordo, RN, MD, FPCEM, FPAPSHPI, DIPMH, DPCHA, CHA</t>
  </si>
  <si>
    <t>211-37-00</t>
  </si>
  <si>
    <t>San Luis</t>
  </si>
  <si>
    <t>1/ Type I/ Plate# YHR562</t>
  </si>
  <si>
    <t>Sta. Lucia,San Luis</t>
  </si>
  <si>
    <t>DOH004707</t>
  </si>
  <si>
    <t>SAN LUIS DISTRICT HOSPITAL</t>
  </si>
  <si>
    <t>Dr. Romel B. Cruz</t>
  </si>
  <si>
    <t>044-791-3025</t>
  </si>
  <si>
    <t>romelcruzhospital@gmail.com</t>
  </si>
  <si>
    <t>502</t>
  </si>
  <si>
    <t>03-0221-26-H1-2</t>
  </si>
  <si>
    <t>1/Type I/ Plate# 030109</t>
  </si>
  <si>
    <t>Metro Manila</t>
  </si>
  <si>
    <t>Caloocan City</t>
  </si>
  <si>
    <t>Dr. Peralta St., Guinhawa Subd.</t>
  </si>
  <si>
    <t>St. Joseph Avenue (Dr. Uyguanco Street), Tala, Caloocan City</t>
  </si>
  <si>
    <t>SACRED HEART HOSPITAL OF MALOLOS, INC.</t>
  </si>
  <si>
    <t>DR. JOSE N. RODRIGUEZ MEMORIAL HOSPITAL AND SANITARIUM</t>
  </si>
  <si>
    <t>Dr. Rommel Tolentino</t>
  </si>
  <si>
    <t>sldhosp@yahoo.com</t>
  </si>
  <si>
    <t>03-0176-26-H1-1</t>
  </si>
  <si>
    <t>3743</t>
  </si>
  <si>
    <t>Blood Bank with additional function, Laboratory for Drinking Water Analysis, Sanitarium (1,900 beds), Special Diagnostic X-ray Services</t>
  </si>
  <si>
    <t>Dialysis - 10, Physical Medicine and Rehabilitation Unit, ASC (General, Colorectal, Otorhinolaryngologic, Pediatric, Plastic and Reconstructive, Thoracic, Urologic, Reproductive Health, Ophthalmologic. Orthopedic), Cancer Treatment Unit, Diagnostic (Level 3), Specialized: CT, Mammography, MRI</t>
  </si>
  <si>
    <t>Tarlac</t>
  </si>
  <si>
    <t>Camiling</t>
  </si>
  <si>
    <t>1, Type II, Plate No. NFL8599</t>
  </si>
  <si>
    <t>Brgy. Malacampa,Camiling</t>
  </si>
  <si>
    <t>GILBERTO O. TEODORO MEMORIAL HOSPITAL</t>
  </si>
  <si>
    <t>Dr. Deogracias Alberto G. Reyes</t>
  </si>
  <si>
    <t>044-791-7177</t>
  </si>
  <si>
    <t>sacredheartmalolos@yahoo.com</t>
  </si>
  <si>
    <t>1. Type II-ALS, CS-A1U494
 2. Type II-ALS, CS-F4H475
 3. Type II-ALS, Plate No. NFN9289
 4. Type II-ALS, CS-F130109</t>
  </si>
  <si>
    <t>Diagnostic X-ray Services Level 2; ASC- General Surgery</t>
  </si>
  <si>
    <t>03-0216-26-H2-2</t>
  </si>
  <si>
    <t>1/Type I/ Plate# SAA2173</t>
  </si>
  <si>
    <t>DR. ALFONSO VICTORINO H. FAMARAN, MPA, FPCS-Medical Center Chief II</t>
  </si>
  <si>
    <t>(02) 8294 2571</t>
  </si>
  <si>
    <t>Dr. Alvin S. Villanueva</t>
  </si>
  <si>
    <t>Mabini, Pinagbakahan</t>
  </si>
  <si>
    <t>djnrmhs.hfdu@gmail.com</t>
  </si>
  <si>
    <t>0912-536-3921
'0939-938-6773</t>
  </si>
  <si>
    <t>SANTISSIMA TRINIDAD HOSPITAL</t>
  </si>
  <si>
    <t>teodoro.gilberto@yahoo.com</t>
  </si>
  <si>
    <t>03-0034-26-H1-1</t>
  </si>
  <si>
    <t>DOH000502</t>
  </si>
  <si>
    <t>Capas</t>
  </si>
  <si>
    <t>Municipal Comp., Sto. Domingo 2nd,Capas</t>
  </si>
  <si>
    <t>615</t>
  </si>
  <si>
    <t>OSPITAL NING CAPAS</t>
  </si>
  <si>
    <t>1/Type I/ Plate# KFB606</t>
  </si>
  <si>
    <t>Las Piñas City</t>
  </si>
  <si>
    <t>Dr. Erlinda J. Valerio</t>
  </si>
  <si>
    <t>Bernabe Compound, Pulanglupa, Las Piñas City</t>
  </si>
  <si>
    <t>0917-525-668/044-791-7331</t>
  </si>
  <si>
    <t>stma.trinidad@yahoo.com</t>
  </si>
  <si>
    <t>LAS PIÑAS GENERAL HOSPITAL &amp; SATELLITE TRAUMA CENTER</t>
  </si>
  <si>
    <t>03-0120-26-H1-2</t>
  </si>
  <si>
    <t>Diagnostic X-ray Services Level 2</t>
  </si>
  <si>
    <t>2/Type I/Plate# P40061; Plate# F4B844</t>
  </si>
  <si>
    <t>F. Estrella St. Sto Rosario</t>
  </si>
  <si>
    <t>SANTOS GENERAL HOSPITAL OF MALOLOS INC.</t>
  </si>
  <si>
    <t>Dr. Bienvenida Cabezon</t>
  </si>
  <si>
    <t>Blood Bank, rHIVda Confirmatory Lab, HIV Testing Lab, Special Diagnostic X-ray</t>
  </si>
  <si>
    <t>045-925-0154</t>
  </si>
  <si>
    <t>onc2k14@gmail.com</t>
  </si>
  <si>
    <t>1. Type II-ALS, CS-P6-F319
 2. Type II-ALS, CS-F2-1960
 3. Type II-ALS, CS-F4-H390</t>
  </si>
  <si>
    <t>03-0201-26-H1-1</t>
  </si>
  <si>
    <t>Municipality of Capas</t>
  </si>
  <si>
    <t>1/Type I/ Plate# NAZ 8672</t>
  </si>
  <si>
    <t>2405</t>
  </si>
  <si>
    <t>DR. IGNACIA G. FAJARDO-Medical Center Chief I</t>
  </si>
  <si>
    <t>St. Jude Village, Brgy. Alfonso,Concepcion</t>
  </si>
  <si>
    <t>Dr. Ernesto B. Santos</t>
  </si>
  <si>
    <t>CONCEPCION DISTRICT HOSPITAL</t>
  </si>
  <si>
    <t>044-764-7370/0917-517-0433</t>
  </si>
  <si>
    <t>omcc@lpghstc.doh.gov.ph</t>
  </si>
  <si>
    <t>santosgen2013@gmail.com</t>
  </si>
  <si>
    <t>03-0186-26-H1-2</t>
  </si>
  <si>
    <t>DOH000615</t>
  </si>
  <si>
    <t>ASC-General surgery, Reproductive Health and Urologic Surgery, Orthopedic Surgery, Urologic Surgery, Diagnostic X-ray Level 2, Dental Clinic; Dialysis Clinic</t>
  </si>
  <si>
    <t>7031</t>
  </si>
  <si>
    <t>2/Type I/Plate# VG3543; Plate# F4B840</t>
  </si>
  <si>
    <t>Marilao</t>
  </si>
  <si>
    <t>C. Santiago St. Poblacion. 2,</t>
  </si>
  <si>
    <t>MARILAO ST. MICHAEL FAMILY HOSPITAL, INC.</t>
  </si>
  <si>
    <t>Dr. Resurreccion T. Quiambao</t>
  </si>
  <si>
    <t>045-923-0852
'0961-847-2866</t>
  </si>
  <si>
    <t>CDHtarlac.city@gmail.com</t>
  </si>
  <si>
    <t>03-0059-26-H1-1</t>
  </si>
  <si>
    <t>ASC- General Surgery,Diagnostic X-ray Level 2, Physical Medicine and Rehabilitation Unit</t>
  </si>
  <si>
    <t>7064</t>
  </si>
  <si>
    <t>Our Lady of Mercy General Hospital, Bulacan, Inc.</t>
  </si>
  <si>
    <t>Malabon City</t>
  </si>
  <si>
    <t>Dr. Veneranda A. Gemarino</t>
  </si>
  <si>
    <t>La Paz</t>
  </si>
  <si>
    <t>044-711-1832</t>
  </si>
  <si>
    <t>25 O. Reyes St., Brgy. Santulan, Malabon City</t>
  </si>
  <si>
    <t>msmfh_3019@yahoo.com</t>
  </si>
  <si>
    <t>Brgy Lara</t>
  </si>
  <si>
    <t>SAN LORENZO RUIZ GENERAL HOSPITAL</t>
  </si>
  <si>
    <t>LA PAZ MEDICARE AND COMMUNITY HOSPITAL</t>
  </si>
  <si>
    <t>03-0001-26-H1-2</t>
  </si>
  <si>
    <t>31937</t>
  </si>
  <si>
    <t>Meycauayan City</t>
  </si>
  <si>
    <t>1/Type I/CS F4B837</t>
  </si>
  <si>
    <t>C.P. Soriente Bldg., Brgy. Camalig, 4th District</t>
  </si>
  <si>
    <t>MARYMOUNT HOSPITAL INC.</t>
  </si>
  <si>
    <t>Dr. Theresa M. Sablan</t>
  </si>
  <si>
    <t>045-611-0679</t>
  </si>
  <si>
    <t>lpmch73@yahoo.com</t>
  </si>
  <si>
    <t>Dialysis Clinic-9, ASC (Colorectal, General, Otorhinolaryngologic,Pediatric, Reproductive Health, Urologic)</t>
  </si>
  <si>
    <t>03-0080-26-H1-1</t>
  </si>
  <si>
    <t>Xray - Level 2</t>
  </si>
  <si>
    <t>1/ Type II/ Plate #WWI 533</t>
  </si>
  <si>
    <t>Municipality of La Paz</t>
  </si>
  <si>
    <t>Dr. Christine Longos-Non</t>
  </si>
  <si>
    <t>38401</t>
  </si>
  <si>
    <t>Moncada</t>
  </si>
  <si>
    <t>marymounthospital.2020.gmail.com</t>
  </si>
  <si>
    <t>San Julian, Moncada, Tarlac</t>
  </si>
  <si>
    <t>2 (Type I-BLS, Plate No. 131203 and CS No. FOP521)</t>
  </si>
  <si>
    <t>CONGRESSMAN ENRIQUE "HENRY" M. COJUANGCO MEMORIAL DISTRICT HOSPITAL</t>
  </si>
  <si>
    <t>ASC-General Surgery &amp; Reproductive Health Surgery, Diagnostic X-ray Level 2</t>
  </si>
  <si>
    <t>1/Type I/ 030109</t>
  </si>
  <si>
    <t>Dr. Anna Liza P. Aguilar</t>
  </si>
  <si>
    <t>0977-403-8145</t>
  </si>
  <si>
    <t>ehmc2019@gmail.com</t>
  </si>
  <si>
    <t>Marilou T. Neri, MD</t>
  </si>
  <si>
    <t>03-0044-26-H1-1</t>
  </si>
  <si>
    <t>5950</t>
  </si>
  <si>
    <t>slrwh_malabon@yahoo.com</t>
  </si>
  <si>
    <t>Tarlac City</t>
  </si>
  <si>
    <t>Camp Gen. S. Aquino San Miguel, Tarlac</t>
  </si>
  <si>
    <t>CAMP AQUINO STATION HOSPITAL</t>
  </si>
  <si>
    <t>Level 2 Diagnostic Xray</t>
  </si>
  <si>
    <t>13-0057-25-H1-1</t>
  </si>
  <si>
    <t>MOA with Loving Mother General Hospital and Diagnostic Center, Inc.</t>
  </si>
  <si>
    <t>Loving Mother General Hospital and Diagnostic Center, Inc.</t>
  </si>
  <si>
    <t>LTC Dominador V. Acoba Jr.</t>
  </si>
  <si>
    <t>045-985-0028
'0945-583-8461</t>
  </si>
  <si>
    <t>cashnolcom@yahoo.com</t>
  </si>
  <si>
    <t>03-0119-26-H1-1</t>
  </si>
  <si>
    <t>03-0129-26-H2-2</t>
  </si>
  <si>
    <t>7359</t>
  </si>
  <si>
    <t>269</t>
  </si>
  <si>
    <t>23616</t>
  </si>
  <si>
    <t>Km. 18, Mc Arthur Hi-Way, Banga</t>
  </si>
  <si>
    <t>Hospital Drive, San Vicente</t>
  </si>
  <si>
    <t>Mandaluyong City</t>
  </si>
  <si>
    <t>MEYCAUAYAN DOCTOR'S HOSPITAL AND MEDICAL CENTER, INC.</t>
  </si>
  <si>
    <t>TARLAC PROVINCIAL HOSPITAL</t>
  </si>
  <si>
    <t>#9 De Febrero St., Mandaluyong City</t>
  </si>
  <si>
    <t>NATIONAL CENTER FOR MENTAL HEALTH</t>
  </si>
  <si>
    <t>Dialysis , Physical Medicine and Rehabilitation Unit (CD3 Rehab Inc.), ASC ( Colorectal, Geneal, Thoracic, Otorhinolaryngologic, Optha)), Specialized Xray: CT, Mammography</t>
  </si>
  <si>
    <t>1/ Type II/ Plate # CAM 5703</t>
  </si>
  <si>
    <t>HBB+, HIV Testing Laboratory, rHIVda Confirmatory Laboratory, Specialized x-ray: CT; Physical Medicine &amp; Rehabilitation Unit, Peritoneal Dialysis, ASC,  Laboratory for Drinking water, Pharmacy (2)</t>
  </si>
  <si>
    <t>Dr. Cesario S. Ira</t>
  </si>
  <si>
    <t>1/Type II/ CAU 7489</t>
  </si>
  <si>
    <t>044-840-7918</t>
  </si>
  <si>
    <t>rashellesoriente@gmail.com</t>
  </si>
  <si>
    <t>03-0110-26-H2-2</t>
  </si>
  <si>
    <t>5986</t>
  </si>
  <si>
    <t>Dr. Maita Theresa P. Rigor</t>
  </si>
  <si>
    <t>tarlacprovincialhospital@yahoo.com</t>
  </si>
  <si>
    <t>133 Mc Arthur Hi-Way Marilao-Meycauayan City</t>
  </si>
  <si>
    <t>03-0006-26-H3-1</t>
  </si>
  <si>
    <t>NAZARENUS COLLEGE FOUNDATION HOSPITAL</t>
  </si>
  <si>
    <t>HIV Testing Laboratory, Special Diagnostic X-ray Services, Computed Tamography</t>
  </si>
  <si>
    <t>Zambales</t>
  </si>
  <si>
    <t>Dialysis , Specialized - CT</t>
  </si>
  <si>
    <t>Candelaria</t>
  </si>
  <si>
    <t>Yamot,Candelaria</t>
  </si>
  <si>
    <t>1/ Type II/ Plate # WBO 662</t>
  </si>
  <si>
    <t>CANDELARIA DISTRICT HOSPITAL</t>
  </si>
  <si>
    <t>6, Type II, Plate No. A6P528,Type II, C.S No. P61624, Type II, C.S No. F4K526,Type I, C.S No. A6Z515,Type I, C.S No. F21949, Type 1, Plate No. SND 3323,</t>
  </si>
  <si>
    <t>Dr. Juan Franco V. Tordesillas</t>
  </si>
  <si>
    <t>044-840-7948</t>
  </si>
  <si>
    <t>rHIVda Confirmatory Laboratory; ASC (Ophthalmologic), Dental Clinic, Level 2 Diagnostic Xray Services</t>
  </si>
  <si>
    <t>ncfh79@gmail.com</t>
  </si>
  <si>
    <t>2/Type I/CS# F1B982; CS# F4B842</t>
  </si>
  <si>
    <t>03-0163-26-H2-2</t>
  </si>
  <si>
    <t>Dr. Eduardo D. Passi</t>
  </si>
  <si>
    <t>cdhcandezambs@yahoo.com</t>
  </si>
  <si>
    <t>03-0055-26-H1-1</t>
  </si>
  <si>
    <t>Meymart Rd., Calvario</t>
  </si>
  <si>
    <t>DR. NOEL V. REYES, FPPA-Medical Center Chief I</t>
  </si>
  <si>
    <t>THE LORD'S HOSPITAL</t>
  </si>
  <si>
    <t>Iba</t>
  </si>
  <si>
    <t>Brgy. Palanginan, Iba</t>
  </si>
  <si>
    <t>PRESIDENT RAMON MAGSAYSAY MEMORIAL HOSPITAL</t>
  </si>
  <si>
    <r>
      <rPr>
        <color rgb="FF000000"/>
        <sz val="11.0"/>
        <u/>
      </rPr>
      <t>mcc@ncmh.gov.ph</t>
    </r>
  </si>
  <si>
    <t>rHIVda Confirmatory Laboratory; Specialized Xray: CT ; Mobile Laboratory</t>
  </si>
  <si>
    <t>1/ Type II/ F4J736</t>
  </si>
  <si>
    <t>ASC-Opthalmologic Surgery &amp; Otorhinolaryngologic,</t>
  </si>
  <si>
    <t>Dr. Eileen Rose C. Garrido,MHA</t>
  </si>
  <si>
    <t>0985-607-8663</t>
  </si>
  <si>
    <t>pho.zambales@yahoo.com</t>
  </si>
  <si>
    <t>STYX Ambulance Services</t>
  </si>
  <si>
    <t>03-0097-26-H2-1</t>
  </si>
  <si>
    <t>Dr. Gladys Avigaile R. Puentespina</t>
  </si>
  <si>
    <t>044-769-9701</t>
  </si>
  <si>
    <t>transfer of location of tertiary lab and mobile laboratory as add on service</t>
  </si>
  <si>
    <t>thelordshospital2003@gmail.com</t>
  </si>
  <si>
    <t>DOH007359</t>
  </si>
  <si>
    <t>03-0027-26-H1-2</t>
  </si>
  <si>
    <t>Olongapo City</t>
  </si>
  <si>
    <t>#1 Perimeter Rd., New Asinan</t>
  </si>
  <si>
    <t>JAMES L. GORDON MEMORIAL HOSPITAL</t>
  </si>
  <si>
    <t>Paombong</t>
  </si>
  <si>
    <t>Provincial Road, Sto. Niño</t>
  </si>
  <si>
    <t>SAN PASCUAL BAYLON MATERNITY AND GENERAL HOSPITAL</t>
  </si>
  <si>
    <t>Anatomic Pathology: Cytology, surgical &amp; frozen
 BB+ to collect, test, &amp; process blood, rHIVda Confirmatory LAboratory, Specialized X-ray: CT</t>
  </si>
  <si>
    <t>2/ Type II/ A8D 598; SKV 832</t>
  </si>
  <si>
    <t>499</t>
  </si>
  <si>
    <t>Dr. Jesse Jewel E. Manuel</t>
  </si>
  <si>
    <t>047-222-4120</t>
  </si>
  <si>
    <t>Diagnostic X-ray Level 2, Dialysis Clinic</t>
  </si>
  <si>
    <t>jlgordonhospital@gmail.com ochdept@yahoo.com.ph</t>
  </si>
  <si>
    <t>Manila</t>
  </si>
  <si>
    <t>1/Type I/ Plate# RGZ550</t>
  </si>
  <si>
    <t>03-0046-26-H3-1</t>
  </si>
  <si>
    <t>Lope De Vega St., Sta. Cruz, Manila</t>
  </si>
  <si>
    <t>Dr. Voltaire O. Garcia</t>
  </si>
  <si>
    <t>City of Olongapo</t>
  </si>
  <si>
    <t>044-665-2818</t>
  </si>
  <si>
    <t>DR. JOSE FABELLA MEMORIAL HOSPITAL</t>
  </si>
  <si>
    <t>sanpascualbaylongeneralhospital@yahoo.com</t>
  </si>
  <si>
    <t>03-0118-26-H1-1</t>
  </si>
  <si>
    <t>San Marcelino</t>
  </si>
  <si>
    <t>7492</t>
  </si>
  <si>
    <t>Barangay Linusungan</t>
  </si>
  <si>
    <t>SAN MARCELINO DISTRICT HOSPITAL</t>
  </si>
  <si>
    <t>Plaridel</t>
  </si>
  <si>
    <t>Gov. Padilla Road, Poblacion</t>
  </si>
  <si>
    <t>DR. PERALTA HOSPITAL CO.</t>
  </si>
  <si>
    <t>rHIVda Confirmatory Laboratory, Dental Clinic</t>
  </si>
  <si>
    <t>2/Type I/ CS# A7E519; S8P 899</t>
  </si>
  <si>
    <t>Diagnostic X-ray (Level 2)</t>
  </si>
  <si>
    <t>Blod Bank, HIV Testing Lab, G6PD Confirmatory, Special Diagnostic X-ray Services: Tumor Localization and Simulation, Dental X-ray Services: Peri-aprical</t>
  </si>
  <si>
    <t>1/Type I/ Plate# AAU7906</t>
  </si>
  <si>
    <t>Cresencio T. Gonzales, Jr, MD, FPOA, MHA</t>
  </si>
  <si>
    <t>047-602-2301/ 0928-572-5948
09688842500
09984161569 chief nurse</t>
  </si>
  <si>
    <t xml:space="preserve">
smdh_smz@yahoo.com
lesterlararagadio12021985@gmail.com
</t>
  </si>
  <si>
    <t>Dr. Brenda G. Peralta</t>
  </si>
  <si>
    <t>044-760-7685/0923-0817-424</t>
  </si>
  <si>
    <t>dr.peraltahospital@yahoo.com</t>
  </si>
  <si>
    <t>03-0063-26-H1-1</t>
  </si>
  <si>
    <t>03-0194-26-H1-2</t>
  </si>
  <si>
    <t>25679</t>
  </si>
  <si>
    <t>Santa Cruz</t>
  </si>
  <si>
    <t>Gov. Padilla Road Poblacion, Plaridel</t>
  </si>
  <si>
    <t>Poblacion North, Sta. Cruz</t>
  </si>
  <si>
    <t>LA CONSOLACION UNIVERSITY GENERAL HOSPITAL</t>
  </si>
  <si>
    <t>OSPITAL NG STA. CRUZ</t>
  </si>
  <si>
    <t>Dr. Salvador Evardone</t>
  </si>
  <si>
    <t>Diagnostic X-ray Services Level 2,  
Dental Clinic, ASC- Ophthalmologic and General Surgery</t>
  </si>
  <si>
    <r>
      <rPr>
        <color rgb="FF000000"/>
        <sz val="11.0"/>
        <u/>
      </rPr>
      <t>fabella_mcc@yahoo.com</t>
    </r>
  </si>
  <si>
    <t>Type 1, Conduction Sticker No. F4-B843</t>
  </si>
  <si>
    <t>Specialized X-ray: Computed Tomography, Dialysis Clinic-10, ASC (General, Colorectal, Otorhinolaryngologic Surgery, Pediatric Surgery, Plastic &amp; Reconstructive Surgery),Anatomic Patho</t>
  </si>
  <si>
    <t>1/Type I /Plate# NBF 7470 Cr No. 41035981-0</t>
  </si>
  <si>
    <t>Dr. Pepito E. Dimaculangan</t>
  </si>
  <si>
    <t>047-307-1431
0917-258-754
09070599038</t>
  </si>
  <si>
    <t>Dr. Manuel Aves</t>
  </si>
  <si>
    <t>ospitalngsta.cruz_zambales@yahoo.com</t>
  </si>
  <si>
    <t>DOH000499</t>
  </si>
  <si>
    <t>0447954255 loc 102</t>
  </si>
  <si>
    <t>03-0093-26-H1-1</t>
  </si>
  <si>
    <t>lcugh2010@yahoo.com.ph</t>
  </si>
  <si>
    <t>03-0015-26-H2-2</t>
  </si>
  <si>
    <t>6868</t>
  </si>
  <si>
    <t>#393 Banga 1, Plaridel, Bulacan</t>
  </si>
  <si>
    <t>Balayan</t>
  </si>
  <si>
    <t>MARCELO-PADILLA CHILDREN'S &amp; MEDICAL HOSPITAL CORPORATION</t>
  </si>
  <si>
    <t>Gumamela, Balayan, Batangas</t>
  </si>
  <si>
    <t>586</t>
  </si>
  <si>
    <t>DON MANUEL LOPEZ MEMORIAL DISTRICT HOSPITAL</t>
  </si>
  <si>
    <t>Diagnostic X-ray Services (Level 1)
Pharmacy</t>
  </si>
  <si>
    <t>ASC-Colorectal, General, Pediatric, Orthopedic, Reproductive Health, Thoracic Urologic Ophthalmologic, Otorhinolaryngologic, Oral-Maxillo Facial Surgery,Specialized x-ray: Computed Tomography,
Physical Medicine &amp; Rehabilitation Unit</t>
  </si>
  <si>
    <t>San Lazaro Compound, Rizal Avenue, Sta. Cruz, Manila</t>
  </si>
  <si>
    <t>Type I (F3 R336)</t>
  </si>
  <si>
    <t>1,Type II Plate No. FOA033</t>
  </si>
  <si>
    <t>JOSE R. REYES MEMORIAL MEDICAL CENTER</t>
  </si>
  <si>
    <t>Dr. Stanley N. Padilla</t>
  </si>
  <si>
    <t>Maria Maureen Endozo Villanueva RN,MD,MHCA</t>
  </si>
  <si>
    <t>044-795-0119/0931-0768-981</t>
  </si>
  <si>
    <t>043 727 6134/ 09989897808</t>
  </si>
  <si>
    <t>manlapaz892@gmail.com</t>
  </si>
  <si>
    <t>donmanuellopezhospital@gmail.com</t>
  </si>
  <si>
    <t>03-0100-26-H2-2</t>
  </si>
  <si>
    <t>5436</t>
  </si>
  <si>
    <t>366 A. Vergel De Dios St. Sitio Looban, Tabang</t>
  </si>
  <si>
    <t>MELVEREY MATERNITY &amp; GENERAL HOSPITAL</t>
  </si>
  <si>
    <t>4A-0065-26-H1-1</t>
  </si>
  <si>
    <t>Blood Bank, HIV Testing Lab, Special Diagnostic X-ray Service, Computed Tomography, Mammography, Tumor Localization and Simulation, Bone Densitometry, Radiation Oncology, Conventinal Radiation Therapy, 3D Conformal Radiation Therapy, IMRT</t>
  </si>
  <si>
    <t>1/ Type I/ Plate# NAJ 7558</t>
  </si>
  <si>
    <t>Dr. Rufino M. Francisco Jr.</t>
  </si>
  <si>
    <t>044-697-2237/0943-446-4361</t>
  </si>
  <si>
    <t>melvereyhospital@yahoo.com</t>
  </si>
  <si>
    <t>03-0112-26-H1-2</t>
  </si>
  <si>
    <t>1, Type II, Plate No. 131210</t>
  </si>
  <si>
    <t>7028</t>
  </si>
  <si>
    <t>Pulilan</t>
  </si>
  <si>
    <t>National Road, Poblacion</t>
  </si>
  <si>
    <t>DR. MAGDALENA S. REYES MEMORIAL HOSPITAL</t>
  </si>
  <si>
    <t>Dr. Maritess Teresita M. Torio</t>
  </si>
  <si>
    <t>DR. WENCESLAO S. LLAUDERES, FPSNM, FPCGM, MPM-HG-Medical Center Chief II</t>
  </si>
  <si>
    <t>8711-94-91</t>
  </si>
  <si>
    <t>667 bed capacity (01/22/2025)</t>
  </si>
  <si>
    <t>Our Lady of Mercy Hospital</t>
  </si>
  <si>
    <r>
      <rPr>
        <color rgb="FF000000"/>
        <sz val="11.0"/>
        <u/>
      </rPr>
      <t>ccu@jrrmmc.gov.ph</t>
    </r>
  </si>
  <si>
    <t>Dr. Antonio S. Reyes</t>
  </si>
  <si>
    <t>044-795-0055
0998-882-3835</t>
  </si>
  <si>
    <t>Bauan</t>
  </si>
  <si>
    <t>markgfeliciano@gmail.com</t>
  </si>
  <si>
    <t>S. Ylagan St., Aplaya, Bauan, Batangas</t>
  </si>
  <si>
    <t>BAUAN GENERAL HOSPITAL</t>
  </si>
  <si>
    <t>03-0048-26-H1-2</t>
  </si>
  <si>
    <t>DOH000586</t>
  </si>
  <si>
    <t>5417</t>
  </si>
  <si>
    <t>Diagnostic X-ray Services (Level 1)
Pharmacy
Specialized Diagnostic X-ray Services (Computed Tomography)</t>
  </si>
  <si>
    <t>Doña Remedios Trinidad Highway, Longos, Pulilan</t>
  </si>
  <si>
    <t>Type I (OW 4367)</t>
  </si>
  <si>
    <t>OUR LADY OF MERCY GENERAL HOSPITAL</t>
  </si>
  <si>
    <t>4799</t>
  </si>
  <si>
    <t>Dr. Allan c. Bato</t>
  </si>
  <si>
    <t>Specialized Diagnostic X-Ray Services: Computed Tomography, Lithotripsy</t>
  </si>
  <si>
    <t>043-7738672/ 09634042630/ 09678517644</t>
  </si>
  <si>
    <t>bghospital_13@yaoo.com</t>
  </si>
  <si>
    <t>1/ Type II/ Plate # CAH 9913</t>
  </si>
  <si>
    <t>4A-0114-26-H1-1</t>
  </si>
  <si>
    <t>Quiricada St., Sta. Cruz, Manila</t>
  </si>
  <si>
    <t>Ma. Marci C. Cruz, MD, MS, FPCP, FPSD</t>
  </si>
  <si>
    <t>044-764-7872/096-8856-9511</t>
  </si>
  <si>
    <t>SAN LAZARO HOSPITAL</t>
  </si>
  <si>
    <t>hr.olmgh@gmail.com 
olmghsherrylmariano@gmail.com</t>
  </si>
  <si>
    <t>Cuenca</t>
  </si>
  <si>
    <t>Malvar Cor Mabini St., Cuenca, Batangas</t>
  </si>
  <si>
    <t>03-0231-26-H2-2</t>
  </si>
  <si>
    <t>MARTIN MARASIGAN DISTRICT HOSPITAL</t>
  </si>
  <si>
    <t>late renewal; dialysis unit no longer renewed</t>
  </si>
  <si>
    <t>3246</t>
  </si>
  <si>
    <t>San Ildefonso</t>
  </si>
  <si>
    <t>Cagayan Valley Rd. San Juan</t>
  </si>
  <si>
    <t>R DE C GALVEZ MEDICAL CENTER</t>
  </si>
  <si>
    <t>2-Type I (SAB 6949), CR No. 315541052</t>
  </si>
  <si>
    <t>Blood Bank, rHIVda Confirmatory Lab, HIV Testing Lab, Special Diagnostic X-ray Services, Computed Tomography</t>
  </si>
  <si>
    <t>Dr. Roldan M. Briones</t>
  </si>
  <si>
    <t>043-3421604/ 09564937513/ 043-7401381</t>
  </si>
  <si>
    <t>ASC-Colorectal, General, Ophthalmologic, Otorhinolaryngologic, Pediatric, Reproductive Health, Thoracic &amp;Urologic Surgery, "Diagnostic X-ray Services (level2)
Specialized - Computed Tomography, Dialysis Clinic, Tertiary Lab</t>
  </si>
  <si>
    <t>martinmarasigan1980@yahoo.com</t>
  </si>
  <si>
    <t>4A-0177-26-H1-1</t>
  </si>
  <si>
    <t>1/Type I/Plate#ZTR678</t>
  </si>
  <si>
    <t>1/Type II Plate No. SLG 425</t>
  </si>
  <si>
    <t>Dr. Rauldan DC Galvez</t>
  </si>
  <si>
    <t>044-677-1305/0922-808-5887</t>
  </si>
  <si>
    <t>Lemery</t>
  </si>
  <si>
    <t>rdecgalvez.medicalcenter@yahoo.com</t>
  </si>
  <si>
    <t>Palanas, Lemery, Batangas</t>
  </si>
  <si>
    <t>03-0084-26-H1-2</t>
  </si>
  <si>
    <t>BATANGAS PROVINCIAL HOSPITAL (DON JUAN MAYUGA MEMORIAL HOSPITAL)</t>
  </si>
  <si>
    <t>32432</t>
  </si>
  <si>
    <t>Brgy Tungong Mangga</t>
  </si>
  <si>
    <t>BRIGINO GENERAL HOSPITAL, INC.</t>
  </si>
  <si>
    <t>DR. EDMUNDO B. LOPEZ, MPH, MHA, CEO
 Medical Center Chief II-</t>
  </si>
  <si>
    <t>Type I (SND 6100)</t>
  </si>
  <si>
    <t>02) 5309-9523 (02) 5309-9613-(02) 5309-9935 (02) 5309-9527-(02) 5309-9893 (02) 5309-9938-(02) 5309-9541 (02) 5309-9895-(02) 5309-9608 (02) 5309-9899</t>
  </si>
  <si>
    <r>
      <rPr>
        <color rgb="FF000000"/>
        <sz val="11.0"/>
        <u/>
      </rPr>
      <t>sanlazarohospital@yahoo.com</t>
    </r>
  </si>
  <si>
    <t>Dr. Jose Jesse I. Villanueva</t>
  </si>
  <si>
    <t>Diagnostic X-ray Level 2; Physical Medicine and Rehabilitation Unit; Tertiary Lab, Dental Clinic, NICU - 3</t>
  </si>
  <si>
    <t>043-4090573/ 09175053738</t>
  </si>
  <si>
    <t>batprohospital@yahoo.com.ph</t>
  </si>
  <si>
    <t>4A-0055-26-H1-1</t>
  </si>
  <si>
    <t>Skyline Hospital and Medical Center-Baliwag, Inc.</t>
  </si>
  <si>
    <t>Dr. Francesca C. Gajete</t>
  </si>
  <si>
    <t>044-815-4456/0939 924 9918</t>
  </si>
  <si>
    <t>leo_brigino@yahoo.com</t>
  </si>
  <si>
    <t>03-0068-26-H2-2</t>
  </si>
  <si>
    <t>Lipa City</t>
  </si>
  <si>
    <t>25676</t>
  </si>
  <si>
    <t>Fernando Blvd., Fernando Air Base, Lipa City, Batangas</t>
  </si>
  <si>
    <t>FERNANDO AIR BASE HOSPITAL</t>
  </si>
  <si>
    <t>PAF</t>
  </si>
  <si>
    <t>B1 L2 Quirino Highway Ext., Brgy. Mulawin</t>
  </si>
  <si>
    <t>Type I SND 3233</t>
  </si>
  <si>
    <t>GRACE MEDICAL CENTER</t>
  </si>
  <si>
    <t>DOH004799</t>
  </si>
  <si>
    <t>LTC Irene M. Abutas</t>
  </si>
  <si>
    <t>fabhospital2020@gmail.com</t>
  </si>
  <si>
    <t>4A-0097-26-H1-1</t>
  </si>
  <si>
    <t>ASC-General &amp; Ophthalmologic Surgery,Colorectal,Otorhino,reproductive Health,Thoracic,Urologic, Specialized X- Ray: CT &amp; MRI; Physical Medicine and Rehabilitation Unit, Dialysis Clinic</t>
  </si>
  <si>
    <t>ACE COR medical services</t>
  </si>
  <si>
    <t>Brgy. 7, Lipa City, Batangas</t>
  </si>
  <si>
    <t>LIPA CITY HOSPITAL SYSTEM II</t>
  </si>
  <si>
    <t>Dr. Edison Lope L. Tan</t>
  </si>
  <si>
    <t>044-925-1131</t>
  </si>
  <si>
    <t xml:space="preserve">medicalaffairs@gracemedicalcenter.com.ph
hospitalgracegeneral@gmail.com
</t>
  </si>
  <si>
    <t>03-0073-26-H2-2</t>
  </si>
  <si>
    <t>34463</t>
  </si>
  <si>
    <t>Altaraza, Tungkong Mangga</t>
  </si>
  <si>
    <t>HEALTHWAY QUALIMED HOSPITAL SAN JOSE DEL MONTE</t>
  </si>
  <si>
    <t>Typr I (SAB 6953)</t>
  </si>
  <si>
    <t>Dialysis, rHIVDA Confirmatory Laboratory; ASC (Colorectal, General, Orthopedic, Ophthalmologic, Otorhinolaryngologic, Pediatric, Reproductive, Thoracic, Urologic); Physical Medicine and Rehabilitation Unit, Diagnostic (Level 2); Specialized: CT and Mammography</t>
  </si>
  <si>
    <t>Dr. Margarette Gladys A. Ver</t>
  </si>
  <si>
    <t>043-7573487/ 09277195167/ 09668503463</t>
  </si>
  <si>
    <t>1/Type II/ Plate # NDG 9776</t>
  </si>
  <si>
    <t>lipacitydistricthospital@yahoo.com</t>
  </si>
  <si>
    <t>4A-0035-26-H1-1</t>
  </si>
  <si>
    <t>Dr. Angel A. de Larrazabal</t>
  </si>
  <si>
    <t>044-307-0000/0917-178-2298</t>
  </si>
  <si>
    <t>regulatory.qsjd@gmail.com</t>
  </si>
  <si>
    <t>03-0155-26-H2-2</t>
  </si>
  <si>
    <t>A. Tanco Drive, Barangay Marawoy, Lipa City, Batangas</t>
  </si>
  <si>
    <t>4668</t>
  </si>
  <si>
    <t>OSPITAL NG LIPA</t>
  </si>
  <si>
    <t>6596</t>
  </si>
  <si>
    <t>National Road, Muzon</t>
  </si>
  <si>
    <t>KAIROS MATERNITY &amp; GENERAL HOSPITAL</t>
  </si>
  <si>
    <t>Type I (P7 J658)</t>
  </si>
  <si>
    <t>Diagnostic X-ray Level 2,
 Specialized X-ray- Computed Tomography and Mammography</t>
  </si>
  <si>
    <t>Honorio Lopez Boulevard., Balut, Tondo, Manila</t>
  </si>
  <si>
    <t>1/Type I/ Plate# NIC 8726</t>
  </si>
  <si>
    <t>Dr. Imelda V. Siasoco</t>
  </si>
  <si>
    <t>09952680936/ 043-7021845</t>
  </si>
  <si>
    <t>ospitalnglipa2013@gmail.com</t>
  </si>
  <si>
    <t>Dr. Joy Ortega Agpaoa</t>
  </si>
  <si>
    <t>044-691-3113</t>
  </si>
  <si>
    <t>kairos_hospital@yahoo.com</t>
  </si>
  <si>
    <t>Lobo</t>
  </si>
  <si>
    <t>03-0011-26-H1-2</t>
  </si>
  <si>
    <t>Fabrica, Lobo, Batangas</t>
  </si>
  <si>
    <t>TONDO MEDICAL CENTER</t>
  </si>
  <si>
    <t>LOBO MUNICIPAL HOSPITAL</t>
  </si>
  <si>
    <t>122 Carriedo Street</t>
  </si>
  <si>
    <t>Type I F3V639/CR No.40521835-4)</t>
  </si>
  <si>
    <t>SAN JOSE DEL MONTE-MUZON MEDICAL CENTER</t>
  </si>
  <si>
    <t>na</t>
  </si>
  <si>
    <t>Dr. Priscilla S. Sulit</t>
  </si>
  <si>
    <t>lobo_municipal_hospital@yahoo.com</t>
  </si>
  <si>
    <t>4A-0188-26-H1-1</t>
  </si>
  <si>
    <t>Dialysis Clinic, Diagnostic X-ray Level 3, Specialized Diagnostic X-ray Service, Computed Tomography, Cancer Treatment Unit: Systemic Therapy, ASC (Colorectal, General, Otorhinolaryngologic, Reproductive Health, Thoracic, Urologic, Orthopedic); Cancer Treatment Unit(Systemic Therapy). Physical Medicine and Rehab. Unit</t>
  </si>
  <si>
    <t>1-Type II Plate No. NII 3018</t>
  </si>
  <si>
    <t>Nasugbu</t>
  </si>
  <si>
    <t>Villa Marquita Subdivision, Sitio Sagbat, Brgy. Lumbangan, Nasugbu, Batangas</t>
  </si>
  <si>
    <t>APACIBLE MEMORIAL DISTRICT HOSPITAL</t>
  </si>
  <si>
    <t>Blood Bank wtih additional function, HIV Testing Laboratory, Specialized Diagnostic X-Ray Services. Dental X-ray Services</t>
  </si>
  <si>
    <t>Dr. Jocelyn De Vera</t>
  </si>
  <si>
    <t>044-323-3010/ 0936-926-4003</t>
  </si>
  <si>
    <t>sjdmmuzonmedical@gmail.com</t>
  </si>
  <si>
    <t>03-0147-26-H2-2</t>
  </si>
  <si>
    <t>(CS F3 V617)</t>
  </si>
  <si>
    <t>Skyline Drive Cor. Quirino Highway, Brgy. Tungkong Mangga, City Of San Jose Del Monte, Bulacan</t>
  </si>
  <si>
    <t>SKYLINE HOSPITAL AND MEDICAL CENTER- BALIWAG, INC</t>
  </si>
  <si>
    <t>Gilma P. Arcales, MD, MHA</t>
  </si>
  <si>
    <t>apaciblememorialdistricthospital@yahoo.com</t>
  </si>
  <si>
    <t>4A-0119-26-H1-1</t>
  </si>
  <si>
    <t>Namunga, Rosario, Batangas</t>
  </si>
  <si>
    <t>MAHAL NA VIRGEN MARIA STO. ROSARIO DISTRICT HOSPITAL</t>
  </si>
  <si>
    <t>Dialysis Clinic -15; ASC-Colorectal, General, Pediatric, Orthopedic, Otorhinolaryngologic, Reproductive Health, Thoracic Urologic, &amp; Ophthalmologic Surgery; Physical Medicine and Rehabilitation Unit; Specialized x-ray: Computed Tomography, MRI, Dental; COVID-19 (SARS-CoV-2) Testing Laboratory</t>
  </si>
  <si>
    <t>Type I (A5 H972)</t>
  </si>
  <si>
    <t>Bridges Dialysis Center of Asia and the Pacific</t>
  </si>
  <si>
    <t>1/Type II PLate No. MAH 1106</t>
  </si>
  <si>
    <t>Dr. Augustos Caesar Apalisok</t>
  </si>
  <si>
    <t>043-3120411</t>
  </si>
  <si>
    <t>DR. SUSANA CASERIA</t>
  </si>
  <si>
    <t>4A-0064-26-H1-1</t>
  </si>
  <si>
    <t>02-7211-5245</t>
  </si>
  <si>
    <t>shmc2015er@gmail.com</t>
  </si>
  <si>
    <t>DR. MARIA ISABELITA M. ESTRELLA, MHA, FPOGS-Medical Center Chief II</t>
  </si>
  <si>
    <t>03-0134-26-H2-2</t>
  </si>
  <si>
    <t>Banay Banay 1, San Jose, Batangas</t>
  </si>
  <si>
    <t>SAN JOSE DISTRICT HOSPITAL</t>
  </si>
  <si>
    <t>5078</t>
  </si>
  <si>
    <r>
      <rPr>
        <color rgb="FF000000"/>
        <sz val="11.0"/>
        <u/>
      </rPr>
      <t>tmcmcc2015@yahoo.com</t>
    </r>
  </si>
  <si>
    <t>2 Type I (A5 K295
SAB 6954)</t>
  </si>
  <si>
    <t>Norberto St., San Jose</t>
  </si>
  <si>
    <t>EMMANUEL HOSPITAL</t>
  </si>
  <si>
    <t>Dr. Reynaldo C. Ozaeta, MHA,FPCHA, FPSMSI</t>
  </si>
  <si>
    <t>7246500/ 09178223984/ 043-7780921</t>
  </si>
  <si>
    <t>sjdhbats_78@yahoo.com</t>
  </si>
  <si>
    <t>4A-0192-26-H1-1</t>
  </si>
  <si>
    <t>Physical Medicine and Rehabilitation Unit,ASC-Optha,Diagnostic xray(L2),Specialized xray (Computed Tomo)</t>
  </si>
  <si>
    <t>San Juan</t>
  </si>
  <si>
    <t>1/Type I/Plate# RKH260</t>
  </si>
  <si>
    <t>Talahiban 2.0, San Juan, Batangas</t>
  </si>
  <si>
    <t>SAN JUAN DISTRICT HOSPITAL</t>
  </si>
  <si>
    <t>DOH006596</t>
  </si>
  <si>
    <t>Dr. Emaleen Sheila de Jesus</t>
  </si>
  <si>
    <t>044-764-1857/ 09178338372</t>
  </si>
  <si>
    <t>Type I (A5 K260)</t>
  </si>
  <si>
    <t>emmanuelhospital@hotmail.com</t>
  </si>
  <si>
    <t>03-0190-26-H1-2</t>
  </si>
  <si>
    <t>Olive Jay G. Aguzar, RMT, MD, FPSMSI, FPCP</t>
  </si>
  <si>
    <t>35379</t>
  </si>
  <si>
    <t>(043) 575-5432</t>
  </si>
  <si>
    <t>sanjuan_districthospital@yahoo.com</t>
  </si>
  <si>
    <t>4A-0027-26-H1-1</t>
  </si>
  <si>
    <t>Centro, San Jose, Bitag</t>
  </si>
  <si>
    <t>Marikina City</t>
  </si>
  <si>
    <t>DR. CABUCO HOSPITAL</t>
  </si>
  <si>
    <t>Sumulong Hi-Way, Brgy. Sto. Niño, Marikina City</t>
  </si>
  <si>
    <t>Tanauan City</t>
  </si>
  <si>
    <t>ASC- Ophthalmologic Surgery</t>
  </si>
  <si>
    <t>AMANG RODRIGUEZ MEMORIAL MEDICAL CENTER</t>
  </si>
  <si>
    <t>Santor, Tanauan City, Batangas</t>
  </si>
  <si>
    <t>LAUREL MEMORIAL DISTRICT HOSPITAL</t>
  </si>
  <si>
    <t>1/Type I/Plate#AKA2187</t>
  </si>
  <si>
    <t>Dr.Rosalyn Cabuco</t>
  </si>
  <si>
    <t>044-913-5768/09338192953</t>
  </si>
  <si>
    <t>Type I (A5K 316)</t>
  </si>
  <si>
    <t>socorro_zalamea@yahoo.com</t>
  </si>
  <si>
    <t>03-0017-26-H1-2</t>
  </si>
  <si>
    <t>Dr. Venus P. de Grano</t>
  </si>
  <si>
    <t>Blood Bank wtih additional function, HIV Testing Laboratory, Specialized Diagnostic X-Ray Services, Dental X-ray Services</t>
  </si>
  <si>
    <t>043-7840958/ 043-7065255/ 09606924685</t>
  </si>
  <si>
    <t>1978</t>
  </si>
  <si>
    <t>lmdh36@yahoo.com</t>
  </si>
  <si>
    <t>4A-0194-26-H1-1</t>
  </si>
  <si>
    <t># 60 Gov. F. Halili Ave.,Bagbaguin</t>
  </si>
  <si>
    <t>2/Type II/ CS F4 D057, CS F4 B835</t>
  </si>
  <si>
    <t>MATEO'S DIAGNOSTIC CLINIC &amp; GENERAL HOSP. INC.</t>
  </si>
  <si>
    <t>Diagnostic X-ray Level 2,ASC-General,Otorhino,Pediatric,Reproductive Health,Thoracic &amp; Urologic</t>
  </si>
  <si>
    <t>1/Type I/ ABH 3618</t>
  </si>
  <si>
    <t>DR. IMELDA M. MATEO, MBAH, FPCPP, FPCCP- Medical Center Chief II</t>
  </si>
  <si>
    <t>(02) 8948 0595</t>
  </si>
  <si>
    <t>Dr. Alan Rey P. Mabbagu</t>
  </si>
  <si>
    <r>
      <rPr>
        <color rgb="FF000000"/>
        <sz val="11.0"/>
        <u/>
      </rPr>
      <t>armmc_erc2012@yahoo.com</t>
    </r>
  </si>
  <si>
    <t>044-641-2581/0969-060-8047</t>
  </si>
  <si>
    <t>mateos_hospital_1980@yahoo.com</t>
  </si>
  <si>
    <t>03-0124-26-H1-2</t>
  </si>
  <si>
    <t>388</t>
  </si>
  <si>
    <t>Plaridel Santiago Street, Poblacion</t>
  </si>
  <si>
    <t>4A-0151-26-H2-1</t>
  </si>
  <si>
    <t>MENDOZA GENERAL HOSPITAL</t>
  </si>
  <si>
    <t>Cavite City</t>
  </si>
  <si>
    <t>Diagnostic X-ray Level 2; ASC (General, Otorhinolaryngologic, Pediatric, Reproductive, Urologic)</t>
  </si>
  <si>
    <t>B1 100 Zamora St., Fort San Felipe, Cavite City, Cavite</t>
  </si>
  <si>
    <t>1/ Type I/ Plate# ZKV410</t>
  </si>
  <si>
    <t>CAVITE NAVAL HOSPITAL</t>
  </si>
  <si>
    <t>Dr. Jose Teodoro M. Mendoza</t>
  </si>
  <si>
    <t>044-228-2417/0995-230-2499</t>
  </si>
  <si>
    <t>mendozahospital@rocketmail.com</t>
  </si>
  <si>
    <t>03-0130-26-H1-2</t>
  </si>
  <si>
    <t>1, Type I  NDO 2655</t>
  </si>
  <si>
    <t>National Road corner Sitio Bato, Brgy. Guyong</t>
  </si>
  <si>
    <t>STA. MARIA MEDICAL CENTER</t>
  </si>
  <si>
    <t>Lt. Col Ma. Jessica M. Vallaxa - MC(GSC)</t>
  </si>
  <si>
    <t>(046) 431-0469</t>
  </si>
  <si>
    <t>cavitenavalhospital@yahoo.com</t>
  </si>
  <si>
    <t>4A-0169-26-H1-1</t>
  </si>
  <si>
    <t>Dialysis, ASC (Thoracic, General, Colorectal and Reproductive Health), Diagnostic Xray Level 3; Specialized:CT</t>
  </si>
  <si>
    <t>Dasmariñas City</t>
  </si>
  <si>
    <t>1/ Type II/ NIU 9182</t>
  </si>
  <si>
    <t>Brgy. Burol II, City Of Dasmariñas, Cavite</t>
  </si>
  <si>
    <t>PAGAMUTAN NG DASMARIÑAS</t>
  </si>
  <si>
    <t>Dr. Victor Philip M.Delos Reyes</t>
  </si>
  <si>
    <t>acestamaria2019@gmail.com</t>
  </si>
  <si>
    <t>Diagnostic X-ray Services (Level 3), Specialized Diagnostic X-ray Services (Computed Tomography, Mammography) Anatomic Pathology (cytology, surgical &amp; frozen) Physical Medicine and Rehabilitation Unit</t>
  </si>
  <si>
    <t>03-0136-26-H2-2</t>
  </si>
  <si>
    <t>Type II ( SAB 8505)</t>
  </si>
  <si>
    <t>DOH003872</t>
  </si>
  <si>
    <t>Circumferential Rd., San Juan Accfa</t>
  </si>
  <si>
    <t>IMMACULATE CONCEPTION MEDICAL CENTER OF CENTRAL LUZON, INC.</t>
  </si>
  <si>
    <t>Dr. Ma. Luisa Campos-Cagingin</t>
  </si>
  <si>
    <t>4814400 loc. 703/</t>
  </si>
  <si>
    <t>pagamutanngdasma@gmail.com</t>
  </si>
  <si>
    <t>4A-0219-26-H2-1</t>
  </si>
  <si>
    <t>Anatomic Pathology (cytology &amp; surgical), Blood Bank (with addt'l function to collect, test &amp; process blood), Dialysis Clinic, Specialized Diagnostic X-ray Services: Computed Tomography, Magnetic Resonance Imaging &amp; Mammography; ASC (Colorectal, General, Otorhinolaryngologic, Ophthalmologic, Pediatric, Reproductive Health, Plastic and Reconstructive); Physical Medicine and Rehabilitation Unit</t>
  </si>
  <si>
    <t>Imus City</t>
  </si>
  <si>
    <t>1/ Type II, CAP 2489</t>
  </si>
  <si>
    <t>Muntinlupa City</t>
  </si>
  <si>
    <t>Brgy. Malagasang I-G, Imus City, Cavite</t>
  </si>
  <si>
    <t>OSPITAL NG IMUS</t>
  </si>
  <si>
    <t>Filinvest Corporate City, Alabang, Muntinlupa City</t>
  </si>
  <si>
    <t>Dr. Victor Bella, MHA</t>
  </si>
  <si>
    <t>044-940-0900</t>
  </si>
  <si>
    <t>RESEARCH INSTITUTE FOR TROPICAL MEDICINE</t>
  </si>
  <si>
    <t>icmc_hrmo@yahoo.com</t>
  </si>
  <si>
    <t>03-0144-26-H2-2</t>
  </si>
  <si>
    <t>Diagnostic X-ray Service (Level 2)
Specialized Diagnostic X-ray Services (Computed Tomography)</t>
  </si>
  <si>
    <t>Type I (F1 C041)</t>
  </si>
  <si>
    <t>Maharlika Hi-Way, Sumacab Este</t>
  </si>
  <si>
    <t>NUEVA ECIJA DOCTOR'S HOSPITAL, INC.</t>
  </si>
  <si>
    <t>Dr. Gabriel G. Gabriel</t>
  </si>
  <si>
    <t>BB+ with addtl function to collect, test &amp; process blood, Specialized x-ray: CT, Mammography,; Digital Subtraction Angiography &amp; Magentic Resonance Imaging; ASC (Colorectal, General, Ophthalmologic, Orthopedic, Otolaryngologic, Pediatric, Plastic and Reconstructive, Reproductive Health, Thoracic and Urologic);  Physical Medicine and Rehabilitation Unit; Cancer Treatment Facility: Systemic Therapy</t>
  </si>
  <si>
    <t>046-4198300/ 09178961854</t>
  </si>
  <si>
    <t>ospitalngimus.2018@gmail.com</t>
  </si>
  <si>
    <t>1/Type II/Plate# CAJ 4510</t>
  </si>
  <si>
    <t>4A-0083-26-H1-1</t>
  </si>
  <si>
    <t>Dr. Alex Clemente B. Santarina</t>
  </si>
  <si>
    <t>044-960-5504/ 0917-512-7301</t>
  </si>
  <si>
    <t>nedoctorshospital@gmail.com</t>
  </si>
  <si>
    <t>03-0003-26-H2-2</t>
  </si>
  <si>
    <t>Trece Martires City</t>
  </si>
  <si>
    <t>Liuciano, Trece Martires City, Cavite</t>
  </si>
  <si>
    <t>GENERAL EMILIO AGUINALDO MEMORIAL HOSPITAL</t>
  </si>
  <si>
    <t>Burgos Avenue, Brgy. Sangitan</t>
  </si>
  <si>
    <t>NUEVA ECIJA GOOD SAMARITAN HEALTH SYSTEM, INC.</t>
  </si>
  <si>
    <t>Blood Bank (with additional function to collect, test &amp; process), Laboratory for drinking water analysis</t>
  </si>
  <si>
    <t>ATTY. ANA LIZA H. DURAN, MD, FPPS, MMHoA-Director IV
 Director IV</t>
  </si>
  <si>
    <t>Anatomic Pathology (Cytopathology &amp; Surgical), Dialysis Clinic, Physical Medicine and Rehabilitation Unit, ASC (Colorectal, General, Ophthalmologic, Otorhinolaryngologic, Pediatric, Reproductive, Plastic and Reconstructive, Thoracic, Urologic), CTU, BB, Specialized: CT, Mammography and MRI</t>
  </si>
  <si>
    <t>2/Type II/ CBK 3936; RCF 864</t>
  </si>
  <si>
    <t>do@ritm.gov.ph / director.ritmdoh@gmail.com</t>
  </si>
  <si>
    <t>Romeo Ignacio</t>
  </si>
  <si>
    <t>0977 332 5852 / (046) 686-0856</t>
  </si>
  <si>
    <t>pho1_cavite@yahoo.com</t>
  </si>
  <si>
    <t>DOH002232</t>
  </si>
  <si>
    <t>Dr. Edison O. Rosales, Jr., MD, DPCCP, FPCP, PCOM, MHA</t>
  </si>
  <si>
    <t>DOH004417</t>
  </si>
  <si>
    <t>negoodsamaritanhospital@gmail.com</t>
  </si>
  <si>
    <t>03-0096-26-H2-2</t>
  </si>
  <si>
    <t>Laguna</t>
  </si>
  <si>
    <t>Bay</t>
  </si>
  <si>
    <t>Brgy. Maitim, Bay, Laguna</t>
  </si>
  <si>
    <t>LAGUNA PROVINCIAL HOSPITAL-BAY DISTRICT HOSPITAL</t>
  </si>
  <si>
    <t>Daan Sarile, Maharlika Hi-Way</t>
  </si>
  <si>
    <t>PREMIERE MEDICAL CENTER</t>
  </si>
  <si>
    <t>Diagnostic X-ray Services (level 2)
Pharmacy</t>
  </si>
  <si>
    <t>Pasay City</t>
  </si>
  <si>
    <t>Pasig Boulevard, Bagong Ilog, Pasig City</t>
  </si>
  <si>
    <t>BB+ (with additional function to collect, test and process blood); Specialized X-ray: CT, Mammography, Bone Densitometry, Tumor Localization and Simulation; Lithotripsy; Radiation Oncology (Conventional Radiotherapy, 3D Conformal Radiotherapy, Intensity Modulated Radiation Therapy); Catheterization Laboratory,CTU
Physical Medicine and Rehabilitation Unit</t>
  </si>
  <si>
    <t>RIZAL MEDICAL CENTER</t>
  </si>
  <si>
    <t>1,Type II Plate# CAO 8983</t>
  </si>
  <si>
    <t>2-Type I (F5J 843), F3 W183)</t>
  </si>
  <si>
    <t>Dr. Raychelle Anne Yang-Nagaño</t>
  </si>
  <si>
    <t>premiere.113@gmail.com. premiere_medcenter@yahoo.com.ph</t>
  </si>
  <si>
    <t>Dr. Ferdinand D. Galvez</t>
  </si>
  <si>
    <t>03-0024-26-H3-2</t>
  </si>
  <si>
    <t>(049) 557-6393/ 049-5368357/ 09190681421</t>
  </si>
  <si>
    <t>lph.bdh@lahuna.gov.ph</t>
  </si>
  <si>
    <t>4A-0193-26-H1-1</t>
  </si>
  <si>
    <t>Tandang Sora St., Mabini Ext.</t>
  </si>
  <si>
    <t>WESLEYAN UNIVERSITY-PHILIPPINES</t>
  </si>
  <si>
    <t>Type II, (F3 V709, Z3K780 and Z3BO41)</t>
  </si>
  <si>
    <t>Biñan City</t>
  </si>
  <si>
    <t>Ospital Ng Biñan, Opd Building Canlalay, Biñan City, Laguna</t>
  </si>
  <si>
    <t>OSPITAL NG BIÑAN</t>
  </si>
  <si>
    <t>Anatomic Pathology: Cytology, surgical &amp; frozen;
 Blood Bank; Diagnostic X-ray Services Level 3;
Specialized Diagnostic X-ray Services: Computed Tomography, Catherterization Lab, Digital Subtraction Angiography; Dialysis Clinic</t>
  </si>
  <si>
    <t>1/Type I/Plate# CBK 1851</t>
  </si>
  <si>
    <t>Clinical Laboratory (Secodary) Biñan Laboratory Clinic (Biñan Kapit Bisig Multipurposive Coopertive), Diagnostic X-ray Services (Level 2)</t>
  </si>
  <si>
    <t>Dr. Laurence De Guzman</t>
  </si>
  <si>
    <t>DR. MARIA RICA M. LUMAGUE-Medical Center Chief I</t>
  </si>
  <si>
    <t>044-463-4735</t>
  </si>
  <si>
    <t>Type I (CR-2659)</t>
  </si>
  <si>
    <t>wesleyanunivhospital@gmail.com</t>
  </si>
  <si>
    <t>8865-8400</t>
  </si>
  <si>
    <t>03-0185-26-H2-2</t>
  </si>
  <si>
    <t>directorsoffice@rmc.doh.gov.ph / mariarica.lumague@rmc.doh.gov.ph</t>
  </si>
  <si>
    <t>Dr. Melbril A. Alonte</t>
  </si>
  <si>
    <t>(049) 511-4119/ 09303618348/ 09292583183/ 09667756588</t>
  </si>
  <si>
    <t>Cabiao</t>
  </si>
  <si>
    <t>bkbmpclaboratory@gmail.com</t>
  </si>
  <si>
    <t>San Fernando Sur</t>
  </si>
  <si>
    <t>DOH000727</t>
  </si>
  <si>
    <t>CABIAO GENERAL HOSPITAL</t>
  </si>
  <si>
    <t>Cabuyao City</t>
  </si>
  <si>
    <t>Brgy. Banay-Banay, Cabuyao City, Laguna</t>
  </si>
  <si>
    <t>CABUYAO CITY HOSPITAL</t>
  </si>
  <si>
    <t>Diagnostic X-ray Level 2;
Dialysis Clinic; 
ASC (General, Otorhinolarygologic,Plastic &amp; reconstructive,Reproductive Health,Urologic</t>
  </si>
  <si>
    <t>1/Type I/ Plate# CAS 9701</t>
  </si>
  <si>
    <t>Diagnostic X-ray Services (Level 2), ICU-5, NICU</t>
  </si>
  <si>
    <t>Dr. Ma. Victoria Palor</t>
  </si>
  <si>
    <t>(044) 486-6337</t>
  </si>
  <si>
    <t>onemed@yahoo.com</t>
  </si>
  <si>
    <t>03-0098-26-H1-2</t>
  </si>
  <si>
    <t>Dr. Rizalito Salvador C. Mordeno</t>
  </si>
  <si>
    <t>09778309444/ 09228425996</t>
  </si>
  <si>
    <t>cabuyaocityhospital@yahoo.com</t>
  </si>
  <si>
    <t>#5 San Juan North</t>
  </si>
  <si>
    <t>DR. APOLLO DUQUE MEMORIAL HOSPITAL</t>
  </si>
  <si>
    <t>4A-0134-26-H1-1</t>
  </si>
  <si>
    <t>#264 E. Rodriguez Sr. Boulevard, Quezon City</t>
  </si>
  <si>
    <t>Limcaoco Subdivision, Brgy. Tres, Cabuyao, Laguna</t>
  </si>
  <si>
    <t>NATIONAL CHILDREN’S HOSPITAL</t>
  </si>
  <si>
    <t>OSPITAL NG CABUYAO</t>
  </si>
  <si>
    <t>1/Type 1 Plate#NAJ4380</t>
  </si>
  <si>
    <t xml:space="preserve">Diagnostic X-ray Services (Level 2)
Specialized Diagnostic X-ray Services (Computed Tomography) 
Pharmacy
</t>
  </si>
  <si>
    <t>Dr. Cynthia Duque Dadgardoust</t>
  </si>
  <si>
    <t>(044) 4865046</t>
  </si>
  <si>
    <t>Type I (SJX 675)</t>
  </si>
  <si>
    <t>apolloduque01@gmail.com</t>
  </si>
  <si>
    <t>03-0164-26-H1-2</t>
  </si>
  <si>
    <t>Dr. Glicerio Lorenzo P. Zamora III</t>
  </si>
  <si>
    <t>(049) 531-1193</t>
  </si>
  <si>
    <t>San Vicente, Bucana</t>
  </si>
  <si>
    <t>ospitalngcabuyao_2016@yahoo.com.ph</t>
  </si>
  <si>
    <t>NUEVA ECIJA GOOD SAMARITAN HEALTH SYSTEM, INC. (EXT)</t>
  </si>
  <si>
    <t>Calamba City</t>
  </si>
  <si>
    <t>Bucal, Calamba City, Laguna</t>
  </si>
  <si>
    <t>Blood Bank wtih additional function, HIV Testing Laboratory, Deliver Service for Low Risk Pregnancies, Specialized Diagnostic X-Ray Services, Dental X-ray Services</t>
  </si>
  <si>
    <t>DR. JOSE P. RIZAL MEMORIAL DISTRICT HOSPITAL</t>
  </si>
  <si>
    <t>Specialized Diagnostic X-ray Services: Computed Tomomgraphy, Mammography, Lithotripsy, Dialysis Clinic, Physical Medicine and Rehabilitation Unit,Dental,ASC-General,Orthopedic,Pediatric,Reproductive Health,Thoracic,Urologic</t>
  </si>
  <si>
    <t>Diagnostic X-ray Services (Level 2) Specialized Diagnostic X-ray Services (Computed Tomography), ICU-5</t>
  </si>
  <si>
    <t>1. Type II, Plate No. Nam 2001
 2. Type II, Plate No. Nam 2003</t>
  </si>
  <si>
    <t>Type 1 SAB 6387</t>
  </si>
  <si>
    <t>1, Type II Plate No. CBK 4312</t>
  </si>
  <si>
    <t>Dr. Claire Liz Bombase</t>
  </si>
  <si>
    <t>044-486-2363</t>
  </si>
  <si>
    <t>Dr. Ma. Eloisa Daza-Inano</t>
  </si>
  <si>
    <t>gapangoodsam@gmail.com</t>
  </si>
  <si>
    <t>09492508952/ 5248862/ 5218875</t>
  </si>
  <si>
    <t>jprizal08251952@gmail.com</t>
  </si>
  <si>
    <t>03-0113-26-H2-2</t>
  </si>
  <si>
    <t>4A-0127-26-H1-1</t>
  </si>
  <si>
    <t>DR. PHILIP A. MORALES, MD, MHA, FPPS-Medical Center Chief I</t>
  </si>
  <si>
    <t>Bagain St., Sta. Veronica Subd.</t>
  </si>
  <si>
    <t>mcc@nhc.doh.gov.ph</t>
  </si>
  <si>
    <t>Los Baños</t>
  </si>
  <si>
    <t>GUIMBA GENERAL HOSPITAL, INC.</t>
  </si>
  <si>
    <t>Domingo M. Lantican Avenue, University of the Philippines, Los Baños, Laguna</t>
  </si>
  <si>
    <t>UNIVERSITY HEALTH SERVICE</t>
  </si>
  <si>
    <t>UNIVERSITY/SCHOOL</t>
  </si>
  <si>
    <t>DOH006046</t>
  </si>
  <si>
    <t>Diagnostic X-ray Services (level 2);
Specialized: CT Scan</t>
  </si>
  <si>
    <t>Type I, MU 4851</t>
  </si>
  <si>
    <t>1/Type I/ CS# P4N270</t>
  </si>
  <si>
    <t>Jessie Imelda F. Walde, MD</t>
  </si>
  <si>
    <t>Dr. Felix Diosdado R. Lumang</t>
  </si>
  <si>
    <t>0960-383-5633</t>
  </si>
  <si>
    <t>(044) 958-1643</t>
  </si>
  <si>
    <t>uhs.uplb@up.edu.ph</t>
  </si>
  <si>
    <t>r_lumang@yahoo.com</t>
  </si>
  <si>
    <t>4A-0131-26-H1-1</t>
  </si>
  <si>
    <t>03-0204-26-H1-2</t>
  </si>
  <si>
    <t>Quezon City</t>
  </si>
  <si>
    <t>San Isidro</t>
  </si>
  <si>
    <t>J.P. Rizal St., Purok 7, Jas Ave. Alua</t>
  </si>
  <si>
    <t>NUEVA ECIJA MEDICS HOSPITAL</t>
  </si>
  <si>
    <t>Luisiana</t>
  </si>
  <si>
    <t>East Avenue, Quezon City</t>
  </si>
  <si>
    <t>Fabricante St., Barangay San Antonio, Luisiana, Laguna</t>
  </si>
  <si>
    <t>LAGUNA PROVINCIAL HOSPITAL - LUISIANA DISTRICT HOSPITAL</t>
  </si>
  <si>
    <t>ASC-Ophthalmologic Surgery; Dialysis (B Braun Avitum Philippines Inc. Dialysis Center); Tertiary Laboratory; Specialized: CT,NICU-3,HRPU,RTU</t>
  </si>
  <si>
    <t>EAST AVENUE MEDICAL CENTER</t>
  </si>
  <si>
    <t>Nueva Ecija Good Samaritan Health System, Inc. (Ext)</t>
  </si>
  <si>
    <t>Dr. May Dolores M. Magno</t>
  </si>
  <si>
    <t>Type I (MT 6917)</t>
  </si>
  <si>
    <t>0932 843 2374</t>
  </si>
  <si>
    <t>nemedicshospital@yahoo.com</t>
  </si>
  <si>
    <t>03-0153-26-H2-2</t>
  </si>
  <si>
    <t>Dr. Gretel Dema-ala Contegino</t>
  </si>
  <si>
    <t>(049) 503-6250/ 09061541565</t>
  </si>
  <si>
    <t>ldhlaguna@yahoo.com</t>
  </si>
  <si>
    <t>Sobrpeña Drive, Brgy Rafael Rueda</t>
  </si>
  <si>
    <t>HEART OF JESUS HOSPITAL</t>
  </si>
  <si>
    <t>4A-0023-26-H1-1</t>
  </si>
  <si>
    <t>Blood Bank (with additional function to collect, test &amp; process), HIV Testing Laboratory, Pharmacy (2), Specialized Diagnostic X-ray Services, Dental X-ray Services</t>
  </si>
  <si>
    <t>Majayjay</t>
  </si>
  <si>
    <t>Brgy Talortor Majayjay Laguna</t>
  </si>
  <si>
    <t>Dialysis Clinic - 13; Physical Medicine and Rehabilitation Unit; ICU - 5; NICU - 3; HRPU - 1; ASC (Ophthalmologic, Colorectal); Tertiary Laboratory; Level 2 Diagnostic Xray; Specialized: CT</t>
  </si>
  <si>
    <t>LAGUNA PROVINCIAL HOSPITAL - MAJAYJAY DISTRICT HOSPITAL</t>
  </si>
  <si>
    <t>1/Type I/ Plate# ACM1505</t>
  </si>
  <si>
    <t>Type I (GB 7512)</t>
  </si>
  <si>
    <t>Dr. Relito S. Ignacio</t>
  </si>
  <si>
    <t>044 958 9108</t>
  </si>
  <si>
    <t>heartofjesushospital@yahoo.com</t>
  </si>
  <si>
    <t>DR. ALFONSO G. NUÑEZ III, FPCS, MMHoA-Medical Center Chief II</t>
  </si>
  <si>
    <t>Dr. Ma. Theresa V. Lapitan, FPSMS, MHA,CHA, FPCHA</t>
  </si>
  <si>
    <t>03-0114-26-H1-2</t>
  </si>
  <si>
    <t>8928-0611</t>
  </si>
  <si>
    <t>0495392991 / 09174447689</t>
  </si>
  <si>
    <t>majayjaymedicarehospital@yahoo.com</t>
  </si>
  <si>
    <t>globachini65@gmail.com</t>
  </si>
  <si>
    <t>4A-0001-26-H1-1</t>
  </si>
  <si>
    <t>#180 Castellano</t>
  </si>
  <si>
    <t>DR. GLORIA LACSON GENERAL HOSPITAL</t>
  </si>
  <si>
    <t>DOH000540</t>
  </si>
  <si>
    <t>Nagcarlan</t>
  </si>
  <si>
    <t>F. Baltazar, Poblacion Iii, Nagcarlan, Laguna</t>
  </si>
  <si>
    <t>LAGUNA PROVINICIAL HOSPITAL- NAGCARLAN DISTRICT HOSPITAL</t>
  </si>
  <si>
    <t>Type I (SND 6183)</t>
  </si>
  <si>
    <t>Tertiary Laboratory; NICU - 3; HRPU - 1; ICU -3; ASC (Ophthalmologic, General, Colorectal, Thoracic; Otorhinolaryngologic, Urologic, Reproductive Health, Plastic and Reconstructive, Pediatric); Physical Medicine and Rehabilitation Unit,Dialysis, Level 2 X-ray; Specialized: Lithotripsy and CT</t>
  </si>
  <si>
    <t>1/Type I/Plate# CAG1036</t>
  </si>
  <si>
    <t>Dr. Herma B. Formeloza</t>
  </si>
  <si>
    <t>Ma. Clara St. Cor. Banawe St., Quezon City</t>
  </si>
  <si>
    <t>049-5631014</t>
  </si>
  <si>
    <t>Dr. Massomeh VC Shamsoddin</t>
  </si>
  <si>
    <t>lph.ndh@laguna.gov.ph</t>
  </si>
  <si>
    <t>(044) 486-2432/486-2918</t>
  </si>
  <si>
    <t>dgdlgh_hospital@yahoo.com</t>
  </si>
  <si>
    <t>4A-0033-26-H1-1</t>
  </si>
  <si>
    <t>03-0028-26-H2-2</t>
  </si>
  <si>
    <t>Pakil</t>
  </si>
  <si>
    <t>100 Tavera, Pakil, Laguna</t>
  </si>
  <si>
    <t>Maharlika Hi-Way San Anton</t>
  </si>
  <si>
    <t>PHILIPPINE ORTHOPEDIC CENTER</t>
  </si>
  <si>
    <t>NUEVA ECIJA MEDICAL CENTER, INC.</t>
  </si>
  <si>
    <t>LAGUNA PROVINCIAL HOSPITAL-GENERAL CAILLES MEMORIAL DISTRICT HOSPITAL</t>
  </si>
  <si>
    <t>Dialysis Clinic - 26; ASC (Ophthalmologic, General, Colorectal, Reproductive, Orthopedic); Physical Medicine and Rehabilitation Unit; Level 3 Diagnostic Xray; Specialized: CT</t>
  </si>
  <si>
    <t>Type I (CS No. F4 A198)</t>
  </si>
  <si>
    <t>1/Type II CS No. YV0530</t>
  </si>
  <si>
    <t>Dr. Rudolfo C. Villarin</t>
  </si>
  <si>
    <t>Dr. Michael Greg Gonzales</t>
  </si>
  <si>
    <t>HIV Testing Laboratory, Pharmacy (2), Specialized Diagnostic X-ray Services, Dental X-ray Services</t>
  </si>
  <si>
    <t>049-5570213/ 5570214</t>
  </si>
  <si>
    <t>ne_medicalcenter@yahoo.com</t>
  </si>
  <si>
    <t>caillesjuan@yahoo.com.ph</t>
  </si>
  <si>
    <t>03-0056-26-H2-2</t>
  </si>
  <si>
    <t>4A-0086-26-H1-1</t>
  </si>
  <si>
    <t>Maharlika Hi-Way, San Anton</t>
  </si>
  <si>
    <t>San Pablo City</t>
  </si>
  <si>
    <t>SOUTH ECIJA DOCTORS GENERAL HOSPITAL</t>
  </si>
  <si>
    <t>Gen. Luna St., Brgy. 4A, San Pablo City, Laguna</t>
  </si>
  <si>
    <t>LPH SAN PABLO CITY DISTRICT HOSPITAL</t>
  </si>
  <si>
    <t>Diagnostic X-ray Services (Level 2) 
Covid 19 Testing Laboratory (RT-PCR)
CU (75 beds) 
 Pharmacy</t>
  </si>
  <si>
    <t>Diagnostic X-ray Level 2; ASC (Colorectal, General, Orthopedic, Otorhinolaryngologic, Pediatric, Reproductive Health, Thoracic, Urologic); Tertiary Laboratory; NICU - 3</t>
  </si>
  <si>
    <t>Type II (F4 C775)</t>
  </si>
  <si>
    <t>Marigina S. Pural, MD</t>
  </si>
  <si>
    <t>Dr. Balvir Lacanilao</t>
  </si>
  <si>
    <t>lphsanpedrodistricthospital@gmail.com</t>
  </si>
  <si>
    <t>096-8878-2649</t>
  </si>
  <si>
    <t>DR. JOSE BRITTANIO S. PUJALTE, MHA-
 Medical Center Chief II</t>
  </si>
  <si>
    <t>southecija2021@gmail.com</t>
  </si>
  <si>
    <t>4A-0087-26-H1-1</t>
  </si>
  <si>
    <t>8711-4276</t>
  </si>
  <si>
    <t>03-0102-26-H1-2</t>
  </si>
  <si>
    <t>poc_training@yahoo.com</t>
  </si>
  <si>
    <t>Bañagale Subd. Brgy. San Pablo City General Hospital</t>
  </si>
  <si>
    <t>Baloc, AH-26</t>
  </si>
  <si>
    <t>SAN PABLO CITY GENERAL HOSPITAL</t>
  </si>
  <si>
    <t>SAINT DOMINIC GENERAL HOSPITAL, INC.</t>
  </si>
  <si>
    <t>DOH000715</t>
  </si>
  <si>
    <t>Type I (F3 R308)</t>
  </si>
  <si>
    <t>Tertiary Clinical Laboratory, ASC (Colorectal, General, Orthopedic, Otorhinolaryngologic, Pediatric, Reproductive Health, Thoracic, Urologic), ICU - 8, NICU - 4. Dialysis, Specialized: CT, Level 2 Diagnostic Xray</t>
  </si>
  <si>
    <t>1/ Type I/ CCA 7712</t>
  </si>
  <si>
    <t>Dr. James T. Lee Ho, FPCS</t>
  </si>
  <si>
    <t>(049) 503-1431</t>
  </si>
  <si>
    <t>Dr. Fernando C. Gallardo</t>
  </si>
  <si>
    <t>spcgh2010@gmail.com</t>
  </si>
  <si>
    <t>09265631396/09166979102</t>
  </si>
  <si>
    <t>4A-0150-26-H1-1</t>
  </si>
  <si>
    <t>pceo.sec.sdghi@gmail.com</t>
  </si>
  <si>
    <t>03-0169-26-H1-2</t>
  </si>
  <si>
    <t>San Pedro City</t>
  </si>
  <si>
    <t>Phase 1, Brgy. San Antonio, San Pedro, Laguna</t>
  </si>
  <si>
    <t>Brgy. Sto. Domingo</t>
  </si>
  <si>
    <t>LAGUNA PROVINCIAL HOSPITAL (LPH) - SAN PEDRO DISTRICT HOSPITAL</t>
  </si>
  <si>
    <t>AC SACRED HEART MEDICAL CENTER</t>
  </si>
  <si>
    <t>Katipunan Road, Project 4, Quezon City</t>
  </si>
  <si>
    <t>QUIRINO MEMORIAL MEDICAL CENTER</t>
  </si>
  <si>
    <t>Type I (F3 R331)</t>
  </si>
  <si>
    <t>BB+ (with additional function); HIV Testing Laboratory; Level 3 Diagnostic Services; Specialized: CT, Mammography, Radiation Therapy-Linear Accelerator, Tumor Localization and Simulation; Dialysis Clinic; Physical Medicine and Rehabilitation Unit; ASC (Colorectal, General, Orthopedic, Otorhinolaryngologic, Pediatric, Plastic and Reconstructive, Reproductive Health, Thoracic, Urologic); Radiation Oncology,CTU</t>
  </si>
  <si>
    <t>Dr. Marigina S. Pural</t>
  </si>
  <si>
    <t>1/Type II/Plate# URI 747</t>
  </si>
  <si>
    <t>8-8017467/ 09228415608</t>
  </si>
  <si>
    <t>lph-spdh@laguna.gov.ph</t>
  </si>
  <si>
    <t>4A-019-26-H1-1</t>
  </si>
  <si>
    <t>Blood Bank with additional function, HIV Testing Laboratory, Specialized Diagnostic X-ray Services, Dental X-ray Services</t>
  </si>
  <si>
    <t>Dr. Maria Josefina Tan</t>
  </si>
  <si>
    <t>094-7821-8372</t>
  </si>
  <si>
    <t>medicaldirector@acshmc.com</t>
  </si>
  <si>
    <t>7 Sto. Niño, San Pedro, Laguna</t>
  </si>
  <si>
    <t>1. Type II-ALS, F30847
 2. Type II-ALS, F3V618
 3. Type II-ALS, F3V719</t>
  </si>
  <si>
    <t>SAN PEDRO JOSE L. AMANTE EMERGENCY HOSPITAL</t>
  </si>
  <si>
    <t xml:space="preserve">Diagnostic X-ray Services (Level 2)
HIV Testing Laboratory </t>
  </si>
  <si>
    <t>03-0105-26-H2-2</t>
  </si>
  <si>
    <t>2, Type I (F3 V695, F4 D082)</t>
  </si>
  <si>
    <t>LOT 7 BLK 29, DIAMOND SUBDIVISION, OROSA ST., BALIBAGO</t>
  </si>
  <si>
    <t>ANGELES CITY MOTHER AND CHILD HOSPITAL, INC.</t>
  </si>
  <si>
    <t>Dr. Raquel B. Correa</t>
  </si>
  <si>
    <t>DR. EVELYN VICTORIA E. RESIDE, FPCP, FPCCP, MAS-Medical Center Chief II</t>
  </si>
  <si>
    <t>jlaeh1201@gmail.com</t>
  </si>
  <si>
    <t>4A-0175-26-H1-1</t>
  </si>
  <si>
    <t>orthopedicsqmmc@gmail.com</t>
  </si>
  <si>
    <t>J. De Leon St., Sta. Cruz, Laguna</t>
  </si>
  <si>
    <t>LAGUNA MEDICAL CENTER</t>
  </si>
  <si>
    <t>DOH007520</t>
  </si>
  <si>
    <t>9 NICU Bassinets; ASC (Colorectal, Pediatric and Reproductive); Tertiary Category Lab</t>
  </si>
  <si>
    <t>Specialized Diagnostic X-ray Services (Computed Tomography, Mammography) Ambulatory Surgical Clinic (Opthalmologic Surgery) Tertiary Laboratory w/ histopathology, Physical Medicine and Rehabilitation Unit</t>
  </si>
  <si>
    <t>2, Type II (ABQ 1770, NGN 7558) (CS No. F3 Y 794)</t>
  </si>
  <si>
    <t>St. Raphael Foundation and Medical Center</t>
  </si>
  <si>
    <t>Dr. Judy Rondilla</t>
  </si>
  <si>
    <t>049-5433333 loc. 308/ 09209384239</t>
  </si>
  <si>
    <t>lagunamedcenter@gmail.com</t>
  </si>
  <si>
    <t>Dr. Nelson M. Ayson</t>
  </si>
  <si>
    <t>4A-0052-26-H2-1</t>
  </si>
  <si>
    <t>045-901-7315</t>
  </si>
  <si>
    <t>acmch.nso@gmail.com</t>
  </si>
  <si>
    <t>03-0077-26-H1-2</t>
  </si>
  <si>
    <t>Santa Rosa City</t>
  </si>
  <si>
    <t>Valenzuela City</t>
  </si>
  <si>
    <t>Cattleya St., Lm Subd., Brgy. Market Area, City Of Santa Rosa, Laguna</t>
  </si>
  <si>
    <t>SANTA ROSA COMMUNITY HOSPITAL</t>
  </si>
  <si>
    <t>Padrigal St., Karuhatan, Valenzuela City</t>
  </si>
  <si>
    <t>#641 Rizal Street</t>
  </si>
  <si>
    <t>Diagnostic X-ray Services (Level 2)
Physical Medicine and Rehabilitation Unit</t>
  </si>
  <si>
    <t>VALENZUELA MEDICAL CENTER</t>
  </si>
  <si>
    <t>ANGELES MEDICAL CENTER, INC.</t>
  </si>
  <si>
    <t>Type I (F3 R236, P5 M604, P5 M820)</t>
  </si>
  <si>
    <t>Parnell C. Patacsil, MD</t>
  </si>
  <si>
    <t>049 533-9098/ 85194642</t>
  </si>
  <si>
    <t>srch1995@yahoo.com/ santarosacommunityhospital1995@gmail.com</t>
  </si>
  <si>
    <t>Anatomic Pathology (cytology &amp; surgical);  ASC (Colorectay, General, Ophthalmologic, Otorhinolaryngologic, Pediatric, Plastic and Reconstructive, Reporductive Health, Thoracic &amp; Urologic Surgery, Orthopedic); Specilaized Diagnostic X-ray Services: Computed Tomography &amp; Mammography, Dialysis Clinic; Dental Clinic</t>
  </si>
  <si>
    <t>4A-0113-26-H1-1</t>
  </si>
  <si>
    <t>1/ Type II/ Plate # RAE 194</t>
  </si>
  <si>
    <t>Alabat</t>
  </si>
  <si>
    <t>Camagong, Alabat, Quezon</t>
  </si>
  <si>
    <t xml:space="preserve">Dr. Ma. Giselda D. Contreras, MBA, MHA, CHA, FPCHA
</t>
  </si>
  <si>
    <t>Blood Bank wtih additional function, rHIVda Confirmatory Laboratory, HIV Testing Laboratory, Peritoneal, Specialized Diagnostic X-Ray Services</t>
  </si>
  <si>
    <t>QUEZON PROVINCIAL HOSPITAL NETWORK- ALABAT</t>
  </si>
  <si>
    <t>045-887-3139</t>
  </si>
  <si>
    <t>amc_inc72@yahoo.com</t>
  </si>
  <si>
    <t>03-0174-26-H2-2</t>
  </si>
  <si>
    <t>Type I (GB 0768)</t>
  </si>
  <si>
    <t>Virgilio T. Mislang, MD, MHA</t>
  </si>
  <si>
    <t>alabathospital@gmail.com</t>
  </si>
  <si>
    <t>4A-0191-26-H1-2</t>
  </si>
  <si>
    <t>Atimonan</t>
  </si>
  <si>
    <t>DR. EDILBERTO V. CAVANEYRO-OIC-Medical Center Chief II</t>
  </si>
  <si>
    <t>G. Orda St. Zone Ii Poblacion Atimonan, Quezon 4331</t>
  </si>
  <si>
    <t>QUEZON PROVINCIAL HOSPITAL NETWORK-DOÑA MARTA (ATIMONAN)</t>
  </si>
  <si>
    <t>(02) 8294 6711</t>
  </si>
  <si>
    <t>vmc_himd@yahoo.com</t>
  </si>
  <si>
    <t>Type I (F5 K696)</t>
  </si>
  <si>
    <t>DOH000802</t>
  </si>
  <si>
    <t>Dr. Sonny L. Ching</t>
  </si>
  <si>
    <t>lailani_dollano@yahoo.com</t>
  </si>
  <si>
    <t>4A-0152-26-H1-1</t>
  </si>
  <si>
    <t>Masin Norte, Candelaria, Quezon</t>
  </si>
  <si>
    <t>QUEZON PROVINCIAL HOSPITAL NETWORK - CANDELARIA</t>
  </si>
  <si>
    <t>Diagnostic X-ray Services (Level 1), Pharmacy</t>
  </si>
  <si>
    <t>Type I SND 6187</t>
  </si>
  <si>
    <t>Negros Occidental</t>
  </si>
  <si>
    <t>Mc Arthur Highway</t>
  </si>
  <si>
    <t>Bacolod City</t>
  </si>
  <si>
    <t>ANGELES UNIVERSITY FOUNDATION</t>
  </si>
  <si>
    <t>Dr. John V. Loria</t>
  </si>
  <si>
    <t>Burgos- Lacson Sts., Bacolod City, Negros Occidental</t>
  </si>
  <si>
    <t>042 585 8327</t>
  </si>
  <si>
    <t>qphncandelaria@gmail.com</t>
  </si>
  <si>
    <t>CORAZON LOCSIN MONTELIBANO MEMORIAL REGIONAL HOSPITAL</t>
  </si>
  <si>
    <t>4A-0028-26-H1-1</t>
  </si>
  <si>
    <t xml:space="preserve">Blood Bank with additional function to collect, test, &amp; process blood), Anatomic Pathology (cytology, surgical, &amp; frozen), Dialysis Clinic, G6PD Confirmatory, Laboratory for Drinking Water Analysis, Specialized Diagnostic X-ray Services: Computed Tomography, Mammography, Bone Densitometry, Cardiac Catheterization, Digital Subtraction Angiography, Percutaneous Transluminal Angiography, Transportable, Physical Medicine and rehabilitation unit
</t>
  </si>
  <si>
    <t>Catanauan</t>
  </si>
  <si>
    <t>Brgy. 08, Catanauan, Quezon</t>
  </si>
  <si>
    <t>QUEZON PROVINCIAL HOSPITAL NETWORK - BONDOC PENINSULA (CATANAUAN)</t>
  </si>
  <si>
    <t>1/Type II/Plate# CAP 7126</t>
  </si>
  <si>
    <t>Dr. Ma. Lourdes G. Lagunilla</t>
  </si>
  <si>
    <t>045-625-2999</t>
  </si>
  <si>
    <t>medical.doctors@aufmc.com.ph</t>
  </si>
  <si>
    <t>03-0138-26-H3-2</t>
  </si>
  <si>
    <t>Dr. Rosaline A. Ojastro</t>
  </si>
  <si>
    <t>Blood Bank (with additional function to collect, test &amp; process), Acute-Chronic Psychiatric Care, rHIVda Confirmatory Laboratory, Specialized Diagnostic X-ray Servicess</t>
  </si>
  <si>
    <t>042-3734801/ 09500643156/ 09475339100/ 09477515437</t>
  </si>
  <si>
    <t>bpdhcatanauan@gmail.com</t>
  </si>
  <si>
    <t>4A-0217-26-H1-1</t>
  </si>
  <si>
    <t>#648 Rizal Street</t>
  </si>
  <si>
    <t>DR. AMANDO L. GARCIA MEDICAL CENTER</t>
  </si>
  <si>
    <t>Guinayangan</t>
  </si>
  <si>
    <t>Brgy. Calimpac, Guinayangan, Quezon</t>
  </si>
  <si>
    <t>QUEZON PROVINCIAL HOSPITAL NETWORK-GUINAYANGAN</t>
  </si>
  <si>
    <t>Anatomic Pathology (cytology &amp; surgical), HIV Testing Laboratory, ASC( Colorectal, General, Ophthalmologic, Orthopedic, Pediatric, Thoracic Otorhinolaryngologic, Reproductive Health, Urologic); Diagnostic X-ray Services Level 3; Specialized Diagnostic X-ray Services: Computed Tomography, Mammography, Lithotripsy, Dialysis Clinic</t>
  </si>
  <si>
    <t>1/Type II Plate No. UOR 919</t>
  </si>
  <si>
    <t>Diagnostic X-ray Services (Level 1)
Pharmacy
Pharmacy</t>
  </si>
  <si>
    <t>Type I (F5K 705)</t>
  </si>
  <si>
    <t>Dr. Maria Clarita B. Garcia-Sampang</t>
  </si>
  <si>
    <t xml:space="preserve">045-888-8992
</t>
  </si>
  <si>
    <t>dalgmcinc.1971@gmail.com</t>
  </si>
  <si>
    <t>Dr. Julius Drilon</t>
  </si>
  <si>
    <t>03-0020-26-H2-2</t>
  </si>
  <si>
    <t>Dr. Florencia Agno-Vergara</t>
  </si>
  <si>
    <t>(034) 703-1350</t>
  </si>
  <si>
    <t>042-7176035/ 09701697311</t>
  </si>
  <si>
    <t>guinayangan.hospital@gmail.com</t>
  </si>
  <si>
    <t>mcco@clmmrh.doh.gov.ph</t>
  </si>
  <si>
    <t>4A-0005-26-H1-1</t>
  </si>
  <si>
    <t>Ninoy Aquino Ave., Clark Special Economic Zone, Clarkfiled</t>
  </si>
  <si>
    <t>OUR LADY OF MT. CARMEL-CLARK</t>
  </si>
  <si>
    <t>DOH004299</t>
  </si>
  <si>
    <t>Gumaca</t>
  </si>
  <si>
    <t>Maharlika Highway, Brgy. Rosario, Gumaca, Quezon</t>
  </si>
  <si>
    <t>QUEZON PROVINCIAL HOSPITAL NETWORK - GUMACA</t>
  </si>
  <si>
    <t>Diagnostic X-ray Services (level2)
 Specialized - CT; Dialysis Clinic; ASC (Colorectal, General, Otorhinolaryngologic); Physical Medicine and Rehabilitation Unit</t>
  </si>
  <si>
    <t>1,Type 1I Plate# CAM 6064</t>
  </si>
  <si>
    <t>Noelito Lacsamana, MD</t>
  </si>
  <si>
    <t>(045) 4990103
9212902581</t>
  </si>
  <si>
    <t>mtcarmelclark@gmail.com</t>
  </si>
  <si>
    <t>Apayao</t>
  </si>
  <si>
    <t>03-0014-26-H2-2</t>
  </si>
  <si>
    <t>Conner</t>
  </si>
  <si>
    <t>Ripang</t>
  </si>
  <si>
    <t>Sonny L. Ching, MD, MHA</t>
  </si>
  <si>
    <t>CONNER DISTRICT HOSPITAL</t>
  </si>
  <si>
    <t>042 317 7535</t>
  </si>
  <si>
    <t>gdhquezon@yahoo.com</t>
  </si>
  <si>
    <t>4A-0202-26-H1-1</t>
  </si>
  <si>
    <t>Block 6 Lot 11, Arayat Blvd., Barangay Pampang</t>
  </si>
  <si>
    <t>PRI MEDICAL CENTER</t>
  </si>
  <si>
    <t>Infanta</t>
  </si>
  <si>
    <t>Barangay Gumian Infanta, Quezon</t>
  </si>
  <si>
    <t>QUEZON PROVINCIAL HOSPITAL NETWORK - CLARO M. RECTO (INFANTA)</t>
  </si>
  <si>
    <t>Dialysis Clinic; Specialized Diagnostic: CT</t>
  </si>
  <si>
    <t>Ambulatorory Surgical Clinic (General Surgery)</t>
  </si>
  <si>
    <t>1/ Type II/ CBM 9409</t>
  </si>
  <si>
    <t>Elisa Joana R. Lim, MD</t>
  </si>
  <si>
    <t xml:space="preserve">0917-180-8886
046-8889308
09235428182
09759650631
</t>
  </si>
  <si>
    <t>Type I (F4 C778)</t>
  </si>
  <si>
    <t>primc.hrd@gmail.com
primc.nso@gmail.com
piolimmd@primconline.com
info@primconline.com</t>
  </si>
  <si>
    <t>03-0207-26-H2-2</t>
  </si>
  <si>
    <t xml:space="preserve">1 Type 1, Conduction Sticker, S7 X788, 
CR No. 2262933186
1 Type 2 Conduction Sticker, F3 0924, 
CR No. 454639135 
</t>
  </si>
  <si>
    <t>Decrease Bed</t>
  </si>
  <si>
    <t>Corazon A. Delos Reyes, MD., MHA</t>
  </si>
  <si>
    <t>cmrmdh@yahoo.com</t>
  </si>
  <si>
    <t>Lot 5-6 Block 13 Rizal Extension Barangay Cut-cut</t>
  </si>
  <si>
    <t>ST. CATHERINE OF ALEXANDRIA FOUNDATION AND MEDICAL CENTER, INC.</t>
  </si>
  <si>
    <t>4A-0072-26-H1-1</t>
  </si>
  <si>
    <t>Dialysis Clinic; ASC (Colorectal, General, Ophthalmologic, Otorhinolaryngologic, Pediatric, Thoracic); Physical Medicine and Rehabilitation Unit; CTU; Anatomic Pathology (Cytology and Histopathology); Level 3 Diagnostic X-ray; Specialized: CT, Mammography</t>
  </si>
  <si>
    <t>Lopez</t>
  </si>
  <si>
    <t>1/Type II Plate No. AAU 8030</t>
  </si>
  <si>
    <t>Maharlika Highway, Brgy. Magsaysay, Lopez, Quezon</t>
  </si>
  <si>
    <t>MAGSAYSAY MEMORIAL DISTRICT HOSPITAL</t>
  </si>
  <si>
    <t>Dr. Carmelita A. Torno</t>
  </si>
  <si>
    <t xml:space="preserve">09189481097
09171575475 - Sir Robbie (Chief Nurse)		</t>
  </si>
  <si>
    <t>scafmc.hospital@gmail.com</t>
  </si>
  <si>
    <t>03-0157-26-H2-2</t>
  </si>
  <si>
    <t>Type I (F4 C763) (F3 O978)</t>
  </si>
  <si>
    <t>Dr. Wilson T. Rivera</t>
  </si>
  <si>
    <t>Apalit</t>
  </si>
  <si>
    <t>(042) 302-6030/ 09791738233</t>
  </si>
  <si>
    <t>232 Gonzales Ave, Apalit</t>
  </si>
  <si>
    <t>Dr. Nelson O. Rigor</t>
  </si>
  <si>
    <t>APALIT DOCTORS HOSPITAL, INC.</t>
  </si>
  <si>
    <t>mmdhlopezquezon@yahoo.com</t>
  </si>
  <si>
    <t>09069528092</t>
  </si>
  <si>
    <t>4A-0126-26-H1-1</t>
  </si>
  <si>
    <t>connerdistricthospital@yahoo.com</t>
  </si>
  <si>
    <t>Lucena City</t>
  </si>
  <si>
    <t>14-0005-25-H2-1</t>
  </si>
  <si>
    <t>Diagnostic X-ray Level 2; Physical Medicine and Rehabilitation Unit, Dental Clinic; ASC (Ophthalmologic - St. Thomas Eyecare Center, Inc.); Dialysis; HIV Testing Laboratory,Dental Clinic</t>
  </si>
  <si>
    <t>Quezon Avenue, Lucena City, Quezon</t>
  </si>
  <si>
    <t>QUEZON PROVINCIAL HOSPITAL NETWORK - QUEZON MEDICAL CENTER</t>
  </si>
  <si>
    <t>1/Type I/ Plate# AMA 4413</t>
  </si>
  <si>
    <t>Anatomic Pathology( surgical &amp; cytology), Blood Bank (with additional function to collect, test &amp; process), Laboratory for Drinking Water Analysis, Rhivda</t>
  </si>
  <si>
    <t>Luna</t>
  </si>
  <si>
    <t>Dr. Catherine Jane Y. Caylao</t>
  </si>
  <si>
    <t>FAR NORTH LUZON GENERAL HOSPITAL AND TRAINING CENTER</t>
  </si>
  <si>
    <t>(045) 652-0030</t>
  </si>
  <si>
    <t>apalithospmds@yahoo.com</t>
  </si>
  <si>
    <t>03-0091-26-H1-1</t>
  </si>
  <si>
    <t>Dr. Juan Eugenio Fidel B. Villanueva</t>
  </si>
  <si>
    <t>042-7103444/ 09109771146</t>
  </si>
  <si>
    <t>qmc.coh@gmail.com</t>
  </si>
  <si>
    <t>167 Gonzales Avenue, Barangay San Juan,</t>
  </si>
  <si>
    <t>DOH004424</t>
  </si>
  <si>
    <t>ASSCOM MEDICAL CENTER</t>
  </si>
  <si>
    <t>Type II, CS No. Z3K780, Type II, CS No. Z3BO41 (11/28/2024)</t>
  </si>
  <si>
    <t>Dialysis Clinic, Physical Medicine and Rehabilitation Unit, ASC (Ophthalmologic); Dental Clinic</t>
  </si>
  <si>
    <t>Mauban</t>
  </si>
  <si>
    <t>1/Type I/Plate# WZI216</t>
  </si>
  <si>
    <t>Barangay Polo, Mauban, Quezon</t>
  </si>
  <si>
    <t>Quezon Provincial Hospital Network - Mauban</t>
  </si>
  <si>
    <t>HIV Testing Laboratory, Dialysis Clinic, rHIVda Confirmatory Laboratory</t>
  </si>
  <si>
    <t>1 Type 2, Conduction Sticker No. F300867, CR No. 38952695-5
1, Type 1, Conduction Sticker No. SJP 754, CR no. 11295300-2</t>
  </si>
  <si>
    <t>Dr. Marlene Libatique-Lubo</t>
  </si>
  <si>
    <t>09164466509</t>
  </si>
  <si>
    <t>Edwin M. Aguirre, MD, MHA</t>
  </si>
  <si>
    <t>Dr. Nossael Rozul</t>
  </si>
  <si>
    <t>fnlghtc@yahoo.com.ph</t>
  </si>
  <si>
    <t>(042)7840-216 / (042)7840-313</t>
  </si>
  <si>
    <t>(045) 652-0089</t>
  </si>
  <si>
    <t>maubandistricthospital@gmail.com</t>
  </si>
  <si>
    <t>14-0006-25-H2-1</t>
  </si>
  <si>
    <t>asccomdlsuhospital@yahoo.com</t>
  </si>
  <si>
    <t>4A-0203-26-H1-1</t>
  </si>
  <si>
    <t>03-0200-26-H1-2</t>
  </si>
  <si>
    <t>San Francisco</t>
  </si>
  <si>
    <t>Benguet</t>
  </si>
  <si>
    <t>Brgy. Cawayan I, San Francisco, Quezon</t>
  </si>
  <si>
    <t>Baguio City</t>
  </si>
  <si>
    <t>QUEZON PROVINCIAL HOSPITAL NETWORK-SAN FRANCISCO</t>
  </si>
  <si>
    <t>Bghmc Compound</t>
  </si>
  <si>
    <t>BAGUIO GENERAL HOSPITAL AND MEDICAL CENTER</t>
  </si>
  <si>
    <t>Mc Arthur Hi-Way San Vicente</t>
  </si>
  <si>
    <t>E.D. LIM MEDICAL CENTER</t>
  </si>
  <si>
    <t>1/Type I/Plate# CAB 8165</t>
  </si>
  <si>
    <t>Primary</t>
  </si>
  <si>
    <t>Dr. Francis Escandor</t>
  </si>
  <si>
    <t>042-7131514/ 09367131514/ 09196824025</t>
  </si>
  <si>
    <t>Dr. Evelyn Lim</t>
  </si>
  <si>
    <t>sf_mhospital@yahoo.com</t>
  </si>
  <si>
    <t>(045) 302-8215/879-0213</t>
  </si>
  <si>
    <t>edlim.hospital@yahoo.com</t>
  </si>
  <si>
    <t>03-0066-26-H1-2</t>
  </si>
  <si>
    <t>Km. 55 Mc Arthur Highway, Barangay Sampaloc</t>
  </si>
  <si>
    <t>PAMPANGA PREMIER MEDICAL CENTER, INC.</t>
  </si>
  <si>
    <t>Dialysis Clinic, Ambulatory Surgical Clinic (Ophthalmologic, Colorectal, General, Otorhinolaryngologic, Pediatric, Reproductive Health, Thoracic, Urologic, Orthopedic); Physical Medicine and Rehabilitation Unit; Anatomic Pathology (cytology and surgical); Specialized X-ray: Computed Tomography and Dental</t>
  </si>
  <si>
    <t>4A-0195-26-H1-1</t>
  </si>
  <si>
    <t>1/Type II Plate No. NBU 7184</t>
  </si>
  <si>
    <t>SHERWIN T. GUEVARRA, MD, MHA</t>
  </si>
  <si>
    <t>045-4250084
09176712929
09976693844</t>
  </si>
  <si>
    <t>info@ppmc.com.ph
ppmcinformation@gmail.com
ppmchrd2011@gmail.com</t>
  </si>
  <si>
    <t>03-0198-26-H2-2</t>
  </si>
  <si>
    <t>Unisan</t>
  </si>
  <si>
    <t>G6PD Confirmatory, Blood Bank(w/ Addt'l function to collect, test and Process Blood), HIV Testing Laboratory, rHIVda Confirmatory Laboratory, Diagnostic X-ray Services
Pharmacy (Computed Tamgraphy, Mammography, Cardiac CatherizationTumor Localization and Simulation), Radiation Therapy Service Category: Level 4, Radiation Oncology Service(Conventional Radiation Therapy, Image Guided Radiation Therapy, 3d Conformal Radiation Therapy, Intensity Modulated Radiation Therapy, CEmoC, Dental</t>
  </si>
  <si>
    <t>Brgy. Ibabang Kalilayan, Unisan, Quezon</t>
  </si>
  <si>
    <t>QUEZON PROVINCIAL HOSPITAL NETWORK-UNISAN</t>
  </si>
  <si>
    <t>2/Type II/ SKD 914 &amp; SJV 676</t>
  </si>
  <si>
    <t>(CS F3V696)</t>
  </si>
  <si>
    <t>O-G Road, Mangga, Cacutud</t>
  </si>
  <si>
    <t>ARAYAT DOCTORS HOSPITAL</t>
  </si>
  <si>
    <t>Dr.Larry Haya</t>
  </si>
  <si>
    <t>074-442-4216 loc.219/212</t>
  </si>
  <si>
    <t>molecularlab@bghmc.doh.gov.ph</t>
  </si>
  <si>
    <t>Jesus M. Calayag,RN,MD,MHA</t>
  </si>
  <si>
    <t>DOH000274</t>
  </si>
  <si>
    <t>conglancion@yahoo.com</t>
  </si>
  <si>
    <t>Dialysis,Tertiary lab,ASC(general),Diagnostic Xray L2</t>
  </si>
  <si>
    <t>4A-0204-26-H1-1</t>
  </si>
  <si>
    <t>1,Type II Plate no. AVA 8242</t>
  </si>
  <si>
    <t>Mountain Province</t>
  </si>
  <si>
    <t>Bauko</t>
  </si>
  <si>
    <t>Rizal</t>
  </si>
  <si>
    <t>Abatan</t>
  </si>
  <si>
    <t>Angono</t>
  </si>
  <si>
    <t>LUIS HORA MEMORIAL REGIONAL HOSPITAL</t>
  </si>
  <si>
    <t>Ibañez St., Brgy. San Isidro, Angono, Rizal</t>
  </si>
  <si>
    <t>RIZAL PROVINCIAL HOSPITAL SYSTEM-ANGONO ANNEX</t>
  </si>
  <si>
    <t>Dr. Cesar Matias</t>
  </si>
  <si>
    <t>045 305 013</t>
  </si>
  <si>
    <t>Type I (S2 0712)</t>
  </si>
  <si>
    <t>doccjmatias@yahoo.com</t>
  </si>
  <si>
    <t>Anatomic Pathology, Blood Bank (with addltional function to collect, test and process blood), HIV testing Lab., Dialysis Clinic, Diagnostic X-Ray, Specialized Diagnostic X-Ray, Computed Tamography, Dental - Panoramic, Dialysis Clinic</t>
  </si>
  <si>
    <t>03-0173-26-H1-2</t>
  </si>
  <si>
    <t>1/TypeII/ 130110</t>
  </si>
  <si>
    <t>Dr. Michael M. San Luis</t>
  </si>
  <si>
    <t>8651-2253/ 09618698444</t>
  </si>
  <si>
    <t>rphsangono75@gmail.com</t>
  </si>
  <si>
    <t>4A-0214-26-H1-1</t>
  </si>
  <si>
    <t>Dr. Eduardo B. Calpito</t>
  </si>
  <si>
    <t>Plazang Luma, Arayat</t>
  </si>
  <si>
    <t>09293019551 / 09308624883</t>
  </si>
  <si>
    <t>HOLY TRINITY MEDICAL CENTER, INC.</t>
  </si>
  <si>
    <t>lhmrh_doh@yahoo.com</t>
  </si>
  <si>
    <t>14-0003-25-H2-1</t>
  </si>
  <si>
    <t>Antipolo City</t>
  </si>
  <si>
    <t>224 Sumulong Highway, Mambugan, Antipolo City</t>
  </si>
  <si>
    <t>ANTIPOLO CITY HOSPITAL SYSTEM IV-MAMBUGAN</t>
  </si>
  <si>
    <t>Dialysis; Physical Medicine and Rehabilitation Unit; Tertiary Lab; Level 2 X-ray; Specialized: CT; ASC (General, Ophthalmologic, Rreproductive Health, thoracic, Colorectal, Orthopedic, Urologic)</t>
  </si>
  <si>
    <t>Diagnostic X-ray Services (Level 2), Dialysis Clinic, Pharmacy (Planet Drugstore Corp.), High Risk Pregnancy Unit, Neonatal Intensive Care Unit, Physical Medicine and Rehabilitation Unit)</t>
  </si>
  <si>
    <t>1/Type II/ CAN 586</t>
  </si>
  <si>
    <t>2, Type I (FOC 181, F3 R332)</t>
  </si>
  <si>
    <t>Dr. Shiela P. Samson</t>
  </si>
  <si>
    <t>045-885-0565
9399439802</t>
  </si>
  <si>
    <t>htgh2005@gmail.com</t>
  </si>
  <si>
    <t>Dr. Ricardo A. Barretto Jr.</t>
  </si>
  <si>
    <t>03-0004-26-H2-2</t>
  </si>
  <si>
    <t>8687-1114; 8687-1118</t>
  </si>
  <si>
    <t>achsmambugan@yahoo.com</t>
  </si>
  <si>
    <t>4A-0157-26-H1-1</t>
  </si>
  <si>
    <t>Plazang Luma</t>
  </si>
  <si>
    <t>LINGAP GENERAL HOSPITAL</t>
  </si>
  <si>
    <t>Sitio Cabading, Brgy. Inarawan, Antipolo City, Rizal</t>
  </si>
  <si>
    <t>ANTIPOLO CITY HOSPITAL SYSTEM-CABADING</t>
  </si>
  <si>
    <t>Diagnostic X-ray Level 2; Dialysis - 6,tertiary lab</t>
  </si>
  <si>
    <t>1/Type I/Plate# CBI 3611</t>
  </si>
  <si>
    <t>Pharmacy (Planet Drug Store)</t>
  </si>
  <si>
    <t>Type I (F4 E575)</t>
  </si>
  <si>
    <t>Dr. Jane D. Eustaquio</t>
  </si>
  <si>
    <t>045-885-2355/ 0906-298-9449</t>
  </si>
  <si>
    <t>lingapgenhospital@gmail.com</t>
  </si>
  <si>
    <t>03-0071-26-H1-2</t>
  </si>
  <si>
    <t>Dr. Rizza Jane R. Vinluan</t>
  </si>
  <si>
    <t>84751876/ 09218916416</t>
  </si>
  <si>
    <t>cabadinghospital@gmail.com</t>
  </si>
  <si>
    <t>4A-0181-26-H1-1</t>
  </si>
  <si>
    <t>Valdez, Floridablanca</t>
  </si>
  <si>
    <t>FLORIDABLANCA DOCTORS' HOSPITAL, INC.</t>
  </si>
  <si>
    <t>Blood Bank with additional function to collect, test &amp; process blood), HIV Testing Laboratory, Diagnostic X-ray Services (level 3)
Specialized - Computed Tomography, Dialysis Clinic; ASC (Colorectal Surgery, General Surgery, Orthopedic, Otolaryngologic, Reproductive, Thoracic)</t>
  </si>
  <si>
    <t>Nha Ave., Purok Imelda, Brgy. Dela Paz, Cogeo, Antipolo City, Rizal</t>
  </si>
  <si>
    <t>1/ Type II/ CBX 4515</t>
  </si>
  <si>
    <t>RIZAL PROVINCIAL HOSPITAL SYSTEM- ANTIPOLO ANNEX 1</t>
  </si>
  <si>
    <t>Dr. Annabelle Castro - Mercado</t>
  </si>
  <si>
    <t>0992-6068-103/ 045-626-5360</t>
  </si>
  <si>
    <t>fdhi.jette@gmail.com</t>
  </si>
  <si>
    <t>2 Type I (SAA 5740) (F4 A453)</t>
  </si>
  <si>
    <t>03-0111-26-H2-2</t>
  </si>
  <si>
    <t>Marie Olga G. Santiago</t>
  </si>
  <si>
    <t>286398453/ 09175642346</t>
  </si>
  <si>
    <t>rphs.antipoloannex@gmail.com</t>
  </si>
  <si>
    <t>Km. 80 O-G Road, Sa Antonio, Guagua</t>
  </si>
  <si>
    <t>PAMPANGA MEDICAL SPECIALIST HOSPITAL</t>
  </si>
  <si>
    <t>4A-0207-26-H1-1</t>
  </si>
  <si>
    <t>Provincial Road, Barangay Dalig, Antipolo City, Rizal</t>
  </si>
  <si>
    <t>Blood Bank with additional function to collect, test &amp; process blood); Diagnostic X-ray Level 3; Specialized Diagnostic X-ray Services: Computed Tomography, Mammography, Cardiac Catheterization, Percutaneous Transluminal Angioplasty; Physical Medicine &amp; Rehabilitation Unit (168 Livestrong Rehabilitation and Physical Therapy Clinic);  Acute Chronic Psychiatric Facility; Dialysis Clinic; ASC (Colorectal, General, Otorhinolaryngologic, Pediatric, Thoracic, Urologic); ASC (Ophthalmologic - Global Eye Specialists), Anatamic Pathology</t>
  </si>
  <si>
    <t>RIZAL PROVINCIAL HOSPITAL SYSTEM-ANTIPOLO ANNEX II</t>
  </si>
  <si>
    <t>2/Type II/ CAB 8510; NBY 5355</t>
  </si>
  <si>
    <t>Diagnostic X-ray Services (Level 2), Pharmacy (Planet Drugstore Corp.)</t>
  </si>
  <si>
    <t>MARILU F.MALAMUG, MD, MPA, CHA, FPCHA</t>
  </si>
  <si>
    <t>1, Type I (F4 J684)</t>
  </si>
  <si>
    <t xml:space="preserve">045-455-7674
09174350636 </t>
  </si>
  <si>
    <t>1mdopmsh@gmail.com</t>
  </si>
  <si>
    <t>03-0139-26-H2-2</t>
  </si>
  <si>
    <t>Dr. Carla Celino</t>
  </si>
  <si>
    <t>(02) 941-8518/ 09175045715</t>
  </si>
  <si>
    <t>rphsannexiichiefofhospital@gmail.com</t>
  </si>
  <si>
    <t>4A-0199-26-H1-1</t>
  </si>
  <si>
    <t>San Roque</t>
  </si>
  <si>
    <t>ROSARIO MEDICAL CENTER OF GUAGUA, INC.</t>
  </si>
  <si>
    <t>Binangonan</t>
  </si>
  <si>
    <t>Manila East Road, Darangan, Binangonan, Rizal</t>
  </si>
  <si>
    <t>RIZAL PROVINCIAL HOSPITAL SYSTEM-MARGARITO DUAVIT MEMORIAL HOSPTIAL (FORMERLY BINANGONAN ANNEX)</t>
  </si>
  <si>
    <t>Diagnostic X-ray Services (Level 2)), Specialized Diagnostic X-ray Services (Computed Tomography)</t>
  </si>
  <si>
    <t>Type I (A5 W747)</t>
  </si>
  <si>
    <t>Dr. Angel Q. Daquigan</t>
  </si>
  <si>
    <t>86889474/ 82563000/ 87271952</t>
  </si>
  <si>
    <t>Dialysis, Ambulatory Surgical Clinic (General and Thoracic); Physical Medicine and Rehabilitation Unit; Level 2 Xray; Specialized: CT and Mammography</t>
  </si>
  <si>
    <t>rphsbinangonan@gmail.com</t>
  </si>
  <si>
    <t>1, Type II/ CAI 1285</t>
  </si>
  <si>
    <t>4A-0110-26-H1-1</t>
  </si>
  <si>
    <t>Richard Victor A. Daulat, CPA, MD, MHA</t>
  </si>
  <si>
    <t>045-900-4086
09166379941</t>
  </si>
  <si>
    <t>rosariomhospital2@gmail.com
rosariohospital@yahoo.com</t>
  </si>
  <si>
    <t>Cainta</t>
  </si>
  <si>
    <t>A. Bonifacio Ave., Cainta Municipal Compound, Brgy. Sto. Domingo, Cainta, Rizal</t>
  </si>
  <si>
    <t>03-0085-26-H2-2</t>
  </si>
  <si>
    <t>BAGONG CAINTA MUNICIPAL HOSPITAL</t>
  </si>
  <si>
    <t>upgrading and increase in bed</t>
  </si>
  <si>
    <t>Specialized Diagnostic X-ray Services (Computed Tomography) HIV Testing Laboratory</t>
  </si>
  <si>
    <t>Lot 3A-23 Canidha Subdivision, Purok 5 Camachile</t>
  </si>
  <si>
    <t>ST. RAPHAEL FOUNDATION AND MEDICAL CENTER</t>
  </si>
  <si>
    <t>Type I (SAA 3290)</t>
  </si>
  <si>
    <t>Dr. Antonio Jayson I. Sierra</t>
  </si>
  <si>
    <t>Dialysis Clinic, ASC (Colorectal, General, Otorhinolaryngologic, Reproductive Health, Thoracic, Plastic and Reconstructive, Urologic, Ophthalmologic); Specialized Xray: CT, Mammography</t>
  </si>
  <si>
    <t>6962605/</t>
  </si>
  <si>
    <t>caintamunicipalhospital_official@yahoo.com</t>
  </si>
  <si>
    <t>1/Type II/ Plate No. CMB 5163</t>
  </si>
  <si>
    <t>Dr.Antonio G. Dizon</t>
  </si>
  <si>
    <t>045-331-1288/09952519736</t>
  </si>
  <si>
    <t>srfmc.it@gmail.com</t>
  </si>
  <si>
    <t>Morong</t>
  </si>
  <si>
    <t>03-0061-26-H2-2</t>
  </si>
  <si>
    <t>Tomas Claudio St. Brgy. San Juan, Morong, Rizal</t>
  </si>
  <si>
    <t>RIZAL PROVINCIAL HOSPITAL SYSTEM- MORONG</t>
  </si>
  <si>
    <t>100 Gatwick Gateway Sabah Al-Ahmad Global Gateway Logistics City, Ind'l Estate 5, Clark Freeport Zone</t>
  </si>
  <si>
    <t>THE MEDICAL CITY CLARK, INC.</t>
  </si>
  <si>
    <t>Type I (SAB 6401)</t>
  </si>
  <si>
    <t>Dr. Ethel J. Raymundo</t>
  </si>
  <si>
    <t>Anatomic Pathology (cytology, histopathology and frozen); HBB++; Physical Medicine and Rehabilitation Unit; Dialysis; ASC (Colorectal, General, Ophthalmologic, Orthopedic, Otorhinolaryngologic, Pediatric, Plastic and Reconstructive,Reproductive, Thoracic, Urologic, OMF); Mobile Clinical Laboratory; CTU; Level3 Xray; Specialized Xray: CT, Mammogaphy, Cardiac Catheterization (Interventional Radiography), Bone Densitometry, Tomography PET/CT, MRI, Dental
Clinical Lab for Molecular Pathology: RTPCR, Meningitis/Encephalitis (ME) Panel, Gastrointestinal (GI) Panel, Blood Culture Identification (BCID) Panel, Respiratory Panel, Pneumonia Panel</t>
  </si>
  <si>
    <t>8653-1053/ 09178049402</t>
  </si>
  <si>
    <t>rphsmorong@gmail.com</t>
  </si>
  <si>
    <t>1/Type II/ Plate No. NIC 4211</t>
  </si>
  <si>
    <t>4A-0216-26-H1-1</t>
  </si>
  <si>
    <t>Dr. Charmie D. Arribe</t>
  </si>
  <si>
    <t>045-3008888
09173036684</t>
  </si>
  <si>
    <t>tmcclark@themedicalcityclark.com
kcalfonso@themedicalcity.com</t>
  </si>
  <si>
    <t>Rodriguez</t>
  </si>
  <si>
    <t>03-0114-26-H2-2</t>
  </si>
  <si>
    <t>Becco Road, Burgos, Rodriguez, Rizal</t>
  </si>
  <si>
    <t>RPHS- CASIMIRO A. YNARES, SR. MEMORIAL HOSPITAL</t>
  </si>
  <si>
    <t>#10 Imelda Marcos Blvd., San Joaquin</t>
  </si>
  <si>
    <t>Specialized Diagnostic X-ray Services (Computed Tomograpyh) Peritoneal Dialysis (6 beds) Phyisical Medicine and Rehabilitation Unit</t>
  </si>
  <si>
    <t>TIGLAO MEDICAL CENTER FOUNDATION, INC.</t>
  </si>
  <si>
    <t>Type I (S20 375)</t>
  </si>
  <si>
    <t>Diagnostic X-ray Services (level2);
 Specialized - CT; Dental Clinic; Dialysis</t>
  </si>
  <si>
    <t>Dr. Gracia Perpetua M. Lagarejos</t>
  </si>
  <si>
    <t>1/Type I/ Plate# RMY289</t>
  </si>
  <si>
    <t>8570-8261/ 09992297939</t>
  </si>
  <si>
    <t>rphscaysmh2013@gmail.com</t>
  </si>
  <si>
    <t>4A-0179-26-H1-1</t>
  </si>
  <si>
    <t>Dr. Victor S. Tiglao</t>
  </si>
  <si>
    <t>(045) 331-7700/09177194106
Chief Nurse Ron Mar Ramos: 0966-447-0046</t>
  </si>
  <si>
    <t xml:space="preserve">tmcfi.income.report@gmail.com 
chiefnurse.tmcfi@gmail.com
</t>
  </si>
  <si>
    <t>03-0199-26-H1-2</t>
  </si>
  <si>
    <t>Taytay</t>
  </si>
  <si>
    <t>Brgy. Dolores, Taytay, Rizal</t>
  </si>
  <si>
    <t>RIZAL PROVINCIAL HOSPITAL SYSTEM - TAYTAY</t>
  </si>
  <si>
    <t>#6 Talag St.San Roque,Macabebe, Pampanga</t>
  </si>
  <si>
    <t>OUR LADY OF ROSARY HOSPITAL, INC.</t>
  </si>
  <si>
    <t>Diagnostic X-ray Services (Level 2)
Pharmacy
Physical Medicine and Rehabilitation Unit</t>
  </si>
  <si>
    <t>Type I B9S003</t>
  </si>
  <si>
    <t>Diagnostic X-ray Level 2, ASC( General,Opthalmologc,Otorhinolaryngologic,Pediatric,Urologic, reproductive)</t>
  </si>
  <si>
    <t>1/Type I/ NDA 3056</t>
  </si>
  <si>
    <t>Dr. Raymond Michael M. San Luis</t>
  </si>
  <si>
    <t>8-7271952</t>
  </si>
  <si>
    <t>rphstaytay@gmail.com</t>
  </si>
  <si>
    <t>Dr. Ma. Irene Quijano, MHA</t>
  </si>
  <si>
    <t>4A-0111-26-H1-1</t>
  </si>
  <si>
    <t>(045) 921-1215
9171332334</t>
  </si>
  <si>
    <t>olrh.castilllo@yahoo.com</t>
  </si>
  <si>
    <t>03-0086-26-H1-2</t>
  </si>
  <si>
    <t>Marinduque</t>
  </si>
  <si>
    <t>Boac</t>
  </si>
  <si>
    <t>Brgy. Santol</t>
  </si>
  <si>
    <t>MARINDUQUE PROVINCIAL HOSPITAL</t>
  </si>
  <si>
    <t>Sitio Mandani, San Antonio</t>
  </si>
  <si>
    <t>ST. JOHN PAUL II MEDICAL CENTER CORP.</t>
  </si>
  <si>
    <t>Computed Tomography
Dialysis (8 stations)
Dental Clinic</t>
  </si>
  <si>
    <t>Diagnostic X-ray Services (level2)
 Specialized - CT; Dialysis</t>
  </si>
  <si>
    <t>1/Type I/CDA 1142</t>
  </si>
  <si>
    <t>2 / Type 1 / C.S No.  F5 J019 / CR No. 46578124-5 
and C.S No. F5 J036 / CR No. 46578122-3</t>
  </si>
  <si>
    <t>ALVIN G. PENAFIEL, MD</t>
  </si>
  <si>
    <t>st.johnpaulmedicalcenter@gmail.com</t>
  </si>
  <si>
    <t>03-0057-26-H1-2</t>
  </si>
  <si>
    <t>Dr. Sixto Raymund J. Sulit</t>
  </si>
  <si>
    <t>(042) 332-2490</t>
  </si>
  <si>
    <t>damianreyesprov.hosp@gmail.com</t>
  </si>
  <si>
    <t>4B-0027-26-H1-1</t>
  </si>
  <si>
    <t>Dolores City Of San Fernando</t>
  </si>
  <si>
    <t>GREENCITY MEDICAL CENTER</t>
  </si>
  <si>
    <t>Occidental Mindoro</t>
  </si>
  <si>
    <t>Mamburao</t>
  </si>
  <si>
    <t>Brgy. Taymaan</t>
  </si>
  <si>
    <t>OCCIDENTAL MINDORO PROVINCIAL HOSPITAL</t>
  </si>
  <si>
    <t>SOUTHERN MINDANAO REGION</t>
  </si>
  <si>
    <t>Level 2 Gen. Radiogrphy with moblie unit
Computed Tomography
Dental Clinic
Arterial Blood Gas</t>
  </si>
  <si>
    <t>Dialysis,ASC (colorectal,general.ophtalmologic,pediatric,reproductive,thoracic,urologic),CTU,Diagnostic Xray L3,Specialized xray-CT,Physical Medicine and Rehabilitation Unit,BB with add'l function to collect,test,process blood</t>
  </si>
  <si>
    <t>2 / Type 1 / Plate No. A8 D538 / CR No. 354234366 and Type 2/ Plate No. P7N535 / CR No. 390727326</t>
  </si>
  <si>
    <t>2/ Type II/ CAN 6126; NEW 1665</t>
  </si>
  <si>
    <t>REYNALDO A. FERATERO, MD, FPCS</t>
  </si>
  <si>
    <t>Dr. Joseph Kelvy P. Musñgi</t>
  </si>
  <si>
    <t>(043) 711-1116</t>
  </si>
  <si>
    <t>045-649-8701</t>
  </si>
  <si>
    <t>omph_mamburao@yahoo.com</t>
  </si>
  <si>
    <t>executiveofficegmc@gmail.com</t>
  </si>
  <si>
    <t>4B-0002-26-H1-1</t>
  </si>
  <si>
    <t>03-0026-26-H2-2</t>
  </si>
  <si>
    <t>Sablayan</t>
  </si>
  <si>
    <t>Sitio Macambang, Buenavista</t>
  </si>
  <si>
    <t>Mcarthur Highway</t>
  </si>
  <si>
    <t>SAN SEBASTIAN DISTRICT HOSPITAL</t>
  </si>
  <si>
    <t>MOTHER TERESA OF CALCUTTA MEDICAL CENTER</t>
  </si>
  <si>
    <t>Level 2 Gen. Radiography
Mammography
Dental Clinic
Clinical Laboratory - Arterial Blood Gas</t>
  </si>
  <si>
    <t>1 / Type 2 / C.S No. P7N945 / CR No. 39072731-5</t>
  </si>
  <si>
    <t>HBB++; Anatomic Pathology (cytology, surgical &amp; frozen); HIV Testing Laboratory; ASC (Colorectal Surgery, General Surgery, Ophthalmologic Surgery, Pediatric Surgery, Reproductive Health Surgery, Thoracic Surgery, Urologic Surgery, Orthopedic Surgery, Otorhinolaryngologic Surgery, Plastic &amp; Reconstructive Surgery); Diagnostic X-ray Level 3, Specialized Diagnostic X-ray Services: Computed Tomography, Mammography, MRI, Tumor Localization and Simulation; Dialysis Clinic; Physical Medicine and Rehabilitation Unit; CTU - Central Luzon Integrated Oncology Center, Inc.</t>
  </si>
  <si>
    <t>1/Type II/CAW 4202</t>
  </si>
  <si>
    <t>Dr. Severo B. Garcia</t>
  </si>
  <si>
    <t>sansebastiandistricthospital@yahoo.com</t>
  </si>
  <si>
    <t>Dr. Noel C. Evangelista</t>
  </si>
  <si>
    <t>4B-0018-26-H1-1</t>
  </si>
  <si>
    <t>045-455-2128
0917-943-4069</t>
  </si>
  <si>
    <t>lavernemanguerra@yahoo.com</t>
  </si>
  <si>
    <t>03-0161-26-H2-2</t>
  </si>
  <si>
    <t>San Jose</t>
  </si>
  <si>
    <t>National Highway, Brgy. San Isidro</t>
  </si>
  <si>
    <t>Km 78 Mc Arthur Highway Brgy. Saguin</t>
  </si>
  <si>
    <t>OUR LADY OF MT. CARMEL MEDICAL CENTER</t>
  </si>
  <si>
    <t>Level 2  Gen. Radiography
Computed Tomography
Gen. Radiography (Mobile)
Dental Clinic</t>
  </si>
  <si>
    <t>1 / Type 1 / Plate No. O40 110, CR No. 299227051</t>
  </si>
  <si>
    <t>HBB++, Specialized ICU, CVOR Complex, Acute Coronary Care Unit -3; Acute Stroke Unit -4; CTU in a General Hospital (Radiotherapy, Brachytherapy) RT-PCR, SARS-Cov2 Viral Load; Specialized: Computed Tomography, Mammography, Lithotripsy, Bone Densitometry, Cardiac Catheterization, Digital Subtraction Angiography, Percutaneous Transluminal Angioplasty,Radiation therapy Service L4,Specialized therapeutic xray services,image guided radiation therapy-total body radiation,tomotherapy/arc therapy,RT-PCR,sars-cov2 viral load, Physical Medicine and Rehabilitation Unit</t>
  </si>
  <si>
    <t>1/ Type II/ NGS 7553</t>
  </si>
  <si>
    <t>APOLONIO G. DOMINGO, Jr., MD, MHA</t>
  </si>
  <si>
    <t>san_josedistrict@yahoo.com</t>
  </si>
  <si>
    <t>Juan De Dios Bustos, MD</t>
  </si>
  <si>
    <t>4B-0019-26-H1-1</t>
  </si>
  <si>
    <t>045-865-6262
0918-936-8624</t>
  </si>
  <si>
    <t>olmcmc@yahoo.com</t>
  </si>
  <si>
    <t>03-0010-26-H3-2</t>
  </si>
  <si>
    <t>Oriental Mindoro</t>
  </si>
  <si>
    <t>Calapan City</t>
  </si>
  <si>
    <t>Brgy. Sta. Isabel</t>
  </si>
  <si>
    <t>Mc Arthur Highway, Dolores</t>
  </si>
  <si>
    <t>ORIENTAL MINDORO PROVINCIAL HOSPITAL</t>
  </si>
  <si>
    <t>Computed Tomography
Physical Medicine and Rehabilitation Unit (PMRU)
Dialysis (7 stations)
Rapid HIV Diagnostic Algorithm (rHIVDA)
COVID Laboratory</t>
  </si>
  <si>
    <t>SAN FERNANDINO HOSPITAL, INC.</t>
  </si>
  <si>
    <t xml:space="preserve">2 / Type 1 /  Plate No. VN 9245 / CR No. 276301373 and /Type 1/ CSNo. F5J050 / CR No. 465781271
1 / Type 2: C.S. No. P7 J664 / CR No. 46456993-2;
</t>
  </si>
  <si>
    <t>Cancer treatment Unit in a General Hospital</t>
  </si>
  <si>
    <t>CIELO ANGELA A. ANTE, MD, FPAFP, MHA, MPH</t>
  </si>
  <si>
    <t>(043) 288-5152
(043) 288-2627
(043)288-7661</t>
  </si>
  <si>
    <t>Dialysis Clinic, Ambulatory Surgical Clinic (Colorectal, General, Ophthalmologic, Orthopedic, Otorhinolaryngologic, Thoracic), Specialized Diagnostic X-ray Services: Computed Tomography; Tertiary Laboratory, ICU</t>
  </si>
  <si>
    <t>a.omph@yahoo.com</t>
  </si>
  <si>
    <t>1/ Type I/ TZI 579</t>
  </si>
  <si>
    <t>4B-0004-26-H2-1</t>
  </si>
  <si>
    <t>EDMUNDO R. MERCADO, MD</t>
  </si>
  <si>
    <t xml:space="preserve">045-961-1406
09235208892  Ma'am Analyn Sol (Compliance Officer)        </t>
  </si>
  <si>
    <t>sfhospital@yahoo.com
sanfernandino2025@gmail.com</t>
  </si>
  <si>
    <t>Pinamalayan</t>
  </si>
  <si>
    <t>03-0025-26-H1-2</t>
  </si>
  <si>
    <t>Strong Nautical Highway, Brgy. Papandayan</t>
  </si>
  <si>
    <t>ORIENTAL MINDORO CENTRAL DISTRICT HOSPITAL</t>
  </si>
  <si>
    <t>Clinical lab - TFT, Tumor Marker, Special Chemistry
Dialysis Clinic (4 Stations)
Dental Clinic</t>
  </si>
  <si>
    <t>2 / Type 1 / Plate No. VN 9280 / CR No. 276301384 and CS No: F5J005 / CR No:  46578123-4</t>
  </si>
  <si>
    <t>B. Mendoza Street, Sto. Rosario</t>
  </si>
  <si>
    <t>V.L. MAKABALI MEMORIAL HOSPITAL</t>
  </si>
  <si>
    <t>DR. Dante A. Nuestro</t>
  </si>
  <si>
    <t>(043) 284-3562
(043) 284-3903</t>
  </si>
  <si>
    <t>omcdh_hospital@yahoo.com</t>
  </si>
  <si>
    <t>Dialysis Clinic, ASC (Colorectal, General, Ophthalmologic, Orthopedic, Otorhinolaryngologic, Pediatric, Plastic and Reconstructive, Reproductive Health, Thoracic, Urologic), Specialized: CT, Satellite Pharmacy, Cancer Treatment Unit: Systemic</t>
  </si>
  <si>
    <t>4B-0025-26-H1-1</t>
  </si>
  <si>
    <t>1/ Type II/ ADA 4062</t>
  </si>
  <si>
    <t>Joseph George Tamayo, MD</t>
  </si>
  <si>
    <t>Brgy. Odiong</t>
  </si>
  <si>
    <t>ORIENTAL MINDORO SOUTHERN DISTRICT HOSPITAL</t>
  </si>
  <si>
    <t>045-9612234
0927-878-0333</t>
  </si>
  <si>
    <t>makabali_hospital@yahoo.com</t>
  </si>
  <si>
    <t>03-0109-26-H2-2</t>
  </si>
  <si>
    <t>Computed Tomography
Dental Clinic
Dialysis Clinic</t>
  </si>
  <si>
    <t>1 / Type 1 /  Plate No. VN 8656 / CR No. 276301406</t>
  </si>
  <si>
    <t>Sto. Tomas</t>
  </si>
  <si>
    <t>Mac Arthur Hi-Way San Matias</t>
  </si>
  <si>
    <t>LEONARDO B. MANABAT SR., HOSPITAL INC.</t>
  </si>
  <si>
    <t>Diagnostic X-ray Level 2, ASC (Colorectal, Thoracic)</t>
  </si>
  <si>
    <t>Prompt Ambulance Health Services, Inc.</t>
  </si>
  <si>
    <t>DR. JOCEL C. CARANZO</t>
  </si>
  <si>
    <t>(043) 289-2280</t>
  </si>
  <si>
    <t>Dr. Geraldine M. Mercado</t>
  </si>
  <si>
    <t>omsdhroxas@gmail.com</t>
  </si>
  <si>
    <t>(045) 435-2104</t>
  </si>
  <si>
    <t>mmgh_82@yahoo.com</t>
  </si>
  <si>
    <t>4B-0007-26-H1-1</t>
  </si>
  <si>
    <t>03-0082-26-H1-2</t>
  </si>
  <si>
    <t>Romulo Hi-Way, Palimbo, Caarosipan</t>
  </si>
  <si>
    <t>Aborlan</t>
  </si>
  <si>
    <t>SALVADOR GENERAL HOSPITAL</t>
  </si>
  <si>
    <t>Ramon Magsaysay</t>
  </si>
  <si>
    <t>ABORLAN MEDICARE HOSPITAL</t>
  </si>
  <si>
    <t>1/Type I/ Plate# ZSG530</t>
  </si>
  <si>
    <t xml:space="preserve"> Level 1 with General radiography (Mobile)
General radiography</t>
  </si>
  <si>
    <t>Type 1, Conduction sticker - IO B432, CR # 41442947-0</t>
  </si>
  <si>
    <t>Dr. Filomeno R. Salvador, Jr.</t>
  </si>
  <si>
    <t>800-7456
(045) 934-0312
(045) 934-0130</t>
  </si>
  <si>
    <t>salvadorgeneralhospital@yahoo.com</t>
  </si>
  <si>
    <t>03-0058-26-H1-2</t>
  </si>
  <si>
    <t>DR. STENELY O. MANUEL</t>
  </si>
  <si>
    <t>aborlanmedicarehospital@gmail.com</t>
  </si>
  <si>
    <t>4B-0008-26-H1-1</t>
  </si>
  <si>
    <t>Bataraza</t>
  </si>
  <si>
    <t>Marangas</t>
  </si>
  <si>
    <t>BATARAZA DISTRICT HOSPITAL</t>
  </si>
  <si>
    <t>P. Burgos St., Poblacion B., Camiling</t>
  </si>
  <si>
    <t>SEÑOR STO. NIÑO HOSPITAL, INC.</t>
  </si>
  <si>
    <t>Dental Clinic
Computed Tomography</t>
  </si>
  <si>
    <t>Type I, Conduction Sticker - IOE 019 - OR/CR - 437920070</t>
  </si>
  <si>
    <t>Dialysis, HIV Testing Laboratory, Pharmacy (2), Physical Medicine and Rehabilitation Unit, ASC (Colorectal, Ophthalmologic, Otorhinolaryngologic, Thoracic, Urologic), Mobile Clinical Laboratory, Specialized: CT</t>
  </si>
  <si>
    <t>1/Type II/ Plate No. CBT 1674</t>
  </si>
  <si>
    <t>DR. BON KARLO C. LADIA</t>
  </si>
  <si>
    <t>Dominic Velasco, MD, MBA, DPSBNM</t>
  </si>
  <si>
    <t>batarazadistricthospital@gmail.com</t>
  </si>
  <si>
    <t>4B-0020-26-H1-1</t>
  </si>
  <si>
    <t xml:space="preserve">
09177098916 (Information Office)
09190695261 (Nanet Collado - Chief Nurse)
09175747348 (Dr. Charisse Alvarez - Assist CAO)</t>
  </si>
  <si>
    <t>ssnhospitalinc@ssnhinc.com</t>
  </si>
  <si>
    <t>03-0009-26-H2-2</t>
  </si>
  <si>
    <t>Brooke's Point</t>
  </si>
  <si>
    <t>Brgy. Tubtub</t>
  </si>
  <si>
    <t>SOUTHERN PALAWAN PROVINCIAL HOSPITAL</t>
  </si>
  <si>
    <t>Level 2 Radiography/ Fluroscopy
Computed Tomography
Gen. Radiography (Mobile unit)
Dental Clinic</t>
  </si>
  <si>
    <t>Mc Arthur Highway, Barangay Sto. Domingo 2nd</t>
  </si>
  <si>
    <t>CAPAS MEDICAL CENTER</t>
  </si>
  <si>
    <t>1 / Type 1 / CS No. IOE 016 / CR No. 398178174</t>
  </si>
  <si>
    <t>DR. Amabel B. Labor</t>
  </si>
  <si>
    <t>spphpalawan2018@gmail.com</t>
  </si>
  <si>
    <t>4B-0013-26-H1-1</t>
  </si>
  <si>
    <t>Coron</t>
  </si>
  <si>
    <t>CORON DISTRICT HOSPITAL</t>
  </si>
  <si>
    <t>Diagnostic X-ray Services Level 2, ICU Beds-4, Tertiary Laboratory</t>
  </si>
  <si>
    <t>C.S No. IO E020, CR No. 39817823-3</t>
  </si>
  <si>
    <t>1/Type II/ Plate No. CAG 3519</t>
  </si>
  <si>
    <t>DR. Ariane T. Capalla</t>
  </si>
  <si>
    <t>MARIA TERESITA P. GUECO,MD,MHA,FPOGS,FPSUOG</t>
  </si>
  <si>
    <t>codh.pgp@gmail.com</t>
  </si>
  <si>
    <t>045-925-5937/ 0917-529-6394
09623328041 cmc admitting</t>
  </si>
  <si>
    <t>4B-0012-26-H1-1</t>
  </si>
  <si>
    <t>capasmedicalcenter2017@gmail.com</t>
  </si>
  <si>
    <t>03-0168-26-H1-2</t>
  </si>
  <si>
    <t>F. Timbol St., San Nicolas, Poblacion</t>
  </si>
  <si>
    <t>DR. EUTIQUIO LL. ATANACIO JR. MEMORIAL HOSPITAL, INC.</t>
  </si>
  <si>
    <t>Level 3 Gen. Radiography
Radiography/Fluoroscopy (Mobile C-arm)
Computed Tomography
Mammography
Vita Air Oxygen Plant
Histopathology
COVID 19 Testing Laboratory
Dialysis Clinic (10 stations)</t>
  </si>
  <si>
    <t>Diagnostic X-ray Level 2, ASC (Ophthalmology), Tertiary Laboratory</t>
  </si>
  <si>
    <t>1/Type I/ CS# FOW239</t>
  </si>
  <si>
    <t>4B-0005-26-H2-1</t>
  </si>
  <si>
    <t>Dr. Danilo Atanacio</t>
  </si>
  <si>
    <t xml:space="preserve">(045) 923-0240
045-6090368
09208827733
Maam Regina (Medical Records Officer)
</t>
  </si>
  <si>
    <t>deamhi@yahoo.com.ph
recruitment.deamhi@gmail.com</t>
  </si>
  <si>
    <t>03-0117-26-H1-2</t>
  </si>
  <si>
    <t>Narra</t>
  </si>
  <si>
    <t>Brgy. Antipuluan</t>
  </si>
  <si>
    <t>NARRA MUNICIPAL HOSPITAL</t>
  </si>
  <si>
    <t>Green Village</t>
  </si>
  <si>
    <t>IMMACULATE CONCEPCION POLYCLINIC AND HOSPITAL, INC.</t>
  </si>
  <si>
    <t>1 / Type 1 /  Conduction Sticker IO EO21</t>
  </si>
  <si>
    <t>Dr. Aris Dexter R. Rana</t>
  </si>
  <si>
    <t>1/Type I/ Plate# RFS 899</t>
  </si>
  <si>
    <t>narramunicipalhospital1990@gmail.com</t>
  </si>
  <si>
    <t>4B-0006-26-H1-1</t>
  </si>
  <si>
    <t>Dr. Elpidio G. Inez, Jr., MHA</t>
  </si>
  <si>
    <t>(045) 923-0537
09952353703 ER
09177110483
09163586550</t>
  </si>
  <si>
    <t xml:space="preserve">immaculate_cpn2000@yahoo.com
</t>
  </si>
  <si>
    <t>03-0216-26-H1-2</t>
  </si>
  <si>
    <t>Wescom Road, Brgy. San Miguel</t>
  </si>
  <si>
    <t>CAMP RICARTE STATION HOSPITAL</t>
  </si>
  <si>
    <t>Gerona</t>
  </si>
  <si>
    <t>Abagon</t>
  </si>
  <si>
    <t>GERONA HOSPITAL OF THE SACRED HEART</t>
  </si>
  <si>
    <t>1 / Type 1 / Plate No. SAA 8007 / C.S. No. GB 07745 / CR No. 252827816</t>
  </si>
  <si>
    <t>LTC. Rachelle C. Judilla MC (GSC)</t>
  </si>
  <si>
    <t>1/Type I/ NAS 2070</t>
  </si>
  <si>
    <t>(048) 433-2311</t>
  </si>
  <si>
    <t>cgarshwescom@yahoo.com</t>
  </si>
  <si>
    <t>4B-0030-26-H1-1</t>
  </si>
  <si>
    <t>Dr. Renato E. Ang</t>
  </si>
  <si>
    <t>(045) 931-0977
09175683044
09179081748</t>
  </si>
  <si>
    <t>ghsh_vpa@yahoo.com
ghsh.office@gmail.com
otaner.gna@gmail.com</t>
  </si>
  <si>
    <t>03-0022-26-H1-2</t>
  </si>
  <si>
    <t>Level 3 Gen. Radiography
Computed Tomography
Radio - Fluoroscopy
rHIVda Confirmatory Laboratory (CrCL)
Ambulatory Surgical Clinic
Dialysis Clinic</t>
  </si>
  <si>
    <t>Paniqui</t>
  </si>
  <si>
    <t>#5 Baltazar Subd., Poblacion Norte</t>
  </si>
  <si>
    <t>RAYOS-VALENTIN HOSPITAL, INC.</t>
  </si>
  <si>
    <t>4B-0017-26-H2-1</t>
  </si>
  <si>
    <t>Tertiary Category Laboratory, ASC (Colorectal, General &amp; Thoracic - Esophagoscopy Fiberoptic), ICU - 3, Level 2 Diagnostic Xray, Specialized:CT</t>
  </si>
  <si>
    <t>1/Type I/ CJJ 2366</t>
  </si>
  <si>
    <t>Sitio Arado Ii, Poblacion</t>
  </si>
  <si>
    <t>NORTHERN PALAWAN PROVINCIAL HOSPITAL</t>
  </si>
  <si>
    <t>Carlo Rosen V. Santos, MD</t>
  </si>
  <si>
    <t>(045) 931-0621
09178170405
09973129539
09336176040</t>
  </si>
  <si>
    <t xml:space="preserve">rayosvalentinhospital@yahoo.com
deabarra.pbsp@gmail.com
</t>
  </si>
  <si>
    <t>Diagnostic X-ray - mobile unit
Computed Tomography
Dental Clinic</t>
  </si>
  <si>
    <t>03-0035-26-H1-2</t>
  </si>
  <si>
    <t>2 / Type 1 / Plate No. IOE 022 with CR No. 398178244, Type 1/ Conduction Sticker OW 751A</t>
  </si>
  <si>
    <t>DR. MAURA D. CATABIJAN (OIC)</t>
  </si>
  <si>
    <t>palawannorthern@gmail.com</t>
  </si>
  <si>
    <t>4B-0016-26-H1-1</t>
  </si>
  <si>
    <t>CENTRAL LUZON DOCTORS' HOSPITAL</t>
  </si>
  <si>
    <t>Romblon</t>
  </si>
  <si>
    <t>Odiongan</t>
  </si>
  <si>
    <t>Brgy. Liwanag</t>
  </si>
  <si>
    <t>ROMBLON PROVINCIAL HOSPITAL</t>
  </si>
  <si>
    <t>Blood Bank (with additional function to collect, test, &amp; process blood), Specialized Diagnostic X-ray Services: Computed Tomography, Lithotripsy, Single Photon Emission, SPECT, Radation Therapy Service Category (Level 4), Radiation Therapy Services, Conventional Radiation Therapy, Image Guided Radiation Therapy, Tomotherapy/Arc Therapy, 3D Conformal Radiation and Radiotherapy, Intensity Modulated Radiation Therapy, Dental Xray, MRI; Cancer Treatment Unit
Physical Medicine and Rehabilitation Unit</t>
  </si>
  <si>
    <t>Level 2 Gen. Radiography
Gen. Radiography (Mobile unit)
Computed Tomography
Dental Clinic
rHIVda Confirmatory Laboratory (CrCL)
Dialysis Clinic (10 stations)</t>
  </si>
  <si>
    <t>1/Type II/Plate No. CBE 7534</t>
  </si>
  <si>
    <t>1 / Type 1 / Conduction Sticker No. P5 M685; CR 38594267
and Type 2 / Conduction Sticker No. F4 T770, CR No. 46578133</t>
  </si>
  <si>
    <t>Ferdinand Francis Ma. D.L. Cid, MD, MBA</t>
  </si>
  <si>
    <t>DR. Dr. Christian John DC. Que</t>
  </si>
  <si>
    <t xml:space="preserve">
(045) 925-25-34
0998-568-1363
0908-861-6774
045-982-0806</t>
  </si>
  <si>
    <t>(042) 567-5151</t>
  </si>
  <si>
    <t>mail@cldh.org
qa@cldh.com.ph
jptmercado@cldh.com
matreyes@cldh.com.ph
compliance@cldh.com.ph</t>
  </si>
  <si>
    <t>odrph@yahoo.com</t>
  </si>
  <si>
    <t>03-0036-26-H3-2</t>
  </si>
  <si>
    <t>4B-0024-26-H1-1</t>
  </si>
  <si>
    <t>Mc Arthur Highway, Barangay San Nicolas</t>
  </si>
  <si>
    <t>JECSONS MEDICAL CENTER</t>
  </si>
  <si>
    <t>Brgy. Capaclan</t>
  </si>
  <si>
    <t>ROMBLON DISTRICT HOSPITAL</t>
  </si>
  <si>
    <t>Level 2 Gen. Radiograph with (Mobile unit)</t>
  </si>
  <si>
    <t>1 / Type 1 / Type 1: CS No.F5J877 / CR No. 465-781330</t>
  </si>
  <si>
    <t>Anatomic Pathology (cytology, surgical, &amp; frozen), ASC: Colorectal Surgery, Ophthalmologic Surgery, General Surgery, Ophthalmologic, Oral-Maxillo-Facial surgery, Otorhinolaryngologic Surgery, Urologic Surgery; Blood Bank; Physical Medicine and Rehabilitation Unit; Dialysis; Cancer Treatment Facility: Systemic Therapy; Diagnostic X-ray Level 3, Specialized Diagnostic X-ray Services: Computed Tomography, Mammography, Bone Densitometry; Radiation Oncology: Conventional Radiation Therapy, 3D Conformal Radiation Therapy, Intensity Modulated Radiation Therapy</t>
  </si>
  <si>
    <t>1/Type II/ Plate No. CBI 7752</t>
  </si>
  <si>
    <t>DR. ROSE MARIE M. MAINES</t>
  </si>
  <si>
    <t>rdhromblon@yahoo.com</t>
  </si>
  <si>
    <t>Jose Chua, Jr., MD, FCPS, FPSGS, MBA</t>
  </si>
  <si>
    <t>4B-0034-26-H1-1</t>
  </si>
  <si>
    <t>0982-5501/5507</t>
  </si>
  <si>
    <t>jecsons03@gmail.com</t>
  </si>
  <si>
    <t>03-0007-26-H2-2</t>
  </si>
  <si>
    <t>Blk 6 F. Tañedo Street San Nicolas</t>
  </si>
  <si>
    <t>LOVING MOTHER GENERAL HOSPITAL AND DIAGNOSTIC CENTER, INC.</t>
  </si>
  <si>
    <t>Specialized Diagnostic X-ray Service: Computed Tomography, Dialysis Clinic, Anatomic Pathology, ASC (Colorectal, General, Orthopedic, Pediatric, Reproductive Health, Thoracic, Urologic), Physical Medicine and Rehabilitation Unit</t>
  </si>
  <si>
    <t>1/Type II/ Plate No. CBI 4433</t>
  </si>
  <si>
    <t>Fernando M. Quitalig Jr, MD, MHA</t>
  </si>
  <si>
    <t xml:space="preserve">
09064599251
09063240866
09283606166
09171564432</t>
  </si>
  <si>
    <t>information@lmghdc.com.ph
        chiefofhospital@lmghdc.com.ph,
hospitaladministrator@lmghdc.com.ph
chiefnurse@lmghdc.com.ph
asstchiefnurse@lmghdc.com.ph,
infcontrolnurse@lmghdc.com.ph</t>
  </si>
  <si>
    <t>03-0123-26-H2-2</t>
  </si>
  <si>
    <t>P. Hilario St. Ligtasan</t>
  </si>
  <si>
    <t>RAMOS GENERAL HOSPITAL</t>
  </si>
  <si>
    <t>(052) 732-5555</t>
  </si>
  <si>
    <t>Anatomic Pathology (cytology, surgical &amp; frozen), Specialized Diagnostic X-ray services: Computed Tomography, MRI - Tarlac Imaging Center Inc., Dialysis Clinic - Multispecialty Venture of Tarlac Corporation, ASC (Colorectal, General, Orthopedic, Otorhinolaryngologic, Pediatric, Thoracic, Urologic, Reproductive Health)</t>
  </si>
  <si>
    <t>1/ Type II/ NCX 3879</t>
  </si>
  <si>
    <t>Celeste Mae Belmonte, MD</t>
  </si>
  <si>
    <t>045-982-7074
09985727978 (Dr. De Ocampo)
09209621995 (Chief Nurse Marife Magdangal)
09175140533 (Dr. C. Belmonte)</t>
  </si>
  <si>
    <t>rghrecords23@gmail.com
md@ramosgenhospital.com.ph
compliance@ramosgenhospital.com.ph
cn@ramosgenhospital.com.ph</t>
  </si>
  <si>
    <t>03-0045-26-H2-2</t>
  </si>
  <si>
    <t>F. Tañedo Street, Poblacion</t>
  </si>
  <si>
    <t>TALON GENERAL HOSPITAL</t>
  </si>
  <si>
    <t>1/ Type II/ CAG 8560</t>
  </si>
  <si>
    <t>Dr. Raymond Nolasco F. Talon</t>
  </si>
  <si>
    <t>045-9820239
09177624751 - Ma'am Virginia (Compliance Officer)
982-1400 loc 112</t>
  </si>
  <si>
    <t>talongeneralhospital@talonemi.com</t>
  </si>
  <si>
    <t>03-0060-26-H2-2</t>
  </si>
  <si>
    <t>Legazpi City</t>
  </si>
  <si>
    <t>8th Street, TDMC Hospital Drive, Fairlane Subdivision, San Vicente</t>
  </si>
  <si>
    <t>Zone 9, Bitano, Legazpi City</t>
  </si>
  <si>
    <t>TARLAC MEDICAL CENTER</t>
  </si>
  <si>
    <t>LEGAZPI CITY HOSPITAL</t>
  </si>
  <si>
    <t>ASC: Colorectal Surgery, General Surgery, Orthopedic Surgery, Otorhinolaryngologic Surgery, Pediatric Surgery, Reproductive Health Surgery, Thoracic Surgery, Urologic Surgery, Dialysis Clinic; Physical Medicine and Rehabilitation Unit; Level 3 Xray Services; Specialized: CT Scan, Cardiac Catheterization, Digital Subtraction, Angiography, Percutaneous Transluminal Angioplasty and Tumor Localization and Simulation; Cancer Treatment Unit (Systematic Therapy Unit/Chemotherapy only); Histopath</t>
  </si>
  <si>
    <t>1/ Type II/ CAU 7489</t>
  </si>
  <si>
    <t>Dra. Joanna V. Remo</t>
  </si>
  <si>
    <t>09567520708
09177110483
09273833799</t>
  </si>
  <si>
    <t>tarlacmed@tarlacmedicalcenter.com
 tarlacmedicalcenter.com
tarlacmed.official@gmail.com</t>
  </si>
  <si>
    <t>03-0122-26-H2-2</t>
  </si>
  <si>
    <t>1, Type 1, Plate No. F3J724, CR No. 38355224-5</t>
  </si>
  <si>
    <t>Govic Highway, Palanginan</t>
  </si>
  <si>
    <t>SAINT PIO'S MEDICAL CENTER, INC.</t>
  </si>
  <si>
    <t>Anatomic Pathology (cytology, surgical), Level 3 Diagnostic Xray, Specialized Diagnostic X-ray Service: Computed Tomography, Dialysis Clinic, Physical Medicine and Rehabilitation Unit, ASC (Colorectal, General, Ophthalmologic, Orthopedic, Otorhinolaryngologic, Pediatric, Plastic and Reconstructive, Reproductive Health, Thoracic, Urologic), Blood Bank, CTU</t>
  </si>
  <si>
    <t>1/Type II/ Plate No. NGX 1558</t>
  </si>
  <si>
    <t>TINA MARIE M. VALERIANO- TRINIDAD, MD, MHA, FPOGS, FPSUOG</t>
  </si>
  <si>
    <t>047-602-0911
09189356062
09171329711
09189356062</t>
  </si>
  <si>
    <t>saintpio.zambales@gmail.com</t>
  </si>
  <si>
    <t>03-0070-26-H2-2</t>
  </si>
  <si>
    <t>G - 16 National Road, Palanginan</t>
  </si>
  <si>
    <t>STA. CECILIA MEDICAL CENTER</t>
  </si>
  <si>
    <t>Diagnostic X-ray Services (level2)
 Specialized - CT, Dental Clinic, Dialysis</t>
  </si>
  <si>
    <t>1/Type I/ Plate# PQH682</t>
  </si>
  <si>
    <t>Dr. Adonis M. Calaycay</t>
  </si>
  <si>
    <t>(047) 811-3317; 0970-937-0536</t>
  </si>
  <si>
    <t>scmc_08@yahoo.com
scmcinsurance@gmail.com</t>
  </si>
  <si>
    <t>03-0184-26-H1-2</t>
  </si>
  <si>
    <t>#62 18th St., Corner Harris, Street East Bajac Bajac, Olongapo City</t>
  </si>
  <si>
    <t>Dr. Lady Ann T. Serrano</t>
  </si>
  <si>
    <t>RIDON ST. JUDE MEDICAL CENTER CORPORATION</t>
  </si>
  <si>
    <t>legazpicityhospital.ph@gmail.com</t>
  </si>
  <si>
    <t>Diagnostic X-ray Services (level2)
 Specialized - CT, Ambulatory Surgical Clinic (Colorectal, General, Ophthalmologic, Otorhinolaryngologic, Pediatric, Plastic and Reconstructive, Reproductive Health, Thoracic, Urologic), Tertiary Lab</t>
  </si>
  <si>
    <t>05-0020-26-H1-1</t>
  </si>
  <si>
    <t>1/Type I/ Plate# AVA8958</t>
  </si>
  <si>
    <t>Maricel Ridon-Cristobal, MD</t>
  </si>
  <si>
    <t xml:space="preserve">047 222 5833
09075690995 (Alvie Alipio, IE - Compliance Officer)		</t>
  </si>
  <si>
    <t>Ligao City</t>
  </si>
  <si>
    <t xml:space="preserve">ridonstjudemedicalcenter@yahoo.com 
rsjmc.hr1@gmail.com
</t>
  </si>
  <si>
    <t>Purok 2, Tuburan</t>
  </si>
  <si>
    <t>03-0180-26-H1-2</t>
  </si>
  <si>
    <t>JOSEFINA BELMONTE DURAN ALBAY PROVINCIAL HOSPITAL</t>
  </si>
  <si>
    <t>Dental Clinic
Xray Level 2
Dialysis Clinic</t>
  </si>
  <si>
    <t>1, Type 1, F4K498, CR No. 442159340</t>
  </si>
  <si>
    <t>National Highway, Brgy. Baretto</t>
  </si>
  <si>
    <t>ULTICARE MEDICAL CENTER, INC.</t>
  </si>
  <si>
    <t>Dr. Dominador A. Concepcion, Jr</t>
  </si>
  <si>
    <t>jbdmh@gmail.com</t>
  </si>
  <si>
    <t>05-0033-26-H1-1</t>
  </si>
  <si>
    <t>Ambulatory Surgical Clinic (General, Colorectal, Orthopedic, Otorhinolaryngologic, Pediatric, Plastic and Reconstructive, Thoracic, Urologic, Reproductive), Dialysis, MRI</t>
  </si>
  <si>
    <t>Rapu-Rapu</t>
  </si>
  <si>
    <t>San Bautista St., Poblacion, Rapu-Rapu, Albay</t>
  </si>
  <si>
    <t>1, TYPE II Plate #F6E 570</t>
  </si>
  <si>
    <t>RAPU-RAPU DISTRICT HOSPITAL</t>
  </si>
  <si>
    <t>Raymond Joseph Manzo, MD, FPCS, FPSGS, MHA</t>
  </si>
  <si>
    <t>9602496427; 9936290531; 047- 602-6200 to 09</t>
  </si>
  <si>
    <t>administration@ulticaremed.com</t>
  </si>
  <si>
    <t>Dr. Lorenzo P. Ziga Memorial District Hospital</t>
  </si>
  <si>
    <t>03-0193-26-H2-2</t>
  </si>
  <si>
    <t>Dr. Richmond Nuyda</t>
  </si>
  <si>
    <t>rapurapudistricthospital@gmail.com</t>
  </si>
  <si>
    <t>05-0035-26-H1-1</t>
  </si>
  <si>
    <t>#14 Brill St., West Bajac Bajac</t>
  </si>
  <si>
    <t>ZMMG COOP HOSPITAL</t>
  </si>
  <si>
    <t>Tabaco City</t>
  </si>
  <si>
    <t>Karangahan Boulevard, Tabaco City, Albay</t>
  </si>
  <si>
    <t>DR. LORENZO P. ZIGA MEMORIAL DISTRICT HOSPITAL</t>
  </si>
  <si>
    <t>Diagnostic X-ray Services Level 2
 Transportable</t>
  </si>
  <si>
    <t>1/Type I/ Plate# UTI411</t>
  </si>
  <si>
    <t>Dialysis Clinic
Dental Clinic</t>
  </si>
  <si>
    <t>1, Type 1, Plate No. F4J723  CR No. 421305592</t>
  </si>
  <si>
    <t>Dr. Aires O. Perillo, MD</t>
  </si>
  <si>
    <t>DAISY GRACE Z. RIVERA, MD, FPOGS, MHA</t>
  </si>
  <si>
    <t>zigamemorialdistricthospital@gmail.com</t>
  </si>
  <si>
    <t>(047) 602-0278; 09274245020</t>
  </si>
  <si>
    <t>05-0018-26-H1-1</t>
  </si>
  <si>
    <t>zmmgcoopmis@gmail.com
zmmgcoop@yahoo.com</t>
  </si>
  <si>
    <t>03-0067-26-H1-2</t>
  </si>
  <si>
    <t>Camarines Norte</t>
  </si>
  <si>
    <t>Daet</t>
  </si>
  <si>
    <t>Bagasbas Road, Daet, Camarines Norte</t>
  </si>
  <si>
    <t>CAMARINES NORTE PROVINCIAL HOSPITAL</t>
  </si>
  <si>
    <t>Subic</t>
  </si>
  <si>
    <t>Block 8 Lot 1A &amp;1B Dewey Ave. Cbd Area, Subic Bay Freeport Zone</t>
  </si>
  <si>
    <t>ALLIED CARE EXPERTS (ACE) MEDICAL CENTER-BAYPOINTE, INC.</t>
  </si>
  <si>
    <t xml:space="preserve">Specialized Diagnostic X-ray Services: Computed Tomography
Hemodialysis Clinic
</t>
  </si>
  <si>
    <t>1, Type I, Plate No. F3J728 CR No. 342915403
2, Type 2, Plate No. S2U152 CR No. 44720967-4
Type 2, Plate No. CC735A, CR No. 0051040459</t>
  </si>
  <si>
    <t>Physical Medicine and Rehabilitation Unit, HIV Testing Laboratory, HBB++ (collect, test, process), ASC- Colorectal Surgery, General Surgery, Ophthalmologic Surgery, Pediatric Surgery, Reproductive Health Surgery, Thoracic Surgery, Urologic Surgery, Orthopedic Surgery, Otorhinolaryngologic Surgery, Plastic &amp; Reconstructive Surgery, Dialysis Clinic, Diagnostic X-ray Level 3, Specialized Diagnostic X-ray Service: Computed Tomography, Mammography, MRI</t>
  </si>
  <si>
    <t>Dr. Liborio C. Ferrer</t>
  </si>
  <si>
    <t>2/Type II/Plate Nos. CBE 1633; NWO 359</t>
  </si>
  <si>
    <t>cnphofficial@gmail.com</t>
  </si>
  <si>
    <t>05-0003-26-H2-1</t>
  </si>
  <si>
    <t>Wilfredo Santos, MD, FPCS, MM</t>
  </si>
  <si>
    <t>047-250-6070
0948-8055358</t>
  </si>
  <si>
    <t xml:space="preserve">boardsec@unihealthbaypointe.com
acemcbaypointe.qmd@gmail.com
</t>
  </si>
  <si>
    <t>03-0132-26-H2-2</t>
  </si>
  <si>
    <t>Labo</t>
  </si>
  <si>
    <t>Talobatib, Labo, Camarines Norte</t>
  </si>
  <si>
    <t>LABO DISTRICT HOSPITAL</t>
  </si>
  <si>
    <t>Brgy. Langgangan, Balayan, Batangas 4213</t>
  </si>
  <si>
    <t>BALAYAN BAYVIEW HOSPITAL AND MEDICAL CENTER</t>
  </si>
  <si>
    <t>Diagnostic X-ray Services (Level 2)
Specialized Diagnostic X-ray Services (Computed Tomography, Mobile X-ray)
 ICU-4, NICU</t>
  </si>
  <si>
    <t>Clinical Lab Add-on services: Tumor Marker (PSA), Thyroid Function Test (TSH,FT3,FT4), Dental Clinic</t>
  </si>
  <si>
    <t>Type I (NEE 4511)</t>
  </si>
  <si>
    <t>1, Type 1, Plate No. 130105</t>
  </si>
  <si>
    <t>Dr. Michael Sarabia</t>
  </si>
  <si>
    <t>9365852893/ 043-4073508</t>
  </si>
  <si>
    <t>Jose Vernon A. Banal, MD, MPA</t>
  </si>
  <si>
    <t>balayanbayviewhospitalmc@gmail.com</t>
  </si>
  <si>
    <t>054-885-6939
09176466899</t>
  </si>
  <si>
    <t>ldh_hospital@yahoo.com</t>
  </si>
  <si>
    <t>05-0007-26-H1-1</t>
  </si>
  <si>
    <t>Blood bank
Ambulatory Surgical Clinic: Ophthalmologic Surgery, General Surgery (4/28/2026), Orthopedic Surgery (4/28/2026)
X-ray (Level 3)
Specialized Diagnostic X-Ray Services: Computed Tomography and Bone Densitometry, 
G6PD Confirmatory
Confirmatory rapid HIV diagnostic algorithm clinical laboratory (CrCL)
Physical Medicine and Rehabilitation Unit</t>
  </si>
  <si>
    <t>DOH040146</t>
  </si>
  <si>
    <t>Initial</t>
  </si>
  <si>
    <t>Libmanan</t>
  </si>
  <si>
    <t>Bagumbayan, Libmanan, Camarines Sur</t>
  </si>
  <si>
    <t>LIBMANAN DISTRICT HOSPITAL</t>
  </si>
  <si>
    <t>4A-0108-26-H1-2</t>
  </si>
  <si>
    <t>CAR</t>
  </si>
  <si>
    <t>Xray Level 1 with Computed Tomography</t>
  </si>
  <si>
    <t>1, Type 1</t>
  </si>
  <si>
    <t>Dr. Dennis Joseph C. Reforma</t>
  </si>
  <si>
    <t>Brgy. Lanatan, Balayan, Batangas</t>
  </si>
  <si>
    <t>MEDICAL CENTER WESTERN BATANGAS</t>
  </si>
  <si>
    <t>libmanan.admn2022@gmail.com</t>
  </si>
  <si>
    <t>05-0026-26-H1-1</t>
  </si>
  <si>
    <t>Diagnostic X-ray Services (Level 2)
Specialized Diagnostic X-ray Services: (Computed Tomography, Mammography)
Physical Medicine and Rehabilitation Unit
Mobile Clinical Laboratory</t>
  </si>
  <si>
    <t>Type II (AWA8680)</t>
  </si>
  <si>
    <t>DR. JOSIELYN B. TUGADE</t>
  </si>
  <si>
    <t>medicalcenterwesterbatangas@yahoo.com</t>
  </si>
  <si>
    <t>4A-0099-26-H2-2</t>
  </si>
  <si>
    <t>Blood Bank (with additional function to collect, test &amp; process), Ambulatory Surgical Clinic, rHIVda Confirmatory Laboratory, Specialized Diagnostic X-ray Services: Computed Tomography, Mammography, Dental-Panoramic, Cardiac Catherization, Digital Subtraction Angiography, Percutaneous Transluminal Angioplasty (2/23/2026), Tumor Localization and Simulation (2/23/2026)</t>
  </si>
  <si>
    <t>2, Type II, Plate No. Nam 2001
Type II, Plate No. Nam 2003</t>
  </si>
  <si>
    <t>National Highway, Brgy. Caloocan, Balayan, 
 Batangas</t>
  </si>
  <si>
    <t>METRO BALAYAN MEDICAL CENTER</t>
  </si>
  <si>
    <t>Diagnostic X-ray Services (Level 2)
Specialized Diagnostic X-ray Services: (Computed Tomography, Mammography)</t>
  </si>
  <si>
    <t>Type II (DAR- 3209)</t>
  </si>
  <si>
    <t>Leon SA Aureus St., Balatas, Naga City</t>
  </si>
  <si>
    <t>Dr. LILY B. MACALALAD</t>
  </si>
  <si>
    <t>NAGA CITY GENERAL HOSPITAL</t>
  </si>
  <si>
    <t>metrobalayanmedicalcenter@yahoo.com.ph</t>
  </si>
  <si>
    <t>4A-0038-26-H2-2</t>
  </si>
  <si>
    <t>Brgy. Gulod Itaas, Batangas City, Batangas</t>
  </si>
  <si>
    <t>BATANGAS HEALTHCARE HOSPITAL JESUS OF NAZARETH</t>
  </si>
  <si>
    <t>Our Lady of Lourdes Infirmary</t>
  </si>
  <si>
    <t xml:space="preserve">Diagnostic X-ray Services (Level 2)
Specialized Diagnostic X-ray Services (Computed Tomography) </t>
  </si>
  <si>
    <t>Dr. Joseph S. Sanchez</t>
  </si>
  <si>
    <t>Type II (UIH 134)</t>
  </si>
  <si>
    <t>nagacitygeneralhospital@gmail.com</t>
  </si>
  <si>
    <t>Healthcare Max</t>
  </si>
  <si>
    <t>05-0021-26-H1-1</t>
  </si>
  <si>
    <t>Dr. Libio A. Macatangay</t>
  </si>
  <si>
    <t>043-7232918</t>
  </si>
  <si>
    <t>bhchjon_nazareth@yahoo.com</t>
  </si>
  <si>
    <t>4A-0016-26-H2-2</t>
  </si>
  <si>
    <t>Catanduanes</t>
  </si>
  <si>
    <t>Pandan</t>
  </si>
  <si>
    <t>Vera Street, Napo, Pandan, Catanduanes</t>
  </si>
  <si>
    <t>PANDAN DISTRICT HOSPITAL</t>
  </si>
  <si>
    <t>Diversion Road, Barangay Alangilan, Batangas City, Batangas</t>
  </si>
  <si>
    <t>BATANGAS HEALTHCARE SPECIALISTS MEDICAL CENTER</t>
  </si>
  <si>
    <t xml:space="preserve">Diagnostic X-ray Services (Level 3)
Pharmacy (MedExpress Drugstore)
Specialized Diagnostic X-ray Services:(Computed Tomography)
</t>
  </si>
  <si>
    <t>Type II (NBA 7517)</t>
  </si>
  <si>
    <t>Immaculate Heart of Mary Hospital, Inc</t>
  </si>
  <si>
    <t>Dr. Lolita T. Alves, FPCP, FPSG,FPSDE, MHA</t>
  </si>
  <si>
    <t>043-7412345/09192704555/ 09209063507/ 09178504411</t>
  </si>
  <si>
    <t>Dr. Rafael I. Mariano</t>
  </si>
  <si>
    <t>suzyflorentino12@yahoo.com</t>
  </si>
  <si>
    <t>pdhthehealer@gmail.com</t>
  </si>
  <si>
    <t>4A-0176-26-H2-2</t>
  </si>
  <si>
    <t>05-0031-26-H1-1</t>
  </si>
  <si>
    <t>17 P. Prieto St., Brgy. 4, Poblacion, Batangas City, Batangas</t>
  </si>
  <si>
    <t>GOLDEN GATE BATANGAS HOSPITAL, INC.</t>
  </si>
  <si>
    <t>San Andres</t>
  </si>
  <si>
    <t>Belmonte, San Andres, Catanduanes</t>
  </si>
  <si>
    <t xml:space="preserve">Diagnostic X-ray Services (Level 2)
Specialized Diagnostic X-ray Services: (Computed Tomography)
</t>
  </si>
  <si>
    <t>JUAN M. ALBERTO MEMORIAL DISTRICT HOSPITAL</t>
  </si>
  <si>
    <t>Type II (AHA 1708)</t>
  </si>
  <si>
    <t>Hemodialysis Clinic</t>
  </si>
  <si>
    <t>Dr. Romulo L. Rosales</t>
  </si>
  <si>
    <t>043-7232508/ 09499954918</t>
  </si>
  <si>
    <t>gggh_HR@yahoo.com</t>
  </si>
  <si>
    <t>1, Type 1, PLATE NO.: 130106 / CS NO.: F3R176, CR NO.: 184803570</t>
  </si>
  <si>
    <t>4A-0078-26-H2-2</t>
  </si>
  <si>
    <t>Dr. Gibson Gabitan</t>
  </si>
  <si>
    <t>Lopez Jaena St., Batangas City</t>
  </si>
  <si>
    <t>052-7415776 
09501757436</t>
  </si>
  <si>
    <t>SAINT PATRICK’S HOSPITAL MEDICAL CENTERa</t>
  </si>
  <si>
    <t>jmamdh@yahoo.com.ph</t>
  </si>
  <si>
    <t>05-0022-26-H1-1</t>
  </si>
  <si>
    <t xml:space="preserve">Diagnostic X-ray Services (Level 3)
Specialized Diagnostic X-ray Services: (Computed Tomography
Mammography
Lithotripsy
Dental X-ray
Physical Medicine ad Rehabilitation Unit
Anatomic Pahtology
Ambulatory Surgical Clinic (Colorectal Surgery, General Surgery, Pediatric Surgery, Opthalmologic Surgery, Urological Surgery, Oral and Maxillo Facila Surgery, Orthopedic Surgery, Ortholarynx Surgery, Reproductive Surgery, Phoriatic Surgery)
HIV Testing Laboratory, </t>
  </si>
  <si>
    <t>(Saving People's Health Multi-Purpose Cooperative)</t>
  </si>
  <si>
    <t>Viga</t>
  </si>
  <si>
    <t>Dr. Abegayle Machelle Perez-Chua</t>
  </si>
  <si>
    <t>San Vicente, Viga, Catanduanes</t>
  </si>
  <si>
    <t>VIGA DISTRICT HOSPITAL</t>
  </si>
  <si>
    <t>sphmc.bb@gmail.com</t>
  </si>
  <si>
    <t>4A-0205-26-H2-2</t>
  </si>
  <si>
    <t>Diversion Road, Bolbok, Batanga City, Batangas</t>
  </si>
  <si>
    <t>UNITED DOCTORS OF ST. CAMILLUS DE LELLIS HOSPITAL AND MEDICAL CENTER</t>
  </si>
  <si>
    <t>Dr. Nerisa S. Guerrero</t>
  </si>
  <si>
    <t>Diagnostic X-ray Services (Level 2 Specialized Diagnostic X-ray Services (Computed Tomography) Phyisical Medicine and Rehabilitation Unit Pharmacy</t>
  </si>
  <si>
    <t>vigadistricthospital@yahoo.com</t>
  </si>
  <si>
    <t>Type II (VDF 391)</t>
  </si>
  <si>
    <t>05-0030-26-H1-1</t>
  </si>
  <si>
    <t>Mar Moldez, MD, MMA</t>
  </si>
  <si>
    <t>stcamillus.fu23@gmail.com</t>
  </si>
  <si>
    <t>4A-0091-26-H2-2</t>
  </si>
  <si>
    <t>Virac</t>
  </si>
  <si>
    <t>San Isidro Village, Virac, Catanduanes</t>
  </si>
  <si>
    <t>EASTERN BICOL MEDICAL CENTER</t>
  </si>
  <si>
    <t>F. Mangobos St., Poblacion 1, Bauan, Batangas</t>
  </si>
  <si>
    <t>BAUAN DOCTORS GENERAL HOSPITAL</t>
  </si>
  <si>
    <t>Hemodialysis Clinic
Specialized X-ray Facility: Computed Tomography</t>
  </si>
  <si>
    <t>Diagnostic X-ray Services (Level 2)
Specialized Diagnostic X-ray Services: (Computed Tomography)
Physical Medicine and Rehabilitation Unit</t>
  </si>
  <si>
    <t>Type II (A4U 377)</t>
  </si>
  <si>
    <t>Dr. Ma. Bessie Rodulfo-Zafe</t>
  </si>
  <si>
    <t>Dr. Reuel M. Dimalibot</t>
  </si>
  <si>
    <t>ebmc1718@gmail.com</t>
  </si>
  <si>
    <t>043-7274019/ 09209076738</t>
  </si>
  <si>
    <t>bauandoctors@gmail.com</t>
  </si>
  <si>
    <t>05-0016-26-H2-2</t>
  </si>
  <si>
    <t>4A-00048-26-H2-2</t>
  </si>
  <si>
    <t>Calaca</t>
  </si>
  <si>
    <t>Masbate</t>
  </si>
  <si>
    <t>Barangay Bagong Tubig, Calaca, Batangas</t>
  </si>
  <si>
    <t>Cataingan</t>
  </si>
  <si>
    <t>OSPITAL NG CALACA</t>
  </si>
  <si>
    <t>Central Nautical Highway, Poblacion, Cataingan, Masbate</t>
  </si>
  <si>
    <t>CATAINGAN DISTRICT HOSPITAL</t>
  </si>
  <si>
    <t>Diagnostic X-ray Services (Level 1)</t>
  </si>
  <si>
    <t>Xray Level 2
Dental Clinic</t>
  </si>
  <si>
    <t>Dr. Ricardo A. Batac</t>
  </si>
  <si>
    <t>9778526628/ 09155462074/ 043-2237708</t>
  </si>
  <si>
    <t>onc.mchc@gmail.com</t>
  </si>
  <si>
    <t>Masbate Provincial Hospital</t>
  </si>
  <si>
    <t>4A-0059-26-H1-2</t>
  </si>
  <si>
    <t>Dr. Karl A. Pilapil</t>
  </si>
  <si>
    <t>Dialysis station (8)</t>
  </si>
  <si>
    <t>056-5820110/
09464151259</t>
  </si>
  <si>
    <t>catdistricthospital@gmail.com</t>
  </si>
  <si>
    <t>Ibaan</t>
  </si>
  <si>
    <t>05-0029-26-H1-1</t>
  </si>
  <si>
    <t>J.Pastor St. Poblacion Ii Ibaan Batangas</t>
  </si>
  <si>
    <t>QUEEN MARY HOSPITAL, INC.</t>
  </si>
  <si>
    <t>Diagnostic X-ray Services (Level 2), Specialized Diagnostic X-ray Services (Computed Tomography)
Pharmacy 
Ambulatory Surgical Clinic (Opthamologic Surgery)</t>
  </si>
  <si>
    <t>Type I, (NZO-160)</t>
  </si>
  <si>
    <t>Masbate City</t>
  </si>
  <si>
    <t>Old Municipal Road, Barangay Kalipay, Masbate City</t>
  </si>
  <si>
    <t>MASBATE PROVINCIAL HOSPITAL</t>
  </si>
  <si>
    <t>Dioscoro M. Angelia Jr.</t>
  </si>
  <si>
    <t>queenmaryhosp@yahoo.com.ph</t>
  </si>
  <si>
    <t>4A-0009-26-H1-2</t>
  </si>
  <si>
    <t>1, Type 1, Conduction Sticker No. F2L270; CR no. 38355480-2</t>
  </si>
  <si>
    <t>R. Diokno St., Lemery, Batangas</t>
  </si>
  <si>
    <t>LEMERY DOCTORS MEDICAL CENTER</t>
  </si>
  <si>
    <t>Type II (TEQ 192)</t>
  </si>
  <si>
    <t>Dr. Luisito R. Co</t>
  </si>
  <si>
    <t>056-3332244</t>
  </si>
  <si>
    <t>phomasbateoffice@gmail.com</t>
  </si>
  <si>
    <t>05-0027-26-H1-1</t>
  </si>
  <si>
    <t>Dr. Rodolfo Anselmo V. Aguila</t>
  </si>
  <si>
    <t>0434111531 / 09267068643</t>
  </si>
  <si>
    <t>lemerydoctors@yahoo.com</t>
  </si>
  <si>
    <t>4A-0026-26-H2-2</t>
  </si>
  <si>
    <t>Sorsogon</t>
  </si>
  <si>
    <t>Castilla</t>
  </si>
  <si>
    <t>Rosal Street, Cumadcad, Castilla, Sorsogon</t>
  </si>
  <si>
    <t>CASTILLA DISTRICT HOSPITAL (FORMERLY VICENTE L. PERALTA MEMORIAL DISTRICT HOSPITAL)</t>
  </si>
  <si>
    <t>METRO LEMERY MEDICAL CENTER</t>
  </si>
  <si>
    <t>Diagnostic X-ray Services (Level 3)
Specialized Diagnostic X-ray Services: (Computed Tomography, Mammography)</t>
  </si>
  <si>
    <t>Type II (NFC 1263)</t>
  </si>
  <si>
    <t>Sorsogon Provincial Hospital</t>
  </si>
  <si>
    <t>Dr. Mitos Noble-Bello</t>
  </si>
  <si>
    <t>(043) 409-0480</t>
  </si>
  <si>
    <t>Dr. Ludovic G. Tan</t>
  </si>
  <si>
    <t>customerservice@mlmc.com.ph</t>
  </si>
  <si>
    <t>cdh@sorsogon.gov.ph</t>
  </si>
  <si>
    <t>4A-0185-26-H2-2</t>
  </si>
  <si>
    <t>05-0011-26-H1-1</t>
  </si>
  <si>
    <t>V. Ilustre Ave., Lemery, Batangas</t>
  </si>
  <si>
    <t>OUR LADY OF CAYSASAY MEDICAL CENTER, INC.</t>
  </si>
  <si>
    <t>Donsol</t>
  </si>
  <si>
    <t>Tres Marias Drive, Donsol Sorsogon</t>
  </si>
  <si>
    <t>Diagnostic X-ray Services (Level 2)
Specialized Diagnostic X-ray Services (Computed Tomography, Mammography)
Physical Medicine and Rehabilitation Unit
OPD Pharmacy</t>
  </si>
  <si>
    <t>DONSOL DISTRICT HOSPITAL</t>
  </si>
  <si>
    <t>Type II (NCT8267)</t>
  </si>
  <si>
    <t>Dr. Ernesto Vincent Flores II</t>
  </si>
  <si>
    <t>043-4091888-92/ 09176359099</t>
  </si>
  <si>
    <t>olcmc_88@yahoo.com.ph</t>
  </si>
  <si>
    <t>4A-0015-26-H2-2</t>
  </si>
  <si>
    <t>Type 1, Conduction Sticker No. F3R 172 Plate No. 130106</t>
  </si>
  <si>
    <t>706 Sinagtala St., Brgy. 7, Lipa City, Batangas</t>
  </si>
  <si>
    <t>Atty. Daniel John D. Lachica, MD</t>
  </si>
  <si>
    <t>DIVINE LOVE MEDICAL CENTER</t>
  </si>
  <si>
    <t xml:space="preserve">
ddh@sorsogon.gov.ph</t>
  </si>
  <si>
    <t>Diagnostic X-ray Services (Level 1)
Ambulatory Surgical Clinic (Opthalmologic Surgery)
ICU-3</t>
  </si>
  <si>
    <t>05-0013-26-H1-1</t>
  </si>
  <si>
    <t>Type I (TPI 746)</t>
  </si>
  <si>
    <t>Dr. Walter A. Dimayuga</t>
  </si>
  <si>
    <t>043-7272519</t>
  </si>
  <si>
    <t>Gubat</t>
  </si>
  <si>
    <t>dlghhumanresource1@gmail.com</t>
  </si>
  <si>
    <t>Bonifacio St., Manook, Gubat, Sorsogon</t>
  </si>
  <si>
    <t>GUBAT DISTRICT HOSPITAL (FORMERLY SALVADOR R. ENCINAS DISTRICT HOSPITAL)</t>
  </si>
  <si>
    <t>4A-0021-26-H1-2</t>
  </si>
  <si>
    <t>J. P. Laurel, Ayala Highway, Balintawak, Lipa City, Batangas</t>
  </si>
  <si>
    <t>LIPA MEDIX MEDICAL CENTER</t>
  </si>
  <si>
    <t>Diagnostic X-ray Services (Level 3)
Specialized Diagnostic X-ray Services: (Computed Tomography, Mammography, Lithotripsy, C-Arm,) Dental X-ray: (Panoramic, Cephalometric)
G6PD Confirmatory
Radiation Oncology: (Image Guided Therapy, Tomotherapy/Arc Therapy, Stereotactic Radiosurgery and Radiotherapy, Intensity Modulated Radiation Therapy, Stereotactic Body Radiotherapy)
Physical Medicine Rehabilitation Unit</t>
  </si>
  <si>
    <t>Dr. Charlie Bandola</t>
  </si>
  <si>
    <t>Type II (DBN 1979)</t>
  </si>
  <si>
    <t xml:space="preserve">
gdh@sorsogon.gov.ph</t>
  </si>
  <si>
    <t>Lipa Medics, Inc.</t>
  </si>
  <si>
    <t>05-0012-26-H1-1</t>
  </si>
  <si>
    <t>Dr. Nestor L. Atienza</t>
  </si>
  <si>
    <t>043-7563008/ 0917-5043738</t>
  </si>
  <si>
    <t>corporate.secretariat@lipamedix.com</t>
  </si>
  <si>
    <t>4A-0070-26-H2-2</t>
  </si>
  <si>
    <t>Irosin</t>
  </si>
  <si>
    <t>Maharlika Highway, San Pedro, Irosin, Sorsogon</t>
  </si>
  <si>
    <t>IROSIN DISTRICT HOSPITAL</t>
  </si>
  <si>
    <t>J.P. Laurel Highway, Mataas Na Lupa, Lipa City</t>
  </si>
  <si>
    <t>MARY MEDIATRIX MEDICAL CENTER, INC.</t>
  </si>
  <si>
    <t>Blood Bank (with additional function to collect, test &amp; process blood), HIV Testing Laboratory, Pharmacy (2), Specialized Diagnostic X-ray Services, Radiation Therapy Services, Dental X-ray Services</t>
  </si>
  <si>
    <t>Other Clinical Chemical Examinations: TSH, FT4, FT3, T4 and T3 (Thyroid Function Test), Troponin I (Cardiac Marker)</t>
  </si>
  <si>
    <t>Dr. Robert Magsino</t>
  </si>
  <si>
    <t>(043) 773-6800</t>
  </si>
  <si>
    <t>mmmcadm@mmmc.ph</t>
  </si>
  <si>
    <t>DOH005082</t>
  </si>
  <si>
    <t>Dr. Sherwin P. Amisola</t>
  </si>
  <si>
    <t xml:space="preserve">
idh@sorsogon.gov.ph</t>
  </si>
  <si>
    <t>Increase in bed</t>
  </si>
  <si>
    <t>05-0005-26-H2-1</t>
  </si>
  <si>
    <t>J.P. Laurel Highway, Brgy. Marawoy, Lipa City, Batangas</t>
  </si>
  <si>
    <t>METRO LIPA MEDICAL CENTER</t>
  </si>
  <si>
    <t>Total No. of ABC:</t>
  </si>
  <si>
    <t xml:space="preserve">Diagnostic X-ray Services (Level 2)
Specialized Diagnostic X-ray Services: (Computed Tomography), Portable X-ray
</t>
  </si>
  <si>
    <t>Sorsogon City</t>
  </si>
  <si>
    <t>Type II (DAO 5456)</t>
  </si>
  <si>
    <t>Macabog, Sorsogon City</t>
  </si>
  <si>
    <t>SORSOGON PROVINCIAL HOSPITAL</t>
  </si>
  <si>
    <t>Bonlou, Inc.</t>
  </si>
  <si>
    <t>Dr. Sylvia P. Ramilo</t>
  </si>
  <si>
    <t>043-7560549/ 09338544663/ 09959657338</t>
  </si>
  <si>
    <t>metrolipamedicalcenter@yahoo.com</t>
  </si>
  <si>
    <t>Blood Bank
Laboratory for Drinking Water Analysis
Dialysis Clinic
Specialized Diagnostic X-Ray Services: Computed Tomography</t>
  </si>
  <si>
    <t>4A-0190-26-H2-2</t>
  </si>
  <si>
    <t xml:space="preserve">2, TYPE II, PLATE NO.: VJ 0275, CR NO.: 263516772
PLATE NO.: P6R 646, CR NO.: 39266379-5 </t>
  </si>
  <si>
    <t>F. Manalo St., Lipa City, Batangas</t>
  </si>
  <si>
    <t>N.L. VILLA MEMORIAL MEDICAL CENTER</t>
  </si>
  <si>
    <t>Dr. Roberto A. Chacon, Jr</t>
  </si>
  <si>
    <t>Specialized Diagnostic X-ray Services (Level 3)
 (Computed Tomography, Mammography, Lithotripsy, Anatomic Pathology
Dental X-ray Panoramic)
Ambulatory Surgical Clinic (Opthalmologic Surgery)
Phyisical Medicine and Rehabilitation Unit</t>
  </si>
  <si>
    <t>sph@sorsogon.gov.ph</t>
  </si>
  <si>
    <t>05-0013-26-H2-1</t>
  </si>
  <si>
    <t>Type II, DCQ3141</t>
  </si>
  <si>
    <t>Dr. Rita Mae Villa De Luna</t>
  </si>
  <si>
    <t>Aklan</t>
  </si>
  <si>
    <t>043-7564871-72/ 09989372388</t>
  </si>
  <si>
    <t>Kalibo</t>
  </si>
  <si>
    <t>hospital1969@yahoo.com</t>
  </si>
  <si>
    <t>Mabini Street, Brgy. Poblacion</t>
  </si>
  <si>
    <t>4A-0107-26-H2-2</t>
  </si>
  <si>
    <t>DR. RAFAEL S. TUMBOKON MEMORIAL HOSPITAL</t>
  </si>
  <si>
    <t>#2 C.M. Recto Avenue, Lipa City, Batangas</t>
  </si>
  <si>
    <t>SAN ANTONIO MEDICAL CENTER OF LIPA, INC.</t>
  </si>
  <si>
    <t>Blood Bank with additional function, HIV Testing Laboratory, rHIVda Confirmatory Laboratory, Dialysis Clinic (15 stations), Physical Medicine and Rehabilitation Unit, Specialized Diagnostic X-Ray Services: Computed Tomography and Mammography</t>
  </si>
  <si>
    <t>1 / Type II / CS F5O081</t>
  </si>
  <si>
    <t>None</t>
  </si>
  <si>
    <t>Diagnostic X-ray Services (Level 2)
Specialized Diagnostic X-ray Services (Computed Tomography, Mammography, Dental X-ray) HIV Testing Laboratory)</t>
  </si>
  <si>
    <t>Dr. Cornelio V. Cuachon Jr.</t>
  </si>
  <si>
    <t>033-268-7062</t>
  </si>
  <si>
    <t>Type II (NED 2969)</t>
  </si>
  <si>
    <t>aklandrstmh@gmail.com , drstmh@yahoo.com.ph</t>
  </si>
  <si>
    <t>06-0017-26-H2-1</t>
  </si>
  <si>
    <t>Dr. Emma R. Caringal</t>
  </si>
  <si>
    <t>043-7562522/ 09171578624</t>
  </si>
  <si>
    <t>samclihrs@gmail.com</t>
  </si>
  <si>
    <t>4A-0062-26-H2-2</t>
  </si>
  <si>
    <t>Malay</t>
  </si>
  <si>
    <t>Tirol Road, Barangay Balabag, Malay, Aklan</t>
  </si>
  <si>
    <t>Pres. J.P. Laurel, Bugtong na Pulo, Lipa City, Batangas</t>
  </si>
  <si>
    <t>CIRIACO S. TIROL HOSPITAL</t>
  </si>
  <si>
    <t>The Paramount Medical Center</t>
  </si>
  <si>
    <t>Diagnotic Services (Level 3) Specialized Diagnostic X-ray Services: (Computed Tomography)
Physical Medicine and Rehabilitation Unit</t>
  </si>
  <si>
    <t>Type II (DAQ 4840)</t>
  </si>
  <si>
    <t>HIV Testing Laboratory (Screening), Certified rHIVda Confirmatory Laboratory, TB IGRA Tests</t>
  </si>
  <si>
    <t>Dr. Susan R. Cantor</t>
  </si>
  <si>
    <t>1 / Type 1 CS No. S4 Y504/ CR No. 44778403-5</t>
  </si>
  <si>
    <t>09361249474/ 09673687771</t>
  </si>
  <si>
    <t>tpmclipa.official@gmail.com</t>
  </si>
  <si>
    <t>4A-0133-26-H2-2</t>
  </si>
  <si>
    <t>Dr. Karol Mark Lachica</t>
  </si>
  <si>
    <t>Mabini</t>
  </si>
  <si>
    <t>0917-152-0499</t>
  </si>
  <si>
    <t>Pulong Niog, Poblacion, Mabini, Batangas</t>
  </si>
  <si>
    <t>ciriacostirolhospital@yahoo.com</t>
  </si>
  <si>
    <t>06-0005-26-H1-1</t>
  </si>
  <si>
    <t>UNITED DOCTOR OF ST. CAMILLUS DE LELLIS MABINI GENERAL HOSPITAL</t>
  </si>
  <si>
    <t>Antique</t>
  </si>
  <si>
    <t>Type I (POT 752)</t>
  </si>
  <si>
    <t>Culasi</t>
  </si>
  <si>
    <t>Brgy. Centro Poblacion</t>
  </si>
  <si>
    <t>CULASI DISTRICT HOSPITAL</t>
  </si>
  <si>
    <t>Dr. Mar Moldez</t>
  </si>
  <si>
    <t>09189218740/ 09166987285</t>
  </si>
  <si>
    <t>st.camillus_fu23@yahoo.com</t>
  </si>
  <si>
    <t>Dialysis Clinic (12 Stations)</t>
  </si>
  <si>
    <t>4A-0092-26-H1-2</t>
  </si>
  <si>
    <t>1 / I / Plate No. F50-052, CR No. 46850985-6</t>
  </si>
  <si>
    <t>Dr. Rebecca V. Aguirre</t>
  </si>
  <si>
    <t>J.P. Laurel, Barangay Ii, Poblacion, Nasugbu, Batangas</t>
  </si>
  <si>
    <t>JABEZ MEDICAL CENTER</t>
  </si>
  <si>
    <t>036-277-8241</t>
  </si>
  <si>
    <t>cdhantique2014@gmail.com</t>
  </si>
  <si>
    <t>06-0007-26-H1-1</t>
  </si>
  <si>
    <t>Type I (DBN4730)</t>
  </si>
  <si>
    <t>Dr. Sherly T. Ferrer</t>
  </si>
  <si>
    <t>043-4160446/ 09563563612/ 09175185599</t>
  </si>
  <si>
    <t>San Jose de Buenavista</t>
  </si>
  <si>
    <t>jabezmedicalcenter@gmail.com</t>
  </si>
  <si>
    <t>T.A Fornier Street, Brgy. Atabay</t>
  </si>
  <si>
    <t>ANGEL SALAZAR MEMORIAL GENERAL HOSPITAL</t>
  </si>
  <si>
    <t>4A-0017-26-H1-2</t>
  </si>
  <si>
    <t>Diagnostic X-Ray Services (Level 3), Specialized Diagnostic X-Ray Service: Mammography, Dialysis Clinic (19 stations), HIV Testing Laboratory, rHIVda Confirmatory Laboratory, Mobile Clinical Laboratory</t>
  </si>
  <si>
    <t>126 Gualberto Brgy. A, Rosario, Batangas</t>
  </si>
  <si>
    <t>CHRIST THE SAVIOUR MEDICAL CENTER, INC.</t>
  </si>
  <si>
    <t>2 / Type II / CS F5U 665 and SNA 9783</t>
  </si>
  <si>
    <t>Diagnostic X-ray Services (Level 1)
Specialized Diagnostic X-ray Services: (Computed Tomography)
ICU</t>
  </si>
  <si>
    <t>Type I (DAJ 9412)</t>
  </si>
  <si>
    <t>Dr. Ma. Cecilia Balensoy (OIC)</t>
  </si>
  <si>
    <t>0936-54012058</t>
  </si>
  <si>
    <t>asmgh19@yahoo.com</t>
  </si>
  <si>
    <t>Dr. Aileen G. Reyes</t>
  </si>
  <si>
    <t>7401412/09994852627/ 09952207200</t>
  </si>
  <si>
    <t>06-0015-26-H2-1</t>
  </si>
  <si>
    <t>csghi@yahoo.com</t>
  </si>
  <si>
    <t>4A-0148-26-H1-2</t>
  </si>
  <si>
    <t>Sibalom</t>
  </si>
  <si>
    <t>Increase ABC &amp; HDC</t>
  </si>
  <si>
    <t>Catungan I</t>
  </si>
  <si>
    <t>RAMON MAZA SR. MEMORIAL DISTRICT HOSPITAL</t>
  </si>
  <si>
    <t>J. Magtibay St., Rosario, Batangas</t>
  </si>
  <si>
    <t>METRO ROSARIO MEDICAL SPECIALISTS CENTER INC.</t>
  </si>
  <si>
    <t xml:space="preserve">Diagnostic X-ray Services (Level 2)
 Specialized Diagnostic X-ray Services (Computed Tomography)
Pharmacy
</t>
  </si>
  <si>
    <t>1 / I / CS F4 K320</t>
  </si>
  <si>
    <t>Susan Malaluan Singh, MD</t>
  </si>
  <si>
    <t>043-4037338/ 09197659421</t>
  </si>
  <si>
    <t>Dr. Joana S. Dolor</t>
  </si>
  <si>
    <t>palma.malaluan@yahoo.com</t>
  </si>
  <si>
    <t>036-545-0311</t>
  </si>
  <si>
    <t>4A-0022-26-H1-2</t>
  </si>
  <si>
    <t>rmmsmdh@ymail.com</t>
  </si>
  <si>
    <t>06-0003-26-H1-1</t>
  </si>
  <si>
    <t>Masaya, Rosario, Batangas</t>
  </si>
  <si>
    <t>ST. GERARD GENERAL HOSPITAL OF ROSARIO BATANGAS, INC.</t>
  </si>
  <si>
    <t>Capiz</t>
  </si>
  <si>
    <t>Diagnostic X-ray Services (Level 2)
Specialized Diagnostic X-ray Services: (Computed Tomography)</t>
  </si>
  <si>
    <t>Dao</t>
  </si>
  <si>
    <t>Brgy. Bulucuan</t>
  </si>
  <si>
    <t>Type I (DAT 5706)</t>
  </si>
  <si>
    <t>SEN. GERARDO M. ROXAS MEMORIAL DISTRICT HOSPITAL</t>
  </si>
  <si>
    <t>Cesar D. Limbo, JR., MD, MHA</t>
  </si>
  <si>
    <t>jeraldienblimbo@yahoo.com</t>
  </si>
  <si>
    <t>Diagnostic X-ray Services (Level 2)
Thyroid Function Tests, HbA1c,
Troponin I, C-Reactive Protein</t>
  </si>
  <si>
    <t>1 / I / Plate No. 135705, CS VX-1752</t>
  </si>
  <si>
    <t>Dr. Mark Anthony D. Basquez</t>
  </si>
  <si>
    <t>036-6580037</t>
  </si>
  <si>
    <t>sgmrmdhdao@yhaoo.com.ph</t>
  </si>
  <si>
    <t>06-0001-26-H1-1</t>
  </si>
  <si>
    <t>#130 V. Escano St., Rosario, Batangas</t>
  </si>
  <si>
    <t>STO. ROSARIO HOSPITAL, INC.</t>
  </si>
  <si>
    <t>Mambusao</t>
  </si>
  <si>
    <t>Diagnostic X-ray Services (Level 2)
Specialized Diagnostic X-ray Services (Computed Tomography)</t>
  </si>
  <si>
    <t>Villareal Highway, Brgy. Poblacion Tabuc</t>
  </si>
  <si>
    <t>MAMBUSAO DISTRICT HOSPITAL</t>
  </si>
  <si>
    <t>Dr. Gil Maderazo</t>
  </si>
  <si>
    <t>043-3213988/ 09328436537</t>
  </si>
  <si>
    <t>sntrosario@yahoo.com</t>
  </si>
  <si>
    <t>4A-0043-26-H1-2</t>
  </si>
  <si>
    <t>1 / I / CS VY 8596, CR 279044964</t>
  </si>
  <si>
    <t>B-87 Gualberto Avenue, Poblacion, Rosario, Batangas</t>
  </si>
  <si>
    <t>UNTALAN GENERAL HOSPITAL</t>
  </si>
  <si>
    <t>Dr. Lourdes Josephine A. Martin</t>
  </si>
  <si>
    <t>036-647-0641 loc 106</t>
  </si>
  <si>
    <t>mambusaodistricthospital@gmail.com</t>
  </si>
  <si>
    <t>06-0012-26-H1-1</t>
  </si>
  <si>
    <t>Eddie D. Untalan, MD</t>
  </si>
  <si>
    <t>(043) 321-1563/ 09175842643</t>
  </si>
  <si>
    <t>untalangen_hospital@yahoo.com</t>
  </si>
  <si>
    <t>4A-0158-26-H1-2</t>
  </si>
  <si>
    <t>Pontevedra</t>
  </si>
  <si>
    <t>Maayon Jct Road, Bailan</t>
  </si>
  <si>
    <t>BAILAN DISTRICT HOSPITAL</t>
  </si>
  <si>
    <t>Banaybanay 2Nd, San Jose, Batangas</t>
  </si>
  <si>
    <t>METRO SAN JOSE MEDICAL CENTER</t>
  </si>
  <si>
    <t>Type II (DCC 9458)</t>
  </si>
  <si>
    <t>Clinical Laboratory: Special Chemistry Test, Thyroid Function Test, HbA1c, Troponin I, C-Reactive Protein</t>
  </si>
  <si>
    <t>Dr. Katherine Happiness G. Mariano</t>
  </si>
  <si>
    <t>1 / I / VZ 7890, CR 313103022</t>
  </si>
  <si>
    <t>(043) 726-0207/0960-472-0582</t>
  </si>
  <si>
    <t>msjmc2012@yahoo.com</t>
  </si>
  <si>
    <t>4A-0213-26-H2-2</t>
  </si>
  <si>
    <t>Change Ambulance DCC 9458 (03/23/2026)</t>
  </si>
  <si>
    <t>Dr. Ian P. Arciga</t>
  </si>
  <si>
    <t>036-634-0285</t>
  </si>
  <si>
    <t>bdhospital_pc@yahoo.com</t>
  </si>
  <si>
    <t>06-0006-26-H1-1</t>
  </si>
  <si>
    <t>Sico 2.O, San Juan, Batangas</t>
  </si>
  <si>
    <t>DIVINE CARE HOSPITAL</t>
  </si>
  <si>
    <t>Roxas City</t>
  </si>
  <si>
    <t>Arnaldo Boulevard, Inzo Arnaldo Village</t>
  </si>
  <si>
    <t>ROXAS MEMORIAL PROVINCIAL HOSPITAL</t>
  </si>
  <si>
    <t>Dr. Thelma Galit</t>
  </si>
  <si>
    <t>043-4200501/ 09304020098</t>
  </si>
  <si>
    <t>divinecarehospital@yahoo.com</t>
  </si>
  <si>
    <t>4A-0156-26-H1-2</t>
  </si>
  <si>
    <t>San Juan City</t>
  </si>
  <si>
    <t>Pulo, Calit-Calit, San Juan, Batangas</t>
  </si>
  <si>
    <t>SAN JUAN DOCTORS HOSPITAL, INC.</t>
  </si>
  <si>
    <t>Dailysis Clinic (10 stations), Physical Medicine and Rehabilitation Unit, Specialized Diagnostic X-Ray Service: Computed Tomography, Residency Training Program in Internal Medicine</t>
  </si>
  <si>
    <t>1 / Type II / NAR 5956</t>
  </si>
  <si>
    <t>Dr. Jose Rene de Grano</t>
  </si>
  <si>
    <t>Dr. Florencio O. Luching Jr.</t>
  </si>
  <si>
    <t>043-7838879/ 09666479072</t>
  </si>
  <si>
    <t>sanjuandoctors@gmail.com</t>
  </si>
  <si>
    <t>033-6210-823, 036-6210-030</t>
  </si>
  <si>
    <t>rmphrxcapiz@yahoo.com</t>
  </si>
  <si>
    <t>4A-044-26-H1-2</t>
  </si>
  <si>
    <t>06-0007-26-H2-1</t>
  </si>
  <si>
    <t>San Pascual</t>
  </si>
  <si>
    <t>Aquino Avenue, Poblacion, San Pascual, Batangas</t>
  </si>
  <si>
    <t>SAINT PASCAL DE BAYLON HOSPITAL CORPORATION</t>
  </si>
  <si>
    <t>Guimaras</t>
  </si>
  <si>
    <t>Jordan</t>
  </si>
  <si>
    <t>Brgy. San Miguel</t>
  </si>
  <si>
    <t>Diagnostic X-ray Services (Level 2), Specialized Diagnostic X-ray Services: Computed Tomography, Pharmacy</t>
  </si>
  <si>
    <t>DR. CATALINO GALLEGO NAVA PROVINCIAL HOSPITAL</t>
  </si>
  <si>
    <t>Type I (NCU 8592)</t>
  </si>
  <si>
    <t xml:space="preserve">Diagnostic X-ray Services (Level 2)
Specialized X-ray Services:
                Computed Tomography
Physical Medicine and Rehabilitation Unit 
Special Chemistry, HBA1C, Cardiac Markers
Tumor Markers, Thyroid Function Tests 
</t>
  </si>
  <si>
    <t>4250062/ 09308126080</t>
  </si>
  <si>
    <t>spdbh@yahoo.com</t>
  </si>
  <si>
    <t>1 / I / SND 4216 C.R. 0057383365</t>
  </si>
  <si>
    <t>4A-0117-26-H1-2</t>
  </si>
  <si>
    <t>Increase in ABC (22-50), Dialysis Station (7-15) &amp; Change location of  Laboratory and Blood Station</t>
  </si>
  <si>
    <t>Dr. Serren Lor V. Gallinero</t>
  </si>
  <si>
    <t>National Highway, Brgy. San Antonio, San Pascual, Batangas</t>
  </si>
  <si>
    <t>033-581-2037</t>
  </si>
  <si>
    <t>SAN ANTONIO LIFE CARE HOSPITAL</t>
  </si>
  <si>
    <t>dcgnmc1975@gmail.com</t>
  </si>
  <si>
    <t>06-0017-26-H1-1</t>
  </si>
  <si>
    <t>Type II (DHV 5533)</t>
  </si>
  <si>
    <t>Dr. Arnold Dimaculangan</t>
  </si>
  <si>
    <t>0917-1542839</t>
  </si>
  <si>
    <t>Alimodian</t>
  </si>
  <si>
    <t>sanantoniolifecarecorporation@yahoo.com</t>
  </si>
  <si>
    <t>Brgy. Bancal</t>
  </si>
  <si>
    <t>4A-0135-26-H2-2</t>
  </si>
  <si>
    <t>ALEOSAN DISTRICT HOSPITAL</t>
  </si>
  <si>
    <t>A. Mabini St., Brgy. 2, Poblacion, Sto. Tomas, Batangas</t>
  </si>
  <si>
    <t>SAINT VINCENT DE PAUL HOSPITAL</t>
  </si>
  <si>
    <t>Diagnostic X-ray Services (Level 2)
Tumor Markers, Thyroid Function Tests, 
Special Chemistry, Troponin I, HbA1c
C-Reactive Protein (CRP), HIV Testing (Screening), Leptospira, H. Pylori, CK-MB</t>
  </si>
  <si>
    <t>1 / II  / SJU 388 C.S. 4732 C.R. 12563869-3</t>
  </si>
  <si>
    <t>Dr. Allan C. Lanip &amp; Dr. Nilda C. Lanip</t>
  </si>
  <si>
    <t>043-778-6309; 09770828323</t>
  </si>
  <si>
    <t>april1829sumague@gmail.com</t>
  </si>
  <si>
    <t>4A-0054-26-H1-2</t>
  </si>
  <si>
    <t>Dr. Cherubim C. Estrellanes</t>
  </si>
  <si>
    <t>033-331-0602</t>
  </si>
  <si>
    <t>aleosaniloilo@yahoo.com</t>
  </si>
  <si>
    <t>06-0015-26-H1-1</t>
  </si>
  <si>
    <t>1181 Pres. J.P. Laurel Highway, San Roque, Sto. Tomas, Batangas</t>
  </si>
  <si>
    <t>SANTO TOMAS GENERAL HOSPITAL</t>
  </si>
  <si>
    <t>Balasan</t>
  </si>
  <si>
    <t>Sitio Malbog, Brgy. Tingui-An</t>
  </si>
  <si>
    <t>Type I (ULL-937)</t>
  </si>
  <si>
    <t>JESUS M. COLMENARES DISTRICT HOSPITAL</t>
  </si>
  <si>
    <t>Dr. Johnny F. Platon</t>
  </si>
  <si>
    <t>09178002056/ 043-7295060</t>
  </si>
  <si>
    <t>stgh91@yahoo.com</t>
  </si>
  <si>
    <t xml:space="preserve">HIV Testing Laboratory (Screening)
Special Chemistry, HbA1c,
Troponin I, Thyroid Function Test
</t>
  </si>
  <si>
    <t>4A-0024-26-H1-2</t>
  </si>
  <si>
    <t>1 / I / SND 2479</t>
  </si>
  <si>
    <t>Maharlika Highway, Poblacion 2, Sto. Tomas, Batangas</t>
  </si>
  <si>
    <t>ST. FRANCES CABRINI MEDICAL CENTER, INCORPORATED</t>
  </si>
  <si>
    <t>Dr. Gene O. Baltazar</t>
  </si>
  <si>
    <t>033-397-0879</t>
  </si>
  <si>
    <t>jmcolmenares15@gmail.com</t>
  </si>
  <si>
    <t>Diagnotic Services (Level 3)
Specialized Diagnostic X-ray Services: (Computed Tomography, Mammography, Tumor Localization &amp; Simulation, Catherization Laboratory)
Anatomic Pathology (cytology,surgical &amp; frozen)
Radiation Oncology: (Conventional Radiation Therapy, 3D Conformal Radiation Therapy, Intensity Modulated Radiation Therapy, Image Guided Radiation Therapy)
Dental X-ray: (Panoramic, Cephalometric)
Ambulatory Surgical Clinic: (Oral &amp; Maxillo-Facial Surgery, Otorthinolaryngology Surgery, General Ambulatory Clinic (Wound care clinic) Opthalmologic Surgery (Asian Eye Institute)
Physical Medicine and Rehabilitation Unit</t>
  </si>
  <si>
    <t>06-0020-26-H1-1</t>
  </si>
  <si>
    <t>Type II (DBM 8772)</t>
  </si>
  <si>
    <t>Dr. Malen M. Gellido</t>
  </si>
  <si>
    <t>(043) 778-4811</t>
  </si>
  <si>
    <t>cabrini.medicalcenter@gmail.com</t>
  </si>
  <si>
    <t>4A-029-26-H2-2</t>
  </si>
  <si>
    <t>Taal</t>
  </si>
  <si>
    <t>Diversion Road, Carsuche, Taal, Batangas</t>
  </si>
  <si>
    <t>TAAL POLYMEDIC HOSPITAL AND MEDICAL CENTER</t>
  </si>
  <si>
    <t>Diagnostic x-ray service (level 3), specialized diagnostic x-ray service: Computed Tomography, rHIVda Confirmatory Laboratory</t>
  </si>
  <si>
    <t>1 / Type II / CS F0W 696</t>
  </si>
  <si>
    <t>Type II. (NCM 4251)</t>
  </si>
  <si>
    <t>Care Panacea Medical Corporation</t>
  </si>
  <si>
    <t>Dr. Amado H. Caraos</t>
  </si>
  <si>
    <t>06-0002-26-H2-1</t>
  </si>
  <si>
    <t>043 7414344</t>
  </si>
  <si>
    <t>taalpolymedcenter@gmail.com</t>
  </si>
  <si>
    <t>4A-0047-26-H2-2</t>
  </si>
  <si>
    <t>Barotac Viejo</t>
  </si>
  <si>
    <t>Barangay San Lucas</t>
  </si>
  <si>
    <t>GOVERNOR NIEL D. TUPAS SR. DISTRICT HOSPITAL</t>
  </si>
  <si>
    <t>Mabini Highway, Barangay Aya,</t>
  </si>
  <si>
    <t>GLOBAL CARE MEDICAL CENTER OF TALISAY, INC.</t>
  </si>
  <si>
    <t>Type II (S2U 149)</t>
  </si>
  <si>
    <t>1 / I / CS OV 9301 C.R. 39285629-5</t>
  </si>
  <si>
    <t>Dr. Edgardo J. Cuadra</t>
  </si>
  <si>
    <t>043-778-4888</t>
  </si>
  <si>
    <t>qmstalisay@gmail.com</t>
  </si>
  <si>
    <t>Dr. Cenon C. Guiban</t>
  </si>
  <si>
    <t>033-3620300</t>
  </si>
  <si>
    <t>4A-0074-26-H2-2</t>
  </si>
  <si>
    <t>gndtsdh_5011@yahoo.com</t>
  </si>
  <si>
    <t>06-0008-26-H1-1</t>
  </si>
  <si>
    <t>Tumaway Talisay, Batangas</t>
  </si>
  <si>
    <t>ST. ANDREW HOSPITAL</t>
  </si>
  <si>
    <t>Brgy. Pungtod</t>
  </si>
  <si>
    <t>RAMON TABIANA MEMORIAL DISTRICT HOSPITAL</t>
  </si>
  <si>
    <t>Mark Anthony S. Mendoza, M.D.</t>
  </si>
  <si>
    <t>043-7730196 /0998510 3905</t>
  </si>
  <si>
    <t>standrewhospital1982@gmail.com</t>
  </si>
  <si>
    <t>4A-0186-26-H1-2</t>
  </si>
  <si>
    <t xml:space="preserve">Diagnostic X-ray Services (Level 2)
HIV Testing Laboratory (Screening) 
        Special Chemistry
</t>
  </si>
  <si>
    <t>50 Sixto Castillo Street, Barangay V, Tanauan City, Batangas</t>
  </si>
  <si>
    <t>GONZALES MEDICAL AND CHILDREN'S HOSPITAL INC.</t>
  </si>
  <si>
    <t>1 / I / F5O 085 C.R. 4658240-6</t>
  </si>
  <si>
    <t>Dr. Francisco Ronnel J. Quiñon</t>
  </si>
  <si>
    <t>033-522-8549</t>
  </si>
  <si>
    <t>hospital.cabatuan.iloilo@gmail.com</t>
  </si>
  <si>
    <t>Francis Raymund C. Gonzales, MD, FPUA, MHA</t>
  </si>
  <si>
    <t>06-0010-26-H1-1</t>
  </si>
  <si>
    <t>gonzaleshospital@yahoo.com.ph</t>
  </si>
  <si>
    <t>4A-0012-26-H1-2</t>
  </si>
  <si>
    <t>Calinog</t>
  </si>
  <si>
    <t>Collantes St., Poblacion, Brgy. 7, Tanauan City, Batangas</t>
  </si>
  <si>
    <t>Brgy. Dalid</t>
  </si>
  <si>
    <t>H.M. CORACHEA GENERAL HOSPITAL</t>
  </si>
  <si>
    <t>DR. RICARDO S. PROVIDO SR. MEMORIAL DISTRICT HOSPITAL</t>
  </si>
  <si>
    <t>Dr. Diogenes L. Corachea</t>
  </si>
  <si>
    <t>hm_corachea@yahoo.com</t>
  </si>
  <si>
    <t xml:space="preserve">Diagnostic X-ray Services (Level 2)        
Thyroid Function Tests, Special Chemistry, 
Troponin I, HbA1c, C-Reactive Protein
</t>
  </si>
  <si>
    <t>4A-0212-26-H1-2</t>
  </si>
  <si>
    <t>1 / I / CS AZ N937 C.R. 301639435</t>
  </si>
  <si>
    <t>Dr. Ma. Rozeny Tendencia</t>
  </si>
  <si>
    <t>No. 1 Pres. Laurel Highway, Tanauan City, Batangas</t>
  </si>
  <si>
    <t>033-330-0557</t>
  </si>
  <si>
    <t>HEALTHWAY DANIEL O. MERCADO MEDICAL CENTER</t>
  </si>
  <si>
    <t>drspsmdhcalinog@yahoo.com.ph</t>
  </si>
  <si>
    <t>06-0013-26-H1-1</t>
  </si>
  <si>
    <t>Diagnostic X-ray Services (Level 3)
Specialized Diagnostic X-ray Services (Computed Tomography, Mammography) Portable X-ray
Anatomic Pathology (cytology &amp; surgical)
Physical Medicine and Rehabilitation Unit
OPD Pharmacy</t>
  </si>
  <si>
    <t>Type II (NDG1080)</t>
  </si>
  <si>
    <t>Mercado General Hospital Inc.</t>
  </si>
  <si>
    <t>Dumangas</t>
  </si>
  <si>
    <t>Dr. Edwin G. Magsino</t>
  </si>
  <si>
    <t>Brgy. Ilaya 1St</t>
  </si>
  <si>
    <t>(043)7781810</t>
  </si>
  <si>
    <t>RAMON D. DUREMDES DISTRICT HOSPITAL</t>
  </si>
  <si>
    <t>gsd.tan@qualimed.com.ph</t>
  </si>
  <si>
    <t>4A-0145-26-H2-2</t>
  </si>
  <si>
    <t>A. Mabini Avenue, Tanauan City, Batangas</t>
  </si>
  <si>
    <t>TANAUAN MEDICAL CENTER (FORMERLY C.P. REYES HOSPITAL)</t>
  </si>
  <si>
    <t>Troponin I, HbA1C</t>
  </si>
  <si>
    <t>1 / I / SND 2480 C.R. 0047550753</t>
  </si>
  <si>
    <t>Diagnostic X-ray Services (Level 2)
Specialized Diagnostic X-ray Services: (Computed Tomography, Mammography)
Hispathology
Physical Medicine and Rehabilitation Unit</t>
  </si>
  <si>
    <t>Type II (NFW 7602)</t>
  </si>
  <si>
    <t>Dr. Dennise Roy M. Pasadilla</t>
  </si>
  <si>
    <t>Dr. Carlito P. Reyes Jr.</t>
  </si>
  <si>
    <t>033-361-2229</t>
  </si>
  <si>
    <t>(043) 784-5401 loc. 657</t>
  </si>
  <si>
    <t>ddh.dumangas@gmail.com</t>
  </si>
  <si>
    <t>tanauanmedicalcenter.licensing@gmail.com</t>
  </si>
  <si>
    <t>06-0011-26-H1-1</t>
  </si>
  <si>
    <t>4A-0129-26-H2-2</t>
  </si>
  <si>
    <t>Level 2 - Dialysis 15 stations, Clinical Lab w/ Anatomic &amp; Blood Bank</t>
  </si>
  <si>
    <t>Alfonso</t>
  </si>
  <si>
    <t>Burgos St. Brgy. 1, Alfonzo, Cavite</t>
  </si>
  <si>
    <t>Guimbal</t>
  </si>
  <si>
    <t>DE LA SALLE-DR RODOLFO POBLETE MEMORIAL HOSPITAL</t>
  </si>
  <si>
    <t>Garriel Street</t>
  </si>
  <si>
    <t>REP. PEDRO G. TRONO MEMORIAL HOSPITAL</t>
  </si>
  <si>
    <t>Dr. Myrna Cabungcal</t>
  </si>
  <si>
    <t>046-4150190/ 09611963254</t>
  </si>
  <si>
    <t>Diagnostic X-ray Services (Level 2)
HIV Testing Laboratory (Screening)
Special Chemistry, Troponin I,
HbA1c, Certified rHIVda Confirmatory Laboratory, ASO Titer, H. Pylori Test, CD 4, C Reactive Protein</t>
  </si>
  <si>
    <t>pobletehospital@yahoo.com</t>
  </si>
  <si>
    <t>4A-0066-26-H1-2</t>
  </si>
  <si>
    <t>1 / I / Temp. 060106 C.R. 313701135, 1/ 2 / Plate No. SND 2483 C.R. 0047550720</t>
  </si>
  <si>
    <t>Molino Boulevard, Bayanan, Bacoor, Cavite</t>
  </si>
  <si>
    <t>BACOOR DOCTORS MEDICAL CENTER</t>
  </si>
  <si>
    <t>Dr. Lily Ann C. Eslabra</t>
  </si>
  <si>
    <t>033-315-5172</t>
  </si>
  <si>
    <t>rpgtmh@yahoo.com</t>
  </si>
  <si>
    <t>06-0002-26-H1-1</t>
  </si>
  <si>
    <t>Dr. Elsa C. Peregrino</t>
  </si>
  <si>
    <t>(046) 416-6275</t>
  </si>
  <si>
    <t>bacoordoctors2010@yahoo.com</t>
  </si>
  <si>
    <t>4A-0051-26-H1-2</t>
  </si>
  <si>
    <t>E. Lopez St., Montinola, Jaro, Iloilo City</t>
  </si>
  <si>
    <t>WEST VISAYAS STATE UNIVERSITY MEDICAL CENTER</t>
  </si>
  <si>
    <t>Molino Road, Brgy. Molino Iii, Bacoor City, Cavite</t>
  </si>
  <si>
    <t>CAVITE EAST ASIA MEDICAL CENTER, INC.</t>
  </si>
  <si>
    <t>G6PD Confirmatory, HIV Testing Laboratory, Specialized Diagnostic X-ray Services, Clinical Lba for molecular Path</t>
  </si>
  <si>
    <t>Diagnostic X-ray Services (Level 3)
 Specialized Diagnostic X-ray Services (Computed Tomography, Mammography)
Physical Medicine and Rehabilitation Unit
Pharmacy</t>
  </si>
  <si>
    <t>Type II-1 (DAU 2551)</t>
  </si>
  <si>
    <t>Dr. Dave Endel Gelito III</t>
  </si>
  <si>
    <t>(033) 320 2431</t>
  </si>
  <si>
    <t>Dr. Jose Carlos S. Miranda</t>
  </si>
  <si>
    <t>medcenter@wvsu.edu.ph</t>
  </si>
  <si>
    <t>046-4310000 loc 109/02/ 09178366901</t>
  </si>
  <si>
    <t>samc.medicaldirector@gmailcom</t>
  </si>
  <si>
    <t>DOH002789</t>
  </si>
  <si>
    <t>4A-0138-26-H2-2</t>
  </si>
  <si>
    <t>Add'l Clin Lab for Molecular Path:EGFR Oncology testing (4/27/2026)</t>
  </si>
  <si>
    <t>National Road, Molino Iv, Bacoor City, Cavite</t>
  </si>
  <si>
    <t>METRO SOUTH MEDICAL CENTER</t>
  </si>
  <si>
    <t>Specialized Diagnostic X-ray Services (Computed Tomography) Anatomic Pathology (cytology)</t>
  </si>
  <si>
    <t>Type II( Z3Q690)</t>
  </si>
  <si>
    <t>CIDH</t>
  </si>
  <si>
    <t>Dr. Ronald C. Suaverdez</t>
  </si>
  <si>
    <t>046-4771743/ 09178602104</t>
  </si>
  <si>
    <t>metrosouthmedicalcenter@yahoo.con.ph</t>
  </si>
  <si>
    <t>4A-0125-26-H2-2</t>
  </si>
  <si>
    <t>National Road, Molino Ii, Bacoor, Cavite</t>
  </si>
  <si>
    <t>wvmciloilo@gmail.com</t>
  </si>
  <si>
    <t>MOLINO DOCTORS HOSPITAL</t>
  </si>
  <si>
    <t>1/1/26-Increase IN ABC FROM 641 TO 691</t>
  </si>
  <si>
    <t>Diagnostic X-ray Services (Level 2)
Specialized Diagnostic X-ray Services: Mammography
Pharmacy
Physical Medicine and Rehabilitation Unit</t>
  </si>
  <si>
    <t>Janiuay</t>
  </si>
  <si>
    <t>Type I ( XJH 969)</t>
  </si>
  <si>
    <t>Brgy. Jibolo</t>
  </si>
  <si>
    <t>FEDERICO ROMAN TIRADOR SR., MEMORIAL DISTRICT HOSPITAL</t>
  </si>
  <si>
    <t>Dra. Geraldine Purugannan</t>
  </si>
  <si>
    <t>4771661/ 09175028386</t>
  </si>
  <si>
    <t>molinodoctors@yahoo.com</t>
  </si>
  <si>
    <t>4A-0165-26-H1-2</t>
  </si>
  <si>
    <t xml:space="preserve">Physical Medicine and Rehabilitation Unit
Thyroid Function Tests, Special Chemistry 
Troponin I, CRP, HbA1c
</t>
  </si>
  <si>
    <t>115 Daanghari Road, Brgy. Molino 4 Bacoor City, Cavite</t>
  </si>
  <si>
    <t>SOUTH CITY HOSPITAL AND MEDICAL CENTER, INC.</t>
  </si>
  <si>
    <t>1/ 1 / Plate No. 13010</t>
  </si>
  <si>
    <t>Dr. Jeseryl S. Villa</t>
  </si>
  <si>
    <t>Diagnostic X-ray Services (Level 2)
Specialized Diagnostic X-ray Services (Computed Tomography)
Physical Medicine and Rehabilitation Unit</t>
  </si>
  <si>
    <t>033-531-8506</t>
  </si>
  <si>
    <t>Type II,( NEC 5335)</t>
  </si>
  <si>
    <t>frtsmdh_06@yahoo.com</t>
  </si>
  <si>
    <t>Dr. Vitus R. Talla</t>
  </si>
  <si>
    <t>046 4198240</t>
  </si>
  <si>
    <t>schmc.official@gmail.com</t>
  </si>
  <si>
    <t>4A-0201-26-H2-2</t>
  </si>
  <si>
    <t>Aguinaldo Highway, Talaba, Bacoor City, Cavite</t>
  </si>
  <si>
    <t>ST. DOMINIC MEDICAL CENTER, INC.</t>
  </si>
  <si>
    <t>06-0009-26-H1-1</t>
  </si>
  <si>
    <t>Diagnostic X-ray Services (Level 2)
Specialized Diagnostic X-ray Services (Computed Tomography)
Dental</t>
  </si>
  <si>
    <t>Type II, (NBW 6086)</t>
  </si>
  <si>
    <t>Dr. Oscar D. Tinio</t>
  </si>
  <si>
    <t>(046) 417-2525 / 09985994201</t>
  </si>
  <si>
    <t>stdominicmedicalcenter@sdmc.com.ph</t>
  </si>
  <si>
    <t>Lambunao</t>
  </si>
  <si>
    <t>4A-0101-26-H2-2</t>
  </si>
  <si>
    <t>Poblacion Ilawod</t>
  </si>
  <si>
    <t>DR. RICARDO Y. LADRIDO MEMORIAL HOSPITAL</t>
  </si>
  <si>
    <t>220 Molino Road, Molino Ii, Bacoor City, Cavite</t>
  </si>
  <si>
    <t>YR. ST. MICHAEL MEDICAL HOSPITAL, INC.</t>
  </si>
  <si>
    <t xml:space="preserve">Special Chemistry, Troponin I,
Thyroid Function Tests
</t>
  </si>
  <si>
    <t>2 / I / C.S. F5 O049, C.R. 46582394-5 I / C.S. J0 C207 C.R. 432098553</t>
  </si>
  <si>
    <t>Dr. Yolanda C. Rodil</t>
  </si>
  <si>
    <t>smmh_1997@yahoo.com</t>
  </si>
  <si>
    <t>Dr. April Legayada</t>
  </si>
  <si>
    <t>033-330-0559</t>
  </si>
  <si>
    <t>4A-0174-26-H1-2</t>
  </si>
  <si>
    <t>drylmhlambunao@yahoo.com</t>
  </si>
  <si>
    <t>06-0018-26-H1-1</t>
  </si>
  <si>
    <t>Carmona</t>
  </si>
  <si>
    <t>Macaria Business Center, Governors Drive Purificacion St., Brgy. Mabuhay, Carmona, Cavite</t>
  </si>
  <si>
    <t>CARMONA HOSPITAL AND MEDICAL CENTER, INC.</t>
  </si>
  <si>
    <t>Passi City</t>
  </si>
  <si>
    <t>Alfelor St</t>
  </si>
  <si>
    <t>DON VALERIO PALMARES SR. MEMORIAL DISTRICT HOSPITAL</t>
  </si>
  <si>
    <t>Diagnostic X-ray Services (Level 2)
Specialized Diagnostic X-ray Services (Computed Tomography, Mammography)
Pharmacy</t>
  </si>
  <si>
    <t xml:space="preserve">Type II (FXS243)
</t>
  </si>
  <si>
    <t>Ace Core Medical Services, Inc.,</t>
  </si>
  <si>
    <t>1/ Type 1/ Plate No. NV 350-060104, C.R. 308636226</t>
  </si>
  <si>
    <t>Dr. Amando A. Racpan</t>
  </si>
  <si>
    <t>046-4300295/ 09088142648</t>
  </si>
  <si>
    <t>exceutiveoffice@carmonahospitalmedicalcenter.com</t>
  </si>
  <si>
    <t>4A-0120-26-H2-2</t>
  </si>
  <si>
    <t>Dr. Randy Portigo</t>
  </si>
  <si>
    <t>033-367-1421</t>
  </si>
  <si>
    <t>dvpsmdh2015@gmail.com</t>
  </si>
  <si>
    <t>06-0016-26-H1-1</t>
  </si>
  <si>
    <t>Pototan</t>
  </si>
  <si>
    <t>Brgy. Rumbang</t>
  </si>
  <si>
    <t>ILOILO PROVINCIAL HOSPITAL</t>
  </si>
  <si>
    <t>910 Crescini St., Caridad, Brgy., 47B Pagkakaisa, Cavite City, Cavite</t>
  </si>
  <si>
    <t>A. DELA CRUZ MATERNITY HOSPITAL</t>
  </si>
  <si>
    <t>Specialized diganostic x-ray service: Computed Tomography, HIV Testing Laboratory, rHIVda COnfirmatory Laboratory</t>
  </si>
  <si>
    <t>Type I (NGG 2102)</t>
  </si>
  <si>
    <t>1 / Type II  / CS FO AO37</t>
  </si>
  <si>
    <t>Dr. Erwin Jay P. dela Cruz</t>
  </si>
  <si>
    <t>046-4313185/ 09954598640</t>
  </si>
  <si>
    <t>adelacruzmaternityhospital@gmail.com</t>
  </si>
  <si>
    <t>Dr. Alberto S. Cordero</t>
  </si>
  <si>
    <t>033-5297496</t>
  </si>
  <si>
    <t>iph_pototan@ymail.com</t>
  </si>
  <si>
    <t>4A-0143-26-H1-2</t>
  </si>
  <si>
    <t>06-0014-26-H2-1</t>
  </si>
  <si>
    <t>375 P. Burgos Ave., Caridad Cavite City</t>
  </si>
  <si>
    <t>BAUTISTA HOSPITAL</t>
  </si>
  <si>
    <t>Diagnostic X-ray Services (Level 2)
Specialized Diagnostic X-ray Services, Computed Tomography
Pharmacy</t>
  </si>
  <si>
    <t>Type I (ABO 4469)</t>
  </si>
  <si>
    <t>Leprosy Care Services (50beds), Physical Medicine and Rehabilitation Unit, Specialized X-ray Services: Computed Tomography</t>
  </si>
  <si>
    <t>1 / Type II / SND 3951</t>
  </si>
  <si>
    <t>Marilou C. Avanceña, MD</t>
  </si>
  <si>
    <t>0998-359-9295 / (046 - 431-0330)/ 09064551728</t>
  </si>
  <si>
    <t>bautistahospital@yahoo.com.ph</t>
  </si>
  <si>
    <t>4A-0115-26-H1-2</t>
  </si>
  <si>
    <t>06-0021-26-H2-1</t>
  </si>
  <si>
    <t>Manila-Cavite Road, Dalahican, Cavite City</t>
  </si>
  <si>
    <t>CAVITE MEDICAL CENTER, INC.</t>
  </si>
  <si>
    <t>Diagnostic X-ray Services (Level 3)</t>
  </si>
  <si>
    <t>Sara</t>
  </si>
  <si>
    <t>Brgy. Anoring</t>
  </si>
  <si>
    <t>Type II, WJQ838</t>
  </si>
  <si>
    <t>SARA DISTRICT HOSPITAL</t>
  </si>
  <si>
    <t>Dr. Imelda R. Tiongson</t>
  </si>
  <si>
    <t>431-9988 loc. 107</t>
  </si>
  <si>
    <t>cavitemedical.omd@gmail.com</t>
  </si>
  <si>
    <t xml:space="preserve">Diagnostic X-ray Services (Level 2)
Troponin I, Special Chemistry
</t>
  </si>
  <si>
    <t>4A-0137-26-H1-2</t>
  </si>
  <si>
    <t>1 / I / C.R. No. 38463466-6</t>
  </si>
  <si>
    <t>Burol Ii, Bagong Bayan, Dasmarinas City, Cavite</t>
  </si>
  <si>
    <t>ST. PAUL HOSPITAL CAVITE, INC.</t>
  </si>
  <si>
    <t>Dr. Jet C. Prudente</t>
  </si>
  <si>
    <t>033-392-0201</t>
  </si>
  <si>
    <t>sara_dh@iloilo.gov.ph</t>
  </si>
  <si>
    <t>06-0019-25-H1-1</t>
  </si>
  <si>
    <t>Diagnostic X-ray Services (Level 2)
Specialized Diagnostic X-ray Services (Computed Tomography, Mammography, Bone Densitometry)
Physical Medicine and Rehabilitation Unit
Ambulatory Surgical Clinic
Pharmacy</t>
  </si>
  <si>
    <t>Dr. Ma. Rita M. Pagkatipunan</t>
  </si>
  <si>
    <t>046-4818270-73/ 09369396090</t>
  </si>
  <si>
    <t>Carmen</t>
  </si>
  <si>
    <t>sphcavite.2007@gmail.com</t>
  </si>
  <si>
    <t>Poblacion Sur, Carmen, Bohol</t>
  </si>
  <si>
    <t>4A-0124-26-H1-2</t>
  </si>
  <si>
    <t>CONG. SIMEON G. TORIBIO MEMORIAL HOSPITAL</t>
  </si>
  <si>
    <t>Old Pala-Pala Road, Sampaloc I, Dasmariñas City, Cavite</t>
  </si>
  <si>
    <t>Blood Station, Pharmacy, Specialized Diagnostic X-ray Services</t>
  </si>
  <si>
    <t>ASIA MEDIC FAMILY HOSPITAL AND MEDICAL CENTER</t>
  </si>
  <si>
    <t>1 Type I - F4E 589</t>
  </si>
  <si>
    <t>Diagnostic X-ray Services (Level 2)
Specialized Diagnostic X-ray Services (Computed Tomography,
Pharmacy
HIV Testing Laboratory
ICU- 3, NICU- 4</t>
  </si>
  <si>
    <t>Victor Alan A. Torrefranca, MD, MPA</t>
  </si>
  <si>
    <t>(038) 417-3236; 0907-906-2536</t>
  </si>
  <si>
    <t>carmenhospital68@yahoo.com</t>
  </si>
  <si>
    <t>Nazarena T. Mata, MD</t>
  </si>
  <si>
    <t>046-4542749</t>
  </si>
  <si>
    <t>dpo.amfhmc@yahoo.com</t>
  </si>
  <si>
    <t>07-028-26-40-H1-1</t>
  </si>
  <si>
    <t>4A-0116-26-H1-2</t>
  </si>
  <si>
    <t>Salawag Crossing, Barangay Salawag, City Of Dasmariñas, Cavite</t>
  </si>
  <si>
    <t>Catigbian</t>
  </si>
  <si>
    <t>DASMARIÑAS CITY MEDICAL CENTER, INC.</t>
  </si>
  <si>
    <t>Poblacion West, Catigbian, Bohol</t>
  </si>
  <si>
    <t>CATIGBIAN DISTRICT HOSPITAL</t>
  </si>
  <si>
    <t>Blood Station, Pharmacy, Diagnostic X-ray Services</t>
  </si>
  <si>
    <t>Type II (NES 6581)</t>
  </si>
  <si>
    <t>1 Type I - SKV 591</t>
  </si>
  <si>
    <t>Dr. ENRICO P. EVANGELISTA</t>
  </si>
  <si>
    <t>(046) 483-9000 LOCAL 9031/ 09175113539</t>
  </si>
  <si>
    <t>dasmarinascitymedicalcenterinc@gmail.com</t>
  </si>
  <si>
    <t>4A-0105-26-H2-2</t>
  </si>
  <si>
    <t>Ma. Cyrilda B. Tallo, MD</t>
  </si>
  <si>
    <t>(038) 416-0918; 0939-808-2436</t>
  </si>
  <si>
    <t>cadishosp@yahoo.com.ph</t>
  </si>
  <si>
    <t>07-006-26-25-H1-1</t>
  </si>
  <si>
    <t>Gov. Dominador I. Mangubat Avenue, Zone 4, City Of Dasmariñas, Cavite</t>
  </si>
  <si>
    <t>DE LA SALLE UNIVERSITY MEDICAL CENTER</t>
  </si>
  <si>
    <t>Cortes</t>
  </si>
  <si>
    <t>Rolling Mills Old Road, Malayo Sur, Cortes, Bohol</t>
  </si>
  <si>
    <t>GOV. CELESTINO GALLARES MULTI-SPECIALTY MEDICAL COMPLEX</t>
  </si>
  <si>
    <t>Blood Bank (with additional function to collect, test &amp; process blood), HIV Testing Laboratory, Specialized Diagnostic X-ray Services</t>
  </si>
  <si>
    <t>Blood Station, Tertiary Clinical Laboratory, Pharmacy, Specialized Diagnostic X-ray Services</t>
  </si>
  <si>
    <t>Dr. Antonio B. Ramos</t>
  </si>
  <si>
    <t>dlsumc.marketing@dlshsi.edu.ph</t>
  </si>
  <si>
    <t>DOH004591</t>
  </si>
  <si>
    <t>MOA with Ramiro Community Hospital</t>
  </si>
  <si>
    <t>increase in dialysis station from 40 to 50 stations (03/20/2025)</t>
  </si>
  <si>
    <t>Dr. Laurence Elliot R. Tirol</t>
  </si>
  <si>
    <t>ceo@cpspecialtycenter.org</t>
  </si>
  <si>
    <t>07-065-26-50-H2-1</t>
  </si>
  <si>
    <t>Brgy. Salitran 2, Dasmarinas City, Cavite</t>
  </si>
  <si>
    <t>EMILIO AGUINALDO COLLEGE MEDICAL CENTER CAVITE</t>
  </si>
  <si>
    <t>Inabanga</t>
  </si>
  <si>
    <t>Specialized Diagnostic X-ray Services (Computed Tomography) 
Blood Bank (with additional function to collect, test &amp; process blood)
 Anatomic Pathology (cytology, surgical &amp; frozen section)
Physical Medicine Rehabilitation Unit
ASC (Opthalmology)</t>
  </si>
  <si>
    <t>National Highway, Cagay-an, Inabanga, Bohol</t>
  </si>
  <si>
    <t>FRANCISCO DAGOHOY MUNICIPAL HOSPITAL</t>
  </si>
  <si>
    <t>Type II (DAN 5519)</t>
  </si>
  <si>
    <t>Dr. Genalyn P. Trias</t>
  </si>
  <si>
    <t>046-4163010/ 09988453685</t>
  </si>
  <si>
    <t>quality_assurance@eacmed.org.ph</t>
  </si>
  <si>
    <t>4A-0080-26-H2-2</t>
  </si>
  <si>
    <t>1 Type 1 - P6F 241</t>
  </si>
  <si>
    <t>ASC (Opthalmology)</t>
  </si>
  <si>
    <t>#24 Camerino Avenue, Zone 4, City Of Dasmariñas, Cavite</t>
  </si>
  <si>
    <t>Josephine B. Jabonillo, MD, MPA</t>
  </si>
  <si>
    <t>GMF HOSPITAL</t>
  </si>
  <si>
    <t>(038)512-9014/ 09154108528</t>
  </si>
  <si>
    <t>fdmh85@yahoo.com</t>
  </si>
  <si>
    <t>07-015-26-25-H1-1</t>
  </si>
  <si>
    <t>Milagros T. Barzaga, MD</t>
  </si>
  <si>
    <t>gmfhospital@gmail.com</t>
  </si>
  <si>
    <t>4A-0040-26-H1-2</t>
  </si>
  <si>
    <t>Jagna</t>
  </si>
  <si>
    <t>Severo Salas St., Poblacion, Jagna, Bohol</t>
  </si>
  <si>
    <t>TEODORO B. GALAGAR DISTRICT HOSPITAL</t>
  </si>
  <si>
    <t>Aguinaldo Highway, Malinta, Dasmariñas, Cavite</t>
  </si>
  <si>
    <t>MEDCOR DASMARIÑAS HOSPITAL AND MEDICAL CENTER INC.</t>
  </si>
  <si>
    <t>1 Type I - F4E 582</t>
  </si>
  <si>
    <t>Dr. Arlene D. Yason</t>
  </si>
  <si>
    <t>medcordasmariñashospital@gmail.com</t>
  </si>
  <si>
    <t>Gerard T. Salas, MD</t>
  </si>
  <si>
    <t>4A-0197-26-H2-2</t>
  </si>
  <si>
    <t>(038) 531-8107; 0942-804-4934</t>
  </si>
  <si>
    <t>tbgdh10@yahoo.com; tbgdh2020@gmail.com</t>
  </si>
  <si>
    <t>General Trias City</t>
  </si>
  <si>
    <t>Governor'S Drive, Manggahan, General Trias, Cavite</t>
  </si>
  <si>
    <t>CITY OF GENERAL TRIAS DOCTORS MEDICAL CENTER, INC.</t>
  </si>
  <si>
    <t>Specialized Diagnostic X-ray Services (Computed Tomography)
Dentay X-ray
Physical Medicine and Rehabilitation Unit</t>
  </si>
  <si>
    <t>Type I, (NEC 2872)</t>
  </si>
  <si>
    <t>Dr. Francisco M. Magugat, Jr.</t>
  </si>
  <si>
    <t>046-4162222</t>
  </si>
  <si>
    <t>gentridoctors@yahoo.com</t>
  </si>
  <si>
    <t>4A-0063-26-H2-2</t>
  </si>
  <si>
    <t>Antero Soriano Highway, General Trias, Tejero, Cavite</t>
  </si>
  <si>
    <t>DIVINE GRACE MEDICAL CENTER</t>
  </si>
  <si>
    <t>Diagnostic X-ray Services (Level 2)
Pharmacy 
Specialized Diagnostic X-ray Services: (Computed Tomography) 
Pharmacy (Satellite), 
Anatomic Pathology (cytology, surgical &amp; frozen)
Physical Medicine and Rehabilitation Unit</t>
  </si>
  <si>
    <t>Type II (DAI 9362)</t>
  </si>
  <si>
    <t>Dr. Ismael M. Mercado</t>
  </si>
  <si>
    <t>qad@divinegracemedicalcenter.com</t>
  </si>
  <si>
    <t>4A-0004-26-H2-2</t>
  </si>
  <si>
    <t>Dr. Miguelito Jayoma</t>
  </si>
  <si>
    <t>General Trias Drive, Tejero, General Trias, Cavite</t>
  </si>
  <si>
    <t>GENERAL TRIAS MATERNITY AND PEDIATRIC HOSPITAL</t>
  </si>
  <si>
    <t>400 bed capacity (10/11/2024)</t>
  </si>
  <si>
    <t>Type I (UNO 878)</t>
  </si>
  <si>
    <t>Talibon</t>
  </si>
  <si>
    <t>Our Savior Hospital Inc.</t>
  </si>
  <si>
    <t>San Jose, Talibon, Bohol</t>
  </si>
  <si>
    <t>GARCIA MEMORIAL PROVINCIAL HOSPITAL</t>
  </si>
  <si>
    <t>Dr. Rico E. Torres</t>
  </si>
  <si>
    <t>046-4370124/ 046-4378111/ 09175498212</t>
  </si>
  <si>
    <t>gtmph_07@yahoo.com</t>
  </si>
  <si>
    <t>4A-0167-26-H1-2</t>
  </si>
  <si>
    <t>Blood Collecting Unit, Pharmacy, Diagnostic X-ray Services, Dental Clinic</t>
  </si>
  <si>
    <t>Blood Collection Unit</t>
  </si>
  <si>
    <t>1 Type I - CR 41741726-5</t>
  </si>
  <si>
    <t>Santusan Street, Brgy. Manggahan, General Trias, Cavite</t>
  </si>
  <si>
    <t>GENTRI MEDICAL CENTER AND HOSPITAL, INC.</t>
  </si>
  <si>
    <t>Mardy G. Fortich, MD
(OIC)</t>
  </si>
  <si>
    <t>(038) 412-3255; 0928-269-3241</t>
  </si>
  <si>
    <t>Diagnostic X-ray Services (Level 2)
Specialized Diagnostic X-ray Services (Computed Tomography Mammography) 
PMRU</t>
  </si>
  <si>
    <t>gmph.bohol2012@gmail.com;</t>
  </si>
  <si>
    <t>Type II, (NAN6774)</t>
  </si>
  <si>
    <t>07-070-26-75-H2-1</t>
  </si>
  <si>
    <t>Dr. Jerrimo L. Genuino</t>
  </si>
  <si>
    <t>gentri.corporate2018@gmail.com</t>
  </si>
  <si>
    <t>4A-0104-26-H2-2</t>
  </si>
  <si>
    <t>PMRU</t>
  </si>
  <si>
    <t>Aguinaldo Highway, Anabu I, Imus City, Cavite</t>
  </si>
  <si>
    <t>CITY OF IMUS DOCTORS HOSPITAL INC.</t>
  </si>
  <si>
    <t>Diagnostic X-ray Services (Level 2)
Specialized Diagnostic X-ray Services: Computed Tomography
Pharmacy
Physical Medicine and Rehabilitation Unit
ASC (Opthalmology &amp; Orthopedic Surgey)</t>
  </si>
  <si>
    <t>Type II (NDN 3818)</t>
  </si>
  <si>
    <t>Dr. Myla Corazon O. Arcena</t>
  </si>
  <si>
    <t>devmh_ubay@yahoo.com; devmh.hopss@gmail.com</t>
  </si>
  <si>
    <t>046-4355500/ 09177076714</t>
  </si>
  <si>
    <t>cityofimusdoctorshospitalinc@gmail.com</t>
  </si>
  <si>
    <t>07-018-26-200-H2-1</t>
  </si>
  <si>
    <t>4A-0060-26-H2-2</t>
  </si>
  <si>
    <t>ASC (Opthalmology &amp; Orthopedic Surgey)</t>
  </si>
  <si>
    <t>Balamban</t>
  </si>
  <si>
    <t>Justinville 2 Palico, I Imus Cavite</t>
  </si>
  <si>
    <t>F. Pilapil St., Baliwagan, Balamban, Cebu</t>
  </si>
  <si>
    <t>IMUS FAMILY HOSPITAL, INC.</t>
  </si>
  <si>
    <t>CEBU PROVINCIAL HOSPITAL - BALAMBAN</t>
  </si>
  <si>
    <t>Blood Station, Pharmacy, Specialized Diagnostic X-ray Services (CT-Scan)</t>
  </si>
  <si>
    <t>2 Type 1 - CS # F4T781, F4T411</t>
  </si>
  <si>
    <t>Alyer M. Alestante, MD</t>
  </si>
  <si>
    <t>imusfamilyhospital.rec@gmail.com</t>
  </si>
  <si>
    <t>4A-0180-26-H1-2</t>
  </si>
  <si>
    <t>Olivia A. Dandan, MD, MPH</t>
  </si>
  <si>
    <t>(032) 231-1875</t>
  </si>
  <si>
    <t>provincialhospital.balamban@gmail.com</t>
  </si>
  <si>
    <t>07-032-26-100-H2-1</t>
  </si>
  <si>
    <t>Diversion Road, Palico Iv, Imus, Cavite</t>
  </si>
  <si>
    <t>MEDICAL CENTER IMUS</t>
  </si>
  <si>
    <t>Type II, AAI 6969</t>
  </si>
  <si>
    <t>Bantayan</t>
  </si>
  <si>
    <t>M.Y. Village, Ticad, Bantayan, Cebu</t>
  </si>
  <si>
    <t>BANTAYAN DISTRICT HOSPITAL</t>
  </si>
  <si>
    <t>Dr. Jo Eileen Suzanne R. Pama</t>
  </si>
  <si>
    <t>mci_presidents_office@yahoo.com</t>
  </si>
  <si>
    <t>4A-0170-26-H2-2</t>
  </si>
  <si>
    <t>1, Type 1 (F4T 805)
1, Type 1 (F50 064)
1, Type 1 (F5G 094)</t>
  </si>
  <si>
    <t>Additional dialysis station (7 - 14) transfer location</t>
  </si>
  <si>
    <t>Tamsui Avenue, Bayan Luma, Imus City, Cavite</t>
  </si>
  <si>
    <t>OUR LADY OF THE PILLAR MEDICAL CENTER</t>
  </si>
  <si>
    <t>James Nicolas H. Najarro, MD</t>
  </si>
  <si>
    <t>(032)460-9330;
09273656289 / 09178439455</t>
  </si>
  <si>
    <t>bantayandistricthospital@gmail.com; bantayandistricthospital@yahoo.com</t>
  </si>
  <si>
    <t>Diagnostic X-ray Services (Level 3) 
Specialized Diagnostic X-ray Services (Computed Tomography, Mammography) 
Phyisical Medicine and Rehabilitation Unit
HIV Testing Laboratory
Pharmacy</t>
  </si>
  <si>
    <t>07-038-26-25-H1-1</t>
  </si>
  <si>
    <t>Type II (NED 5846)</t>
  </si>
  <si>
    <t>Bogo City</t>
  </si>
  <si>
    <t>Taytayan Hills, Bogo City, Cebu</t>
  </si>
  <si>
    <t>CEBU PROVINCIAL HOSPITAL (BOGO CITY)</t>
  </si>
  <si>
    <t>Dr. Ruby A. Ramos</t>
  </si>
  <si>
    <t>046-4723773/4355900/ 09178292843/ 09178013773</t>
  </si>
  <si>
    <t>ealcoran@olmpc.net</t>
  </si>
  <si>
    <t>4A-0081-26-H2-2</t>
  </si>
  <si>
    <t>2 Type 2 - CS # F4R 328, F4T 755</t>
  </si>
  <si>
    <t>Zoraida G. Yurango, MD</t>
  </si>
  <si>
    <t>(032) 434-7204;                       0917-833-4847</t>
  </si>
  <si>
    <t>Mi Paredes Bldg., Aguinaldo Highway, Bayan Luma 4, Imus, Cavite</t>
  </si>
  <si>
    <t>cebuprovincialhospitalbogocity@gmail.com</t>
  </si>
  <si>
    <t>PAREDES MEDICAL CENTER AND HOSPITAL</t>
  </si>
  <si>
    <t>07-021-26-100-H2-1</t>
  </si>
  <si>
    <t>Carcar City</t>
  </si>
  <si>
    <t>Baracca, Poblacion II, Carcar City, Cebu</t>
  </si>
  <si>
    <t>CEBU PROVINCIAL HOSPITAL - CARCAR CITY</t>
  </si>
  <si>
    <t>Dra. María Francia Leyvita Aprecio</t>
  </si>
  <si>
    <t>pmc_0305@yahoo.com</t>
  </si>
  <si>
    <t>Blood Station, rHIVda, Pharmacy, Specialized Diagnostic X-ray Services (CT-Scan)</t>
  </si>
  <si>
    <t>4A-0182-26-H1-2</t>
  </si>
  <si>
    <t>2 Type 1 - CS # F4T 773, F4R 397</t>
  </si>
  <si>
    <t>Prudencio I. Manubag, MD</t>
  </si>
  <si>
    <t>D.C. Ilano Blvd., Anabu 2C, City Of Imus, Cavite</t>
  </si>
  <si>
    <t>(032) 487-8952; 0917-842-5940</t>
  </si>
  <si>
    <t>SOUTH IMUS SPECIALIST HOSPITAL, INC.</t>
  </si>
  <si>
    <t>cphcarcar@yahoo.com</t>
  </si>
  <si>
    <t>07-064-26-100-H1-1</t>
  </si>
  <si>
    <t>Diagnostic X-ray Services (Level 2)
Specialized Diagnostic X-ray Services (Computed Tomography)
Pharmacy Physical Medicine and Rehabilitation Unit</t>
  </si>
  <si>
    <t>Camp Lapu-Lapu, Apas, Cebu City, Cebu</t>
  </si>
  <si>
    <t>Type II, NGL 2296</t>
  </si>
  <si>
    <t>CAMP LAPU-LAPU STATION HOSPITAL</t>
  </si>
  <si>
    <t>Dr. Chito Abellar</t>
  </si>
  <si>
    <t>Blood Station, Pharmacy, Specialized Diagnostic X-ray Services (Level 2)</t>
  </si>
  <si>
    <t>southimusspecialisthospital@gmail.com</t>
  </si>
  <si>
    <t>1 Type 1 - FOA 054</t>
  </si>
  <si>
    <t>4A-0121-26-H2-2</t>
  </si>
  <si>
    <t>LTC Josefa Andrea G. Cornista MC (GSC)</t>
  </si>
  <si>
    <t>(032) 233-9942</t>
  </si>
  <si>
    <t>centcomhosp@yahoo.com</t>
  </si>
  <si>
    <t>Kawit</t>
  </si>
  <si>
    <t>07-040-26-15-H1-1</t>
  </si>
  <si>
    <t>175 Covelandia Road, Brgy. Balsahan-Bisita, Binakayan, Kawit, Cavite</t>
  </si>
  <si>
    <t>BINAKAYAN HOSPITAL AND MEDICAL CENTER INC.</t>
  </si>
  <si>
    <t>Diagnostic X-ray Services (Level 2)
Specialized Diagnostic X-ray Services (Computed Tomography)
Physical Medicine and Rehabilitation Unit
Ambulatory Surgical Unit</t>
  </si>
  <si>
    <t>Type II, (NBF 9734)</t>
  </si>
  <si>
    <t>N. Bacalso Ave., Cor. Panganiban St., Pahina Central, Cebu City, Cebu</t>
  </si>
  <si>
    <t>CEBU CITY MEDICAL CENTER</t>
  </si>
  <si>
    <t>Dr. Tisha P. Salazar</t>
  </si>
  <si>
    <t>09565232002 / (046) 5160500 local 507</t>
  </si>
  <si>
    <t>binakayanhmc@gmail.com</t>
  </si>
  <si>
    <t>Blood Bank, Pharmacy, Specialized Diagnostic X-ray Services</t>
  </si>
  <si>
    <t>4A-0039-26-H2-2</t>
  </si>
  <si>
    <t>2 Type II - S3 C566, S2 T983</t>
  </si>
  <si>
    <t>3141-C Kalayaan Ave., Brgy. Magdalo, Kawit, Cavite</t>
  </si>
  <si>
    <t>SAN PEDRO CALUNGSOD MEDICAL CENTER, INC.</t>
  </si>
  <si>
    <t>Anton Oliver A. Reposar, MD</t>
  </si>
  <si>
    <t>(032) 254-0517; 0917-658-7488</t>
  </si>
  <si>
    <t>Diagnostic X-ray Services (Level 2)
Specialized Diagnostic X-ray Services (Computed Tomography, Mammography), Phyisical Medicine and Rehabilitation Unit
ASC</t>
  </si>
  <si>
    <t>cebucitymedicalcenterofficial@yahoo.com</t>
  </si>
  <si>
    <t>Type II (NAT6093)</t>
  </si>
  <si>
    <t>07-068-26-200-H2-1</t>
  </si>
  <si>
    <t>Dr. Simon C. Pleta</t>
  </si>
  <si>
    <t>02-5844355/ 09471063339</t>
  </si>
  <si>
    <t>spcmc.kawit@gmail.com</t>
  </si>
  <si>
    <t>4A-0098-26-H2-2</t>
  </si>
  <si>
    <t>ASC</t>
  </si>
  <si>
    <t>Mendez</t>
  </si>
  <si>
    <t>Tagaytay-Mendez Road, brgy. Galicia III, Mendez, Cavite</t>
  </si>
  <si>
    <t>MENDEZ SPECIALISTS MEDICAL CENTER, INC.</t>
  </si>
  <si>
    <t>Specialized Diagnostic X-ray Services (Computed Tomography, Mammography)
Physical Medicine and Rehabilitation Unit</t>
  </si>
  <si>
    <t>TYpe II, (NO 0592)</t>
  </si>
  <si>
    <t>Dr. Rico V. Gacutan</t>
  </si>
  <si>
    <t>mendezspecialistsmc@gmail.com</t>
  </si>
  <si>
    <t>4A-0118-26-H2-2</t>
  </si>
  <si>
    <t>mcc.sec@samch.doh.gov.ph</t>
  </si>
  <si>
    <t>07-061-26-100-H2-1</t>
  </si>
  <si>
    <t>Naic</t>
  </si>
  <si>
    <t>Governor'S Drive, Brgy. San Roque, Naic, Cavite</t>
  </si>
  <si>
    <t>FIRST FILIPINO SAINT HOSPITAL</t>
  </si>
  <si>
    <t>Diagnostic X-ray Services (Level 2)
Specialized Diagnostic X-ray Services (Computed Tomography)
Pharmacy 
Dental Clinic</t>
  </si>
  <si>
    <t>Type I (ATA 2785)</t>
  </si>
  <si>
    <t>Dr. Rafael Vasquez</t>
  </si>
  <si>
    <t>09175022366/ 09175029404/ 046-4121411/ 09175029406</t>
  </si>
  <si>
    <t>firstfilipinosainthospital@gmail.com</t>
  </si>
  <si>
    <t>4A-0178-26-H1-2</t>
  </si>
  <si>
    <t>Daang Makina, Naic, Cavite</t>
  </si>
  <si>
    <t>NAIC DOCTORS HOSPITAL, INC.</t>
  </si>
  <si>
    <t>Danao City</t>
  </si>
  <si>
    <t>National Road, Poblacion, Danao City, Cebu</t>
  </si>
  <si>
    <t>CEBU PROVINCIAL HOSPITAL (DANAO CITY)</t>
  </si>
  <si>
    <t>Dr. Perlita D. Castro</t>
  </si>
  <si>
    <t>046-4121443/ 09167325982</t>
  </si>
  <si>
    <t>naic_doctors@yahoo.com</t>
  </si>
  <si>
    <t>2 Type 1 - FST 746 &amp; F4T 759</t>
  </si>
  <si>
    <t>4A-0149-26-H1-2</t>
  </si>
  <si>
    <t>Noveleta</t>
  </si>
  <si>
    <t>Salcedo Ii, Noveleta, Cavite</t>
  </si>
  <si>
    <t>Jenina L. Canoy, MD</t>
  </si>
  <si>
    <t>ST. MARTIN MATERNITY &amp; PEDIATRIC HOSPITAL</t>
  </si>
  <si>
    <t>(032) 262-0816 loc. 109-110; 0922-390-8803</t>
  </si>
  <si>
    <t>ddhospital1960@yahoo.com</t>
  </si>
  <si>
    <t>Diagnostic X-ray Services (Level 2)
Ambulatory Surgical Clinic
Pharmacy</t>
  </si>
  <si>
    <t>07-078-26-100-H1-1</t>
  </si>
  <si>
    <t>Dr. Arnulfo A. Zenarosa</t>
  </si>
  <si>
    <t>046-4381112/ 046-4384466</t>
  </si>
  <si>
    <t>smmph.04@gmail.com</t>
  </si>
  <si>
    <t>4A-0209-26H1-2</t>
  </si>
  <si>
    <t>Lapu-Lapu City</t>
  </si>
  <si>
    <t>A. Tumulak St., Gun-ob, Lapu-Lapu City, Cebu</t>
  </si>
  <si>
    <t>LAPU-LAPU CITY HOSPITAL</t>
  </si>
  <si>
    <t>General Trias Drive, Pob., Rosario, Cavite</t>
  </si>
  <si>
    <t>OUR SAVIOR HOSPITAL, INCORPORATED</t>
  </si>
  <si>
    <t>Blood Staion, Pharmacy, Diagnostic X-ray Services</t>
  </si>
  <si>
    <t>1 Type 1 - F3P 362</t>
  </si>
  <si>
    <t>Dr. Alfredo Trias</t>
  </si>
  <si>
    <t>046-4381802/ 09178659265</t>
  </si>
  <si>
    <t>osh_cavite1968@yahoo.com</t>
  </si>
  <si>
    <t>Cliff Canton, MD</t>
  </si>
  <si>
    <t>4A-0161-26-H1-2</t>
  </si>
  <si>
    <t>(032) 341-5892; 0932-681-1504</t>
  </si>
  <si>
    <t>lapulapucityhospital@yahoo.com; llch.nso11@gmail.com</t>
  </si>
  <si>
    <t>07-044-26-50-H1-1</t>
  </si>
  <si>
    <t>Silang</t>
  </si>
  <si>
    <t>Aguinaldo Hi-Way, San Vicente Ii, Silang, Cavite</t>
  </si>
  <si>
    <t>SILANG SPECIALISTS MEDICAL CENTER, INC.</t>
  </si>
  <si>
    <t>Specialized Diagnostic X-ray Services (Computed Tomography)
Physical Medicine and Rehabilitation Unit</t>
  </si>
  <si>
    <t>Type II, (NCU6946)</t>
  </si>
  <si>
    <t>Dr. Bibiano Reyes, Jr.</t>
  </si>
  <si>
    <t>silangspecialistsmc@gmail.com</t>
  </si>
  <si>
    <t>4A-0095-26-H2-2</t>
  </si>
  <si>
    <t>Blk 113 Lot 7 &amp; 8 Afp Housing, Bulihan, Silang, Cavite</t>
  </si>
  <si>
    <t>ST. MAZENOD HOSPITAL, INCORPORATED</t>
  </si>
  <si>
    <t>Diagnostic X-ray Services (Level 1)
Pharmacy
Dental Clinic</t>
  </si>
  <si>
    <t>Type I (ZET 355)</t>
  </si>
  <si>
    <t>Iris Myra V. Javier, MD</t>
  </si>
  <si>
    <t>stmazenodhospital@yahoo.com</t>
  </si>
  <si>
    <t>4A-0058-26-H1-2</t>
  </si>
  <si>
    <t>Don Andres Soriano Avenue, Centro, Mandaue City, Cebu</t>
  </si>
  <si>
    <t>MANDAUE CITY HOSPITAL</t>
  </si>
  <si>
    <t>J.P. Rizal St., Sabutan, Silang, Cavite</t>
  </si>
  <si>
    <t>VELAZCO HOSPITAL</t>
  </si>
  <si>
    <t>1 Type 1 - F5I 130</t>
  </si>
  <si>
    <t>Arnulfo Montoya, MD</t>
  </si>
  <si>
    <t>(046) 414-0280</t>
  </si>
  <si>
    <t>Ligaya Lakambini D. Dargantes, MD</t>
  </si>
  <si>
    <t>velazcohospital@yahoo.com</t>
  </si>
  <si>
    <t>(032)253-3906/ 09310002693</t>
  </si>
  <si>
    <t>4A-0171-26-H1-2</t>
  </si>
  <si>
    <t>mcityhospital@yahoo.com; mch@mandauecity.gov.ph;</t>
  </si>
  <si>
    <t>07-041-26-25-H1-1</t>
  </si>
  <si>
    <t>Tagaytay</t>
  </si>
  <si>
    <t>Upgraded from Infirmary to L1</t>
  </si>
  <si>
    <t>E. Aguinaldo Highway, Silang Crossing East, Rotonda, Tagaytay City, Cavite</t>
  </si>
  <si>
    <t>TAGAYTAY MEDICAL CENTER, INC.</t>
  </si>
  <si>
    <t>Diagnostic X-ray Services (Level 3)
Specialized Diagnostic X-ray Services (Computed Tomography, Mammography, Dental X-ray, Panoramic)
Ambulatory Surgical Clinic
Pharmacy</t>
  </si>
  <si>
    <t>Northern Poblacion, San Francisco, Cebu</t>
  </si>
  <si>
    <t>RICARDO L. MANINGO MEMORIAL HOSPITAL</t>
  </si>
  <si>
    <t>Type II (NHN 3977)</t>
  </si>
  <si>
    <t>Dr. Rafael E. Rodriguez</t>
  </si>
  <si>
    <t>Blood Station, XRay (Level 2), Pharmacy</t>
  </si>
  <si>
    <t>02-5844209/ 4143954/ 09989626586</t>
  </si>
  <si>
    <t>info@tagaytaymed.com.ph</t>
  </si>
  <si>
    <t>4A-0088-26-H2-2</t>
  </si>
  <si>
    <t>2, Type I (F4T 790 &amp; F4Z770, F50 056)</t>
  </si>
  <si>
    <t>Tanza</t>
  </si>
  <si>
    <t>A. Soriano Highway, Bgy. Sahud Ulan, Tanza, Cavite</t>
  </si>
  <si>
    <t>JNRAL FAMILY CORPORATION</t>
  </si>
  <si>
    <t>Rene Macario S. Borromeo, MD, DPBS, FICS</t>
  </si>
  <si>
    <t>(032)514-3327</t>
  </si>
  <si>
    <t>ricardo_maningo@yahoo.com</t>
  </si>
  <si>
    <t>07-023-26-25-H1-1</t>
  </si>
  <si>
    <t>Type I (DAL 5103)</t>
  </si>
  <si>
    <t>Dr. Raul F. Manas</t>
  </si>
  <si>
    <t>046-4896398/ 09052535502</t>
  </si>
  <si>
    <t>nedy_viray@yahoo.com.ph</t>
  </si>
  <si>
    <t>4A-0106-26-H1-2</t>
  </si>
  <si>
    <t>rHIVda Confirmatory Laboratory, Pharmacy, Diagnostic X-ray Services</t>
  </si>
  <si>
    <t>A. Soriano Highway, Brgy. Sahud Ulan, Tanza, Cavite</t>
  </si>
  <si>
    <t>TANZA DOCTORS HOSPITAL INC.</t>
  </si>
  <si>
    <t>3 Type II - Plate No. 131201, CR No. 38242197-0, 382421170-1</t>
  </si>
  <si>
    <t>Diagnostic X-ray Services (Level 2)
Specialized Diagnostic X-ray Services (Computed Tomography, Mammography)</t>
  </si>
  <si>
    <t>Type I, (NGQ4549)</t>
  </si>
  <si>
    <t>Dr. Ireneo G. Lumubos Jr.</t>
  </si>
  <si>
    <t>046 4310245</t>
  </si>
  <si>
    <t>tanzadoctorshospital@yahoo.com.ph</t>
  </si>
  <si>
    <t>4A-0025-26-H2-2</t>
  </si>
  <si>
    <t>Toledo CIty</t>
  </si>
  <si>
    <t>Magsaysay Hills, Poblacion, Toledo City, Cebu</t>
  </si>
  <si>
    <t>TOLEDO CITY GENERAL HOSPITAL</t>
  </si>
  <si>
    <t>A. Soriano Highway, Daang Amaya 2, Tanza, Cavite</t>
  </si>
  <si>
    <t>TANZA FAMILY GENERAL HOSPITAL AND PHARMACY</t>
  </si>
  <si>
    <t>Blood Station, Pharmacy, Diagnostic X-ray Services, CT Scan and Mammography</t>
  </si>
  <si>
    <t>1 Type I - GAJ 1015</t>
  </si>
  <si>
    <t>Diagnostic X-ray Services (Level 2)
 Specialized Diagnostic X-ray Services (Computed Tomography)
Pharmacy</t>
  </si>
  <si>
    <t>Lucio T. De Mesa, MD</t>
  </si>
  <si>
    <t>(0460 437-7244</t>
  </si>
  <si>
    <t>tfghcavite@yahoo.com</t>
  </si>
  <si>
    <t>DR.CLYDE VINCENT O. BEQUILLA</t>
  </si>
  <si>
    <t>4A-0144-26-H1-2</t>
  </si>
  <si>
    <t>(032) 466-1900; 467-9565; 0917-728-9415</t>
  </si>
  <si>
    <t>tcghofficial.gov@gmail.com</t>
  </si>
  <si>
    <t>07-048-26-75-H1-1</t>
  </si>
  <si>
    <t>Daang Amaya Iii, Tanza, Cavite</t>
  </si>
  <si>
    <t>TANZA SPECIALISTS MEDICAL CENTER, INC.</t>
  </si>
  <si>
    <t>Increase in ABC from 50 to 75 
(4/28/2026)</t>
  </si>
  <si>
    <t>DOH05184</t>
  </si>
  <si>
    <t>Type II, (F3 R302)</t>
  </si>
  <si>
    <t>Biliran</t>
  </si>
  <si>
    <t>Naval</t>
  </si>
  <si>
    <t>Castin St., Sto. Nino, Naval, Biliran</t>
  </si>
  <si>
    <t>Dr. Marites Reynera</t>
  </si>
  <si>
    <t>BILIRAN PROVINCIAL HOSPITAL</t>
  </si>
  <si>
    <t>tanzaspecialists@gmail.com</t>
  </si>
  <si>
    <t>4A-0218-26-H2-2</t>
  </si>
  <si>
    <t>Hemodialysis, Tertiary Clinical Lab, Computed Tomography, LWDA</t>
  </si>
  <si>
    <t>3 units/Type 1/F4J 418; 80105; SND2900</t>
  </si>
  <si>
    <t>De Ocampo, Trece Martires, Cavite</t>
  </si>
  <si>
    <t>M.V. SANTIAGO MEDICAL CENTER</t>
  </si>
  <si>
    <t>Diagnostic X-ray Services (Level 2), Specialized Diagnostic X-ray Services: Computed Tomography</t>
  </si>
  <si>
    <t>Dr. Joyce P. Caneja</t>
  </si>
  <si>
    <t>Type I (DAC 5037) (DBA 8273)</t>
  </si>
  <si>
    <t>bph.lar@gmail.com</t>
  </si>
  <si>
    <t>08-022-26-H1-1</t>
  </si>
  <si>
    <t>Dr. Manuel V. Santiago</t>
  </si>
  <si>
    <t>046-4191877/ 09178860805</t>
  </si>
  <si>
    <t>mvsmc25@gmail.com</t>
  </si>
  <si>
    <t>4A-0050-26-H1-2</t>
  </si>
  <si>
    <t>DOH00541</t>
  </si>
  <si>
    <t>Eastern Samar</t>
  </si>
  <si>
    <t>Borongan City</t>
  </si>
  <si>
    <t>Real St., Songco, Borongan, Eastern Samar</t>
  </si>
  <si>
    <t>National Highway, Brgy. Maitim, Bay, Laguna</t>
  </si>
  <si>
    <t>GLOBAL CARE MEDICAL CENTER OF BAY, INC.</t>
  </si>
  <si>
    <t>EASTERN SAMAR PROVINCIAL HOSPITAL</t>
  </si>
  <si>
    <t>Diagnostic X-ray Services (level 3)
Specialized Diagnostic X-ray Services: (Computed Tomography
Cardiac Catherization)  
Histopath
Physical Medicine Rehabilitation Unit</t>
  </si>
  <si>
    <t>Hemodialysis Clinic, Computed Tomography</t>
  </si>
  <si>
    <t>Type II (NBG 8894)</t>
  </si>
  <si>
    <t>2units, Type 2, F3 R373; SND 5221</t>
  </si>
  <si>
    <t>Dr. Robert Joseph Almoro</t>
  </si>
  <si>
    <t>0917-6257368</t>
  </si>
  <si>
    <t>rjalmoromd@yahoo.com</t>
  </si>
  <si>
    <t>4A-0109-26-H2-2</t>
  </si>
  <si>
    <t>Dr. Jessica B. Sabalberino</t>
  </si>
  <si>
    <t>Increase in Dialysis station 20 - 27</t>
  </si>
  <si>
    <t>esph_esamar@yahoo.com</t>
  </si>
  <si>
    <t>08-001-26-H2-1</t>
  </si>
  <si>
    <t>Platero, Binan City, Laguna</t>
  </si>
  <si>
    <t>BINAN DOCTORS' HOSPITAL, INCORPORATED</t>
  </si>
  <si>
    <t>DOH04439</t>
  </si>
  <si>
    <t>Diagnostic X-ray Services (level 2), Specialized Diagnostic X-ray Services (Computed Tomography) (Mammography)
Rehab &amp; ASC Opthalmology</t>
  </si>
  <si>
    <t>Guiuan</t>
  </si>
  <si>
    <t>Brgy. Cantahay, Guiuan, Eastern Samar</t>
  </si>
  <si>
    <t>Type II, (NGO 4827)</t>
  </si>
  <si>
    <t>FELIPE ABRIGO MEMORIAL HOSPITAL</t>
  </si>
  <si>
    <t>Roderick S. Ramos, MD, MBA</t>
  </si>
  <si>
    <t>049-5119159</t>
  </si>
  <si>
    <t>info@binandoctors.com.ph/ Binandoctors197@gmail,com</t>
  </si>
  <si>
    <t>4A-0210-26-H2-2</t>
  </si>
  <si>
    <t>1 unit/ Type 1/NBG6946</t>
  </si>
  <si>
    <t>Rehab &amp; ASC Optha / Change Medical Director</t>
  </si>
  <si>
    <t>Dr. Maria Clarinda U Surpia-Gerodias</t>
  </si>
  <si>
    <t>famh_guiuan@yahoo.com</t>
  </si>
  <si>
    <t>Blk 11 Lot 3, Southwoods Ecocentrum Business Park, Brgy. San Francisco, Biñan City, Laguna</t>
  </si>
  <si>
    <t>UNIHEALTH-SOUTHWOODS HOSPITAL AND MEDICAL CENTER INC.</t>
  </si>
  <si>
    <t>08-027-26-H1-1</t>
  </si>
  <si>
    <t>DOH00401</t>
  </si>
  <si>
    <t>Diagnostic X-ray Services (Level 3)
Specialized Diagnostic X-ray Services (Computed Tomography, 
Mammography Digital Subtraction Angiography
Lithotripsy
Percutaneous Transluminal Angioplasty
Cardiac Catherization
Dental X-ray)</t>
  </si>
  <si>
    <t>Abuyog</t>
  </si>
  <si>
    <t>Maharlika Highway, Bunga, Abuyog, Leyte</t>
  </si>
  <si>
    <t>ABUYOG DISTRICT HOSPITAL</t>
  </si>
  <si>
    <t>1 - Type II - APA 1415</t>
  </si>
  <si>
    <t>Dr. Bueno B. Castillo</t>
  </si>
  <si>
    <t>(02) 8775-2861/ (02) 8898 9700</t>
  </si>
  <si>
    <t>admin@unihealthsouthwoodshospital.com</t>
  </si>
  <si>
    <t>Javier Municipal Infirmary
Type 1/1/SGN 400</t>
  </si>
  <si>
    <t>4A-0057-26-H2-2</t>
  </si>
  <si>
    <t>Dr. Honorato C. Jervoso, MHA</t>
  </si>
  <si>
    <t>adh.leyte@yahoo.com</t>
  </si>
  <si>
    <t>Brgy. Sto. Niño, Biñan, Laguna</t>
  </si>
  <si>
    <t>08-004-26-H1-1</t>
  </si>
  <si>
    <t>UPH-DR. JOSE G. TAMAYO MEDICAL CENTER</t>
  </si>
  <si>
    <t>Blood Bank (with additional function to collect, test &amp; process blood), G6PD Confirmatory,  HIV Testing Laboratory, Specialized Diagnostic X-ray Services, Radiation Therapy Services, Dental X-ray Services</t>
  </si>
  <si>
    <t>DOH11518</t>
  </si>
  <si>
    <t>Type II, (ABA 9541, NIU 8923)</t>
  </si>
  <si>
    <t>Baybay City</t>
  </si>
  <si>
    <t>Diversion Road 1, Brgy. Cogon, Baybay City, Leyte</t>
  </si>
  <si>
    <t>Dr. Anna Sofia Victoria S. Fajardo</t>
  </si>
  <si>
    <t>BAYBAY CITY IMMACULATE CONCEPTION HOSPITAL</t>
  </si>
  <si>
    <t>(02) 8779 5310</t>
  </si>
  <si>
    <t>hospital@phmch.com</t>
  </si>
  <si>
    <t>DOH005380</t>
  </si>
  <si>
    <t>Computed Tomograpy, MAgnetic Resonance Imaging</t>
  </si>
  <si>
    <t>1, Type 1, FOR876</t>
  </si>
  <si>
    <t>Km. 44 National Highway, Purok 5, Brgy. Sala City Of Cabuyao, Laguna</t>
  </si>
  <si>
    <t>FIRST CABUYAO HOSPITAL AND MEDICAL CENTER, INC.</t>
  </si>
  <si>
    <t>Dr. Christine N. Baldevia</t>
  </si>
  <si>
    <t>wlph6521@gmail.com</t>
  </si>
  <si>
    <t>08-036-26-H1-1</t>
  </si>
  <si>
    <t>1 - Type II - DBF 3631</t>
  </si>
  <si>
    <t>DOH03763</t>
  </si>
  <si>
    <t>Burauen</t>
  </si>
  <si>
    <t>Camansi Dist. I, Burauen, Leyte</t>
  </si>
  <si>
    <t>Dr. Joel O. Macatula</t>
  </si>
  <si>
    <t>BURAUEN DISTRICT HOSPITAL</t>
  </si>
  <si>
    <t>1 unit, Type 1, SND3546</t>
  </si>
  <si>
    <t>Dr. Hospicio L. Salvatierra</t>
  </si>
  <si>
    <t>bdhphilhealthsw@gmail.com / francisangeloalmo@gmail.com</t>
  </si>
  <si>
    <t>08-021-26 H1-1</t>
  </si>
  <si>
    <t>DOH03800</t>
  </si>
  <si>
    <t>Carigara</t>
  </si>
  <si>
    <t>Brgy. Barugohay Norte, Carigara, Leyte</t>
  </si>
  <si>
    <t>CARIGARA DISTRICT HOSPITAL</t>
  </si>
  <si>
    <t>1 unit/Type 1/F4J691</t>
  </si>
  <si>
    <t>Dr. Allene Joy Ras-Artiaga</t>
  </si>
  <si>
    <t>carigaradh@yahoo.com</t>
  </si>
  <si>
    <t>08-031-26-H1-1</t>
  </si>
  <si>
    <t>DOH06712</t>
  </si>
  <si>
    <t>Hilongos</t>
  </si>
  <si>
    <t>C.V. Alcuino, Central Barangay, Hilongos, Leyte</t>
  </si>
  <si>
    <t>firstcare@fchmci.com</t>
  </si>
  <si>
    <t>HILONGOS DISTRICT HOSPITAL</t>
  </si>
  <si>
    <t>4A-0200-26-H2-2</t>
  </si>
  <si>
    <t>1 unit/Type 1/1312-00000441</t>
  </si>
  <si>
    <t>National Highway, Brgy. Barlic, Cabuyao City, Laguna</t>
  </si>
  <si>
    <t>GLOBAL MEDICAL CENTER OF LAGUNA, INC.</t>
  </si>
  <si>
    <t>Diagnostic X-ray Services (level 3), Specialized Diagnostic X-ray Services (Computed Tomography) (Mammography)</t>
  </si>
  <si>
    <t>Dr. Rodelio Neil M. Pajuelas</t>
  </si>
  <si>
    <t>Type II (NDN 9133)</t>
  </si>
  <si>
    <t>hdhcares@gmail.com</t>
  </si>
  <si>
    <t>08-030-26-H1-1</t>
  </si>
  <si>
    <t>Dr. Rocky Danila S. Willis</t>
  </si>
  <si>
    <t>0917-8617500/ 09992261483</t>
  </si>
  <si>
    <t>gmclqms@gmail.com</t>
  </si>
  <si>
    <t>DOH02691</t>
  </si>
  <si>
    <t>4A-0085-26-H2-2</t>
  </si>
  <si>
    <t>Ormoc City</t>
  </si>
  <si>
    <t>Brgy, Cogon, Ormoc City, Leyte</t>
  </si>
  <si>
    <t>ORMOC DISTRICT HOSPITAL</t>
  </si>
  <si>
    <t>Transfer location Blood station &amp; Clinical Laboratory(Tertiary)</t>
  </si>
  <si>
    <t>Rosario Village, Sala, Cabuyao, Laguna</t>
  </si>
  <si>
    <t>1 unit/Type 1/F4 K648</t>
  </si>
  <si>
    <t>HOLY ROSARY OF CABUYAO HOSPITAL, INC.</t>
  </si>
  <si>
    <t>Diagnostic X-ray Services (Level 2) Specialized Diagnostic X-ray Services (Computed Tomography)</t>
  </si>
  <si>
    <t>Dr. Eden Estanislao-Bague</t>
  </si>
  <si>
    <t>Type I (WOG 804)</t>
  </si>
  <si>
    <t>ormocdistrict.hospital@yahoo.com</t>
  </si>
  <si>
    <t>08-005-26-H1-1</t>
  </si>
  <si>
    <t>Dr. Donnabelle P. Miranda</t>
  </si>
  <si>
    <t>049-5026024/ 09989655718/ 09171576567/ 09255648311</t>
  </si>
  <si>
    <t>hr_holyrosary@yahoo.com</t>
  </si>
  <si>
    <t>4A-0173-26-H1-2</t>
  </si>
  <si>
    <t>National Highway, Halang, Calamba City, Laguna</t>
  </si>
  <si>
    <t>AMSI DOCTORS' MEDICAL CENTER, INC.</t>
  </si>
  <si>
    <t>1 unit, Type 1, SCA 8666</t>
  </si>
  <si>
    <t xml:space="preserve">Diagnostic X-ray Services (Level 2
Specialized Diagnostic X-ray Services (Computed Tomography
Mammography
Magnetic Resonance ImagingComputed Tomography)
</t>
  </si>
  <si>
    <t>Type II, NHE 9243</t>
  </si>
  <si>
    <t>Dr. Domingo Amistad</t>
  </si>
  <si>
    <t>09951480527/ 09988897219</t>
  </si>
  <si>
    <t>mmriles@amsidoctors.com.ph</t>
  </si>
  <si>
    <t>4A-0082-26-H2-2</t>
  </si>
  <si>
    <t>08-034-26-H1-1</t>
  </si>
  <si>
    <t>Increase in Dialysis station from 10-15</t>
  </si>
  <si>
    <t>DOH00618</t>
  </si>
  <si>
    <t>Km.49, National Highway, Parian, Calamba City, Laguna</t>
  </si>
  <si>
    <t>CALAMBA DOCTORS' HOSPITAL</t>
  </si>
  <si>
    <t>Brgy. Candahug, Palo, Leyte</t>
  </si>
  <si>
    <t>Diagnostic X-ray Services (level 3)
Specialized Diagnostic X-ray Services: (Computed Tomography
Mammography,
Lithotripsy)
Ambulatory Surgical Clinic: (Opthalmologic Surgery, Urologic Surgery)
Physical Rehabilitation Medicine Unit</t>
  </si>
  <si>
    <t>LEYTE PROVINCIAL HOSPITAL</t>
  </si>
  <si>
    <t>Type II NGB 4924</t>
  </si>
  <si>
    <t>Dr. Domingo O. Amistad</t>
  </si>
  <si>
    <t>1 unit/Type 1/SAA 1777</t>
  </si>
  <si>
    <t>049-5457371/ 09491888540</t>
  </si>
  <si>
    <t>amsicdh.conference@gmail.com</t>
  </si>
  <si>
    <t>4A-0061-26-H2-2</t>
  </si>
  <si>
    <t>From Blood station to Blood bank</t>
  </si>
  <si>
    <t>Dr. Amelita Avenido</t>
  </si>
  <si>
    <t>leyteprov.hospital@gmail.com</t>
  </si>
  <si>
    <t>Crossing, Brgy. Real, Calamba City, Laguna</t>
  </si>
  <si>
    <t>08-023-26-H1-1</t>
  </si>
  <si>
    <t>CALAMBA MEDICAL CENTER, INC.</t>
  </si>
  <si>
    <t>Diagnostic X-ray Services (Level 3)
Specialized Diagnostic X-ray Services (Computed Tomography) (Mammography) (Bone Densitormetry) (Cardiac Catherization)
 (Dental X-ray) (Panoramic) (Periapical)
 Anatomic Pathology (cytology, surgical &amp; frozen)
 Radio Therapy Services: Level 3: (Conventional Radiation Therapy, 3D Conformal Radiation Therapy &amp;Intensity Modulated Radiation Therapy) 
Physical Medicine and Rehabilitation Unit</t>
  </si>
  <si>
    <t>BB w/ add'l functions, G6PD confirmatory, HIV, rHIVda confirmatory Lab &amp; CLlab for Molecular Path, Specialized Dx X-ray Services:</t>
  </si>
  <si>
    <t>Type II (NED 1004)</t>
  </si>
  <si>
    <t>1 unit, Type II</t>
  </si>
  <si>
    <t>Rhodora D. Ocampo,MD</t>
  </si>
  <si>
    <t>049-5451740/ 09153054509</t>
  </si>
  <si>
    <t>marsandiego@cmc.ph</t>
  </si>
  <si>
    <t>4A-0073-26-H2-2</t>
  </si>
  <si>
    <t>DOH005139</t>
  </si>
  <si>
    <t>J. Yulo Avenue, Brgy. Canlubang, Calamba City, Laguna</t>
  </si>
  <si>
    <t>GLOBAL CARE MEDICAL CENTER OF CANLUBANG, INC.</t>
  </si>
  <si>
    <t>DOH05013</t>
  </si>
  <si>
    <t>Brgy. 80, Marasbaras, Tacloban City</t>
  </si>
  <si>
    <t>TACLOBAN CITY HOSPITAL</t>
  </si>
  <si>
    <t>Diagnostic X-ray Services (Level 3)
Specialized Diagnostic X-ray Services (Computed Tomography)
Physical Medicine Rehabilitation Unit</t>
  </si>
  <si>
    <t>Type II (DBA 4874)</t>
  </si>
  <si>
    <t>Dr. Elizabeth S. Carreon</t>
  </si>
  <si>
    <t>049-5205626/ 09177080413</t>
  </si>
  <si>
    <t>2 units/Type 1/F4E 507, F4E 571</t>
  </si>
  <si>
    <t>gcmcc@globalcarehospitals.com</t>
  </si>
  <si>
    <t>4A-0164-26-H2-2</t>
  </si>
  <si>
    <t>Dr. Gloria  E. Fabrigas</t>
  </si>
  <si>
    <t>Hemodialysis 19 - 31 station</t>
  </si>
  <si>
    <t>tchopd16@yahoo.com</t>
  </si>
  <si>
    <t>08-033-26-H1-1</t>
  </si>
  <si>
    <t>PAMANA MEDICAL CENTER</t>
  </si>
  <si>
    <t>DOH02923</t>
  </si>
  <si>
    <t>Northern Samar</t>
  </si>
  <si>
    <t>Allen</t>
  </si>
  <si>
    <t>Diagnostic X-ray Services (Level 2)
Specialized Diagnostic X-ray Services (Computed Tomography) Dental X-ray (Panoramic and Cephalometric) 
ICU-6, NICU</t>
  </si>
  <si>
    <t>Hospital Drive, Kinabranan Zone Ii, Allen, Northern Samar</t>
  </si>
  <si>
    <t>ALLEN DISTRICT HOSPITAL</t>
  </si>
  <si>
    <t>Type I (NEX 7193)</t>
  </si>
  <si>
    <t>Dr. Louie D. Bagos</t>
  </si>
  <si>
    <t>049-5549690/ 09956335272/ 09956335272</t>
  </si>
  <si>
    <t>1 unit/Type 1/F2U 756</t>
  </si>
  <si>
    <t>pamana_medical_center@yahoo.com</t>
  </si>
  <si>
    <t>4A-0159-26-H1-2</t>
  </si>
  <si>
    <t>Dr. Joseph Cary G. Tomada</t>
  </si>
  <si>
    <t>Increase Dialysis Station 7 to 10</t>
  </si>
  <si>
    <t>adhallen61@gmail.com</t>
  </si>
  <si>
    <t>08-008-26-H1-1</t>
  </si>
  <si>
    <t>Parian, Calamba City, Laguna</t>
  </si>
  <si>
    <t>DOH03116</t>
  </si>
  <si>
    <t>ST. JOHN THE BAPTIST MEDICAL CENTER, INC.</t>
  </si>
  <si>
    <t>Catarman</t>
  </si>
  <si>
    <t>Balite St., Brgy. Acacia, Catarman, Northern Samar</t>
  </si>
  <si>
    <t>NORTHERN SAMAR PROVINCIAL HOSPITAL</t>
  </si>
  <si>
    <t>Diagnostic X-ray Services (Level 2)
Specialized Diagnostic X-ray Services, Computed Tomography
Ambulatory Surgical Clinic: (General Surgery, Opthalmologic Surgery, Orthopedic Surgery, Pediatric Surgery, Reproductive Surgery)
Bacteriology in Laboratory</t>
  </si>
  <si>
    <t>LDWA, Blood Bank, Hemodialysis Clinic, Computed Tomography, rHIVDa</t>
  </si>
  <si>
    <t>2units/Type 1/FIR269, PAF048</t>
  </si>
  <si>
    <t>Dr.Salvador R. Villanueva</t>
  </si>
  <si>
    <t>Dr. Joseph A. Estanislao</t>
  </si>
  <si>
    <t>049-5457528/ 09322874631/ 09323028388</t>
  </si>
  <si>
    <t>nsph_1958@yahoo.com</t>
  </si>
  <si>
    <t>stjohnmedicalcalamba@gmail.com</t>
  </si>
  <si>
    <t>08-017-26-H1-1</t>
  </si>
  <si>
    <t>4A-0168-26-H1-2</t>
  </si>
  <si>
    <t>DOH05792</t>
  </si>
  <si>
    <t>Additional dialysis station (10 to 20), Bacteriology section as part of laboratory</t>
  </si>
  <si>
    <t>Samar</t>
  </si>
  <si>
    <t>Basey</t>
  </si>
  <si>
    <t>San Miguel St., Brgy. Loyo, Basey, Samar</t>
  </si>
  <si>
    <t>BASEY DISTRICT HOSPITAL</t>
  </si>
  <si>
    <t>Famy</t>
  </si>
  <si>
    <t>Famy Infanta Road, Brgy. Tunhac, Famy, Laguna</t>
  </si>
  <si>
    <t>EASTERN LAGUNA MEDICAL HOSPITAL</t>
  </si>
  <si>
    <t>1 unit/Type 1/YN 8841</t>
  </si>
  <si>
    <t>Diagnostic X-ray Services (Level 2), Ambulatory Surgical Clinic (Opthalmolgic Surgery Clinic)</t>
  </si>
  <si>
    <t>Type I (NEO 2033)</t>
  </si>
  <si>
    <t>Dr. Rubelle R. Apilado</t>
  </si>
  <si>
    <t>Dr. Brigette Ricalde</t>
  </si>
  <si>
    <t>049-5019635 09365254129 09682329769</t>
  </si>
  <si>
    <t>baseydistricthospital@yahoo.com</t>
  </si>
  <si>
    <t>elmhfamy2016@gmail.com</t>
  </si>
  <si>
    <t>08-026-26-H1-1</t>
  </si>
  <si>
    <t>4A-0211-26-H1-2</t>
  </si>
  <si>
    <t>DOH04831</t>
  </si>
  <si>
    <t>Calbayog City</t>
  </si>
  <si>
    <t>Burgos St., East Awang, Calbayog, Samar</t>
  </si>
  <si>
    <t>CALBAYOG DISTRICT HOSPITAL</t>
  </si>
  <si>
    <t>#8817 National Highway, Batong Malake, Los Banos, Laguna</t>
  </si>
  <si>
    <t>HEALTHSERV LOS BAÑOS MEDICAL CENTER</t>
  </si>
  <si>
    <t>2 units/Type 1/YO 2323; F6Y533</t>
  </si>
  <si>
    <t>Diagnostic X-ray Services (Level 2)
Specialized Diagnostic X-ray Services (Computed Tomography) (Mammography) (Bone Densitometry)
Physical Medicine and Rehabilitation Unit</t>
  </si>
  <si>
    <t>2, Type II (TTQ 460, DAN  1907)</t>
  </si>
  <si>
    <t>Dr. Jonathan Gabriel J. Paquit</t>
  </si>
  <si>
    <t>calbayog_district_hospital@yahoo.com</t>
  </si>
  <si>
    <t>Dr. Almira F. Onia</t>
  </si>
  <si>
    <t>08-010-26-H1-1</t>
  </si>
  <si>
    <t>049-5364858/ 09267163291/ 09088727864/ 09278895349</t>
  </si>
  <si>
    <t>info@healthserv.com.ph</t>
  </si>
  <si>
    <t>4A-0032-26-H2-2</t>
  </si>
  <si>
    <t>DOH05325</t>
  </si>
  <si>
    <t>Catbalogan City</t>
  </si>
  <si>
    <t>Lopez Ave., Brgy. Batong Malake, Los Baños, Laguna</t>
  </si>
  <si>
    <t>Brgy. 07, Catbalogan, Samar</t>
  </si>
  <si>
    <t>LOS BAÑOS DOCTORS HOSPITAL AND MEDICAL CENTER, INCORPORATED</t>
  </si>
  <si>
    <t>SAMAR PROVINCIAL HOSPITAL</t>
  </si>
  <si>
    <t>Diagnostic X-ray Services (Level 3)
Specialized Diagnostic X-ray Services (Computed Tomography) (Mammography)</t>
  </si>
  <si>
    <t>Type II (NAW 5574)</t>
  </si>
  <si>
    <t>1 unit/Type 1/2894</t>
  </si>
  <si>
    <t>Dr. Ernesto A. Pua</t>
  </si>
  <si>
    <t>049-5360100/ 09175796617</t>
  </si>
  <si>
    <t>lbdhmc@lbdhmc.com.ph</t>
  </si>
  <si>
    <t>4A-0084-26-H2-2</t>
  </si>
  <si>
    <t>Dr. Jansen V. Mutya</t>
  </si>
  <si>
    <t>samarprovincialhospital@gmail.com.ph</t>
  </si>
  <si>
    <t>08-020-26-H1-1</t>
  </si>
  <si>
    <t>Lopez Ave., Batong Malake, Los Baños, Laguna</t>
  </si>
  <si>
    <t>ST. JUDE FAMILY HOSPITAL INC.</t>
  </si>
  <si>
    <t>DOH05990</t>
  </si>
  <si>
    <t>Southern Leyte</t>
  </si>
  <si>
    <t>Diagnostic X-ray Services (Level 2) Pharmacy Ambulatory Surgical Clinic (Opthalmology)</t>
  </si>
  <si>
    <t>Anahawan</t>
  </si>
  <si>
    <t>Brgy. Poblacion, Anahawan, Southern Leyte</t>
  </si>
  <si>
    <t>ANAHAWAN DISTRICT HOSPITAL</t>
  </si>
  <si>
    <t>Dr. Mary Cheryl Larona Baustista</t>
  </si>
  <si>
    <t>049-5361982 09171256491</t>
  </si>
  <si>
    <t>stjudefamilyhospital@gmail.com</t>
  </si>
  <si>
    <t>4A-0141-26-H1-2</t>
  </si>
  <si>
    <t>1 unit, Type 1, SND 5231</t>
  </si>
  <si>
    <t>Dr. Romeo Dax. O. Roa</t>
  </si>
  <si>
    <t>anahawandistricthospital@gmail.com</t>
  </si>
  <si>
    <t>08-035-26-H1-1</t>
  </si>
  <si>
    <t>DOH00753</t>
  </si>
  <si>
    <t>Pagsanjan</t>
  </si>
  <si>
    <t>Brgy. Sampalocan, Pagsanjan, Laguna</t>
  </si>
  <si>
    <t>Maasin City</t>
  </si>
  <si>
    <t>PAGSANJAN MEDICAL CLINIC, INC.</t>
  </si>
  <si>
    <t>Barangay Dongon, Maasin City, Southern Leyte</t>
  </si>
  <si>
    <t>SALVACION OPPUS YNIGUEZ MEMORIAL PROVINCIAL HOSPITAL</t>
  </si>
  <si>
    <t>Diagnostic X-ray Services (Level 2), HIV Testing Laboratory, Specialized Diagnostic X-ray Services (Computed Tomography, Mammography)</t>
  </si>
  <si>
    <t>1 unit/Type 1/F5T618</t>
  </si>
  <si>
    <t>Susie L. Unson, MD</t>
  </si>
  <si>
    <t>(049) 501-4228/ 09178669407</t>
  </si>
  <si>
    <t>Dr. Ionne L. Castillones</t>
  </si>
  <si>
    <t>pagsanjan_med_pmci@yahoo.com</t>
  </si>
  <si>
    <t>records.soymph@gmail.com</t>
  </si>
  <si>
    <t>4A-0189-26-H1-2</t>
  </si>
  <si>
    <t>08-038-26-H1-1</t>
  </si>
  <si>
    <t>Dialysis station (3-4)</t>
  </si>
  <si>
    <t>DOH05169</t>
  </si>
  <si>
    <t>C. Colago Avenue, San Pablo City, Laguna</t>
  </si>
  <si>
    <t>COMMUNITY GENERAL HOSPITAL OF SAN PABLO CITY, INC.</t>
  </si>
  <si>
    <t>Sogod</t>
  </si>
  <si>
    <t>Osmena St., Zone 1, Sogod, Southern Leyte</t>
  </si>
  <si>
    <t>SOGOD DISTRICT HOSPITAL</t>
  </si>
  <si>
    <t>Diagnostic X-ray Services (Level 2)
Specialized Diagnostic X-ray Services (Computed Tomography) (Mammography)
HIV Testing Laboratory</t>
  </si>
  <si>
    <t>Type I (DBB 5200)</t>
  </si>
  <si>
    <t>Dr. Aristeo C. Alvero</t>
  </si>
  <si>
    <t>049-5622053/ 5621314</t>
  </si>
  <si>
    <t>cghspci.6@gmail.com</t>
  </si>
  <si>
    <t>Havilah Polymedic
Type 1/1/NBM 7448</t>
  </si>
  <si>
    <t>4A-0067-26-H2-2</t>
  </si>
  <si>
    <t>Dr. Jude A. Asperin</t>
  </si>
  <si>
    <t>sogoddistricthospital@gmail.com</t>
  </si>
  <si>
    <t>Maharlika Highway, Brgy. San Rafael, San Pablo City, Laguna</t>
  </si>
  <si>
    <t>08-032-26-H1-1</t>
  </si>
  <si>
    <t>SAN PABLO COLLEGES MEDICAL CENTER</t>
  </si>
  <si>
    <t>Diagnostic X-ray Services (Level 2)
Specialized Diagnostic X-ray Services (Computed Tomography) 
Ambulatory Surgical Clinic (General Surgery, Colorectal Surgeral, Opthalmologic Surgery, Orhtopedic Surgery)
Physical Medicine and Rehabilitation Unit</t>
  </si>
  <si>
    <t>Type II  (AOT 220)</t>
  </si>
  <si>
    <t>Rodolfo A. Inacay</t>
  </si>
  <si>
    <t>049-5620726</t>
  </si>
  <si>
    <t>spcmedicalcenter@gmail.com/  mmmanalo@spcmc.com.ph</t>
  </si>
  <si>
    <t>4A-0056-26-H2-2</t>
  </si>
  <si>
    <t>Additional dialysis station (22- 30)</t>
  </si>
  <si>
    <t>#55 A. Mabini St., San Pablo City, Laguna</t>
  </si>
  <si>
    <t>SAN PABLO DOCTORS HOSPITAL, INC.</t>
  </si>
  <si>
    <t xml:space="preserve">Owned ASP, 2 units- Type I, OR No. 0904-000000064575, CR no. 13782766-4, Plate No. LAI 6347
; Type II, OR No. 2296947752, CR No. 46978291-3, Plate No. NIH 1955
</t>
  </si>
  <si>
    <t>Type 1 (UZQ355)</t>
  </si>
  <si>
    <t>Dr. Carlo M. Brion</t>
  </si>
  <si>
    <t>049 562-4069 / 09177206659</t>
  </si>
  <si>
    <t>spdhinc_66@yahoo.com</t>
  </si>
  <si>
    <t>Dr. Sitti Nurussamsi C. Amilasan, MPH</t>
  </si>
  <si>
    <t>09269804097/09156629354</t>
  </si>
  <si>
    <t>4A-0146-26-H2-2</t>
  </si>
  <si>
    <t>09-0033-26-H2-1</t>
  </si>
  <si>
    <t>Farconville Subd. Brgy. San Francisco, San Pablo City, Laguna</t>
  </si>
  <si>
    <t>STS. FRANCIS &amp; PAUL GENERAL HOSPITAL, INC.</t>
  </si>
  <si>
    <t>Diagnostic X-ray Services (Level 2),
Ambulatory Surgical Clinic (Ophtalmologic Surgery)</t>
  </si>
  <si>
    <t>Scott Road, Asturias 1</t>
  </si>
  <si>
    <t>SULU PROVINCIAL HOSPITAL</t>
  </si>
  <si>
    <t>Norman Lorenzo Alidio, MD</t>
  </si>
  <si>
    <t>(049) 562-8097/ 09120471277</t>
  </si>
  <si>
    <t>sfpgh74@yahoo.com</t>
  </si>
  <si>
    <t>ASP, CL, Pharmacy, Xray</t>
  </si>
  <si>
    <t>4A-0008-26-H1-2</t>
  </si>
  <si>
    <t>Lots 9 &amp; 10, Amante Subd., Brgy. Nueva, San Pedro City, Laguna</t>
  </si>
  <si>
    <t>DIVINE MERCY HOSPITAL, INC.</t>
  </si>
  <si>
    <t>Dr. Nehama Nemertina Q. Tan-Singki. MHA</t>
  </si>
  <si>
    <t>iphosulu@gmail.com</t>
  </si>
  <si>
    <t>Diagnostic X-ray Services (Level 2), Specialized Diagnostic X-ray Services (Computed Tomography),
Physical Medicine and Rehabilitation Unit
ICU-4</t>
  </si>
  <si>
    <t>09-0055-26-H2-1</t>
  </si>
  <si>
    <t>Type I (VU 1991)</t>
  </si>
  <si>
    <t>Dr. Anicia Charito M. Mendoza, MBAH</t>
  </si>
  <si>
    <t>(02) 8808-3392/93/ 09178073448</t>
  </si>
  <si>
    <t>info@newdivinemercyhospital.com.ph</t>
  </si>
  <si>
    <t>4A-0184-26-H1-2</t>
  </si>
  <si>
    <t>Macaria Ave. Pacita Complex 1, City Of San Pedro, Laguna</t>
  </si>
  <si>
    <t>EVANGELISTA MEDICAL SPECIALTY HOSPITAL, INC.</t>
  </si>
  <si>
    <t>Diagnostic X-ray Services (Level 2)
 Specialized X-ray Services (Computed Tomography)
ICU-3, NICU
 HIV Testing Laboratory
Physical Medicine and Rehabilitation Unit</t>
  </si>
  <si>
    <t>[Primecare Ambulance Services]</t>
  </si>
  <si>
    <t>0688460047/ 09276088717</t>
  </si>
  <si>
    <t>Dr. Cecilia C. Evangelista</t>
  </si>
  <si>
    <t>88081829/ 09564726097</t>
  </si>
  <si>
    <t>emsh.compliance@gmail.com</t>
  </si>
  <si>
    <t>09-0066-26-H1-1</t>
  </si>
  <si>
    <t>4A-0053-26-H1-2</t>
  </si>
  <si>
    <t>Luuk</t>
  </si>
  <si>
    <t>Allayon Tubig Putih, 2nd</t>
  </si>
  <si>
    <t>LUUK DISTRICT HOSPITAL</t>
  </si>
  <si>
    <t>National Highway, Landayan, City Of San Pedro, Laguna</t>
  </si>
  <si>
    <t>SAN PEDRO DOCTORS HOSPITAL, INC.</t>
  </si>
  <si>
    <t>MOH BARMM</t>
  </si>
  <si>
    <t>Laarni A. Verzosa, MD.</t>
  </si>
  <si>
    <t>(02) 88681961/ 09209269385</t>
  </si>
  <si>
    <t>spdhi1998@gmail.com</t>
  </si>
  <si>
    <t>1, Type I , CS No. F5 R659</t>
  </si>
  <si>
    <t>4A-0100-26-H1-2</t>
  </si>
  <si>
    <t>Dr. Abdul-Azim N. Hajiron, MBA-MHA</t>
  </si>
  <si>
    <t>luukdhofficial@gmail.com</t>
  </si>
  <si>
    <t>09-0068-26-H1-1</t>
  </si>
  <si>
    <t>Maimbung</t>
  </si>
  <si>
    <t>Laum Maimbung 1</t>
  </si>
  <si>
    <t>MAIMBUNG DISTRICT HOSPITAL</t>
  </si>
  <si>
    <t xml:space="preserve">Diagnostic X-ray Services (Level 2), rHIVda Confirmatory Laboratory
</t>
  </si>
  <si>
    <t>2, Type II, Plate No. SJA 1024, OR No. 0901-000000041924, CR No. 0031023571; Plate No. SND 4180, OR No. 1301-000000134481, CR No. 1303-24-985109</t>
  </si>
  <si>
    <t>National Highway, Brgy. Nueva, San Pedro, Laguna</t>
  </si>
  <si>
    <t>WESTLAKE MEDICAL CENTER</t>
  </si>
  <si>
    <t>Dr. Shaheeda T. hassiman, MPM</t>
  </si>
  <si>
    <t>maimbungdh@gmail.com</t>
  </si>
  <si>
    <t>Diagnostic X-ray Services (Level 3)
HIV Testing Laboratory
Physical Medicine and Rehabilitation Unit
Specialized Diagnostic X-ray Services: (Computed Tomography)
Anatomic Pathology
Radiation Therapy Service
Pharmacy</t>
  </si>
  <si>
    <t>Type II, NFO-2819</t>
  </si>
  <si>
    <t>09-0058-26-H1-1</t>
  </si>
  <si>
    <t>Neilfred D. Sumaya</t>
  </si>
  <si>
    <t>02-5538185/ 09177703271</t>
  </si>
  <si>
    <t>medicalaffairs@westlakemed.com.ph</t>
  </si>
  <si>
    <t>4A-0187-26-H2-2</t>
  </si>
  <si>
    <t>Parang</t>
  </si>
  <si>
    <t>Kanaway, 1st District</t>
  </si>
  <si>
    <t>PARANG DISTRICT HOSPITAL</t>
  </si>
  <si>
    <t>P. Guevara St., Sitio Mapagmahal, Brgy. Pagsawitan, Sta. Cruz, Laguna</t>
  </si>
  <si>
    <t>LAGUNA DOCTORS HOSPITAL, INC.</t>
  </si>
  <si>
    <t>Diagnostic X-ray Services (level 3), Specialized Diagnostic X-ray Services (Computed Tomography) (Mammography) Cardiac Catherization, Percutaneous, Transluminal Angioplasty, 
Physical Medicine Rehabilitation Unit 
 Anatomic Pathology</t>
  </si>
  <si>
    <t>Owned ASP, 1 unit, Type 1- OR No. 09352500000122, CR No. 46264212-1, Plate No. NFO 6060</t>
  </si>
  <si>
    <t>(AAX 3916)</t>
  </si>
  <si>
    <t>Dr. Cenon P. San Pedro</t>
  </si>
  <si>
    <t>049-5013218/ 09293479727</t>
  </si>
  <si>
    <t>lagunadoctors95@yahoo.com</t>
  </si>
  <si>
    <t>4A-0049-26-H2-2</t>
  </si>
  <si>
    <t>#1824 J. De Leon St., Brgy. Pagsawitan, Sta. Cruz, Laguna</t>
  </si>
  <si>
    <t>LAGUNA HOLY FAMILY HOSPITAL, INC.</t>
  </si>
  <si>
    <t>Diagnostic X-ray Services (Level 2)
Specialized Diagnostic X-ray Services (Computed Tomography) (Mammography)
 Respiratory Unit, 
Physical Medicine and Rehabilitation Unit
High Risk Pregancy Unit,
Ambulatory Surgical Clinic: (Colorectal Surgery, General Surgery, Otorhinolaryngologic Surgery, Pediatric Surgery, Plastic and Reconstructive Surgery, Reproductive Surgery, Thoracic Surgery &amp; Urologic Surgery)</t>
  </si>
  <si>
    <t>Type II (NBM 3411)</t>
  </si>
  <si>
    <t>Dr. Celso S. Ramos</t>
  </si>
  <si>
    <t>049-5011278/ 5011280 / 5013567/ 09062246657</t>
  </si>
  <si>
    <t>LHFH2014@gmail.com</t>
  </si>
  <si>
    <t>4A-0041-26-H2-2</t>
  </si>
  <si>
    <t>#780 National Highway, Brgy. Patimbao, Sta. Cruz, Laguna</t>
  </si>
  <si>
    <t>SANTA CRUZ LAGUNA POLYMEDIC INC.</t>
  </si>
  <si>
    <t>June R. Mendoza, MD</t>
  </si>
  <si>
    <t>(049) 501-9377</t>
  </si>
  <si>
    <t>polymedichospital14@yahoo.com</t>
  </si>
  <si>
    <t>4A-0153-26-H1-2</t>
  </si>
  <si>
    <t>Provincial Road, Brgy. Balibago, City Of Santa Rosa, Laguna</t>
  </si>
  <si>
    <t>BALIBAGO POLYCLINIC AND HOSPITAL, INC.</t>
  </si>
  <si>
    <t>Dr. Rhodora A. Ramirez</t>
  </si>
  <si>
    <t>049-5341591</t>
  </si>
  <si>
    <t>bphssr1996@gmail.com</t>
  </si>
  <si>
    <t>4A-0007-26-H1-2</t>
  </si>
  <si>
    <t>Rizal Blvd., Brgy. Tagapo, Sta. Rosa City, Laguna</t>
  </si>
  <si>
    <t>CITYMEDIC EMERGENCY HOSPITAL CORP.</t>
  </si>
  <si>
    <t>Dr. Anne Laurine de Guzman</t>
  </si>
  <si>
    <t>049-8316867/ 09679165969</t>
  </si>
  <si>
    <t>citymedic4a@yahoo.com</t>
  </si>
  <si>
    <t>4A-0208-26-H1-2</t>
  </si>
  <si>
    <t>816-A Rizal Blvd., Tagapo, Sta. Rosa City, Laguna</t>
  </si>
  <si>
    <t>MARIAN HOSPITAL OF STA. ROSA, INC.</t>
  </si>
  <si>
    <t>Dr. Jubaira Aharuddin Isnain, MHA</t>
  </si>
  <si>
    <t xml:space="preserve">Diagnostic X-ray Services (Level 2)
NICU
</t>
  </si>
  <si>
    <t>pdhnagmamahal2gmail.com</t>
  </si>
  <si>
    <t>Type I (PIR 986)</t>
  </si>
  <si>
    <t>09-0036-26-H1-1</t>
  </si>
  <si>
    <t>Dr. Rhonnel B. Foronda</t>
  </si>
  <si>
    <t>049-5844483/ 5844497</t>
  </si>
  <si>
    <t>marian08_hospital@yahoo.com</t>
  </si>
  <si>
    <t>4A-0155-26-H1-2</t>
  </si>
  <si>
    <t>Mariquita Pueblo, Dita, Sta. Rosa City, Laguna</t>
  </si>
  <si>
    <t>ST. JAMES HOSPITAL, INC.</t>
  </si>
  <si>
    <t>Diagnostic X-ray Services (Level 2)
Specialized Diagnostic X-ray Services (Computed Tomography)
Ambulatory Surgical Clinic (Opthalmologic Surgery)
Histopathology
Physical Medicine and Rehabilitation Unit</t>
  </si>
  <si>
    <t>Type I (UQH 139)</t>
  </si>
  <si>
    <t>"
HDU- 5 beds; Blood Bank w/ Add'l function; Diagnostic X-Ray services- Level 3, Specialized Dx X-ray services- Computed Tomography; Mammography"</t>
  </si>
  <si>
    <t>blood bank with additional function</t>
  </si>
  <si>
    <t>Dr. Marissa S, Santiago</t>
  </si>
  <si>
    <t>Owned ASP, Type II- 2 units, OR# 0911-000000063926, CR# 308260923, Plate# 131201 ; OR# 0911-000000077497, CR# 39071622-2, Plate#  131209</t>
  </si>
  <si>
    <t>049-5020058/ 09228293479/ 09228424330</t>
  </si>
  <si>
    <t>stjames1993@yahoo.com</t>
  </si>
  <si>
    <t>4A-0014-26-H2-2</t>
  </si>
  <si>
    <t>Rsbs Blvd., San Lorenzo South Balibago, Sta. Rosa City, Laguna</t>
  </si>
  <si>
    <t>09-0023-26-H2-1</t>
  </si>
  <si>
    <t>UNIHEALTH STA. ROSA HOSPITAL AND MEDICAL CENTER INC.</t>
  </si>
  <si>
    <t xml:space="preserve">Diagnostic X-ray Services (Level 3)
HIV Testing Laboratory
Specialized Diagnostic X-ray Services (Computed Tomography
Mammography
Tumor Localization and Simulation
Magnetic Resonance Imaging)
Physical Medicine and Rehabilitation Unit
Anatomic Pathology </t>
  </si>
  <si>
    <t>2, Type II (ABQ 1770, NGN 7558)</t>
  </si>
  <si>
    <t>Dr. Rolando L. Dela Merced</t>
  </si>
  <si>
    <t>049-5080915</t>
  </si>
  <si>
    <t>sydney_sapno@yahoo.com</t>
  </si>
  <si>
    <t>4A-0010-26-H2-2</t>
  </si>
  <si>
    <t>Dipolog City</t>
  </si>
  <si>
    <t>Circumferential Road, Biasong</t>
  </si>
  <si>
    <t>CORAZON C. AQUINO HOSPITAL</t>
  </si>
  <si>
    <t>Siniloan</t>
  </si>
  <si>
    <t>L. De Leon St., Brgy. Acevida, Siniloan, Laguna</t>
  </si>
  <si>
    <t>SINILOAN PIONEER GENERAL HOSPITAL, INC.</t>
  </si>
  <si>
    <t xml:space="preserve">Dialysis Clinic- 10 stations
rHIVda Confirmatory Laboratory
Specialized Diagnostic X-ray Services:
Computed Tomography
Mammography
</t>
  </si>
  <si>
    <t xml:space="preserve">Owned ASP, , Type 1, OR No. 090825000033179, 
CR No. 321145871, Plate No. 131208
</t>
  </si>
  <si>
    <t>Dr. Florena P. Gualberto</t>
  </si>
  <si>
    <t>(049) 523-0235/ 09190784526</t>
  </si>
  <si>
    <t>siniloanprioneer2022@gmail.com</t>
  </si>
  <si>
    <t>4A-0090-26-H1-2</t>
  </si>
  <si>
    <t>Jessie D. Tiu, M.D.</t>
  </si>
  <si>
    <t>0918-964-0336 / (065) 212-5555</t>
  </si>
  <si>
    <t>ccah.dipologcity@gmail.com</t>
  </si>
  <si>
    <t>09-0035-26-H1-1</t>
  </si>
  <si>
    <t>National Highway, Tagapo, Santa Rosa City, Laguna</t>
  </si>
  <si>
    <t>NEW SINAI MDI HOSPITAL</t>
  </si>
  <si>
    <t>Sicayab</t>
  </si>
  <si>
    <t>ZAMBOANGA DEL NORTE MEDICAL CENTER</t>
  </si>
  <si>
    <t>Type II - AEA 9325</t>
  </si>
  <si>
    <t>Dr. Nelia A. Barlis</t>
  </si>
  <si>
    <t>(02)7759-0634</t>
  </si>
  <si>
    <t>qmsoffice@newsinaimdi.com</t>
  </si>
  <si>
    <t>4A-0011-26-H2-2</t>
  </si>
  <si>
    <t>CL tertiary, ASP Type II, HDU 18, Blood Bank with additional function, CT, Xray</t>
  </si>
  <si>
    <t>Sta. Rosa City</t>
  </si>
  <si>
    <t>West Nature, Nuvali North, Brgy. Sto. Domingo, Sta. Rosa City, Laguna</t>
  </si>
  <si>
    <t>HEALTHWAY QUALIMED HOSPITAL SANTA ROSA</t>
  </si>
  <si>
    <t>Dr. George Walthrode Opay</t>
  </si>
  <si>
    <t>0956-0342996</t>
  </si>
  <si>
    <t>zanortemed@gmail.com</t>
  </si>
  <si>
    <t>09-0062-26-H2-1</t>
  </si>
  <si>
    <t>Diagnostic X-ray Services (Level 2)
Specialized Diagnostic X-ray Services (Computed Tomography)
Ambulatory Surgical Clinic (Urologic Surgery)
Physical Medicine Rehabilitaiton Unit</t>
  </si>
  <si>
    <t>Type II, (NAD 7839)</t>
  </si>
  <si>
    <t>Atty. Nirmala Barbara S. Vanguardia ,CPA</t>
  </si>
  <si>
    <t>Siocon</t>
  </si>
  <si>
    <t>Campaner St., Manaol</t>
  </si>
  <si>
    <t>information.str@qualimed.com.ph</t>
  </si>
  <si>
    <t>CONSTANTINO SORIANO SR. HOSPITAL</t>
  </si>
  <si>
    <t>4A-0132-26-H2-2</t>
  </si>
  <si>
    <t>Greenfield City, Brgy. Don Jose, Sta. Rosa City, Laguna</t>
  </si>
  <si>
    <t>THE MEDICAL CITY SOUTH LUZON</t>
  </si>
  <si>
    <t>Diagnostic X-ray Services (level 3)
Specialized Diagnostic X-ray Services : Computed Tomography, Mammography, Bone Densitometry, Cardiac Catherization, Digital Substraction Angiography, Percutaneous Transluminal Angiography
Physical Medicine and Rehabilitation Unit
Anatomic Pathology</t>
  </si>
  <si>
    <t>2 Type II - NED 4731, NGY 6842</t>
  </si>
  <si>
    <t>Dr. Ernest Adrian  L. Rafanan, MMHoA</t>
  </si>
  <si>
    <t>Dr. Norman D. Manlapaz</t>
  </si>
  <si>
    <t>0916-4369250</t>
  </si>
  <si>
    <t>siocondistricthospital@yahoo.com</t>
  </si>
  <si>
    <t>(049)3033000</t>
  </si>
  <si>
    <t>tmcsl-custumercare@themedicalcity.com</t>
  </si>
  <si>
    <t>09-0064-26-H1-1</t>
  </si>
  <si>
    <t>4A-0013-26-H2-2</t>
  </si>
  <si>
    <t>Additional dialysis station (12-24)</t>
  </si>
  <si>
    <t>147 Quezon Street, Brgy. Zone I, Poblacion, Atimonan, Quezon</t>
  </si>
  <si>
    <t>NUESTRA SEÑORA DE LOS ANGELES GENERAL HOSPITAL, INC.</t>
  </si>
  <si>
    <t>Type I (FOW 695)</t>
  </si>
  <si>
    <t>HDU- 14 stations, Blood bank with additional service, rHIVda Confirmatory lab., Diagnostic X-ray service (Level 3), Spec. Diagnostic X-ray service- Computed Tomography</t>
  </si>
  <si>
    <t>Owned ASP, 1 unit, Type II- OR No. 0920-000000392095, CR No. 37414259-1, Plate no. 090106</t>
  </si>
  <si>
    <t>ROMANE JESUS E. PILAR, MD, FPCP, FPSD</t>
  </si>
  <si>
    <t>9171525122/ 09391372285</t>
  </si>
  <si>
    <t>nsdagenhos2015@yahoo.com</t>
  </si>
  <si>
    <t>4A-0154-26-H1-2</t>
  </si>
  <si>
    <t>Calauag</t>
  </si>
  <si>
    <t>Manuel L. Quezon Street, Brgy. Poblacion Dos, Calauag, Quezon</t>
  </si>
  <si>
    <t>CALAUAG ST. PETER GENERAL HOSPITAL INC.</t>
  </si>
  <si>
    <t>09-0043-26-H2-1</t>
  </si>
  <si>
    <t>Pagadian City</t>
  </si>
  <si>
    <t>ZAMBOANGA DEL SUR MEDICAL CENTER</t>
  </si>
  <si>
    <t>Donnatella V. Hilario, MD,, MHA</t>
  </si>
  <si>
    <t>spgeneralhospital@gmail.com</t>
  </si>
  <si>
    <t>4A-0003-26-H1-2</t>
  </si>
  <si>
    <t>Covid Lab</t>
  </si>
  <si>
    <t>Regidor St., Brgy. Poblacion, Candelaria, Quezon</t>
  </si>
  <si>
    <t>PETER PAUL MEDICAL CENTER OF CANDELARIA, INC.</t>
  </si>
  <si>
    <t>Owned ASP- Type II, OR# 0920-000000298039, CR# 212810360, Plate#110110</t>
  </si>
  <si>
    <t>Diagnostic X-ray Services (Level 2)
Specialized Diagnostic X-ray Services (Computed Tomography)
ASC (Opthalmology)</t>
  </si>
  <si>
    <t>Type II, NHR 1685</t>
  </si>
  <si>
    <t>Anatalio Cagampang Jr., M.D.</t>
  </si>
  <si>
    <t>Dr. Techie F. Calibuso</t>
  </si>
  <si>
    <t>0981-5816603</t>
  </si>
  <si>
    <t>qad@ppmcci.com</t>
  </si>
  <si>
    <t>zdsmc@yahoo.com</t>
  </si>
  <si>
    <t>4A-0093-26-H2-2</t>
  </si>
  <si>
    <t>09-0018-26-H2-1</t>
  </si>
  <si>
    <t>Maharlika Highway, Brgy. Mangilag Sur, Candelaria, Quezon</t>
  </si>
  <si>
    <t>UNITED CANDELARIA DOCTORS, INC.</t>
  </si>
  <si>
    <t>Diagnostic X-ray Services (Level 2)
Specialized Diagnostic X-ray Services (Computed Tomography) (Mammography)
Physical Medicine and Rehabilitation Unit</t>
  </si>
  <si>
    <t>Type II (DCD 9035)</t>
  </si>
  <si>
    <t>Owned ASP, 1 Unit, Type 1, OR#: 1543645751, CR#: 47291914-5, CS: F5T562</t>
  </si>
  <si>
    <t>Dr. Conrado C. Bukid</t>
  </si>
  <si>
    <t>042-5852114/ 09199871360/ 09209504875</t>
  </si>
  <si>
    <t>unitedcandelariadoctorshospital@gmail,com</t>
  </si>
  <si>
    <t>4A-0071-26-H2-2</t>
  </si>
  <si>
    <t>Dr. Lenny Joy Johnson-Rivera, MDM, CESO IV</t>
  </si>
  <si>
    <t>Change of Ambulance Unit</t>
  </si>
  <si>
    <t>062-982-0029</t>
  </si>
  <si>
    <t>dohro9labuangeneralhospital@gmail.com</t>
  </si>
  <si>
    <t>09-0012-26-H1-1</t>
  </si>
  <si>
    <t>Km.194, Maharlika Highway, Brgy. Rosario, Gumaca, Quezon</t>
  </si>
  <si>
    <t>RAKKK PROPHET MEDICAL CENTER, INC.</t>
  </si>
  <si>
    <t xml:space="preserve">Diagnostic X-ray Services (Level 2)
Ambulatory Surgical Clinic
Physical Medicine and Rehabilitation Unit </t>
  </si>
  <si>
    <t>Type II, (NAR 1869)</t>
  </si>
  <si>
    <t>Dr. Leovigildo L. Leopando</t>
  </si>
  <si>
    <t>042-3178170/ 09178324993</t>
  </si>
  <si>
    <t>rakkkpmci@yahoo.com</t>
  </si>
  <si>
    <t>4A-0198-26-H2-2</t>
  </si>
  <si>
    <t>PMRU (03/18/26 complied) - ASC (04/17/26 complied)</t>
  </si>
  <si>
    <t>CS NO. F3 0847, CS NO. F3 V618, CS NO. F3 V719 &amp; SND3943</t>
  </si>
  <si>
    <t>E. Aguinaldo Cor. Tanada St., San Diego De Alcala Pob. Gumaca, Quezon</t>
  </si>
  <si>
    <t>SAN DIEGO DE ALCALA HOSPITAL</t>
  </si>
  <si>
    <t>Dr. Donatella V. Hilario</t>
  </si>
  <si>
    <t>042-3174829/ 09230206220</t>
  </si>
  <si>
    <t>sdagh_gumaca@yahoo.com</t>
  </si>
  <si>
    <t>4A-0094-26-H1-2</t>
  </si>
  <si>
    <t>Maharlika Highway, Brgy. Danlagan, Lopez, Quezon</t>
  </si>
  <si>
    <t>LOPEZ SAINT JUDE GENERAL HOSPITAL, CORP.</t>
  </si>
  <si>
    <t>Owned ASP, Type II- 3 units: OR no. 1301-000000128648, CR No. 1303-24-132885, Plate no. SND 3947; OR No. 0928000000264415, CR No. 38695195-0, Plate No. 130106; OR No. 0912-000000140200, CR No. 350872104, Plate No. GAX 1411</t>
  </si>
  <si>
    <t>Type I (VDN 157)</t>
  </si>
  <si>
    <t>Dr. Louis Emmanuel P. Lademora</t>
  </si>
  <si>
    <t>049-5361982/ 09171256491/ 09081243009</t>
  </si>
  <si>
    <t>lopezstjude@yahoo.com</t>
  </si>
  <si>
    <t>Dr. Hannah M. Rojas-Turco, FPOGS, FICS, DIH</t>
  </si>
  <si>
    <t>4A-0068-26-H1-2</t>
  </si>
  <si>
    <t>09-0038-26-H2-1</t>
  </si>
  <si>
    <t>Lucban</t>
  </si>
  <si>
    <t>National Highway, Tinamnan, Lucban, Quezon</t>
  </si>
  <si>
    <t>LUCBAN MMG HOSPITAL</t>
  </si>
  <si>
    <t>Zamboanga Sibugay</t>
  </si>
  <si>
    <t xml:space="preserve">Diagnostic X-ray Services (Level 1)
Specialized Diagnostic X-ray Services (Computed Tomography) </t>
  </si>
  <si>
    <t>P/Gumamela, Tenan</t>
  </si>
  <si>
    <t>DR. GEORGE TOCAO HOFER MEDICAL CENTER</t>
  </si>
  <si>
    <t>Type I (DAT 9474)</t>
  </si>
  <si>
    <t>042-5408312/ 0956538661</t>
  </si>
  <si>
    <t>hospitallucbanmmg@yahoo.com</t>
  </si>
  <si>
    <t>4A-0166-26-H1-2</t>
  </si>
  <si>
    <t>2-Type I , 1-Type II</t>
  </si>
  <si>
    <t>Red V, Maharlika Highway, Ibabang Dupay, Lucena City, Quezon</t>
  </si>
  <si>
    <t>LUCENA MMG GENERAL HOSPITAL</t>
  </si>
  <si>
    <t>Sherwin Bastero, M.D.</t>
  </si>
  <si>
    <t>Diagnostic X-ray Services (Level 3)
Specialized Diagnostic X-ray Services (Computed Tomography) (Mammography)
Physical Medicine and Rehabilitation Unit</t>
  </si>
  <si>
    <t>062 9579840</t>
  </si>
  <si>
    <t>medical.center@sibugay.gov.ph</t>
  </si>
  <si>
    <t>Type II, AVA 8556</t>
  </si>
  <si>
    <t>09-0069-26-H1-1</t>
  </si>
  <si>
    <t>Dr. Nenita C. Tan</t>
  </si>
  <si>
    <t>042-3735925</t>
  </si>
  <si>
    <t>lucenammghosp@yahoo.com</t>
  </si>
  <si>
    <t>4A-0142-26-H2-2</t>
  </si>
  <si>
    <t>Bukidnon</t>
  </si>
  <si>
    <t>Kibawe</t>
  </si>
  <si>
    <t>C.M. Recto St., Palma</t>
  </si>
  <si>
    <t>BUKIDNON PROVINCIAL HOSPITAL - KIBAWE</t>
  </si>
  <si>
    <t>Barangay Isabang, 2Nd District, Lucena City, Quezon</t>
  </si>
  <si>
    <t>LUCENA UNITED DOCTORS HOSPITAL AND MEDICAL CENTER</t>
  </si>
  <si>
    <t>Level 2 X-ray Services</t>
  </si>
  <si>
    <t>Diagnostic X-ray Services (Level 3)
Specialized Diagnostic X-ray Services (Computed Tomography)
Physical Medicine and Rehabilitation Unit
Mobile Clinical Laboratory</t>
  </si>
  <si>
    <t>Type II (DAF 9161)</t>
  </si>
  <si>
    <t>1 / Type 1 / Conduction Sticker No. F2T274</t>
  </si>
  <si>
    <t>Dr. Sheila Tan-Marino</t>
  </si>
  <si>
    <t>ludhmc@yahoo.com.ph</t>
  </si>
  <si>
    <t>4A-0112-26-H2-2</t>
  </si>
  <si>
    <t>Dr. Armando D. Bugarin</t>
  </si>
  <si>
    <t>(088)314-1066</t>
  </si>
  <si>
    <t>bphkibawe@yahoo.com</t>
  </si>
  <si>
    <t>Allarey Extension, Brgy. I, Lucena City, Quezon</t>
  </si>
  <si>
    <t>MOUNT CARMEL DIOCESAN GENERAL HOSPITAL</t>
  </si>
  <si>
    <t>10-0038-26-H1-1</t>
  </si>
  <si>
    <t>Diagnostic X-ray Services (Level 2)
Specialized Diagnostic X-ray Services (Computed Tomography) 
HIV Testing Laboratory
Physical Medicine and Rehabilitation Unit</t>
  </si>
  <si>
    <t>Type II, NCT 7593</t>
  </si>
  <si>
    <t>Malaybalay City</t>
  </si>
  <si>
    <t>Casisang</t>
  </si>
  <si>
    <t>BUKIDNON PROVINCIAL MEDICAL CENTER - MALAYBALAY CITY</t>
  </si>
  <si>
    <t>Dr. Pamela M. David</t>
  </si>
  <si>
    <t>042-7102576-77</t>
  </si>
  <si>
    <t>mcdgh_lucena@yahoo.com</t>
  </si>
  <si>
    <t>4A-089-26-H2-2</t>
  </si>
  <si>
    <t>Blood Bank (with addt'l function to collect, test &amp; process blood), Level 3 X-ray Services, Computed Tomography, Dialysis Clinic, Molecular Pathology: RT-PCR (SARS-COV), GeneXpert (MTB/RIF)</t>
  </si>
  <si>
    <t>2 / Type 2 / Conduction Sticker # Z6Y738 (Engine # 1KDB164104); and Conduction Sticker # CB497A with Plate #SND 3850 (Engine # YD25125897B)</t>
  </si>
  <si>
    <t>P. Gomez Ext., Red V, Brgy. Ibabang Dupay, Lucena City</t>
  </si>
  <si>
    <t>Dr. Miguel Antonio C. Prantilla</t>
  </si>
  <si>
    <t>ST. ANNE GENERAL HOSPITAL, INC.</t>
  </si>
  <si>
    <t>(088)813-7380 / 09176269737</t>
  </si>
  <si>
    <t>bpmc.malaybalay@yahoo.com</t>
  </si>
  <si>
    <t>10-0005-26-H2-1</t>
  </si>
  <si>
    <t>Diagnostic X-ray Services (Level 3)
Specialized Diagnostic X-ray Services (Computed Tomography)</t>
  </si>
  <si>
    <t>initial for Molecular Pathology (validity: 03/09/2026 - 12/31/2026)</t>
  </si>
  <si>
    <t>Type II, VDP 902</t>
  </si>
  <si>
    <t>Dr. Anna Andaman Villanueva</t>
  </si>
  <si>
    <t>Manolo Fortich</t>
  </si>
  <si>
    <t>042-7102218/ 09228985922</t>
  </si>
  <si>
    <t>saghiofficial@yahoo.com.ph</t>
  </si>
  <si>
    <t>BUKIDNON PROVINCIAL HOSPITAL - MANOLO FORTICH</t>
  </si>
  <si>
    <t>4A-0077-26-H2-2</t>
  </si>
  <si>
    <t>1 / Type 1 / Conduction Sticker No. F1Q145</t>
  </si>
  <si>
    <t>Dr. Gina G. Factura</t>
  </si>
  <si>
    <t>(088)813-3055</t>
  </si>
  <si>
    <t>Sariaya</t>
  </si>
  <si>
    <t>bphmanolo@gmail.com</t>
  </si>
  <si>
    <t>National Hi-way, Gibanga, Sariaya, Quezon</t>
  </si>
  <si>
    <t>ACE MEDICAL CENTER SARIAYA, INC.</t>
  </si>
  <si>
    <t>10-0021-26-H1-1</t>
  </si>
  <si>
    <t>Diagnostic X-ray Services (Level 3)
Physical Medicine and Rehabilitation Unit
Anatomic Pathology</t>
  </si>
  <si>
    <t>YES</t>
  </si>
  <si>
    <t>Type II, FS X243</t>
  </si>
  <si>
    <t>Maramag</t>
  </si>
  <si>
    <t>BUKIDNON PROVINCIAL HOSPITAL - MARAMAG</t>
  </si>
  <si>
    <t>DR. RUEL FERDINAND A. GONZALES</t>
  </si>
  <si>
    <t>(042) 795 2808 / 0917-309-8870</t>
  </si>
  <si>
    <t>acemcsariaya.official@gmail.com</t>
  </si>
  <si>
    <t>Computed Tomography, Dental Service</t>
  </si>
  <si>
    <t>4A-0042-26-H2-2</t>
  </si>
  <si>
    <t>1 / Type 2 / Conduction Sticker No. F2T 269 with Engine No. YD25058176B</t>
  </si>
  <si>
    <t>Anatomic  Pathology</t>
  </si>
  <si>
    <t>Tayabas</t>
  </si>
  <si>
    <t>National Road, Brgy. Wakas, Tayabas, Quezon</t>
  </si>
  <si>
    <t>Dr. Edmundo G. Garcia</t>
  </si>
  <si>
    <t>TAYABAS COMMUNITY HOSPITAL, INC.</t>
  </si>
  <si>
    <t>(088)828-1962 / 09173055020</t>
  </si>
  <si>
    <t>bph_maramag@yahoo.com</t>
  </si>
  <si>
    <t>10-0015-26-H2-1</t>
  </si>
  <si>
    <t>Type II, WAI 795</t>
  </si>
  <si>
    <t>Dr. Jeremias M. Gonzales</t>
  </si>
  <si>
    <t>09215556891/09158874180</t>
  </si>
  <si>
    <t>tchiqisd@gmail.com</t>
  </si>
  <si>
    <t>4A-0140-26-H2-2</t>
  </si>
  <si>
    <t>Tayabas City</t>
  </si>
  <si>
    <t>Lot Nos. 957-E &amp; 964 Maharlika Road, Brgy. Isabang, City Of Tayabas, Quezon</t>
  </si>
  <si>
    <t>UNIHEALTH-QUEZON HOSPITAL AND MEDICAL CENTER, INC.</t>
  </si>
  <si>
    <t>Level 2 X-ray Services, Computed Tomography, Mobile Laboratory, rHIVda Confirmatory Laboratory, Add-on services of Secondary Clinical Laboratory:  Machine-Based Serological and Immunological Testing; and Molecular Pathology Cartridge-Based Machine (GeneXpert)</t>
  </si>
  <si>
    <t>Type II, DAQ 3705</t>
  </si>
  <si>
    <t>Leonardo Holguin</t>
  </si>
  <si>
    <t>10-0032-26-H1-1</t>
  </si>
  <si>
    <t>unihealthquezon.licensing@gmail.com</t>
  </si>
  <si>
    <t>4A-0163-26-H2-2</t>
  </si>
  <si>
    <t>Lanao del Norte</t>
  </si>
  <si>
    <t>Baroy</t>
  </si>
  <si>
    <t>Lower Sagadan</t>
  </si>
  <si>
    <t>LANAO DEL NORTE PROVINCIAL HOSPITAL</t>
  </si>
  <si>
    <t>#1 Rainbow Village, Quezon Avenue, Angono, Rizal</t>
  </si>
  <si>
    <t>ANGONO MEDICS HOSPITAL INC.</t>
  </si>
  <si>
    <t>Dental Service, Dialysis Clinic, Mobile Clinical Laboratory, Add-on services of Secondary Clinical Laboratory: TSH, FT4, FT3</t>
  </si>
  <si>
    <t>Clinical Laboratory (Secondary) (M.B.V. Diagnostic Clinic) Diagnostic X-ray Services (Level 2) (M.B.V. Diagnostic Clinic) Therapy Management Services</t>
  </si>
  <si>
    <t>1 / Type 1 / Plate No. FOG 925</t>
  </si>
  <si>
    <t>Dr. Edith S. Tria</t>
  </si>
  <si>
    <t>451-1996 loc 110/ 09774574841</t>
  </si>
  <si>
    <t>angonomedicshospital@yahoomail.com</t>
  </si>
  <si>
    <t>Dr. Shoraynah A. Tucal</t>
  </si>
  <si>
    <t>(063)224-2948 / 09054948714</t>
  </si>
  <si>
    <t>4A-0223-26-H1-2</t>
  </si>
  <si>
    <t>lnph2018@gmail.com</t>
  </si>
  <si>
    <t>10-0016-26-H1-1</t>
  </si>
  <si>
    <t>initial for Mobile CL and CL add-on services: TSH, FT4, FT3 (all valid 04/30/2026-12/31/2026)</t>
  </si>
  <si>
    <t>#131 ML Quezon Avenue, Sto. Niño, Angono, Rizal</t>
  </si>
  <si>
    <t>SAN ISIDRO HOSPITAL, INC.</t>
  </si>
  <si>
    <t>Iligan City</t>
  </si>
  <si>
    <t>Quezon Ave. Ext., Palao</t>
  </si>
  <si>
    <t>GREGORIO T. LLUCH MEMORIAL HOSPITAL</t>
  </si>
  <si>
    <t>Dr. Dominador Marcelino</t>
  </si>
  <si>
    <t>4512398/ 4510365</t>
  </si>
  <si>
    <t>sanisidro_hospital1119@yahoo.com</t>
  </si>
  <si>
    <t>Level 2 X-ray Services, Dental Services, Dialysis Clinic, Computed Tomography, rHIVda Confirmatory Laboratory</t>
  </si>
  <si>
    <t>4A-0075-26-H1-2</t>
  </si>
  <si>
    <t>2 / 1-unit Type 2 with Conduction Sticker # F4D499;  and 1-unit Type 1 with Conduction Sticker # F5I211</t>
  </si>
  <si>
    <t>224 SUMULONG HIGHWAY MAYAMOT ANTIPOLO CITY</t>
  </si>
  <si>
    <t>ANTIPOLO CENTRO DE MEDIKAL HOSPITAL INC.</t>
  </si>
  <si>
    <t>Dr. Richillo C. Daguman</t>
  </si>
  <si>
    <t>telefax (063)221-6775</t>
  </si>
  <si>
    <t>gtlmh@ymail.com / lgu.gtlmh@gmail.com</t>
  </si>
  <si>
    <t>Diagnostic X-ray Services (Level 2), NICU</t>
  </si>
  <si>
    <t>10-0046-26-H1-1</t>
  </si>
  <si>
    <t>Type I, (VDJ 389)</t>
  </si>
  <si>
    <t>DR. ARLYN V. EMING</t>
  </si>
  <si>
    <t>0926-757-83-80</t>
  </si>
  <si>
    <t>centrocares2023@gmail.com</t>
  </si>
  <si>
    <t>Kapatagan</t>
  </si>
  <si>
    <t>4A-0206-26-H1-2</t>
  </si>
  <si>
    <t>Maranding Annex</t>
  </si>
  <si>
    <t>KAPATAGAN PROVINCIAL HOSPITAL</t>
  </si>
  <si>
    <t>M.L. Quezon Extension Brgy. Dalig, Antipolo City</t>
  </si>
  <si>
    <t>Level 2 X-ray Services, Dialysis Clinic, Ambulatory Surgical Clinic (Colorectal Surgery)</t>
  </si>
  <si>
    <t>ANTIPOLO DOCTORS HOSPITAL</t>
  </si>
  <si>
    <t>1 / Type 1 / Plate No. T-131208</t>
  </si>
  <si>
    <t>Diagnostic X-ray Services (Level 2), Specialized Diagnostic X-ray Services (Computed Tomography), NICU, High Risk Pregnancy Unit</t>
  </si>
  <si>
    <t>Type I (WPQ 928)</t>
  </si>
  <si>
    <t>Dr. Ferdinand L. Bautista</t>
  </si>
  <si>
    <t>(063)227-9522</t>
  </si>
  <si>
    <t>Dr. ROWENA MANALO</t>
  </si>
  <si>
    <t>kapataganprovincialhospital@gmail.com</t>
  </si>
  <si>
    <t>10-0014-26-H1-1</t>
  </si>
  <si>
    <t>Kolambugan</t>
  </si>
  <si>
    <t>Austin Heights</t>
  </si>
  <si>
    <t>KOLAMBUGAN PROVINCIAL HOSPITAL</t>
  </si>
  <si>
    <t>02-86508269/ 09279176272</t>
  </si>
  <si>
    <t>antipolo_dochosp@yahoo.com</t>
  </si>
  <si>
    <t>Level 2 X-ray Services, Dental Service, rHIVda Confirmatory Laboratory</t>
  </si>
  <si>
    <t>4A-0136-26-H1-2</t>
  </si>
  <si>
    <t>1 / Type 1 / Conduction Sticker F0G921</t>
  </si>
  <si>
    <t>Sumulong Highway, Dela Paz, Antipolo City, Rizal</t>
  </si>
  <si>
    <t>ASSUMPTION SPECIALTY HOSPITAL AND MEDICAL CENTER, INC.</t>
  </si>
  <si>
    <t>Dr. Sierra J. Urmenita</t>
  </si>
  <si>
    <t>(063)302-3982 / 09062786042</t>
  </si>
  <si>
    <t>kolph@outlook.com / kolambuganprovincial@gmail.com</t>
  </si>
  <si>
    <t>10-0022-26-H1-1</t>
  </si>
  <si>
    <t>Diagnostic X-ray Services (Level 2)
Pharmacy
Specialized Diagnostic X-ray Services (Computed Tomography)
Physical Medicine and Rehabilitation Unit</t>
  </si>
  <si>
    <t>Type II (NBD 7962)</t>
  </si>
  <si>
    <t>Dr. Rufino E. Chan</t>
  </si>
  <si>
    <t>8-2485500</t>
  </si>
  <si>
    <t>assumptionbod@gmail.com</t>
  </si>
  <si>
    <t>4A-0020-26-H2-2</t>
  </si>
  <si>
    <t>Bufer Bldg., Avatec Road, Mayamot, Antipolo City, Rizal</t>
  </si>
  <si>
    <t>BLESSED TRINITY MATERNITY AND MEDICAL HOSPITAL, INC.</t>
  </si>
  <si>
    <t>Dr. Elsie F. Buan</t>
  </si>
  <si>
    <t>btmmhlab@gmail.com</t>
  </si>
  <si>
    <t>4A-0220-26-H1-2</t>
  </si>
  <si>
    <t>Lot 4, Sen. Lorenzo Sumulong Memorial Circle, Brgy. Dela Paz, Antipolo City, Rizal</t>
  </si>
  <si>
    <t>CLINICA ANTIPOLO HOSPITAL AND WELLNESS CENTER, INC.</t>
  </si>
  <si>
    <t>Calamba</t>
  </si>
  <si>
    <t>Purok 4 Bunawan</t>
  </si>
  <si>
    <t>Diagnostic X-ray Services (Level 2)
Specialized Diagnostic X-ray Services: Computed Tomography 
Physical Medicine Rehabilitation Unit
Histhopathology Section</t>
  </si>
  <si>
    <t>CALAMBA DISTRICT HOSPITAL</t>
  </si>
  <si>
    <t>Type II. NHQ 3082</t>
  </si>
  <si>
    <t>Dr. Farrah Haidee Lynne D. Pedracio</t>
  </si>
  <si>
    <t>86959480-87 Loc 242</t>
  </si>
  <si>
    <t>cahwci.medicalrecords2018@gmail.com</t>
  </si>
  <si>
    <t>4A-0103-26-H2-2</t>
  </si>
  <si>
    <t>Dr. Cristy T. Empuerto</t>
  </si>
  <si>
    <t>(088)564-0397 / 09308180578</t>
  </si>
  <si>
    <t>calambadistrict@gmail.com</t>
  </si>
  <si>
    <t>10-0047-26-H1-1</t>
  </si>
  <si>
    <t>Oroquieta City</t>
  </si>
  <si>
    <t>Independence St., Lower Langcangan</t>
  </si>
  <si>
    <t>MISAMIS OCCIDENTAL PROVINCIAL HOSPITAL</t>
  </si>
  <si>
    <t>Blood Bank, Level 3 X-ray Services, Computed Tomography, Dental Service, Dialysis Clinic, LDWA (Category A), Physical Medicine and Rehabilitation Unit, Mobile Clinical Laboratory</t>
  </si>
  <si>
    <t>1 / Type 2 / Plate No. 070110 with Engine No. 1GD9010436</t>
  </si>
  <si>
    <t>Dr. Ellen P. Aseniero</t>
  </si>
  <si>
    <t>(088)531-2242 / 531-2243 / 09367360217</t>
  </si>
  <si>
    <t>Histhopathology Section</t>
  </si>
  <si>
    <t>office.moph@gmail.com / moprovincialhospital@gmail.com</t>
  </si>
  <si>
    <t>10-0019-26-H2-1</t>
  </si>
  <si>
    <t>#8001 Marcos Highway, Mayamot, Antipolo City</t>
  </si>
  <si>
    <t>DIONISIO M. CORNEL MEDICAL CENTER, INC.</t>
  </si>
  <si>
    <t>Type II, (ZHE383)</t>
  </si>
  <si>
    <t>Blood Bank (with addt'l function to collect, test and process blood), Computed Tomography and Dental,  G6PD Confirmatory, rHIVda Confirmatory Laboratory, HIV Testing Laboratory, Anatomic Pathology (cytology, Surgical and Frozen Section)</t>
  </si>
  <si>
    <t>Dr. Jennifer Lynn C. Urbiztondo</t>
  </si>
  <si>
    <t>Dr. DON G. CORNEL</t>
  </si>
  <si>
    <t>cornelmedicalcenter2022@gmail.com</t>
  </si>
  <si>
    <t>4A-0172-26-H1-2</t>
  </si>
  <si>
    <t>Tangub City</t>
  </si>
  <si>
    <t>Km. 23, Sumulong Highway, Sta. Cruz, Antipolo City, Rizal</t>
  </si>
  <si>
    <t>Fertig St., Mantic</t>
  </si>
  <si>
    <t>FATIMA UNIVERSITY MEDICAL CENTER ANTIPOLO CORP.</t>
  </si>
  <si>
    <t>DOÑA MARIA D. TAN MEMORIAL HOSPITAL</t>
  </si>
  <si>
    <t>Diagnostic X-ray Services (Level 2), Specialized X-ray Services (Computed Tomography) Anatomic Pathology (cytology, surgical &amp; frozen), Physical Medicine and Rehabilitation Unit &amp; Ambulatory Surgical Clinic (-Ophthalmologic Surgery) HIV Testing Laboratory</t>
  </si>
  <si>
    <t>Type II (A4H 774)</t>
  </si>
  <si>
    <t>1 / Type 1 / Conduction Sticker No. S9R984</t>
  </si>
  <si>
    <t>Dr. Vicente O. Santos, Jr.</t>
  </si>
  <si>
    <t>29-2112400</t>
  </si>
  <si>
    <t>ysantosmd@yahoo.com</t>
  </si>
  <si>
    <t>4A-0037-26-H2-2</t>
  </si>
  <si>
    <t>Dr. Ralph Thaddeus A. Pineda</t>
  </si>
  <si>
    <t>(088)545-0172 / 09067509507 / 09177718971</t>
  </si>
  <si>
    <t>dmdtmh_mantic@yahoo.com</t>
  </si>
  <si>
    <t>10-0033-26-H1-1</t>
  </si>
  <si>
    <t>1348 Marcos Highway, Brgy. Mayamot, Antipolo City</t>
  </si>
  <si>
    <t>METRO ANTIPOLO HOSPITAL AND MEDICAL CENTER, INC.</t>
  </si>
  <si>
    <t>Balingasag</t>
  </si>
  <si>
    <t>Diagnostic X-ray Services (Level 3)
Specialized Diagnostic X-ray Services (Computed Tomography)
Hispathology
Physical Medicine Rehabilitation Unit</t>
  </si>
  <si>
    <t>Rizal - Delmar St., Barangay 3</t>
  </si>
  <si>
    <t>MISAMIS ORIENTAL PROVINCIAL HOSPITAL - BALINGASAG</t>
  </si>
  <si>
    <t>Type II, NDQ 9046
(NKA 1277)</t>
  </si>
  <si>
    <t>Dr. Joselito A. Mora</t>
  </si>
  <si>
    <t>Mobile Laboratory</t>
  </si>
  <si>
    <t>metroantipolohospital@yahoo.com</t>
  </si>
  <si>
    <t>4A-0130-26-H2-2</t>
  </si>
  <si>
    <t>2 / Type 1 / Conduction Sticker Nos. F4J871 and F4H411</t>
  </si>
  <si>
    <t>21 Sumulong St.,San Jose, Antipolo City, Rizal</t>
  </si>
  <si>
    <t>SANTANA MULTI-CARE HOSPITAL</t>
  </si>
  <si>
    <t>Dr. Graceil Jan D. Go</t>
  </si>
  <si>
    <t>(088)3335413</t>
  </si>
  <si>
    <t>misorbalingasag@gmail.com</t>
  </si>
  <si>
    <t>10-0028-26-H1-1</t>
  </si>
  <si>
    <t>Assumption Specialty Medical Center, Inc.</t>
  </si>
  <si>
    <t>Dr. Maria Lourdes Basilio</t>
  </si>
  <si>
    <t>santanamaternityhospital@gmail.com</t>
  </si>
  <si>
    <t>4A-0018-26-H1-2</t>
  </si>
  <si>
    <t>Camp Evangelista, Patag</t>
  </si>
  <si>
    <t>SANTANA MATERNITY AND CHILDREN'S HOSPITAL, INC. to SANTANA MULTI-CARE HOSPITAL</t>
  </si>
  <si>
    <t>CAMP EVANGELISTA STATION HOSPITAL, 4ID, PA</t>
  </si>
  <si>
    <t>Level 2 X-ray Services, Physical Medicine and Rehabilitation Unit</t>
  </si>
  <si>
    <t>144 San Jose St. Brgy San Isidro Antipolo City</t>
  </si>
  <si>
    <t>SORIANO - LEYBLE MEDICAL AND MATERNITY HOSPITAL</t>
  </si>
  <si>
    <t>1 / Type 1 / Plate No. N2A494</t>
  </si>
  <si>
    <t>Type I (NBS 1904)</t>
  </si>
  <si>
    <t>Col Robert F Rosqueta MC (GSC)</t>
  </si>
  <si>
    <t>0888800608 / 09171409048</t>
  </si>
  <si>
    <t>MARIA DIVINA S. LEYBLE MD,MHM,MBA</t>
  </si>
  <si>
    <t>cesh_phic4id@yahoo.com / cesh_4id@yahoo.com</t>
  </si>
  <si>
    <t>8697-1659</t>
  </si>
  <si>
    <t>slmmhospital@yahoo.com</t>
  </si>
  <si>
    <t>10-0013-26-H1-1</t>
  </si>
  <si>
    <t>4A-0122-26-H1-2</t>
  </si>
  <si>
    <t>J.V. Seriña St., Carmen</t>
  </si>
  <si>
    <t>Lot 7 Marcos Highway, Brgy. Mambugan, Antipolo City, Rizal</t>
  </si>
  <si>
    <t>J.R. BORJA GENERAL HOSPITAL</t>
  </si>
  <si>
    <t>United Antipolo Specialists Hospital and Medical Center Inc.</t>
  </si>
  <si>
    <t>Diagnostic X-ray Services (Level 2)
Specialized Diagnostic X-ray Services: (Computed Tomography
Mammography )</t>
  </si>
  <si>
    <t>Computed Tomography, Dialysis Clinic</t>
  </si>
  <si>
    <t>Type II, (NBW 1961) (NBR 5741)</t>
  </si>
  <si>
    <t>Argonix Medical Corporation</t>
  </si>
  <si>
    <t>3 units (1 unit / Type 2 / Conduction Sticker No. P3B165;  2 units / Type 1 / Conduction Sticker Nos. F4E917 and F5I209)</t>
  </si>
  <si>
    <t>Dr. MYRNA PEDRAJA-ISIDRO</t>
  </si>
  <si>
    <t>uashmc.hosp@gmail,com</t>
  </si>
  <si>
    <t>4A-0079-26-H2-2</t>
  </si>
  <si>
    <t>Dr. Michael June C. Perez</t>
  </si>
  <si>
    <t>jrborjagenhosp@gmail.com</t>
  </si>
  <si>
    <t>Km. 31, Manila East Road, Barangay Tagpos, Binangonan, Rizal</t>
  </si>
  <si>
    <t>BINANGONAN LAKEVIEW HOSPITAL, INC.</t>
  </si>
  <si>
    <t>10-0009-26-H2-1</t>
  </si>
  <si>
    <t>Diagnostic X-ray Services (Level 2)
Specialized Diagnostic X-ray Services (Computed Tomography),
Ambulatory Surgical Clinic (Ophalmologic Surgery)
HIV Testing Laboratory</t>
  </si>
  <si>
    <t>2, Type II (NGX 8661, NGL 2011)</t>
  </si>
  <si>
    <t>Dr. Ma. Ignatius E. Cordova</t>
  </si>
  <si>
    <t>5700791/5708663 loc. 124</t>
  </si>
  <si>
    <t>binangonanlakeview@hotmail.com</t>
  </si>
  <si>
    <t>4A-0215-26-H2-2</t>
  </si>
  <si>
    <t>#899 National Road, Brgy. Pag-Asa, Binangonan, Rizal</t>
  </si>
  <si>
    <t>PAG-ASA HOSPITAL</t>
  </si>
  <si>
    <t>Diagnostic X-ray Services</t>
  </si>
  <si>
    <t>Binangonan Lakeview Hospital, Inc.</t>
  </si>
  <si>
    <t>Dr. Maria Rosiete M. Samson</t>
  </si>
  <si>
    <t>84512180/ 09228957541/ 09178210359/ 09982775151</t>
  </si>
  <si>
    <t>pagasa_hospital@yahoo.com</t>
  </si>
  <si>
    <t>Gingoog City</t>
  </si>
  <si>
    <t>4A-0162-26-H1-2</t>
  </si>
  <si>
    <t>Doña Graciana St.</t>
  </si>
  <si>
    <t>MISAMIS ORIENTAL PROVINCIAL HOSPITAL - GINGOOG</t>
  </si>
  <si>
    <t>156 Marick Drive, Marick Subdivision, Brgy. Sto. Domingo, Cainta, Rizal</t>
  </si>
  <si>
    <t>METRO RIZAL DOCTORS HOSPITAL AND HEALTH SERVICES COOPERATIVE</t>
  </si>
  <si>
    <t>1 / Type 1 / Conduction Sticker No. F5I217 with Chassis No. JN1LC4E26Z0031353</t>
  </si>
  <si>
    <t>Dr. Andrew Solomon R. Echavez</t>
  </si>
  <si>
    <t>Jimmy D. Lim, MD</t>
  </si>
  <si>
    <t>8251-69-22</t>
  </si>
  <si>
    <t>misorph_gingoog@yahoo.com / misorgingoog@gmail.com</t>
  </si>
  <si>
    <t>metrodocs@ymail.com</t>
  </si>
  <si>
    <t>10-0049-26-H1-1</t>
  </si>
  <si>
    <t>4A-0002-26-H1-2</t>
  </si>
  <si>
    <t>with exemption on the  Blood Service requirement for a Level 1 Hospital granted by HFSRB  (due to the existence of the Phil. Red Cross-Gingoog City located inside the hospital's compound which is a DOH-licensed BCU-BS)</t>
  </si>
  <si>
    <t>Km. 21 Ortigas Ave. Extension Cor. Brookside Hills Subd., Brgy. San Isidro, Cainta, Rizal</t>
  </si>
  <si>
    <t>ORTIGAS HOSPITAL AND HEALTHCARE CENTER, INC.</t>
  </si>
  <si>
    <t>Initao</t>
  </si>
  <si>
    <t>Diagnostic X-ray Services (Level 3)
Specialized Diagnostic X-ray Services (Computed Tomography)
Ambulatory Surgical Clinic</t>
  </si>
  <si>
    <t>Codilla St., Poblacion</t>
  </si>
  <si>
    <t>Type II, (DAJ 4874)</t>
  </si>
  <si>
    <t>MISAMIS ORIENTAL PROVINCIAL HOSPITAL - INITAO</t>
  </si>
  <si>
    <t>Dr. Ma. Lourdes T. Simeon</t>
  </si>
  <si>
    <t>8-246-6555</t>
  </si>
  <si>
    <t>Level 2 X-ray Services, Dental Service</t>
  </si>
  <si>
    <t>medicalaffairs23@gmail.com</t>
  </si>
  <si>
    <t>3 / Type 1 / Conduction Sticker Nos. F3R227, F4J849, and F4H515</t>
  </si>
  <si>
    <t>4A-0128-26-H2-2</t>
  </si>
  <si>
    <t>Cardona</t>
  </si>
  <si>
    <t>Dr. Iris B. Ratunil</t>
  </si>
  <si>
    <t>National Road, Brgy. Calahan, Cardona, Rizal</t>
  </si>
  <si>
    <t>QUEEN MARY HELP OF CHRISTIANS HOSPITAL, INC.</t>
  </si>
  <si>
    <t>0888827248 / 09173289308</t>
  </si>
  <si>
    <t>misorphinitao@yahoo.com / misorphinitao@gmail.com</t>
  </si>
  <si>
    <t>10-0050-26-H1-1</t>
  </si>
  <si>
    <t>Diagnostic X-ray Services (Level 2)
 Ambulatory Surgical Clinic (Opthalmologic Surgery)</t>
  </si>
  <si>
    <t>Type I (NZO 160)</t>
  </si>
  <si>
    <t>Dr. Mediatrix B De Jesus</t>
  </si>
  <si>
    <t>213-5245/ 09173217633/ 09361887558</t>
  </si>
  <si>
    <t>qmhci@gmail.com</t>
  </si>
  <si>
    <t>Manticao</t>
  </si>
  <si>
    <t>4A-0183-26-H1-2</t>
  </si>
  <si>
    <t>MISAMIS ORIENTAL PROVINCIAL HOSPITAL - MANTICAO</t>
  </si>
  <si>
    <t>491 Governor Martinez St., San Juan, Morong, Rizal</t>
  </si>
  <si>
    <t>MORONG DOCTORS' HOSPITAL, INC.</t>
  </si>
  <si>
    <t>3 / Type 1 / Conduction Sticker Nos. F3R235, F4J873 and F4H471</t>
  </si>
  <si>
    <t>Type I (YY 7863)</t>
  </si>
  <si>
    <t>Dr. Don F. Soriano</t>
  </si>
  <si>
    <t>Dr. Vinaflor B. Realista</t>
  </si>
  <si>
    <t>86532491/ 09171627117</t>
  </si>
  <si>
    <t>morongdoctorshospital_66@yahoo.com</t>
  </si>
  <si>
    <t>manticaomisorph@gmail.com / moph.manticao@misamisoriental.gov.ph</t>
  </si>
  <si>
    <t>4A-0160-26-H1-2</t>
  </si>
  <si>
    <t>10-0023-26-H1-1</t>
  </si>
  <si>
    <t>#82 J.P. Rizal St., Manggahan, Rodriguez, Rizal</t>
  </si>
  <si>
    <t>H VILL HOSPITAL</t>
  </si>
  <si>
    <t>Tagoloan</t>
  </si>
  <si>
    <t>Zone 12, Poblacion</t>
  </si>
  <si>
    <t>ST. PAUL HOSPITAL</t>
  </si>
  <si>
    <t>Type I (NFO 315)</t>
  </si>
  <si>
    <t>Arlene Villanueva, MD</t>
  </si>
  <si>
    <t>1 / Type 1 / Conduction Sticker No. F6S460 Chasis No. JN1LC4E26Z0040887</t>
  </si>
  <si>
    <t>9610958446/ 89971284</t>
  </si>
  <si>
    <t>hvhchiefnurse@yahoo.com.ph</t>
  </si>
  <si>
    <t>4A-0196-26-H1-2</t>
  </si>
  <si>
    <t>Dr. Ben Johnson B. Villanueva</t>
  </si>
  <si>
    <t>(088)890-4522 / 09922573302 / 09384753191</t>
  </si>
  <si>
    <t xml:space="preserve">st.paultagoloan@gmail.com
</t>
  </si>
  <si>
    <t>General Luna St., Balante, Ampid I, San Mateo, Rizal</t>
  </si>
  <si>
    <t>PADRE PIO MATERNITY AND MEDICAL HOSPITAL, INC.</t>
  </si>
  <si>
    <t>10-0001-26-H1-1</t>
  </si>
  <si>
    <t>Talisayan</t>
  </si>
  <si>
    <t>Dr. Emmanuel M. Bueno</t>
  </si>
  <si>
    <t>National Highway, Mintabon</t>
  </si>
  <si>
    <t>86568558/ 86563475/ 09670282593</t>
  </si>
  <si>
    <t>MISAMIS ORIENTAL PROVINCIAL HOSPITAL - TALISAYAN</t>
  </si>
  <si>
    <t>padrepio_hospital@yahoo.com</t>
  </si>
  <si>
    <t>4A-0006-26-H1-2</t>
  </si>
  <si>
    <t>Dental Service</t>
  </si>
  <si>
    <t>1 / Type 1 / Plate No. 100110 with Engine No. YD25093149B</t>
  </si>
  <si>
    <t>227 Gen. Luna Ave., Guitnang Bayan I, San Mateo, Rizal</t>
  </si>
  <si>
    <t>SAN MATEO DOCTORS HOSPITAL INC.</t>
  </si>
  <si>
    <t>Dr. Rhea J. Austria</t>
  </si>
  <si>
    <t>misortalisayan@gmail.com</t>
  </si>
  <si>
    <t>10-0044-26-H1-1</t>
  </si>
  <si>
    <t>Dr. Cynthia Quiring-Pua</t>
  </si>
  <si>
    <t>09553014305
09178540574</t>
  </si>
  <si>
    <t>sanmateodoctors@yahoo.com</t>
  </si>
  <si>
    <t>4A-0046-26-H1-2</t>
  </si>
  <si>
    <t>Davao de Oro</t>
  </si>
  <si>
    <t>Laak</t>
  </si>
  <si>
    <t>#156 Gen. Luna Ave., Brgy. Ampid 2, San Mateo, Rizal</t>
  </si>
  <si>
    <t>Purok 4, Pob. Laak, Davao De Oro</t>
  </si>
  <si>
    <t>SAN MATEO MEDICAL CENTER</t>
  </si>
  <si>
    <t>DAVAO DE ORO PROVINCIAL HOSPITAL - LAAK</t>
  </si>
  <si>
    <t>Clin. Laboratory(secondary)</t>
  </si>
  <si>
    <t>Type 1, Temp. Plate #:MV File 1001-544131</t>
  </si>
  <si>
    <t>Diagnostic X-ray Services (Level 2)
Specialized Diagnostic X-ray Services (Computed Tomography)
Physical Medicine Rehabilitation Unit</t>
  </si>
  <si>
    <t>Dr. Jose Martin D. Briones</t>
  </si>
  <si>
    <t>Type II,NFY 7679</t>
  </si>
  <si>
    <t>ddoph_laakhospital@yahoo.com</t>
  </si>
  <si>
    <t>11-28-26-40-H1-1</t>
  </si>
  <si>
    <t>DR. JUAN PAOLO D. LAGUNZAD</t>
  </si>
  <si>
    <t>sanmateomedicalcenterampid@gmail.com</t>
  </si>
  <si>
    <t>4A-0076-26-H2-2</t>
  </si>
  <si>
    <t>Maragusan</t>
  </si>
  <si>
    <t>Talisay St., Pob. Maragusan, Davao de Oro</t>
  </si>
  <si>
    <t>DAVAO DE ORO PROVINCIAL HOSPITAL- MARAGUSAN</t>
  </si>
  <si>
    <t>60 Gen. Luna St., Banaba, San Mateo Rizal</t>
  </si>
  <si>
    <t>ST. MATTHEUS MEDICAL HOSPITAL, INC.</t>
  </si>
  <si>
    <t>Type I (ZLA 193)</t>
  </si>
  <si>
    <t>1, Type 1, Plate No. POC 154</t>
  </si>
  <si>
    <t>DR. MARIA DIGNA C. SABAOT</t>
  </si>
  <si>
    <t>02-7-7961487/ 0917-8581702</t>
  </si>
  <si>
    <t>jhenric_laudencia@yahoo.com</t>
  </si>
  <si>
    <t>4A-0139-26-H1-2</t>
  </si>
  <si>
    <t>Dr. Neil P. Estoya</t>
  </si>
  <si>
    <t>Tanay</t>
  </si>
  <si>
    <t>Ft Catapusan St Plaza Aldea Tanay Rizal</t>
  </si>
  <si>
    <t>mmh_comval@yahoo.com; ddophmaragusan@gmail.com</t>
  </si>
  <si>
    <t>TANAY GENERAL HOSPITAL INC.</t>
  </si>
  <si>
    <t>11-50-26-40-H1-1</t>
  </si>
  <si>
    <t>Diagnostic X-ray Services (Level 2), Specialized Diagnostic X-ray Services (Computed Tomography, Mammography)</t>
  </si>
  <si>
    <t>Type I (XGS 461)</t>
  </si>
  <si>
    <t>Montevista</t>
  </si>
  <si>
    <t>Km. 104 Bankerohan Sur, Montevista</t>
  </si>
  <si>
    <t>DAVAO DE ORO PROVINCIAL HOSPITAL - MONTEVISTA</t>
  </si>
  <si>
    <t>DR. EMILIANO A. FRANCISCO</t>
  </si>
  <si>
    <t>tanaygenhospital@yahoo.com</t>
  </si>
  <si>
    <t>4A-0036-26-H1-2</t>
  </si>
  <si>
    <t>C.T. Scan
Dental</t>
  </si>
  <si>
    <t>Manila East Road, Brgy. Dolores, Taytay, Rizal</t>
  </si>
  <si>
    <t>MANILA EAST MEDICAL CENTER</t>
  </si>
  <si>
    <t>Type 1, MVNo. 1001-544119</t>
  </si>
  <si>
    <t>Dr. Ferdinand Anthony C. Soberano</t>
  </si>
  <si>
    <t>cvphcvph@yahoo.com</t>
  </si>
  <si>
    <t>Specialized Diagnostic X-ray Services (Computed Tomography) (Lithotripsy)
Ambulatory Surgical Clinic (Urologic Surgery)
Anatomic Pathology</t>
  </si>
  <si>
    <t>11-38-26-160-H1-1</t>
  </si>
  <si>
    <t>Type II, (NEE 7109)</t>
  </si>
  <si>
    <t>Pantukan</t>
  </si>
  <si>
    <t>Townsite Pantukan, Davao De Oro</t>
  </si>
  <si>
    <t>Dr. Rodolfo P. Luna</t>
  </si>
  <si>
    <t>DAVAO DE ORO PROVINCIAL HOSPITAL - PANTUKAN</t>
  </si>
  <si>
    <t>6600000/ 09228633479</t>
  </si>
  <si>
    <t>manilaeast@yahoo.com</t>
  </si>
  <si>
    <t>4A-030-26-H2-2</t>
  </si>
  <si>
    <t>Dental</t>
  </si>
  <si>
    <t>#6 Rizal Avenue , Taytay Rizal</t>
  </si>
  <si>
    <t>TAYTAY DOCTORS MULTISPECIALTY HOSPITAL</t>
  </si>
  <si>
    <t>Diagnostic X-ray Services (Level 2), Specialized Diagnostic X-ray Services (Computed Tomography)
HIV Testing Laboratory
 NICU</t>
  </si>
  <si>
    <t>Dr. Jose Mychel M.  Sebumpam</t>
  </si>
  <si>
    <t>084-372-0335</t>
  </si>
  <si>
    <t>Type I (ABS 7265)</t>
  </si>
  <si>
    <t>pdhcvphpantukan@yahoo.com.ph</t>
  </si>
  <si>
    <t>11-42-26-100-H1-1</t>
  </si>
  <si>
    <t>Eleonor E. Vallar MD</t>
  </si>
  <si>
    <t>9351398370/ 09951240893</t>
  </si>
  <si>
    <t>tdmhnso@yahoo.com</t>
  </si>
  <si>
    <t>4A-0123-26-H1-2</t>
  </si>
  <si>
    <t>Brgy. Ising, Carmen, Dvo Norte</t>
  </si>
  <si>
    <t>Rizal Avenue Corner Isagani St. Taytay Rizal</t>
  </si>
  <si>
    <t>DAVAO DEL NORTE HOSPITAL-CARMEN ZONE</t>
  </si>
  <si>
    <t>TAYTAY MATERNITY AND CHILD CARE CENTER</t>
  </si>
  <si>
    <t>XRAY - LEVEL 1</t>
  </si>
  <si>
    <t>1, Type 1, Plate No. V615</t>
  </si>
  <si>
    <t>Type I (NCQ 4673)</t>
  </si>
  <si>
    <t>Dr. RAQUEL V. GATAPIA</t>
  </si>
  <si>
    <t>Dr. Rutchille S. Arrocena</t>
  </si>
  <si>
    <t>(02) 8570 5284/ 09179967244</t>
  </si>
  <si>
    <t>084-628-6592</t>
  </si>
  <si>
    <t>tmcccnso@gmail.com</t>
  </si>
  <si>
    <t>ddnhospcz@yahoo.com</t>
  </si>
  <si>
    <t>4A-0045-26-H1-2</t>
  </si>
  <si>
    <t>11-35-26-50-H1-1</t>
  </si>
  <si>
    <t>Teresa</t>
  </si>
  <si>
    <t>J. Sumulong Ave., Brgy. Bagumbayan, Teresa, Rizal</t>
  </si>
  <si>
    <t>ST. THERESE DE LIMA MEDICAL HOSPITAL INC.</t>
  </si>
  <si>
    <t>Kapalong</t>
  </si>
  <si>
    <t>Quezon St. Maniki Kapalong, Dvo. Norte</t>
  </si>
  <si>
    <t>DAVAO DEL NORTE HOSPITAL-KAPALONG ZONE</t>
  </si>
  <si>
    <t>Type I (PQZ 129)</t>
  </si>
  <si>
    <t>XRAY-LEVEL 1
Dental</t>
  </si>
  <si>
    <t>Dr. Maria Lourdes A. Cornel</t>
  </si>
  <si>
    <t>1, Type 1, Temporary Plate No. F3Z429</t>
  </si>
  <si>
    <t>4005193/ 09267576842</t>
  </si>
  <si>
    <t>st.therese_hospital@yahoo.com</t>
  </si>
  <si>
    <t>4A-0147-26-H1-2</t>
  </si>
  <si>
    <t>Dr. Jessie T. Belga</t>
  </si>
  <si>
    <t>084-371-0468</t>
  </si>
  <si>
    <t>kapalongdistricthospital@yahoo.com</t>
  </si>
  <si>
    <t>Brgy. San Pedro</t>
  </si>
  <si>
    <t>11-36-26-75-H1-1</t>
  </si>
  <si>
    <t>ADVENTIST HOSPITAL PALAWAN-INC.</t>
  </si>
  <si>
    <t>Level 3 Gen Radiography
Computed Tomogrphy
Mammogrphy
Magnetic Resonance Imaging
Physical Medicine and Rehabilitation Unit
Dialysis Clinic (8 stations)</t>
  </si>
  <si>
    <t>1 / Type 2 / Plate No. ADD 5288 / CR No. 245470142</t>
  </si>
  <si>
    <t>Samal City</t>
  </si>
  <si>
    <t>Datu Taganiog St., Peñaplata, Igacos</t>
  </si>
  <si>
    <t>DAVAO DEL NORTE HOSPITAL-IGACOS ZONE</t>
  </si>
  <si>
    <t>Dr. Ronnie Dan Salazar</t>
  </si>
  <si>
    <t>(048) 433-1247</t>
  </si>
  <si>
    <t>admin@adventisthealth-pwn.com</t>
  </si>
  <si>
    <t>4B-0026-26-H2-2</t>
  </si>
  <si>
    <t>South National Highway, Brgy. San Pedro</t>
  </si>
  <si>
    <t>ALLIED CARE EXPERTS (ACE) MEDICAL CENTER - PALAWAN, INC.</t>
  </si>
  <si>
    <t>1, Type 1, MV1101-00000981475</t>
  </si>
  <si>
    <t>Level 3 Gen Radiograph
Dialysis Clinic
Radiographic/ Fluoroscopic (mobile C-arm)
Computed Tomography</t>
  </si>
  <si>
    <t>1 / Type 2 / Plate No. VAB 1464 / CR No. 42675022-5</t>
  </si>
  <si>
    <t>Dr. Catherine M.Valera</t>
  </si>
  <si>
    <t>084-286-0120</t>
  </si>
  <si>
    <t>ddnhigacoszone@gmail.com</t>
  </si>
  <si>
    <t>Dr. KENNETH WILSON O. LIM</t>
  </si>
  <si>
    <t>11-46-26-50-H1-1</t>
  </si>
  <si>
    <t>(048) 717-0019</t>
  </si>
  <si>
    <t>acemcprespalawan@gmail.com</t>
  </si>
  <si>
    <t>4B-0029-26-H2-2</t>
  </si>
  <si>
    <t>National Highway, Población Ii</t>
  </si>
  <si>
    <t>BERACHAH GENERAL HOSPITAL, INC.</t>
  </si>
  <si>
    <t>Level 2 Gen. Radiography
Dialysis Clinic (8 stations)</t>
  </si>
  <si>
    <t>1 / Type 1 / Plate # NAA 5542, CR. No. 302684793</t>
  </si>
  <si>
    <t>BB with add'l function, hiv,  Diagnostic X-ray Services (L3), Spec. Diag X-ray services,Radiology Oncology Services (see LTO)</t>
  </si>
  <si>
    <t>1, type 2, type 1 with Conduction Sticker: N2A-495</t>
  </si>
  <si>
    <t>Dr. Elvie Soriano</t>
  </si>
  <si>
    <t>berachahgeneralhospital@gmail.com</t>
  </si>
  <si>
    <t>4B-0021-26-H1-2</t>
  </si>
  <si>
    <t>drmcfinance@gmail.com; drmcc_mcc@yahoo.com</t>
  </si>
  <si>
    <t>Socorro</t>
  </si>
  <si>
    <t>Strong Nautical Highway,
Brgy. Catiningan</t>
  </si>
  <si>
    <t>GRACE MISSION HOSPITAL. INC.</t>
  </si>
  <si>
    <t>Computed Tomography
Dialysis Clinic (10 stations)</t>
  </si>
  <si>
    <t>1 / Type 1 / Plate No. FOL 705 CR# 306445672</t>
  </si>
  <si>
    <t>J.P. Laurel Ave., Bajada, Davao City</t>
  </si>
  <si>
    <t>Dr. Charis Santiago</t>
  </si>
  <si>
    <t>(043) 284-5293</t>
  </si>
  <si>
    <t>gracemissionhospitalinc@gmail.com</t>
  </si>
  <si>
    <t>4B-002115-26-H1-2</t>
  </si>
  <si>
    <t>HIV, Acute chronic psychiatric care, rHIVda Confirmatory Laboratory Cancer treatment unit -1. systemic, 2. radiotherapy (Linear Accelerator &amp; brachytherapy, Clinical Lab for Molecular Pathology</t>
  </si>
  <si>
    <t>Medrano Cor. Tm Kalaw, Brgy. Ilaya, 
Población</t>
  </si>
  <si>
    <t>HOSPITAL OF THE HOLY CROSS</t>
  </si>
  <si>
    <t>3 units, Type II</t>
  </si>
  <si>
    <t>Level 2 Gen. Radiography</t>
  </si>
  <si>
    <t>1 / Type 1 /  Plate No. DCQ8344 CS# YX 3609 CR# 297440091</t>
  </si>
  <si>
    <t>082-227-2731 loc 4103 / 0917-810-9147</t>
  </si>
  <si>
    <t>pacd@spmcdvo.net</t>
  </si>
  <si>
    <t>Dr. Renato Jose  Priela</t>
  </si>
  <si>
    <t>(043) 228-4470
(043) 441-0560</t>
  </si>
  <si>
    <t>hhc_calapan@yahoo.com.ph</t>
  </si>
  <si>
    <t>4B-0032-26-H1-2</t>
  </si>
  <si>
    <t>Digos City</t>
  </si>
  <si>
    <t>Brgy. Tulay</t>
  </si>
  <si>
    <t>ISIAH HOSPITAL AND MEDICAL CENTER</t>
  </si>
  <si>
    <t>Lapu-Lapu St., Digos City</t>
  </si>
  <si>
    <t>DAVAO DEL SUR PROVINCIAL HOSPITAL</t>
  </si>
  <si>
    <t>1 / Type 1 / Plate No. UWI 190, CR No. 240011446</t>
  </si>
  <si>
    <t>Dr. Jacquelyn Dimaala</t>
  </si>
  <si>
    <t>Specialized Diagnostic X-ray Services:
     Computed Tomography
     Mammography</t>
  </si>
  <si>
    <t>(042) 567-6789</t>
  </si>
  <si>
    <t>isiah_hospital@yahoo.com</t>
  </si>
  <si>
    <t>1, Type II Plate No. F4K391</t>
  </si>
  <si>
    <t>4B-0014-26-H1-2</t>
  </si>
  <si>
    <t>Brgy. Pangobilian</t>
  </si>
  <si>
    <t>LEONCIO GENERAL HOSPITAL, INC.</t>
  </si>
  <si>
    <t>Dr. Jaime Marcelo T. Razo</t>
  </si>
  <si>
    <t>11-48-26-100-H2-1</t>
  </si>
  <si>
    <t>Level 2 Gen. Radiography
Computed Tomography
Dental Clinic</t>
  </si>
  <si>
    <t>1 / Type 1 / Plate # FFU 883, CR. No. 11322854</t>
  </si>
  <si>
    <t>Dr. Narciso Leoncio</t>
  </si>
  <si>
    <t>leonciohospital@gmail.com</t>
  </si>
  <si>
    <t>4B-0011-26-H1-2</t>
  </si>
  <si>
    <t>Jp Rizal St., Brgy. Lalud</t>
  </si>
  <si>
    <t>LUNA GOCO MEDICAL CENTER INC.</t>
  </si>
  <si>
    <t>Level 3 Gen. Radiography
Computed Tomography
Mammmography
Magnetic Resonance Imaging
Radiographic/ Fluoroscopic (mobile C-arm)
Radiographic/ Fluoroscopic (Lithotripsy)
LDWA
Mobile Clinical Laboratory
Physical Medicine and Rehabilitation Unit (PMRU)</t>
  </si>
  <si>
    <t>1 / Type 2 / Plate No. ABQ 4196 CR# 245786575</t>
  </si>
  <si>
    <t>Dr. Augelito Goco</t>
  </si>
  <si>
    <t>(043) 288-2473</t>
  </si>
  <si>
    <t>hrlunagocomedicalcenter@gmail.com</t>
  </si>
  <si>
    <t>11-17-26-60-H1-1</t>
  </si>
  <si>
    <t>4B-0035-26-H2-2</t>
  </si>
  <si>
    <t>National Highway, Malita, Dvo Occidental</t>
  </si>
  <si>
    <t>MALITA WOMEN'S AND CHILDREN WELLNESS CENTER (Formerly: Malita Ditstrict Hospital)</t>
  </si>
  <si>
    <t>Brgy. Tawiran</t>
  </si>
  <si>
    <t>MARIA ESTRELLA GENERAL HOSPITAL, INC.</t>
  </si>
  <si>
    <t>Level 3 Gen. Radiography
Mammography &amp; Dental
Panoramic
Radiography/Fluroscopy (Mobile C-arm)
Computed Tomography
Dialysis Clinic (11 stations)
Physical Medicine and Rehabilitation Unit (PMRU)</t>
  </si>
  <si>
    <t xml:space="preserve">2 / Type 2 / Plate No. AAY 3957/ CR No. 245470142
and Plate No. DCP 3299 / CR No. 255271726 </t>
  </si>
  <si>
    <t>1, Type 1, Plate No. P6U 949</t>
  </si>
  <si>
    <t>Dr. Melinda Corazon Goco</t>
  </si>
  <si>
    <t>megh2k6@yahoo.com</t>
  </si>
  <si>
    <t>4B-0028-26-H2-2</t>
  </si>
  <si>
    <t>Dr. Alain O. Kintanar</t>
  </si>
  <si>
    <t>mdhdavaooccidental.phic.section@gmail.com</t>
  </si>
  <si>
    <t>11-06-26-18-H1-1</t>
  </si>
  <si>
    <t>Jp Rizal St., Brgy. Tawiran</t>
  </si>
  <si>
    <t>MEDICAL MISSION GROUP HOSPITAL MULTI-PURPOSE COOPERATIVE OF ORIENTAL MINDORO</t>
  </si>
  <si>
    <t>Computed Tomography
Radiography/Fluroscopy (mobile c-arm)
Dialysis Clinic (5 stations)</t>
  </si>
  <si>
    <t>Davao Oriental</t>
  </si>
  <si>
    <t>Mati City</t>
  </si>
  <si>
    <t>1 / Type 2 / Plate No. VAA 5410 / CR No. 332600122</t>
  </si>
  <si>
    <t>Mati City, Davao Oriental</t>
  </si>
  <si>
    <t>DAVAO ORIENTAL PROVINCIAL MEDICAL CENTER</t>
  </si>
  <si>
    <t>Dr. Claro Reyes</t>
  </si>
  <si>
    <t>(043) 288-2275
(043) 286-7080</t>
  </si>
  <si>
    <t>mmg.ormin@gmail.com</t>
  </si>
  <si>
    <t>4B-0033-26-H2-2</t>
  </si>
  <si>
    <t>Strong Republic Nautical Highway, Masipit</t>
  </si>
  <si>
    <t>MINDORO MEDICAL CENTER-CALAPAN, INC.</t>
  </si>
  <si>
    <t>Dr. Reden V. Bersado</t>
  </si>
  <si>
    <t>087-3883420</t>
  </si>
  <si>
    <t>dopmcmati1971@gmail.com</t>
  </si>
  <si>
    <t>1 / Type 2 / Plate No. DBN 3238 / CR No. 0005381883</t>
  </si>
  <si>
    <t>11-51-26-100-H2-1</t>
  </si>
  <si>
    <t>Dr. Arthur Rico Villafuerte</t>
  </si>
  <si>
    <t>mindoromedoffice@gmail.com</t>
  </si>
  <si>
    <t>Cotabato</t>
  </si>
  <si>
    <t>Aleosan</t>
  </si>
  <si>
    <t>Dualing, Aleosan</t>
  </si>
  <si>
    <t>Corner Burgos And Mabini Sts.</t>
  </si>
  <si>
    <t>PALAWAN MEDICAL MISSION GROUP MULTIPURPOSE COOPERATIVE (PMMGMPC)</t>
  </si>
  <si>
    <t>1, Type 1, F4E 524 , CR no. 415409470</t>
  </si>
  <si>
    <t>Level 3 Gen. Radiography
Computed Tomography
Radiography/Fluroscopy (c-arm mobile)
Mammography
G6PD Confirmatory Testing
Histopathology</t>
  </si>
  <si>
    <t>Marie Jane G. Apusaga, MD, MBA-HA</t>
  </si>
  <si>
    <t>aleosandistrict_hospital@yahoo.com
adhdrmm@gmail.com</t>
  </si>
  <si>
    <t>1 / Type 2 / Plate No. GAI 2303 / CR No. 323515242</t>
  </si>
  <si>
    <t>12-036-26-H1-1</t>
  </si>
  <si>
    <t>Dr. Paul Castillo</t>
  </si>
  <si>
    <t>DOH000000000003450</t>
  </si>
  <si>
    <t>(048) 433-3038
(048) 434-5580</t>
  </si>
  <si>
    <t>mmg_ptopal@yahoo.com</t>
  </si>
  <si>
    <t>General Santos</t>
  </si>
  <si>
    <t>General Santos City</t>
  </si>
  <si>
    <t>4B-0022-26-H2-2</t>
  </si>
  <si>
    <t>E. Fernandez Street, Barangay Lagao</t>
  </si>
  <si>
    <t>DR. JORGE P. ROYECA CITY HOSPITAL</t>
  </si>
  <si>
    <t>Francisco St., Marfrancisco</t>
  </si>
  <si>
    <t>PINAMALAYAN DOCTORS HOSPITAL</t>
  </si>
  <si>
    <t xml:space="preserve">Pharmacy
Diagnostic X-ray (Level 2)
 - Mammography and CT
</t>
  </si>
  <si>
    <t>2, Type II, F45403, CR no. 42523857
F45415, CR no. 42523856</t>
  </si>
  <si>
    <t>Level 2 Gen. Radiography
Computed Tomography</t>
  </si>
  <si>
    <t>1 / Type 1 / Plate No. DDL5489 / CR 338751044</t>
  </si>
  <si>
    <t>Ryan Oscar M. Aplicador, MD</t>
  </si>
  <si>
    <t>Dr. Eloisa Mambil</t>
  </si>
  <si>
    <t>083-553-4808
09853120079</t>
  </si>
  <si>
    <t>(043) 443-1220
(043) 284-4383</t>
  </si>
  <si>
    <t>djprch.qa@gmail.com</t>
  </si>
  <si>
    <t>pinamalayandoctors@yahoo.com</t>
  </si>
  <si>
    <t>12-010-26-H2-1</t>
  </si>
  <si>
    <t>4B-0003-26-H1-2</t>
  </si>
  <si>
    <t>Nickel Ave., Rtnmc, Brgy. Rio Tuba</t>
  </si>
  <si>
    <t>RTN FOUNDATION INC. HOSPITAL</t>
  </si>
  <si>
    <t>Level 2 Gen. Radiography
Gen. Radiography (Mobile)
Dental Clinic</t>
  </si>
  <si>
    <t>2 / Type 1 / Plate No. AAQ 4321, CR No. 198676730 and Type 1 / Plate No. NGB 7721, CR No. 40420604-4</t>
  </si>
  <si>
    <t>Dr. Ronan Drian Pare</t>
  </si>
  <si>
    <t>rtnfihospital96@gmail.com</t>
  </si>
  <si>
    <t>4B-0001-26-H1-2</t>
  </si>
  <si>
    <t>Moreno Subdivision, Poblacion District Ii</t>
  </si>
  <si>
    <t>Cancer Specialty Center in a General Hospital</t>
  </si>
  <si>
    <t>SAGRADO HOSPITAL, INC.</t>
  </si>
  <si>
    <t>1 / Type 1 / Plate No. WTL603 / CR No. 6806245-5</t>
  </si>
  <si>
    <t>add'l service: Cancer Specialty Center in a General Hospital (10/8/2024)</t>
  </si>
  <si>
    <t>Dr. Raul Sagrado</t>
  </si>
  <si>
    <t>sagradohospitalinc@gmail.com</t>
  </si>
  <si>
    <t>4B-0009-26-H1-2</t>
  </si>
  <si>
    <t>Block 4, Sta. Maria Village</t>
  </si>
  <si>
    <t>STA. MARIA VILLAGE HOSPITAL, INC.</t>
  </si>
  <si>
    <t>Diagnostic X-ray (Level 3),
Pharmacy</t>
  </si>
  <si>
    <t>2, Type 1 - NAO 4136, CR no. 450946565
Type II - N2A 515, CR no. 315522535</t>
  </si>
  <si>
    <t>Ibrahim V. Pangato Jr., MD, MAHA, CESE</t>
  </si>
  <si>
    <t>09956550149
064-552-2890</t>
  </si>
  <si>
    <t>Level 2 Gen. Radiography
Gen. Radiography (Mobile)
Computed Tomography</t>
  </si>
  <si>
    <t>admin@cotsangen.doh.gov.ph</t>
  </si>
  <si>
    <t>1 / Type 1 /  Plate No. NCQ 8903 / CR No. 201805103</t>
  </si>
  <si>
    <t>12-008-26-H2-1</t>
  </si>
  <si>
    <t>Dr. Vicente Jeronimo Santos</t>
  </si>
  <si>
    <t>DOH32918</t>
  </si>
  <si>
    <t>(043) 288-8342
(043) 288-4147</t>
  </si>
  <si>
    <t>smvhospitalinc@gmail.com</t>
  </si>
  <si>
    <t>Rosal St. Poblacion</t>
  </si>
  <si>
    <t>4B-0023-26-H1-2</t>
  </si>
  <si>
    <t>CARMEN MUNICIPAL HOSPITAL</t>
  </si>
  <si>
    <t>Pharmacy</t>
  </si>
  <si>
    <t>Rizal St., Bgy. Bañag, Daraga, Albay</t>
  </si>
  <si>
    <t>DARAGA DOCTORS’ HOSPITAL, INC.</t>
  </si>
  <si>
    <t>1, Type 1, F4J 865 , CR no. 433948804</t>
  </si>
  <si>
    <t xml:space="preserve">Specialized Diagnostic X-ray Services:Computed Tomography, Mammography, Bone Densitometry,
Dialysis Clinic,
Cancer Treatment Unit in a General Hospital
</t>
  </si>
  <si>
    <t>Randy S. Yson, MD</t>
  </si>
  <si>
    <t>1 TYPE II AMBULANCE: PLATE NO. EAH2991 CR NO.: 0055361202</t>
  </si>
  <si>
    <t>09104625549
064-428-1300</t>
  </si>
  <si>
    <t>carmenmunicipalhospital@gmail.com</t>
  </si>
  <si>
    <t>12-020-26-H1-1</t>
  </si>
  <si>
    <t>Dr. Salvacion S. Macinas</t>
  </si>
  <si>
    <t>(052) 204-9617 / 
0917-700-2950</t>
  </si>
  <si>
    <t>ddh_hospital@yahoo.com</t>
  </si>
  <si>
    <t>05-0002-26-H2-2</t>
  </si>
  <si>
    <t>DOH000000000005033</t>
  </si>
  <si>
    <t>Kabacan</t>
  </si>
  <si>
    <t>Usm Compound, Poblacion, Kabacan, Cotabato</t>
  </si>
  <si>
    <t>Rizal St. Legazpi City</t>
  </si>
  <si>
    <t>UNIVERSITY OF SOUTHERN MINDANAO HOSPITAL</t>
  </si>
  <si>
    <t>AGO GENERAL HOSPITAL</t>
  </si>
  <si>
    <t xml:space="preserve">X-RAY  (Level 2)
Add-on service: Clinical Chemistry – Troponin I </t>
  </si>
  <si>
    <t>1, Type I, Plate No. EAG7963</t>
  </si>
  <si>
    <t>Diagnostic X-ray (Level 1)
Pharmacy</t>
  </si>
  <si>
    <t>Ma. Presentacion A. Consulta, MD</t>
  </si>
  <si>
    <t>9561651829, 
998548354</t>
  </si>
  <si>
    <t>agogeneralhospital@yahoo.com</t>
  </si>
  <si>
    <t>1, Type 1, NDU 1967 , CR no. 244172891</t>
  </si>
  <si>
    <t>05-0002-26-H1-2</t>
  </si>
  <si>
    <t>Liza D. Mariposque</t>
  </si>
  <si>
    <t>Peñaranda Street, Legazpi City, Albay</t>
  </si>
  <si>
    <t>hospital@usm.edu.ph</t>
  </si>
  <si>
    <t>ALBAY DOCTORS’ HOSPITAL, INC.</t>
  </si>
  <si>
    <t>12-039-26-H1-1</t>
  </si>
  <si>
    <t>Specialized Diagnostic X-Ray Services: Computed Tomography</t>
  </si>
  <si>
    <t>1, TYPE II Plate No. EA19280</t>
  </si>
  <si>
    <t>DOH000000000000683</t>
  </si>
  <si>
    <t>Kidapawan City</t>
  </si>
  <si>
    <t>Amas</t>
  </si>
  <si>
    <t>COTABATO PROVINCIAL HOSPITAL</t>
  </si>
  <si>
    <t>Dr. Jocelyn V. Mancera</t>
  </si>
  <si>
    <t>adh_hospital@yahoo.com</t>
  </si>
  <si>
    <t>05-0004-26-H2-2</t>
  </si>
  <si>
    <t>Daraga-Legazpi Diversion Road, Bogtong Legazpi City, Albay</t>
  </si>
  <si>
    <t>Diagnostic X-ray (Level 2)
HIV Testing Laboratory</t>
  </si>
  <si>
    <t>ALLIED CARE EXPERTS (ACE) MEDICAL CENTER-LEGAZPI, INC.</t>
  </si>
  <si>
    <t>1, Type II, 030105, CR No. 182437231</t>
  </si>
  <si>
    <t>DIAGNOSTIC X-RAY SERVICES (LEVEL 3) 
Specialized Diagnostic X-Ray Services:Computed Tomography, Digital Subtraction Angiography,  Percutaneous Transluminal Angioplasty, Tumor Localization And Simulation, Cardiac Catheterization Magnetic Resonance Imaging
AMBULATORY SURGICAL CLINIC: Colorectal Surgery, General Surgery, Oral-Maxillo-Facial Surgery, Orthopedic Surgery,  Otorhinolaryngologic Surgery,  Pediatric Surgery, Plastic and Reconstructive Surgery, Reproductive Health Surgery, Thoracic Surgery, Urologic Surgery
PHYSICAL MEDICINE AND CARDIAC REHABILITATION UNIT</t>
  </si>
  <si>
    <t>1,Type 2, Plate No. EAH 1223</t>
  </si>
  <si>
    <t>Lilian A. Roldan, MD, MBA-HA</t>
  </si>
  <si>
    <t>064-572-5010</t>
  </si>
  <si>
    <t>cotabato.prov.hospital@gmail.com</t>
  </si>
  <si>
    <t>Dr. Narciso Thad S. Ciocson</t>
  </si>
  <si>
    <t>12-016-26-H2-1</t>
  </si>
  <si>
    <t>(+63) 975-372-9932/ (+63) 917-185-2764</t>
  </si>
  <si>
    <t>acemclegazpi@gmail.com</t>
  </si>
  <si>
    <t>05-0007-26-H2-2</t>
  </si>
  <si>
    <t>DOH000000000003627</t>
  </si>
  <si>
    <t>M'lang</t>
  </si>
  <si>
    <t>Don Juan S. Estevez St., Guevarra Subd.,</t>
  </si>
  <si>
    <t>Rizal Street, Poblacion 8, Mlang</t>
  </si>
  <si>
    <t>ESTEVEZ MEMORIAL HOSPITAL, INC.</t>
  </si>
  <si>
    <t>MLANG DISTRICT HOSPITAL</t>
  </si>
  <si>
    <t>LEVEL 3 X-RAY SERVICES:
COMPUTED TOMOGRAPHY
PHYSICAL MEDICINE AND REHABILITATION UNIT</t>
  </si>
  <si>
    <t>1 TYPE II, PLATE NO. EAH 1249
CR NO. 255066383</t>
  </si>
  <si>
    <t>Diagnostic X-ray (Level 2)
Pharmacy
Covid-19 (SARS-CoV-2) Testing Laboratory</t>
  </si>
  <si>
    <t>2
Type 1
F4K394 , CR no. 182437205
F34822 , CR no. 40837635-6</t>
  </si>
  <si>
    <t>Dr. Lourdes V. Estevez</t>
  </si>
  <si>
    <t>052-480-4021
09189247495</t>
  </si>
  <si>
    <t>emh@estevezhospital.com / mlv.estz@gmail.com / estevezmemorialhospitalinc@gmail.com</t>
  </si>
  <si>
    <t>05-0015-26-H2-2</t>
  </si>
  <si>
    <t>Dr. Jo Ann M. Pinto, MHCA</t>
  </si>
  <si>
    <t>09305534062
064-572-0177</t>
  </si>
  <si>
    <t>mlangdistrict@yahoo.com</t>
  </si>
  <si>
    <t>12-009-26-H1-1</t>
  </si>
  <si>
    <t>Imperial Court Subdivision, Rizal St., Legazpi City, Albay</t>
  </si>
  <si>
    <t>TANCHULING GENERAL HOSPITAL, INC.</t>
  </si>
  <si>
    <t>DOH000000000000489</t>
  </si>
  <si>
    <t>Hemodialysis Clinic 
Specialized Diganostic X-ray Services: Computed Tomography;
Cancer Treatment Unit in a General Hospital</t>
  </si>
  <si>
    <t>1 - Type II, No. NDV8361, CR No. 244677602;</t>
  </si>
  <si>
    <t>Midsayap</t>
  </si>
  <si>
    <t>Roosevelt Street Poblacion 4</t>
  </si>
  <si>
    <t>DR. AMADO B. DIAZ PROVINCIAL FOUNDATION HOSPITAL</t>
  </si>
  <si>
    <t>Dr. Patricia Iris Tanchuling</t>
  </si>
  <si>
    <t>0977-3774791</t>
  </si>
  <si>
    <t>tghlegazpi@gmail.com</t>
  </si>
  <si>
    <t>05-0006-26-H2-2</t>
  </si>
  <si>
    <t>Diagnostic X-ray (Level 2)
Pharmacy</t>
  </si>
  <si>
    <t>Diversion Road, Binatagan, Ligao City, Albay</t>
  </si>
  <si>
    <t>1, Type 1, F4E 473 , CR no. 415409503</t>
  </si>
  <si>
    <t>ZONE MEDICAL INTERVENTION HOSPITAL, INC.</t>
  </si>
  <si>
    <t>Rosario Isabel P. Pader, MD,MBA-HA, FPCHA</t>
  </si>
  <si>
    <t>064-521-4161</t>
  </si>
  <si>
    <t>Diagnostic X-ray Services (Level 2),
Specialized Diagnostic X-ray Services: Computed Tomography,
Dialysis Clinic,
Dental Clinic,
 Mobile clinical laboratory
ICU (3 beds, included in the ABC)</t>
  </si>
  <si>
    <t>dadpfh@yahoo.com</t>
  </si>
  <si>
    <t>1, Type 1, EAE3640 CR No: 0426374616</t>
  </si>
  <si>
    <t>12-024-26-H1-1</t>
  </si>
  <si>
    <t>Maria Loielin A Tolentino, MD</t>
  </si>
  <si>
    <t>9209286822, 
09544092978</t>
  </si>
  <si>
    <t>DOH000000000037462</t>
  </si>
  <si>
    <t>zmihospital@gmail.com</t>
  </si>
  <si>
    <t>Sarangani</t>
  </si>
  <si>
    <t>05-0006-26-H1-2</t>
  </si>
  <si>
    <t>Alabel</t>
  </si>
  <si>
    <t>Capitol Complex</t>
  </si>
  <si>
    <t>SARANGANI PROVINCIAL HOSPITAL</t>
  </si>
  <si>
    <t>Ruivivar St, Tayhi, Tabaco City, Albay</t>
  </si>
  <si>
    <t>DR. AMANDO D. COPE MEMORIAL HOSPITAL, INC.</t>
  </si>
  <si>
    <t xml:space="preserve">- ICU (2 BEDS)
- DIALYSIS CLINIC 
- DIAGNOSTIC X-RAY SERVICES (LEVEL 2) WITH MOBILE UNIT: SPECIALIZED X-RAY SERVICE COMPUTED TOMOGRAPHY
- AMBULATORY SURGICAL CLINIC (OPTHALMOLOGIC SURGERY)
</t>
  </si>
  <si>
    <t xml:space="preserve">
Pharmacy
Medical X-ray (Level 2)
Dental Clinic</t>
  </si>
  <si>
    <t xml:space="preserve">1, Type 1, Plate No. EAB5236, CR No. 312830302
</t>
  </si>
  <si>
    <t>2, Type 1-A32 788 CR No. 317860594, Type 11-
F3V 705, CR no. 4087362-3</t>
  </si>
  <si>
    <t>Dr. Mark Adventure C. Berces</t>
  </si>
  <si>
    <t>0966-193-5023
0949-146-5891</t>
  </si>
  <si>
    <t>Aileen M. Brion, MD</t>
  </si>
  <si>
    <t>cope_hospital@yahoo.com</t>
  </si>
  <si>
    <t>09127076730
083-508-0262</t>
  </si>
  <si>
    <t>05-0008-26-H1-2</t>
  </si>
  <si>
    <t>sph.sarangani@gmail.com</t>
  </si>
  <si>
    <t>12-004-26-H2-1</t>
  </si>
  <si>
    <t>Karangahan Boulevard, Purok 3 Bombon, Tabaco City, Albay</t>
  </si>
  <si>
    <t>JAIME B. BERCES MEMORIAL HOSPITAL</t>
  </si>
  <si>
    <t>DOH000000000004396</t>
  </si>
  <si>
    <t>Glan</t>
  </si>
  <si>
    <t>D. Cania Poblacion</t>
  </si>
  <si>
    <t>SARANGANI PROVINCIAL HOSPITAL-GLAN</t>
  </si>
  <si>
    <t>Diagnostic X-ray Services (Level 2),
Dialysis Clinic,  
Specialized Diagnostic X-ray Services: Computed Tomography,
CL Add-on: Thyroid Profile (TSH, FT3, FT4), Hepa C, ASO, Troponin-I, NT-PRO BNP, HbA1C, CRP,
Rheumatoid Factor, ABG, PSA, Calcium, Magnesium, TPAG, Albumin, D-Dimer, C3, Procalcitonin, Phosphorus</t>
  </si>
  <si>
    <t>City Govenment of Tabaco</t>
  </si>
  <si>
    <t>Dr. Renato B. Grageda</t>
  </si>
  <si>
    <t>jbbmh@yahoo.com</t>
  </si>
  <si>
    <t>1, Type 1, F4H 437 , CR no. 41567247-1</t>
  </si>
  <si>
    <t>05-0017-26-H1-2</t>
  </si>
  <si>
    <t>Eden Rose P. Manalao, MD, MSPH-HA, DM</t>
  </si>
  <si>
    <t>Bicol</t>
  </si>
  <si>
    <t>09175027062
083-2621-065</t>
  </si>
  <si>
    <t>gmch2009@yahoo.com</t>
  </si>
  <si>
    <t>Captain F. Aquende Drive, Legazpi City</t>
  </si>
  <si>
    <t>12-004-26-H1-1</t>
  </si>
  <si>
    <t>UNIVERSITY OF SANTO TOMAS (UST) – LEGAZPI, INC.</t>
  </si>
  <si>
    <t>DOH000000000000601</t>
  </si>
  <si>
    <t>Specialized x-ray facility: Computed Tomography and Mammography,
Dialysis Clinic</t>
  </si>
  <si>
    <t>Kiamba</t>
  </si>
  <si>
    <t>Datu Dani St., Poblacion</t>
  </si>
  <si>
    <t>DR. CORNELIO T. MARTINEZ SR. MEMORIAL HOSPITAL</t>
  </si>
  <si>
    <t>1, Type 2, Plate No.:  NCC5635, CR No: 298264595</t>
  </si>
  <si>
    <t>Dr. Paul Ferdinand M. Reganit</t>
  </si>
  <si>
    <t>ustlegazpihospital@gmail.com</t>
  </si>
  <si>
    <t>05-0001-26-H2-2</t>
  </si>
  <si>
    <t>Pharmacy
Diagnostic X-ray (Level 1)</t>
  </si>
  <si>
    <t>1, Type 1, F4K 556 , CR no. 44922137-1</t>
  </si>
  <si>
    <t>Governor Panotes Avenue, Brgy Vii, Daet, Camarines Norte</t>
  </si>
  <si>
    <t>DAET DOCTORS HOSPITALINCORPORATED</t>
  </si>
  <si>
    <t>Gabriel D. Fernandez, MD</t>
  </si>
  <si>
    <t>083-508-1453</t>
  </si>
  <si>
    <t>X-ray:  Level 2
Clinical Laboratory Add-Ons: TSH, T3, T4, FT3, FT4, PSA, CKMB, TROPONIN I</t>
  </si>
  <si>
    <t>kdh_kiamba@yahoo.com</t>
  </si>
  <si>
    <t>12-026-26-H1-1</t>
  </si>
  <si>
    <t>1, Type II, Plate No. AAD6355, CR No. 226262341</t>
  </si>
  <si>
    <t>Dr. Victoria B. Gonzalez</t>
  </si>
  <si>
    <t>DOH000000000006031</t>
  </si>
  <si>
    <t xml:space="preserve">054-8755592,
9632538098,
9951374667
</t>
  </si>
  <si>
    <t>ddhiofficial@gmail.com</t>
  </si>
  <si>
    <t>Malungon</t>
  </si>
  <si>
    <t>05-0025-26-H1-2</t>
  </si>
  <si>
    <t>Purok Maliwanag Poblacion</t>
  </si>
  <si>
    <t>SARANGANI PROVINCIAL HOSPITAL-MALUNGON</t>
  </si>
  <si>
    <t>138 Magallanes Iraya Camambugan, Daet, Camarines Norte</t>
  </si>
  <si>
    <t>DR. MOISES V. CACAWA MEMORIAL HOSPITAL</t>
  </si>
  <si>
    <t xml:space="preserve">Level 2 Xray
ADDITIONAL SERVICES IN CL: TROP I TEST AND THYROID FUNCTION TEST, Amylase, Lipase, PSA, B-HCG, HBa1c, Rapid Antigen Test, Typhidot </t>
  </si>
  <si>
    <t>Type 1, Plate No. TQG 340, Cr No. 0004770929</t>
  </si>
  <si>
    <t>1, Type 1, F4T802 , CR no. 454254953</t>
  </si>
  <si>
    <t>Dr. Moises Lowell E. Cacawa</t>
  </si>
  <si>
    <t>moisescacawamemorialhospital@gmail.com</t>
  </si>
  <si>
    <t>05-0016-26-H1-2</t>
  </si>
  <si>
    <t>Allen Geoffrey G. Española,MD,MAHA</t>
  </si>
  <si>
    <t>sphmalungon@gmail.com</t>
  </si>
  <si>
    <t>12-029-26-H1-1</t>
  </si>
  <si>
    <t>Vinzons Avenue, Barangay Lag-On, Daet, Camarines Norte</t>
  </si>
  <si>
    <t>OUR LADY OF LOURDES HOSPITAL</t>
  </si>
  <si>
    <t>DOH000000000006592</t>
  </si>
  <si>
    <t>Koronadal City</t>
  </si>
  <si>
    <t>DIALYSIS CLINIC 
SPECIALIZED DIAGNOSTIC X-RAY SERVICES:
COMPUTED TOMOGRAPHY
MAMMOGRAPHY</t>
  </si>
  <si>
    <t>Aguinaldo Street, Koronadal City</t>
  </si>
  <si>
    <t>SOUTH COTABATO PROVINCIAL HOSPITAL</t>
  </si>
  <si>
    <t>1, Type 2, Plate No. ATA 1509, CR No. 215458471</t>
  </si>
  <si>
    <t>Dr, Abundio Palencia, Jr</t>
  </si>
  <si>
    <t>(052) 721 2664,
0949125094,
 09949125094</t>
  </si>
  <si>
    <t>ollhdcn143@gmail.com</t>
  </si>
  <si>
    <t>05-0011-26-H2-2</t>
  </si>
  <si>
    <t>Diversion Road, Camambugan, Daet, Camarines Norte</t>
  </si>
  <si>
    <t>SANTISSIMA TRINIDAD HOSPITAL OF DAET</t>
  </si>
  <si>
    <t>HIV Testing Laboratory, Specialized Diagnostic X-ray Services, Pharmacy, Laboratory for Drinking Water Analysis</t>
  </si>
  <si>
    <t>1, Type II,  NGP 2983, CR no. 47204662-1</t>
  </si>
  <si>
    <t>DIAGNOSTIC X-RAY SERVICES (LEVEL 2)</t>
  </si>
  <si>
    <t>1, Type II, Plate No. NBZ 9533. CR No. 287520623</t>
  </si>
  <si>
    <t>Dr. Marilyn S. Abantao-Medical Specialist II/OIC-SCPH</t>
  </si>
  <si>
    <t>083-228-3506</t>
  </si>
  <si>
    <t>scph69@gmail.com</t>
  </si>
  <si>
    <t>Dr. Magdaleno A. Manugas Sr</t>
  </si>
  <si>
    <t>9657916992,
9334988841</t>
  </si>
  <si>
    <t>12-011-26-H2-1</t>
  </si>
  <si>
    <t>santissima_19@yahoo.com</t>
  </si>
  <si>
    <t>05-0019-26-H1-2</t>
  </si>
  <si>
    <t>DOH000000000004408</t>
  </si>
  <si>
    <t>Santa Elena</t>
  </si>
  <si>
    <t>M. Roxas St., Poblacion, Sta. Elena, Camarines Norte</t>
  </si>
  <si>
    <t>Norala</t>
  </si>
  <si>
    <t>ROSARY OF VIRGIN MARY HOSPITAL</t>
  </si>
  <si>
    <t>M.Roxas St. Corner Boston St. Poblacion</t>
  </si>
  <si>
    <t>NORALA DISTRICT HOSPITAL</t>
  </si>
  <si>
    <t>1, Type 1, Plate No. ABL9590, CR No. 202191356</t>
  </si>
  <si>
    <t>Dr. Noli D. Bayani</t>
  </si>
  <si>
    <t>054-8850764/
09151970072</t>
  </si>
  <si>
    <t>rovimahospital@gmail.com</t>
  </si>
  <si>
    <t>05-0024-26-H1-2</t>
  </si>
  <si>
    <t>Diagnostic X-ray (Level 2)
Pharmacy
HIV Testing Laboratory</t>
  </si>
  <si>
    <t>1, Type 1, F4Y-071, CR No. 454255115</t>
  </si>
  <si>
    <t>1328 Dasmariñas St., Brgy. 8, Daet,</t>
  </si>
  <si>
    <t>LEON D. HERNANDEZ MEMORIAL HOSPITAL, INC.</t>
  </si>
  <si>
    <t>Mila G. Quinton, MD, MHCA</t>
  </si>
  <si>
    <t>09394922020
083-234-1010</t>
  </si>
  <si>
    <t>noraladist@gmail.com</t>
  </si>
  <si>
    <t>1, Type 2, Plate No. NBB7225, CR No. 302407405</t>
  </si>
  <si>
    <t>12-034-26-H1-1</t>
  </si>
  <si>
    <t>Dr. Giselle D. Roll</t>
  </si>
  <si>
    <t>9152495330, 
09519721289,
(054) 571-2811</t>
  </si>
  <si>
    <t>ldhmh_docs@yahoo.com</t>
  </si>
  <si>
    <t>DOH000000000051912</t>
  </si>
  <si>
    <t>05-0008-26-H2-2</t>
  </si>
  <si>
    <t>Polomolok</t>
  </si>
  <si>
    <t>National Highway, Barangay Pagalungan</t>
  </si>
  <si>
    <t>POLOMOLOK GENERAL HOSPITAL</t>
  </si>
  <si>
    <t>Goa</t>
  </si>
  <si>
    <t>San Jose Street, Goa, Camarines Sur</t>
  </si>
  <si>
    <t>ST. JOHN HOSPITAL, INC. (GOA-NAGA CITY)</t>
  </si>
  <si>
    <t xml:space="preserve">Clinical Laboratory Add-Ons:
	Troponin I, HbA1c, Anti-HAV
</t>
  </si>
  <si>
    <t>Tinambac Municipal Hospital</t>
  </si>
  <si>
    <t>Dr. Ma. Teresita Panday</t>
  </si>
  <si>
    <t>2, Type 1, F4J661 , CR no. 431727365
SNN 1429 , CR no. 0057151043</t>
  </si>
  <si>
    <t>st.johnhospitalinc_goa@yahoo.com,
sjhgoa@gmail.com</t>
  </si>
  <si>
    <t>05-0010-26-H1-2</t>
  </si>
  <si>
    <t>Rosemarie S. Jesswani, MD, MHCA, FPPS</t>
  </si>
  <si>
    <t>09620414115
083-225-3698</t>
  </si>
  <si>
    <t>Iriga City</t>
  </si>
  <si>
    <t>polgenhos2024@gmail.com</t>
  </si>
  <si>
    <t>Highway 1, San Roque, Iriga City</t>
  </si>
  <si>
    <t>CHMSC LOURDES HOSPITAL</t>
  </si>
  <si>
    <t>12-012-26-H1-1</t>
  </si>
  <si>
    <t>Computed Tomography Level 2 (3/30/2026)</t>
  </si>
  <si>
    <t>DOH000000000034473</t>
  </si>
  <si>
    <t>ADD-ON: 
- OTHER CLINICAL CHEMISTRY EXAMINATION: TROPONIN I
- SEROLOGY/IMMUNOLOGY: THYROID FUNCTION TEST (FT3, FT4, TSH), HBa1C, PN-BNP, Magnesium, Total Bilirubin, Direct Bilirubin, Amylase, Total Protein, Albumin, PSA, HAV, HCV, Total Calcium, Ionized Calcium 
Xray Level 1: CT-Scan</t>
  </si>
  <si>
    <t>1, Type 1, GB4458, CR No. 295586583</t>
  </si>
  <si>
    <t>Dr. Josefino D.R. Catangui, Jr</t>
  </si>
  <si>
    <t>lhiriga@yahoo.com.ph</t>
  </si>
  <si>
    <t>05-0009-26-H1-2</t>
  </si>
  <si>
    <t>PROVINCE/ DISTRICT</t>
  </si>
  <si>
    <t>029 High Way 1, San Jose, Iriga City, Camarines Sur</t>
  </si>
  <si>
    <t>OUR LADY OF MEDIATRIX HOSPITAL</t>
  </si>
  <si>
    <t>2, Type 1, F3W177 , CR no. 47373797-2 
N2A509 , CR no. 450946506</t>
  </si>
  <si>
    <t xml:space="preserve">No. of Authorized Bed Capacity Per Region (as of June 30, 2024) </t>
  </si>
  <si>
    <t>Diagnostic X-ray Services (Level 2)        
Dialysis Clinic                                                               
Clinical Laboratory Add-Ons: TSH, FT3, FT4, Trop I, NT-proBNP, PSA, Phosphorus, Albumin, Total Calcium, Ionized Calcium, Anti-HAV, Anti-HCV, HbA1c</t>
  </si>
  <si>
    <t>Leila F. Quidilla, MD, FPPS, FPSN, FPNSP, MSHSM, FPCHA</t>
  </si>
  <si>
    <t>09177151962
083-238-5507</t>
  </si>
  <si>
    <t>1, Type 1, Plate No. FOR874, CR No. 00051020180320</t>
  </si>
  <si>
    <t>12-047-26-H1-1</t>
  </si>
  <si>
    <t>Dr. Lynie I. Gonzales</t>
  </si>
  <si>
    <t>9173245239,
09175800644, 
9453140511</t>
  </si>
  <si>
    <t>mediatrixhospital@yahoo.com</t>
  </si>
  <si>
    <t>05-0078-26-H1-2</t>
  </si>
  <si>
    <t>DOH000000000005420</t>
  </si>
  <si>
    <t>Isulan</t>
  </si>
  <si>
    <t>National Highway, Kalawag 2, District I Isulan, Sultan Kudarat</t>
  </si>
  <si>
    <t>SULTAN KUDARAT PROVINCIAL HOSPITAL</t>
  </si>
  <si>
    <t>Zone 2, Servants Of Jesus Avenue, Francia, Iriga City</t>
  </si>
  <si>
    <t>STA. MARIA JOSEFA HOSPITAL FOUNDATION, INC.</t>
  </si>
  <si>
    <t>ICU (3 BEDS)
X-RAY LEVEL 2
SPECIALIZED DIAGNOSTIC X-RAY: COMPUTED TOMOGRAPHY
DIALYSIS CLINIC</t>
  </si>
  <si>
    <t>Diagnostic X-ray Services, Pharmacy, rHIVda Confirmatory Laboratory</t>
  </si>
  <si>
    <t>1, Type 2, Plate No. ABR 6817, CR No. 233542352</t>
  </si>
  <si>
    <t>1, Type II, F5J026, CR no. 2300486403</t>
  </si>
  <si>
    <t>Dr. Nestor F. Santiago, jr.</t>
  </si>
  <si>
    <t>09772010392
09568126931
9690621052</t>
  </si>
  <si>
    <t>filipinas_stamariajosefa@yahoo.com
smjhfi_iriga@yahoo.com; smjhfi.hrdo@gmail.com</t>
  </si>
  <si>
    <t>05-0034-26-H1-2</t>
  </si>
  <si>
    <t>Rex Archangel S. Lamprea, MD</t>
  </si>
  <si>
    <t>(064) 201 3033</t>
  </si>
  <si>
    <t>skph12sulkud@yahoo.com</t>
  </si>
  <si>
    <t>12-020-26-H2-1</t>
  </si>
  <si>
    <t>Highway 1, San Jose, Iriga City</t>
  </si>
  <si>
    <t>VILLANUEVA-TANCHULING MATERNITY &amp; GENERAL HOSPITAL INCORPORATED</t>
  </si>
  <si>
    <t>DOH000000000037698</t>
  </si>
  <si>
    <t>Lebak</t>
  </si>
  <si>
    <t>Sitio Masurot, Brgy. Kinudalan</t>
  </si>
  <si>
    <t>SULTAN KUDARAT DISTRICT HOSPITAL</t>
  </si>
  <si>
    <t>SPECIALIZED DIAGNOSTIC X-RAY SERVICES: COMPUTED TOMOGRAPHY
Dialysis Clinic 
Immunology/Serology: Cardiac Markers – Troponin I, pro-BNP Special Chemistry: HbA1c Specialized Diagnostic XRay Services: Computed Tomography Add-on services on Clinical Laboratory: Thyroid Function Test: TSH, T3, T4,
FT3, FT4; Tumor Markers: B-HCG, CA-125, CEA, PSA; Serology Screening Test: HAV IgG/IgM, HCV, Salmonella
Typhi dot; Routing Special Chemistry: Bilirubin Profile (Total, Direct, and Indirect), ICa+, Mg, Phosphorus, Total
Protein, Albumin, Alkaline Phosphatase, Amylase, and Lipase)</t>
  </si>
  <si>
    <t>1, Type 1, Plate No. EAE3640, CR No. 0426374616</t>
  </si>
  <si>
    <t>Dr. Ray Tanchuling</t>
  </si>
  <si>
    <t>vtanchulinghospital@gmail.com</t>
  </si>
  <si>
    <t>05-0015-26-H1-2</t>
  </si>
  <si>
    <t>1, Type 1, F4T764  CR no. 454254986</t>
  </si>
  <si>
    <t>Nabua</t>
  </si>
  <si>
    <t>Sta. Elena, Baras, Nabua, Camarines Sur</t>
  </si>
  <si>
    <t>MEDICAL MISSION GROUP HOSPITAL &amp; HEALTH SERVICES COOPERATIVE OF CAMARINES SUR</t>
  </si>
  <si>
    <t>Henry L. Lastimoso, MD, MPA, FPSMS</t>
  </si>
  <si>
    <t>09272427263
064-205-3353</t>
  </si>
  <si>
    <t>skdhlebak@gmail.com</t>
  </si>
  <si>
    <t>12-038-26-H1-1</t>
  </si>
  <si>
    <t>Hemodialysis Clinic 
Clinical Laboratory Add-Ons: 
Special Blood Chemistry (Amylase, Albumin, Phosphorous, Total Protein, HBA1c)
Cardiac Markers (Troponin I, Quantitative Pro BNP)
Immunology/Serological testing: (TSH, FT3, FT4, Hepatitis A, Hepatitis C, PSA)</t>
  </si>
  <si>
    <t>1,  Type 1, Plate No. EAH 2151</t>
  </si>
  <si>
    <t>Agusan del Norte</t>
  </si>
  <si>
    <t>Butuan City</t>
  </si>
  <si>
    <t>Dr. Godofredo B. Belmonte</t>
  </si>
  <si>
    <t>Brgy. Libertad, Butuan City</t>
  </si>
  <si>
    <t>054-5555/
2881156/
09190789902</t>
  </si>
  <si>
    <t>AGUSAN DEL NORTE PROVINCIAL HOSPITAL</t>
  </si>
  <si>
    <t>mmgcamsur@yahoo.com.ph</t>
  </si>
  <si>
    <t>05-0032-26-H1-2</t>
  </si>
  <si>
    <t>Central Business District Ii, Barangay Triangulo, Naga City, Camarines Sur</t>
  </si>
  <si>
    <t>BICOL ACCESS HEALTH CENTRUM</t>
  </si>
  <si>
    <t>HIV  Testing Lab, Laboratory for Drinking and Water Analysis, X-Ray Level 3 &gt; rHIVda Confirmatory Laboratory</t>
  </si>
  <si>
    <t>Type 2/ Plate no. 130106</t>
  </si>
  <si>
    <t>Ambulatory Surigcal Clinic: General Surgery and Ophthalmology 
X-Ray Level III, Specialized Diagnostic X-Ray Services: Computed Tomography, Bone Densitometry, Dental, Mammography, Cardiac Catheterization</t>
  </si>
  <si>
    <t>1, Type II, Plate No. UQJ382, CR No. 192877974</t>
  </si>
  <si>
    <t>Dr. Rosalita Almoneta-Prado</t>
  </si>
  <si>
    <t>Odelio Y. Ferrer, MD.,MBA-HA, FICS, FMAS</t>
  </si>
  <si>
    <t>bicolaccesshealthcentrum2015@yahoo.com.ph</t>
  </si>
  <si>
    <t>05-0010-26-H2-2</t>
  </si>
  <si>
    <t>Cbd2, Roxas Avenue, Diversion Road, Triangulo, Naga City</t>
  </si>
  <si>
    <t>NICC DOCTORS’ HOSPITAL</t>
  </si>
  <si>
    <t>Hemodialysis Clinic (7 Stations)
Diagnostic X-ray Services (Level 3)
Specialized Diagnostic X-ray Services: Computed Tomography
Magnetic Resonance Imaging
Physical Medicine and Rehabilitation
Ambulatory Surgical Clinic: Ophthalmologic Ambulatory Surgery
Cancer Treatment Unit in a General Hospital-Systemic</t>
  </si>
  <si>
    <t>adnph@yahoo.com</t>
  </si>
  <si>
    <t>1, Type II, Plate No. EBY 712  CR No. 183330685</t>
  </si>
  <si>
    <t>16-10-26-H1-1</t>
  </si>
  <si>
    <t>Winston Y. De Vera, MD, MHA, DipHLM, FPCHA</t>
  </si>
  <si>
    <t>9989762313
9171352707</t>
  </si>
  <si>
    <t>info@niccdoctorshospital.com
niccdoctorshospital@gmail.com</t>
  </si>
  <si>
    <t>05-0012-26-H2-2</t>
  </si>
  <si>
    <t>Brgy. Tiniwisan, Butuan City</t>
  </si>
  <si>
    <t>BUTUAN MEDICAL CENTER</t>
  </si>
  <si>
    <t>Panganiban Drive, Tinago, Naga City</t>
  </si>
  <si>
    <t>ST. JOHN HOSPITAL, INC.</t>
  </si>
  <si>
    <t>Xray Level 2</t>
  </si>
  <si>
    <t>JHJA Transport Service</t>
  </si>
  <si>
    <t>Blood Collecting Unit, rHIV Confirmatory, HIV Testing Laboratory, Specialized Diagnostic X-ray Services</t>
  </si>
  <si>
    <t>Dr. Jose Pierre A. Panday</t>
  </si>
  <si>
    <t>(054)2063734</t>
  </si>
  <si>
    <t>stjohn72_naga_4400@yahoo.com</t>
  </si>
  <si>
    <t>05-0023-26-H1-2</t>
  </si>
  <si>
    <t>Helen Maquiling, MD</t>
  </si>
  <si>
    <t>815-2648</t>
  </si>
  <si>
    <t>Roxas Avenue, Triangulo, Naga City, Camarines Sur</t>
  </si>
  <si>
    <t>UNIVERSIDAD DE STA. ISABEL DE NAGA, INC.</t>
  </si>
  <si>
    <t>DOH002143</t>
  </si>
  <si>
    <t>Dialysis Station ;
Blood Bank;
HIV Testing Laboratory
Specilaized Diagnostic X-ray Services: Computed Tomography;
Dental Service</t>
  </si>
  <si>
    <t>Agusan del Sur</t>
  </si>
  <si>
    <t>Bunawan</t>
  </si>
  <si>
    <t>Bunawan, Agusan Del Sur</t>
  </si>
  <si>
    <t>VALENTINA GALIDO PLAZA MEMORIAL HOSPITAL</t>
  </si>
  <si>
    <t>Dr. Eileen S. Navarroza</t>
  </si>
  <si>
    <t>09064034345 
(054) 8810504</t>
  </si>
  <si>
    <t>mshospital2004@yahoo.com</t>
  </si>
  <si>
    <t>DOH001873</t>
  </si>
  <si>
    <t>Barangay Valencia, Virac, Catanduanes</t>
  </si>
  <si>
    <t>CATANDUANES DOCTORS HOSPITAL, INC.</t>
  </si>
  <si>
    <t>Maria Virginia O. Fuentes-Abacajen, MD, MAHA</t>
  </si>
  <si>
    <t>Hemodialysis Clinic 
Specialized Diagnostic X-ray Services: Level 2: Computed Tomography and Mammography
Blood Bank with Additional Function (Processing)
Physical Medicine and Rehabilitation Unit</t>
  </si>
  <si>
    <t>vgpmh.official@gmail.com</t>
  </si>
  <si>
    <t>1, Type II, Plate No. EAL 6296, CR No. 0501-26-773613, CS-S0979B</t>
  </si>
  <si>
    <t>16-5-26-H1-1</t>
  </si>
  <si>
    <t>Dr. Ivan Gil Balmadrid</t>
  </si>
  <si>
    <t>information.cdhi@gmail.com</t>
  </si>
  <si>
    <t>05-0018-26-H2-2</t>
  </si>
  <si>
    <t>Prosperidad</t>
  </si>
  <si>
    <t>Prosperidad, Agusan Del Sur</t>
  </si>
  <si>
    <t>D.O. PLAZA MEMORIAL HOSPITAL</t>
  </si>
  <si>
    <t>E. Rafael St., Rawis, Virac, Catanduanes</t>
  </si>
  <si>
    <t>Capital District
(1st District)</t>
  </si>
  <si>
    <t>IMMACULATE HEART OF MARY HOSPITAL, INC.</t>
  </si>
  <si>
    <t>Specialized Diagnostic X-Ray Service: Computed Tomography</t>
  </si>
  <si>
    <t>1, TYPE II, PLATE NO. NAH 6854, CR. NO. 318985656</t>
  </si>
  <si>
    <t>Dr. Xylene C. Segismundo</t>
  </si>
  <si>
    <t>Blood Bank, rHIV Confirmatory Laboratory, HIV Testing Laboratory, Laboratory for Drinking Water Analysis, Specialized Diagnostic X-ray Services</t>
  </si>
  <si>
    <t>09327100514/
09686253636</t>
  </si>
  <si>
    <t>ihmh_2017@yahoo.com</t>
  </si>
  <si>
    <t>05-0005-26-H2-2</t>
  </si>
  <si>
    <t xml:space="preserve">Em Kenneth O. Sagrada, MD. </t>
  </si>
  <si>
    <t>Diversion Road, Cabid-An, Sorsogon City</t>
  </si>
  <si>
    <t>343-74-41/ 343-74-20/343-73-43</t>
  </si>
  <si>
    <t>METRO HEALTH SPECIALISTS HOSPITAL, INC.</t>
  </si>
  <si>
    <t>dopmhagusan@gmail.com</t>
  </si>
  <si>
    <t>DOH004611</t>
  </si>
  <si>
    <t xml:space="preserve">Specialized Diagnostic X-Ray Services: Mammography &amp; Computed Tomography, MRI 
Hemodialysis Clinic 
Physical Medicine and Rehabilitation Unit 
Cancer Treatment Unit in a General Hospital (systemic)
</t>
  </si>
  <si>
    <t>1, Type 2, Plate No.: NBS 7986; CR No.: 347245231</t>
  </si>
  <si>
    <t>Talacogon</t>
  </si>
  <si>
    <t>San Isidro, Talacogon, Agusan Del Sur</t>
  </si>
  <si>
    <t>TALACOGON DISTRICT HOSPITAL</t>
  </si>
  <si>
    <t>Dr. Leonardo C. Lu</t>
  </si>
  <si>
    <t>metrohealthshi@yahoo.com</t>
  </si>
  <si>
    <t>05-0009-26-H2-2</t>
  </si>
  <si>
    <t>Pangpang, Sorsogon City</t>
  </si>
  <si>
    <t>Pharmacy, X-ray (Level 1)</t>
  </si>
  <si>
    <t>SORSOGON MEDICAL MISSION GROUP HOSPITAL AND HEALTH SERVICES COOPERATIVE</t>
  </si>
  <si>
    <t>Type 1/ Plate no. F4T728</t>
  </si>
  <si>
    <t xml:space="preserve">DIALYSIS CLINIC  
X-RAY (LEVEL 3)
SPECIALIZED DIAGNOSTIC X-RAY SERVICES:
COMPUTED TOMOGRAPHY
DENTAL X-RAY
AMBULATORY SURGICAL CLINIC: Urologic Surgery
Physical Medicine and Rehabilitation Uint
</t>
  </si>
  <si>
    <t>Rolly Boy T. Dacera, MD</t>
  </si>
  <si>
    <t>1 TYPE II, PLATE NO.:NBZ 2473</t>
  </si>
  <si>
    <t>tdh_talacogonads@yahoo.com</t>
  </si>
  <si>
    <t>16-13-26-H1-1</t>
  </si>
  <si>
    <t>Dr. Verdi Joy R. Gamad</t>
  </si>
  <si>
    <t>sorsogonmmg@yahoo.com</t>
  </si>
  <si>
    <t>05-0017-26-H2-2</t>
  </si>
  <si>
    <t>3852 Rizal St., Piot, Sorsogon City</t>
  </si>
  <si>
    <t>CHACON GENERAL HOSPITAL</t>
  </si>
  <si>
    <t>ADD ON SERVICES IN CLINICAL LABORATORY 
Other Clinical Chemistry Examinations: Magnesium, Amylase, Procalcitonin, TPAG and Bilirubin and Troponin-I, LDH, Inorganic Phosporus, Alkaline Phospatase, HbA1c, Ferritin, AFP
Other Immunology/Serology Examinations: CA 125, CEA, CA 19-9, PSA, CRP and Beta HCG, TSH, FT3, FT4, T3 and T4, D-dimer, TB Igra, ASO, Pro-BNP, 3 N1CTnl, Myo/CK-MC, Salmonella IgG/IgM, LH, FSH, Prolactin, Progesterone, AMH, HCV, H.Pylori Ag., HAV IgG/IgM
Other Hematology: PT, APTT
Ambulatory Surgical Clinic-Ophthalmologic Surgery 
Specialized Xray: Computed Tomography</t>
  </si>
  <si>
    <t>1, Type 1, Plate No. NEV6314, CR No. 436859986</t>
  </si>
  <si>
    <t>Dr. Alberto S. Chacon</t>
  </si>
  <si>
    <t>09319305336
09369249293</t>
  </si>
  <si>
    <t>chacongeneralhospital@gmail.com</t>
  </si>
  <si>
    <t>05-0001-26-H1-2</t>
  </si>
  <si>
    <t>Type 1, Plate No. F5X230</t>
  </si>
  <si>
    <t>N.A</t>
  </si>
  <si>
    <t>P5 Road Balogo, Sorsogon City, Sorsogon</t>
  </si>
  <si>
    <t>GSAC GENERAL HOSPITAL, INC.</t>
  </si>
  <si>
    <t>X-Ray: Level 2
Additional services in Clinical Laboratory: Thyroid Function (TSH, FT3, FT4, T3, T4) and Cardiac Marker (Troponin -I)
Dialysis Clinic
IMMUNOLOGY/SEROLOGY: Inorganic Phosphorus, Albumin, Alkaline Phosphate, Bilirubin, Total &amp; Direct Bilirubin, Calcium Amylase, Magnesium, Glycosylated Hemoglobin, Total Protein;  Procalcitonin, PSA
Dental Clinic
NICU
ICU (3 beds included in ABC)</t>
  </si>
  <si>
    <t>16-7-26-H1-1</t>
  </si>
  <si>
    <t>1, Type 1, Plate No. EAE 8205, CR No. 44705934-0</t>
  </si>
  <si>
    <t>Dr. Mario Euric Alerta</t>
  </si>
  <si>
    <t>gghi@gsac.coop</t>
  </si>
  <si>
    <t>Placer</t>
  </si>
  <si>
    <t>05-0003-26-H1-2</t>
  </si>
  <si>
    <t>Brgy. Sta. Cruz, Placer, Surigao Del Norte</t>
  </si>
  <si>
    <t>SURIGAO DEL NORTE PROVINCIAL HOSPITAL</t>
  </si>
  <si>
    <t>Sitio Pulangbato, Brgy. Kinamaligan, Masbate City</t>
  </si>
  <si>
    <t>DIOCESAN HOSPITAL OF SAN ANTONIO DE PADUA (formerly DIOCESAN MEDICAL FOUNDATION OF SAN ANTONIO DE PADUA, INC)</t>
  </si>
  <si>
    <t>Specialized Diagnostic X-ray services: Computed Tomography, Ambulatory Surgical Clinic (Ophthalmologic Surgery), Clinical chemistry: Amylase, Total Protein, Albumin, Total Bilirubin, Direct Bilirubin, Ionized Calcium, iCa, pH, Immunology/Serology: Ferritin, Troponin I, CRP, PSA, NT-pro BNP, Beta-hCG, Alpha-fetoprotein, D-dimer, H.pylori Ag, H-pylori Ab, Anti-streptolysin O, S., Anti-HBS, Malaria Pf/Pan, Anti-HAV (IgM/IgG), TSH, T3, T4, FT3, FT4, S.typhi IgG/IgM</t>
  </si>
  <si>
    <t>Eastern Manila District
(2nd District)</t>
  </si>
  <si>
    <t>1 Type 1, Plate No. GAN 1190, CR No. 37457125-6</t>
  </si>
  <si>
    <t>Type 1/ Plate no. SAA 6865</t>
  </si>
  <si>
    <t>Dr. Rosalea R. Aguilar</t>
  </si>
  <si>
    <t>(056)5880739
9463127322</t>
  </si>
  <si>
    <t>dmfsapinc@gmail.com</t>
  </si>
  <si>
    <t>Jamallodin S.Demao, MD</t>
  </si>
  <si>
    <t>05-0014-26-H1-2</t>
  </si>
  <si>
    <t>sdnph2014@gmail.com</t>
  </si>
  <si>
    <t>16-11-26-H1-1</t>
  </si>
  <si>
    <t>Tiwi</t>
  </si>
  <si>
    <t>Purok Santol, Nagas, Tiwi, Albay</t>
  </si>
  <si>
    <t>TIWI DOCTORS HOSPITAL</t>
  </si>
  <si>
    <t>Xray Level 2
Additional Services: Troponin-I, HBA1c, TSH, T3, T4, Amylase, FT3, FT4</t>
  </si>
  <si>
    <t>Northern Manila District (Camanava) (3rd District)</t>
  </si>
  <si>
    <t>1 unit</t>
  </si>
  <si>
    <t>RHU Tiwi Primary Care Facility</t>
  </si>
  <si>
    <t>Lemuel C. Trayvilla, MD</t>
  </si>
  <si>
    <t>tiwidoctorshospital@gmail.com</t>
  </si>
  <si>
    <t>05-0004-26-H1-2</t>
  </si>
  <si>
    <t>Brgy. Andagao</t>
  </si>
  <si>
    <t>AKLAN COOPERATIVE MISSION HOSPITAL</t>
  </si>
  <si>
    <t xml:space="preserve">Diagnostic X-ray Services (Level 2)
Tertiary Clinical Laboratory, Intensive Care Unit (ICU), Neonatal Intensive Care Unit (NICU), Respiratory Unit
</t>
  </si>
  <si>
    <t>1 / I / CS GB 6930 CR 321874313</t>
  </si>
  <si>
    <t>Southern Manila District
(4th District)</t>
  </si>
  <si>
    <t>Dr. Oscar J. Hilario</t>
  </si>
  <si>
    <t>036-268-3855-56</t>
  </si>
  <si>
    <t>ampc_acmh@yahoo.com</t>
  </si>
  <si>
    <t>06-0004-26-H1-2</t>
  </si>
  <si>
    <t>Bislig City</t>
  </si>
  <si>
    <t>National Highway, Bislig City</t>
  </si>
  <si>
    <t>BISLIG DISTRICT HOSPITAL</t>
  </si>
  <si>
    <t>Judge Martelino Ave., Andagao</t>
  </si>
  <si>
    <t>ASIA PACIFIC MEDICAL CENTER (APMC) - AKLAN, INC.</t>
  </si>
  <si>
    <t>SUB-TOTAL</t>
  </si>
  <si>
    <t>Diagnostic x-ray service (level 3), Specialized Diagnostic X-Ray Service: Computed Tomography, Mammography, Dental and Cardiac Catheterization, Dialysis Clinic (15 stations), Physical Medicine and Rehabilitation Unit, Satellite Pharmacy, TB IGRA Test, Ambulatory Surgical Clinic (colorectal, general, ophthalmologic, othopedic, otorhinolaryngologic, pediatric, plastic and reconstructive, reproductive health, thoracic and urologic surgery)</t>
  </si>
  <si>
    <t>1 / Type II / NIN 6185</t>
  </si>
  <si>
    <t>Dr. Mary Karen Veronica Icamina</t>
  </si>
  <si>
    <t>officeofthemedicaldirector@apmcaklan.com</t>
  </si>
  <si>
    <t>06-0012-26-H2-2</t>
  </si>
  <si>
    <t>Brgy. Estancia</t>
  </si>
  <si>
    <t>Type 1/ Plate no. NFW 4522</t>
  </si>
  <si>
    <t>PANAY HEALTH CARE MULTI-PURPOSE COOPERATIVE</t>
  </si>
  <si>
    <t>Dr. Elenila I. Jakosalem</t>
  </si>
  <si>
    <t>853-60-08</t>
  </si>
  <si>
    <t>bdh_bislig@yahoo.com</t>
  </si>
  <si>
    <t>Diagnostic X-Ray Services (Level 3), Specialized Diagnostic X-Ray Service: Computed Tomography, Mammography and Bone Densitometry, Dialysis Clinic (12 Stations), Physical Medicine and Rehabilitation Unit, Ambulatory Surgical Clinic (otorhinolaryngologic, general, reproductive health and Orthopedic surgery), Cancer treatment unit: systemic therapy</t>
  </si>
  <si>
    <t>1 / Type II / NGD 3227 and 1 / Type I / AAX 3661</t>
  </si>
  <si>
    <t>Dr. Gilda L. Villanueva</t>
  </si>
  <si>
    <t>036-268-3475, 268-3486</t>
  </si>
  <si>
    <t>Hinatuan</t>
  </si>
  <si>
    <t>Hinatuan, Surigao Del Sur</t>
  </si>
  <si>
    <t>HINATUAN DISTRICT HOSPITAL</t>
  </si>
  <si>
    <t>phcmpc@yahoo.com</t>
  </si>
  <si>
    <t>06-0001-26-H2-2</t>
  </si>
  <si>
    <t>Arch. G. M. Reyes, Barangay Poblacion</t>
  </si>
  <si>
    <t>SAINT GABRIEL MEDICAL CENTER, INC.</t>
  </si>
  <si>
    <t>Type 1, Plate No. 16-10-23-h1-1</t>
  </si>
  <si>
    <t>Dialysis Clinic (10 Stations), Specialized Diagnostic X-Ray Service: Computed Tomography</t>
  </si>
  <si>
    <t>1 / Type II / UCO 792</t>
  </si>
  <si>
    <t>Dr. Danilo J. Viola, MCH, FPSMS</t>
  </si>
  <si>
    <t>853-51-12/ 52-46</t>
  </si>
  <si>
    <t>hinatuandistricthospital74@gmail.com</t>
  </si>
  <si>
    <t>Dr. Jacinta S. Legaspi</t>
  </si>
  <si>
    <t>036-268-3710</t>
  </si>
  <si>
    <t>16-16-26-H1-1</t>
  </si>
  <si>
    <t>stgabmedicalcenter@yahoo.com</t>
  </si>
  <si>
    <t>06-0003-26-H2-2</t>
  </si>
  <si>
    <t>Lianga</t>
  </si>
  <si>
    <t>1377 F. Quimpo Street, Brgy. Poblacion</t>
  </si>
  <si>
    <t>Lianga, Surigao Del Sur</t>
  </si>
  <si>
    <t>SAINT JUDE'S HOSPITAL, INC.</t>
  </si>
  <si>
    <t>LIANGA DISTRICT HOSPITAL</t>
  </si>
  <si>
    <t xml:space="preserve">Tumor Markers, Cardiac Markers,
C-Reactive Protein, D-Dimer,
B-HCG, Thyroid Function Tests
</t>
  </si>
  <si>
    <t>1 / I / FJD 477 CR 165586665</t>
  </si>
  <si>
    <t>Dr. Mikhail Jude L. Opay</t>
  </si>
  <si>
    <t>X-ray (Level 2)</t>
  </si>
  <si>
    <t>036-262-3290</t>
  </si>
  <si>
    <t>stjudehospital_kalibo@yahoo.com</t>
  </si>
  <si>
    <t>06-0014-26-H1-2</t>
  </si>
  <si>
    <t>Plate no. 150110 Plate no. 3318             CR 283576344</t>
  </si>
  <si>
    <t>Brgy. San Angel</t>
  </si>
  <si>
    <t>ANTIQUE MEDICAL CENTER, INC.</t>
  </si>
  <si>
    <t>Dr. Josenita C. Quisil, MCH</t>
  </si>
  <si>
    <t>liangadistricthospital@gmail.com</t>
  </si>
  <si>
    <t>16-2-26-H1-1</t>
  </si>
  <si>
    <t>Specialized Diagnostic X-Ray Service: Computed Tomography and Mammography, Physical Medicine and Rehabilitation Unit, Dialysis Clinic (12 stations), Practice-based Residency Training Program in Family and Community Medicine</t>
  </si>
  <si>
    <t>1 / Type II / NAC 5785</t>
  </si>
  <si>
    <t>Madrid</t>
  </si>
  <si>
    <t>Dr. Samuel Tonogan Sr.</t>
  </si>
  <si>
    <t>Madrid, Surigao Del Sur</t>
  </si>
  <si>
    <t>036-540-8766</t>
  </si>
  <si>
    <t>MADRID DISTRICT HOSPITAL</t>
  </si>
  <si>
    <t>antiquemedical@gmail.com</t>
  </si>
  <si>
    <t>06-0020-26-H2-2</t>
  </si>
  <si>
    <t>Type 1/ Plate no. 100103</t>
  </si>
  <si>
    <t>Dr. Algerico H. Irizari</t>
  </si>
  <si>
    <t>086-213-4111</t>
  </si>
  <si>
    <t>madrid_dh@yahoo.com</t>
  </si>
  <si>
    <t>Brgy. Lawaan, First District</t>
  </si>
  <si>
    <t>16-3-26-H1-1</t>
  </si>
  <si>
    <t>CAPIZ DOCTORS' HOSPITAL</t>
  </si>
  <si>
    <t>Marihatag</t>
  </si>
  <si>
    <t>Marihatag, Surigao Del Sur</t>
  </si>
  <si>
    <t>Specialized diagnostic x-ray services: Computed Tomography, Physical Medicine and Rehabilitation Unit,  Dialysis Clinic (Main Hospital Bldg - 2 stations and New 2-storey Bldg - 10 stations)</t>
  </si>
  <si>
    <t>MARIHATAG DISTRICT HOSPITAL</t>
  </si>
  <si>
    <t>1 / Type II / FAB 2311</t>
  </si>
  <si>
    <t>Dr. Jo-Anne V. Bisnar</t>
  </si>
  <si>
    <t>036-6215-675, 6215-673</t>
  </si>
  <si>
    <t>cdhospital@gmail.com,cdhospital1997@yahoo.com</t>
  </si>
  <si>
    <t>06-0011-26-H2-2</t>
  </si>
  <si>
    <t>Type 1/ Plate no. P-4-N759</t>
  </si>
  <si>
    <t>Roxas Avenue</t>
  </si>
  <si>
    <t>Edmund L. Lamela, MD.,MPH.,FPSMS</t>
  </si>
  <si>
    <t>CAPIZ EMMANUEL HOSPITAL, INC.</t>
  </si>
  <si>
    <t>mdhmsds@gmail.com</t>
  </si>
  <si>
    <t>Dailysis Clinic (10 stations), Physical Medicine and Rehabilitation Unit</t>
  </si>
  <si>
    <t>1 / Type II / FAB 4167</t>
  </si>
  <si>
    <t>16-4-26-H1-1</t>
  </si>
  <si>
    <t>Dr. Carlo Ben Losande</t>
  </si>
  <si>
    <t>036-6214-761</t>
  </si>
  <si>
    <t>ceh_inc@yahoo.com</t>
  </si>
  <si>
    <t>06-0010-26-H2-2</t>
  </si>
  <si>
    <t>San Roque Extension, Brgy. VIII</t>
  </si>
  <si>
    <t>ST. ANTHONY COLLEGE HOSPITAL</t>
  </si>
  <si>
    <t>Dialysis Clinic (10 stations), Specialized Diagnostic X-Ray Services: Computed Tomography, Physical Medicine and Rehabilitation Unit</t>
  </si>
  <si>
    <t>1 / Type II / AAH 7361</t>
  </si>
  <si>
    <t>Dr. Jose Ascencion Arancillo</t>
  </si>
  <si>
    <t>036-6210-434, 6210-431</t>
  </si>
  <si>
    <t>sacroxas2015@gmail.com</t>
  </si>
  <si>
    <t>06-0004-26-H2-2</t>
  </si>
  <si>
    <t>Teodorica Avenue, Banica</t>
  </si>
  <si>
    <t>THE HEALTH CENTRUM, INC.</t>
  </si>
  <si>
    <t>Dialysis Clinic (5 stations), Physical Medicine and Rehabilitation Unit, Diagnostic X-Ray Services (Level 3), Specialized Diagnostic X-Ray Service: Computed Tomography, Magnetic Resonance Imaging</t>
  </si>
  <si>
    <t>1 / Type II / FAA 2997</t>
  </si>
  <si>
    <t>Dr. Omar John Mejia</t>
  </si>
  <si>
    <t>036-6201-023, 6219-088</t>
  </si>
  <si>
    <t>ad.thehealthcentrum@gmail.com</t>
  </si>
  <si>
    <t>06-0008-26-H2-2</t>
  </si>
  <si>
    <t>astmmc@caraga.doh.gov.ph</t>
  </si>
  <si>
    <t>DOH000000000000719</t>
  </si>
  <si>
    <t>GUIMARAS SPECIALIST MEDICAL CENTER, INC.</t>
  </si>
  <si>
    <t>Dialysis Clinic (8 stations)</t>
  </si>
  <si>
    <t>1 / Type II / NFA 9259</t>
  </si>
  <si>
    <t>450 A. Mabini St., Caloocan City</t>
  </si>
  <si>
    <t>CALOOCAN CITY MEDICAL CENTER</t>
  </si>
  <si>
    <t>Dr. Tomas Saiton</t>
  </si>
  <si>
    <t>gsmciguimaras@gmail.com</t>
  </si>
  <si>
    <t>06-0019-26-H2-2</t>
  </si>
  <si>
    <t>Brgy. Ungka, Jaro</t>
  </si>
  <si>
    <t>ASIA PACIFIC MEDICAL CENTER - ILOILO, INC.</t>
  </si>
  <si>
    <t>Diagnostic X-ray Services (Level 3), Specialized Diagnostic X-Ray Services: Computed Tomography and Mammography, Blood Bank (With Additional Function), Physical Medicine and Rehabilitation Unit, HIV Testing Laboratory, Dialysis Clinic (8 stations)</t>
  </si>
  <si>
    <t>Computed Tomography; rHIVa confirmatory lab.</t>
  </si>
  <si>
    <t>1 / Type II / NIA 8302</t>
  </si>
  <si>
    <t>Dr. Felix Nolasco</t>
  </si>
  <si>
    <t>1 (type I-BLS, CS No. A7E860)</t>
  </si>
  <si>
    <t>339-9991</t>
  </si>
  <si>
    <t>customercare@apmc-iloilo.com</t>
  </si>
  <si>
    <t>06-0006-26-H2-2</t>
  </si>
  <si>
    <t>Ayala Atria Park District, Don Donato Pison Ave., Brgy. San Rafael, Mandurriao</t>
  </si>
  <si>
    <t>HEALTHWAY QUALIMED HOSPITAL ILOILO</t>
  </si>
  <si>
    <t>Diagnostic X-ray Services (Level 3), Specialized Diagnostic X-ray Services: Computed Tomography, Mammography and Magnetic Resonance Imaging, Dialysis Clinic (11 stations), Physical Medicine and Rehabilitation Unit (Panay Medical Rehabilitation Center), Ambulatory Surgical Clinic ( Colorectal, General, Oral-Maxillo-Facial, Ophthalmologic, Orthopedic, Pediatric, Plastic and Reconstructive, Reproductive Health, Otolaryngologic, Thoracic and Urologic Surgery),</t>
  </si>
  <si>
    <t>1/ Type II / ADA 4291</t>
  </si>
  <si>
    <t>Dr. Venerio Gasataya</t>
  </si>
  <si>
    <t>033-500-4000</t>
  </si>
  <si>
    <t>qualimed.ilo@qualimed.com.ph</t>
  </si>
  <si>
    <t>Dr. Grace S. Tanabe</t>
  </si>
  <si>
    <t>5318-3100/09178835857</t>
  </si>
  <si>
    <t>ccmc.2013@yahoo.com</t>
  </si>
  <si>
    <t>06-0016-26-H2-2</t>
  </si>
  <si>
    <t>13-0025-26-H1-1</t>
  </si>
  <si>
    <t>West Avenue, Taal, Molo, Iloilo , City</t>
  </si>
  <si>
    <t>ILOILO DOCTORS HOSPITAL, INCORPORATED</t>
  </si>
  <si>
    <t>DOH000000000034482</t>
  </si>
  <si>
    <t>HIV Testing Laboratory, Specialized Diagnostic X-Ray Services (Computed Tomograpy &amp; Mammograpy, Bone Densitometry)</t>
  </si>
  <si>
    <t>1 Type II-ALS, Plate No. FFY134</t>
  </si>
  <si>
    <t>Camarin Road, Brgy. 177, Caloocan City</t>
  </si>
  <si>
    <t>Dr. Rolando S. Padilla Jr.</t>
  </si>
  <si>
    <t>CALOOCAN CITY NORTH MEDICAL CENTER</t>
  </si>
  <si>
    <t>iloilodoctorshospital.adm@gmail.com</t>
  </si>
  <si>
    <t>DOH005567</t>
  </si>
  <si>
    <t>DECREASE ABC FROM 250 TO 200 (10/10/2024)/ Add'l Services:  Specialized Diag. X-ray: Bone Densitometry-5/13/2025. Note: Dr. Andrea L. Paredes as Chairman of Pathology and Laboratoy effective Dec. 17, 2025.</t>
  </si>
  <si>
    <t>Mission Road, Jaro, Iloilo City, Iloilo</t>
  </si>
  <si>
    <t>ILOILO MISSION HOSPITAL, INC.</t>
  </si>
  <si>
    <t>Computed Tomography, Mammography; rHIVda Confirmatory Laboratory</t>
  </si>
  <si>
    <t>1 (Type I-BLS, CS No. A6U793)</t>
  </si>
  <si>
    <t>HIV Testing Laboratory, Pharmacy (2), Sepcialized Diagnostic X-ray Services</t>
  </si>
  <si>
    <t>Dr. Maybelle P. Sison</t>
  </si>
  <si>
    <t>Dr. Elmer Pedregosa</t>
  </si>
  <si>
    <t>82823397 / 09190052829</t>
  </si>
  <si>
    <t>. 320-03-15 to 19 Loc. 5039</t>
  </si>
  <si>
    <t>ccnmc16@gmail.com</t>
  </si>
  <si>
    <t>admnoffice.imh1901@gmail.com</t>
  </si>
  <si>
    <t>DOH005614</t>
  </si>
  <si>
    <t>13-0010-26-H1-1</t>
  </si>
  <si>
    <t>R.V. Bernardo Avenue, Brgy. San Rafael, Mandurriao</t>
  </si>
  <si>
    <t>MEDICUS MEDICAL CENTER</t>
  </si>
  <si>
    <t>Specialized Diagnostic X-Ray Services: Computed Tomography, Mammography and Digital Subtraction Angiography, HIV Testing Laboratory, Dialysis Clinic (2 stations)</t>
  </si>
  <si>
    <t>1 / Type II / FAC 2786</t>
  </si>
  <si>
    <t>Dr. Marcelo Jaen</t>
  </si>
  <si>
    <t>328-7777</t>
  </si>
  <si>
    <t>ohd@medicusmedicalcenter.com</t>
  </si>
  <si>
    <t>Blood Bank with additional function, Laboratory for Drinking Water Analysis, Sanitarium (1,900 beds), Special Diagnostic X-ray Services, rHIVda Confirmatory</t>
  </si>
  <si>
    <t>06-0013-26-H2-2</t>
  </si>
  <si>
    <t>6 (Type II-ALS, Plate No. SLA672, 030110, GB6438, F4J680, F4H394, N2A519, F20991</t>
  </si>
  <si>
    <t>Metropolis Avenue, Tagbak, Jaro</t>
  </si>
  <si>
    <t>METRO ILOILO HOSPITAL AND MEDICAL CENTER, INC.</t>
  </si>
  <si>
    <t>Dr. Alfonso Victorino Famaran, Jr.</t>
  </si>
  <si>
    <t>962-8209</t>
  </si>
  <si>
    <t>Specialized Diagnostic X-Ray Services: Computed Tomography and Mammography, Physical Medicine and Rehabilitation Unit, Dialysis Clinic (10 stations)</t>
  </si>
  <si>
    <t>1 / Type II / FAJ 6016</t>
  </si>
  <si>
    <t>12/31/2026</t>
  </si>
  <si>
    <t xml:space="preserve">Quirino	</t>
  </si>
  <si>
    <t>Dr. Roberto S. Lozada</t>
  </si>
  <si>
    <t>327-1527</t>
  </si>
  <si>
    <t>mihmci.iloilo@gmail.com</t>
  </si>
  <si>
    <t>06-0018-26-H2-2</t>
  </si>
  <si>
    <t>Oñate Street, Brgy. Oñate De Leon, Mandurriao</t>
  </si>
  <si>
    <t>SEAMEN'S HOSPITAL - ILOILO</t>
  </si>
  <si>
    <t>Blood Bank wtih additional function, rHIVda Confirmatory Laboratory, HIV Testing Laboratory, Specialized Diagnostic X-Ray Services</t>
  </si>
  <si>
    <t>2 (Type II-ALS, Plate No. F4H517)</t>
  </si>
  <si>
    <t>1 / Type II / S7 E258</t>
  </si>
  <si>
    <t>Dr. Ignacia Fajardo</t>
  </si>
  <si>
    <t>Dr. Douglas M. Aurelio, Jr., DPBA, FPSA</t>
  </si>
  <si>
    <t>033-397-2254</t>
  </si>
  <si>
    <t>lpghstc_doh@yahoo.com</t>
  </si>
  <si>
    <t>shosp_ilo@yahoo.com</t>
  </si>
  <si>
    <t>06-0005-26-H2-2</t>
  </si>
  <si>
    <t>General Luna Street, Brgy. Danao,Iloilo City</t>
  </si>
  <si>
    <t>ST. PAUL'S HOSPITAL OF ILOILO INC.</t>
  </si>
  <si>
    <t>Makati City</t>
  </si>
  <si>
    <t>Sampaguita St. Cor. Gumamela St., Brgy. Pembo, Makati City</t>
  </si>
  <si>
    <t>OSPITAL NG MAKATI</t>
  </si>
  <si>
    <t>Blood Bank (with additional function to collect, test &amp; process),  HIV Testing Laboratory, Specialized Diagnostic X-ray Servicess, Radiation Therapy Services (Level 4)</t>
  </si>
  <si>
    <t>2 Type II-ALS, Plate No. YCL911 &amp; FOA049</t>
  </si>
  <si>
    <t>Dr. Henry Gonzales</t>
  </si>
  <si>
    <t>Blood Bank with additional function, HIV Testing Laboratory, Pharmacy, Specialized Diagnostic X-ray Services</t>
  </si>
  <si>
    <t>(033) 337 2742</t>
  </si>
  <si>
    <t>sphiloilo@gmail.com</t>
  </si>
  <si>
    <t>DOH000772</t>
  </si>
  <si>
    <t>3 (Type II-ALS, Plate Nos. YX2980, YZ5591, NDJ9957)
4 (Type I-BLS, Plate Nos. F4E462, F4E468, F4E530, FEW179)</t>
  </si>
  <si>
    <t>Locsin Street, Brgy. Tap-oc, Molo,</t>
  </si>
  <si>
    <t>Dr. Vergel P. Binay, FPCS,MBAH</t>
  </si>
  <si>
    <t>THE MEDICAL CITY ILOILO HOSPITAL INC.</t>
  </si>
  <si>
    <t>(02) 8882 6316</t>
  </si>
  <si>
    <t>osmakqualityassurance@yahoo.com.ph</t>
  </si>
  <si>
    <t>DOH005830</t>
  </si>
  <si>
    <t>Diagnostic X-Ray Services (Level 3),  Specialized Diagnostic X-Ray Services: Cardiac Catheterization, Computed Tomography and Mammography, Physical Medicine and Rehabilitation Unit, HIV Testing Laboratory, Mobile Clinical Laboratory, Residency Training Program in Internal Medicine</t>
  </si>
  <si>
    <t>1 / Type II / FAI 8532</t>
  </si>
  <si>
    <t>DOH000000000035563</t>
  </si>
  <si>
    <t>Dr. Debbie Noblezada-Uy</t>
  </si>
  <si>
    <t>033-500-1000</t>
  </si>
  <si>
    <t>info@themedicalcityiloilo.com</t>
  </si>
  <si>
    <t>F. Sevilla Boulevard, Tañong, Malabon City</t>
  </si>
  <si>
    <t>OSPITAL NG MALABON</t>
  </si>
  <si>
    <t>06-0009-26-H2-2</t>
  </si>
  <si>
    <t>400 Tres de Abril St., San Nicolas, Cebu City, Cebu</t>
  </si>
  <si>
    <t>ADVENTIST HOSPITAL - CEBU, INC.</t>
  </si>
  <si>
    <t>1 (Type I-BLS, CS No. K1T923, CR No. 42253785-0)</t>
  </si>
  <si>
    <t>Blood Station, Pharmacy, Tertiary Laboratory with Histopathology, Specicialized X-ray Services</t>
  </si>
  <si>
    <t>1 Type I Plate No. GAO 8979</t>
  </si>
  <si>
    <t>Jennifer Jane Amolo - Lim, MD, FCPS, FPOGS, FAMP, MMHoA</t>
  </si>
  <si>
    <t>(02) 85188602</t>
  </si>
  <si>
    <t>Evelyn S. Pepito, MD</t>
  </si>
  <si>
    <t>ospitalngmalabon@yahoo.com</t>
  </si>
  <si>
    <t>(032) 261 2100 loc. 103; (032) 261-1111 (fax)</t>
  </si>
  <si>
    <t>adventisthospitalcebu@gmail.com</t>
  </si>
  <si>
    <t>13-0086-26-H1-2</t>
  </si>
  <si>
    <t>07-051-26-100-H2-2</t>
  </si>
  <si>
    <t>DOH000000000007064</t>
  </si>
  <si>
    <t>Sitio Malinao, Brgy. Agus, Lapu-Lapu City, Cebu</t>
  </si>
  <si>
    <t xml:space="preserve">MACTAN OPTIMAL MEDICAL CENTER 
(FORMER ALLEGIANT REGIONAL CARE HOSPITALS)
</t>
  </si>
  <si>
    <t>Blood Bank with Additional Functions, Tertiary Laboratory with Histopathology, Specialized X-ray Services</t>
  </si>
  <si>
    <t>1 Type II A4Z819</t>
  </si>
  <si>
    <t xml:space="preserve">Atty. Jhihann C. Hairun-Natividad (President)
Lyndin C. Avila, MD </t>
  </si>
  <si>
    <t>(032) 493-4848; (032) 260-9189</t>
  </si>
  <si>
    <t>info@archospitals.com.ph</t>
  </si>
  <si>
    <t>07-045-26-58-H2-2</t>
  </si>
  <si>
    <t>13-0030-26-H1-1</t>
  </si>
  <si>
    <t>DOH000000000005688</t>
  </si>
  <si>
    <t>C3 Road, F. Martinez Ave., Addition Hills, 1550 Mandaluyong City</t>
  </si>
  <si>
    <t>MANDALUYONG CITY MEDICAL CENTER</t>
  </si>
  <si>
    <t>1 (Type II-ALS, CS No. F4L432)</t>
  </si>
  <si>
    <t>982 N. Bacalso Ave., Basak, Pardo, Cebu City, Cebu</t>
  </si>
  <si>
    <t>ALLIED CARE EXPERTS (ACE) MEDICAL CENTER CEBU INC.</t>
  </si>
  <si>
    <t>Dr. Cesar J. Tutaan</t>
  </si>
  <si>
    <t>mcmc.mandaluyong@gmail.com</t>
  </si>
  <si>
    <t>13-0007-26-H2-1</t>
  </si>
  <si>
    <t>1 Type 2 CS No. F4-E115</t>
  </si>
  <si>
    <t>Wyben Briones, MD</t>
  </si>
  <si>
    <t>(032) 383-3454</t>
  </si>
  <si>
    <t>adminofficer@acemedicalcentercebu.com</t>
  </si>
  <si>
    <t>07-047-26-70-H2-2</t>
  </si>
  <si>
    <t>HIV Testing Laboratory, Specialized Diagnostic X-ray Services</t>
  </si>
  <si>
    <t>0368 CPG East Avenue, Tagbilaran City, Bohol</t>
  </si>
  <si>
    <t>Dr. Noel V. Reyes</t>
  </si>
  <si>
    <t>ALLIED CARE EXPERTS (ACE) MEDICAL CENTER-BOHOL, INC.</t>
  </si>
  <si>
    <t>mcc@ncmh.gov.ph</t>
  </si>
  <si>
    <t>Blood Bank with Additional Services, Pharmacy, Specialized X-ray Services, CT-Scan, Mammogram, Cardiac Catheterization</t>
  </si>
  <si>
    <t>1 Type II - CS No. F0D194</t>
  </si>
  <si>
    <t>Jane R. Ramiro, MD</t>
  </si>
  <si>
    <t>San Lazaro Compound, Tayuman St., Sta. Cruz, Manila</t>
  </si>
  <si>
    <t>(038) 412-8888 loc. 814; 0917-586-9838</t>
  </si>
  <si>
    <t>admin@acemcbohol.com; info@acemcbohol.com</t>
  </si>
  <si>
    <t>07-055-26-125-H2-2</t>
  </si>
  <si>
    <t>Camino Vicinal St., Umapad, Mandaue City, Cebu</t>
  </si>
  <si>
    <t>AMOSUP SEAMEN'S HOSPITAL - CEBU</t>
  </si>
  <si>
    <t>Blood Bank wtih additional function, HIV Testing Laboratory, G6PD Confirmatory, Specialized Diagnostic X-Ray Services, Dental X-ray Services</t>
  </si>
  <si>
    <t>Blood Station, Pharmacy, Tertiary Laboratory with Histopathology, Specicialized X-ray Services, Dental X-ray Services</t>
  </si>
  <si>
    <t>1 Type 2 -AAK 2234</t>
  </si>
  <si>
    <t>Teodosio F. Alcantra, MD, MBA-HA</t>
  </si>
  <si>
    <t>fabella_mcc@yahoo.com</t>
  </si>
  <si>
    <t>(032) 236-6871-72;</t>
  </si>
  <si>
    <t>shs_cebu@yahoo.com.ph</t>
  </si>
  <si>
    <t>07-022-26-60-H2-2</t>
  </si>
  <si>
    <t>DOH000000000004708</t>
  </si>
  <si>
    <t>Medellin</t>
  </si>
  <si>
    <t>Luy-A, Medellin, Cebu</t>
  </si>
  <si>
    <t>BOGO-MEDELLIN MEDICAL CENTER</t>
  </si>
  <si>
    <t>8001 Delpan St., Tondo, Manila</t>
  </si>
  <si>
    <t>GAT ANDRES BONIFACIO MEDICAL CENTER</t>
  </si>
  <si>
    <t>1 Type 1 - GAB 4675</t>
  </si>
  <si>
    <t>Kim J. Cabataña, MD</t>
  </si>
  <si>
    <t>(032) 436-2408;                                        0970-153-0553</t>
  </si>
  <si>
    <t>bmmc_medellincebu@yahoo.com</t>
  </si>
  <si>
    <t>rHIVda Confirmatory Laboratory; Computed Tomography</t>
  </si>
  <si>
    <t>2 (Type 2, Plate No. SKR 764 and CS No. F51191)</t>
  </si>
  <si>
    <t>Brgy. Don Andres Soriano (DAS), Toledo City</t>
  </si>
  <si>
    <t>CARMEN COPPER CORPORATION HOSPITAL</t>
  </si>
  <si>
    <t>Karl Oliver G. Laqui, MD</t>
  </si>
  <si>
    <t>gatandresbonifaciommc@ymail.com</t>
  </si>
  <si>
    <t>13-0023-26-H1-1</t>
  </si>
  <si>
    <t>1, Type I (YHS 911)</t>
  </si>
  <si>
    <t>Hedy S. Galela-Racines, MD</t>
  </si>
  <si>
    <t>(032) 8881201/ 09173066783</t>
  </si>
  <si>
    <t>rptecson@carmencopper.com</t>
  </si>
  <si>
    <t>07-069-26-20-H1-2</t>
  </si>
  <si>
    <t>Blood Bank wtih additional function, HIV Testing Laboratory, Specialized Diagnostic X-Ray Services, Radiation Oncology</t>
  </si>
  <si>
    <t>2049-D Tagbilaran East Road, Bool District Tagbilaran City, Bohol</t>
  </si>
  <si>
    <t>CDG BOHOL DOCTORS HOSPITAL INCORPORATED</t>
  </si>
  <si>
    <t>4(Type II-ALS, Plate Nos. F3J685, F3J684, F3J683, F3J682) 1 (Type I-BLS)</t>
  </si>
  <si>
    <t>1, Type I (SKR 725)</t>
  </si>
  <si>
    <t>Dr. Wenceslao S. Llauderes</t>
  </si>
  <si>
    <t>ccu@jrrmmc.gov.ph</t>
  </si>
  <si>
    <t>Dr. Marites A. Lechago; 
_________ (Hosp. Administrator)</t>
  </si>
  <si>
    <t>(+63) 9985819628</t>
  </si>
  <si>
    <t>acrodriguez.cdg@gmail.com; bdhbusinessoffice123@gmail.com;</t>
  </si>
  <si>
    <t>07-014-26-50-H1-2</t>
  </si>
  <si>
    <t>41 F. Ramos St., Brgy., Cogon, Cebu City, Cebu</t>
  </si>
  <si>
    <t>HEALTHWAY CEBU VELEZ GENERAL HOSPITAL</t>
  </si>
  <si>
    <t>DOH000000000022594</t>
  </si>
  <si>
    <t>Blood Bank with Additional Services, Tertiary Clinical Laboratory with Histopathology, Pharmacy, Specialized Diagnostic X-ray Services</t>
  </si>
  <si>
    <t>1 ERUF</t>
  </si>
  <si>
    <t>Numancia St., Binondo, Manila</t>
  </si>
  <si>
    <t>JUSTICE JOSE ABAD SANTOS GENERAL HOSPITAL</t>
  </si>
  <si>
    <t>Mr. Jozef Alfons Peeters</t>
  </si>
  <si>
    <t>(032) 253-1871</t>
  </si>
  <si>
    <t>velezgroup@gmail.com; compliance@velezhospital.com</t>
  </si>
  <si>
    <t>DOH005273</t>
  </si>
  <si>
    <t>Computed Tomography; rHIVda Confirmatory Laboratory</t>
  </si>
  <si>
    <t xml:space="preserve"> (12/2/2025) formerly CEBU (VELEZ) GENERAL HOSPITAL, INC.</t>
  </si>
  <si>
    <t>1 (Type I-BLS, Plate No. SAB9404)</t>
  </si>
  <si>
    <t>Cebu Doctors' University Bldg., Osmeña Blvd., Capitol Site, Cebu City, Cebu</t>
  </si>
  <si>
    <t>CEBU DOCTORS' UNIVERSITY HOSPITAL, INC.</t>
  </si>
  <si>
    <t>Teodoro E. Martin, MD, FPPS, MHA, MBA</t>
  </si>
  <si>
    <t>8254-2453</t>
  </si>
  <si>
    <t>justicejasgen.official@yahoo.com</t>
  </si>
  <si>
    <t>Blood Bank with Additional Services, G6PD Confirmatory, Tertiary Clinical Laboratory with Histopathology, Specialized Diagnostic X-ray Services</t>
  </si>
  <si>
    <t>13-0070-26-H1-1</t>
  </si>
  <si>
    <t>1 Type II</t>
  </si>
  <si>
    <t>Potenciano D. Larrazabal III, MD</t>
  </si>
  <si>
    <t>(032) 253-7511</t>
  </si>
  <si>
    <t>Pres. Quirino Ave. Cor. Roxas Blvd., Manila</t>
  </si>
  <si>
    <t>pvl_cduh@yahoo.com</t>
  </si>
  <si>
    <t>OSPITAL NG MAYNILA MEDICAL CENTER</t>
  </si>
  <si>
    <t>DOH002990</t>
  </si>
  <si>
    <t>Kauswagan Rd., Talamban, Cebu City, Cebu</t>
  </si>
  <si>
    <t>CEBU NORTH GENERAL HOSPITAL, INC.</t>
  </si>
  <si>
    <t>Blood Bank with additional function, HIV Testing Laboratory, Specialized Diagnostic X-ray Services</t>
  </si>
  <si>
    <t>Dr. Karl Oliver P. Laqui</t>
  </si>
  <si>
    <t>884-67629</t>
  </si>
  <si>
    <t>ospitalngmaynilamedicalcenter@yahoo.com</t>
  </si>
  <si>
    <t>Rose Marie M. Reyes, MD</t>
  </si>
  <si>
    <t>(032) 343-7777; (032) 343-7240 (fax)</t>
  </si>
  <si>
    <t>DOH003498</t>
  </si>
  <si>
    <t>cngh.adsecretary@gmail.com; nracaso.cdg@gmail.com</t>
  </si>
  <si>
    <t>Increase in Dialysis Station (09/04/2025)</t>
  </si>
  <si>
    <t>DOH000000000003500</t>
  </si>
  <si>
    <t>677 Geronimo St. cor. Carola St., 
  Sampaloc, Manila</t>
  </si>
  <si>
    <t>OSPITAL NG SAMPALOC</t>
  </si>
  <si>
    <t>07-013-26-100-H2-2</t>
  </si>
  <si>
    <t>#2 B. Rooodriguez St.., Sambag 2, Cebu City, Cebu</t>
  </si>
  <si>
    <t>CEBU PUERICULTURE CENTER AND MATERNITY HOUSE, INC.</t>
  </si>
  <si>
    <t>HIV Testing Lab, Blood Station, Pharmacy, Diagnostic Xray Services</t>
  </si>
  <si>
    <t>Type I, Plate No. NFW4516</t>
  </si>
  <si>
    <t>1 Type 1 - AAZ 6049</t>
  </si>
  <si>
    <t>Angel Erich R. Sison, MD</t>
  </si>
  <si>
    <t>Ma. Susan B. Villaluz, MD, FPOGS, FPSMS</t>
  </si>
  <si>
    <t>(02)87813001</t>
  </si>
  <si>
    <t>osam@manila.gov.ph</t>
  </si>
  <si>
    <t>(032) 254-9731</t>
  </si>
  <si>
    <t>cebupuericulture@yahoo.com</t>
  </si>
  <si>
    <t>13-0029-26-H1-1</t>
  </si>
  <si>
    <t>07-029-26-50-H2-2</t>
  </si>
  <si>
    <t>DOH000000000006888</t>
  </si>
  <si>
    <t>National Highway, Tuyan, City of Naga, Cebu</t>
  </si>
  <si>
    <t>CEBU SOUTH GENERAL HOSPITAL, INC.</t>
  </si>
  <si>
    <t>Jose Abad Santos Ave., Tondo, Manila</t>
  </si>
  <si>
    <t>OSPITAL NG TONDO</t>
  </si>
  <si>
    <t>Blood Bank, Pharmacy, Tertiary Laboratory with Histopathology, Specicialized X-ray Services, Dental X-ray Services</t>
  </si>
  <si>
    <t>1 Type 2 Plate No. GED 3132</t>
  </si>
  <si>
    <t>Charles Vincent S. Villafuerte, MD</t>
  </si>
  <si>
    <t>1 (Gat Andres Bonifacio Medical Center)</t>
  </si>
  <si>
    <t>(032) 272-2223 local 222</t>
  </si>
  <si>
    <t>Edgar D. Licup, MD</t>
  </si>
  <si>
    <t>sgh_naga@yahoo.com</t>
  </si>
  <si>
    <t>82523942/86829918</t>
  </si>
  <si>
    <t>oston@manila.gov.ph</t>
  </si>
  <si>
    <t>07-056-26-100-H2-2</t>
  </si>
  <si>
    <t>13-0038-26-H1-1</t>
  </si>
  <si>
    <t>Don Mariano Cui, cor. J. Llorente St., Cebu City, Cebu</t>
  </si>
  <si>
    <t>CHONG HUA HOSPITAL</t>
  </si>
  <si>
    <t>2 Type II - Plate No. YKP737 &amp; YKU757</t>
  </si>
  <si>
    <t>Cesar Quiza, MD</t>
  </si>
  <si>
    <t>(032) 255-8000</t>
  </si>
  <si>
    <t>info@chonghua.com.ph</t>
  </si>
  <si>
    <t>Dr. Edmundo B. Lopez</t>
  </si>
  <si>
    <t>5309-9523</t>
  </si>
  <si>
    <t>DOH002257</t>
  </si>
  <si>
    <t>sanlazarohospital@yahoo.com</t>
  </si>
  <si>
    <t>Mantawi International Drive, City South Special Economic Adminstrative Zone (CSSEAZ), Mandaue City, Cebu</t>
  </si>
  <si>
    <t>CHONG HUA HOSPITAL MANDAUE</t>
  </si>
  <si>
    <t>Blood Bank with Addtional Services, Pharmacy, Specialized Diagnostic X-ray Services</t>
  </si>
  <si>
    <t>2629 New Panaderos St., Brgy. 886, Sta. Ana, Manila</t>
  </si>
  <si>
    <t>STA. ANA HOSPITAL</t>
  </si>
  <si>
    <t>Virgina Abalos, MD</t>
  </si>
  <si>
    <t>(0320 233-8000</t>
  </si>
  <si>
    <t>DOH032027</t>
  </si>
  <si>
    <t>Valencia</t>
  </si>
  <si>
    <t>Canmanico, Valencia, Bohol</t>
  </si>
  <si>
    <t>Anatomic Pathology (cytology &amp; surgical), rHIVda Confirmatory Laboratory, Blood Bank (with add'l function to test, collect and process), Computed tomography</t>
  </si>
  <si>
    <t>CONCEPCION MEMORAL HOSPITAL</t>
  </si>
  <si>
    <t>MOA w/ TBGDH</t>
  </si>
  <si>
    <t>Jose F. Montilla, MD</t>
  </si>
  <si>
    <t>(038) 532-1252; 0948-000-1351</t>
  </si>
  <si>
    <t>leonalim@gmail.com; concepcionmemorial@gmail.com</t>
  </si>
  <si>
    <t>07-024-26-30-H1-2</t>
  </si>
  <si>
    <t>1, (Type II-ALS, Plate No. NFW4525)</t>
  </si>
  <si>
    <t>Sibonga</t>
  </si>
  <si>
    <t>422 C. delos Cuentos St., Poblacion, Sibonga, Cebu</t>
  </si>
  <si>
    <t>DEIPARINE COMMUNITY HOSPITAL</t>
  </si>
  <si>
    <t>Cancer Specialty Hospital</t>
  </si>
  <si>
    <t>Grace Padilla, MD</t>
  </si>
  <si>
    <t>63 2 8516 6151</t>
  </si>
  <si>
    <t>staanahospital@manila.gov.ph</t>
  </si>
  <si>
    <t>DOH022598</t>
  </si>
  <si>
    <t>1 Type 2 - 
C.S No. Z4 R499</t>
  </si>
  <si>
    <t>James J. Deiparine, MD</t>
  </si>
  <si>
    <t>(032) 486-9253;                0917-632-4450</t>
  </si>
  <si>
    <t>deiparine.community.hospital@gmail.com</t>
  </si>
  <si>
    <t>07-046-26-25-H1-2</t>
  </si>
  <si>
    <t>Poblacion Occidental, Valencia, Bohol</t>
  </si>
  <si>
    <t>DR. LIM'S CLINIC AND HOSPITAL</t>
  </si>
  <si>
    <t>8 (Type II-ALS, Plate Nos. A9HO40, A9MO85, F21988, F30856, F4E148, KIV450, F4H410, F4D098</t>
  </si>
  <si>
    <t>1 Type II - YHS 543</t>
  </si>
  <si>
    <t>Maria Theresa A. Lim, MD, MHM</t>
  </si>
  <si>
    <t>(038) 532-1069</t>
  </si>
  <si>
    <t>Maria Isabelita Estrella, MD</t>
  </si>
  <si>
    <t>dlchlim@yahoo.com</t>
  </si>
  <si>
    <t xml:space="preserve">tmcmcc2015@yahoo.com
</t>
  </si>
  <si>
    <t>07-071-26-25-H1-2</t>
  </si>
  <si>
    <t>0476 HNU Campus, JA Clarin Street, Dampas, Tagbilaran City, Bohol</t>
  </si>
  <si>
    <t>HOLY NAME UNIVERSITY MEDICAL CENTER, INC.</t>
  </si>
  <si>
    <t>Taft Avenue, Ermita, Manila</t>
  </si>
  <si>
    <t>UP-PHILIPPINE GENERAL HOSPITAL</t>
  </si>
  <si>
    <t>Blood Bank, HIV Testing Laboratory, Specialized Diagnostic X-ray Services (CT-Scan), Physical Medicine and Rehabilitation Unit</t>
  </si>
  <si>
    <t>2 Type 2 CS No. F30974
Type 1 Plate No. GAO5926</t>
  </si>
  <si>
    <t>Blood Bank with additional function, rHIV Confirmatory Laboratory, HIV Testing Laboratory, Pharmacy, Specialized Diagnostic X-ray Services, Radiation Oncology, Dental X-ray Services</t>
  </si>
  <si>
    <t>2 (Type II-ALS, Plate No. GB314)</t>
  </si>
  <si>
    <t>Fr. Lucio Pedro T. Dayag</t>
  </si>
  <si>
    <t>(038) 412-0912
09474885249</t>
  </si>
  <si>
    <t>hnumedicalcenterinc@gmail.com</t>
  </si>
  <si>
    <t>07-011-26-85-H2-2</t>
  </si>
  <si>
    <t>Dr. Gerardo Legaspi</t>
  </si>
  <si>
    <t>8554 8400</t>
  </si>
  <si>
    <t>od.uppgh@up.edu.ph</t>
  </si>
  <si>
    <t>DOH005032</t>
  </si>
  <si>
    <t>Canjulao, Jagna, Bohol</t>
  </si>
  <si>
    <t>LIM COMMUNITY HOSPITAL</t>
  </si>
  <si>
    <t>Blood Station, Pharmacy, Diagnostic X-ray Services, CT Scan</t>
  </si>
  <si>
    <t>1 Type I - GTU 493</t>
  </si>
  <si>
    <t>Guido N. Lim, MD</t>
  </si>
  <si>
    <t>(038) 238-2308: 0939-862-3598</t>
  </si>
  <si>
    <t>lch_jagnabohol@yahoo.com</t>
  </si>
  <si>
    <t>07-066-26-25-H1-2</t>
  </si>
  <si>
    <t>3 (Type II-ALS, Plate Nos. YVO921, F3J716, F4H462</t>
  </si>
  <si>
    <t>MDHI Bldg., Maximo V. Patalinghug Ave., Basak, Lapu-Lapu City, Cebu</t>
  </si>
  <si>
    <t>MACTAN DOCTORS' HOSPITAL, INC.</t>
  </si>
  <si>
    <t>Dr. Imelda Mateo</t>
  </si>
  <si>
    <t>0915 142 7195</t>
  </si>
  <si>
    <t>mccoffice@armmc.doh.gov.ph</t>
  </si>
  <si>
    <t>Blood Bank with Additional Services, Tertiary Laboratory with Histopathology, Pharmacy, Specialized Diagnostic X-ray Services</t>
  </si>
  <si>
    <t>1 Type II - Plate No. YGX 205</t>
  </si>
  <si>
    <t>rHIVda 11/12/2024</t>
  </si>
  <si>
    <t>Joselito J. Montesclaros, MD</t>
  </si>
  <si>
    <t>(032) 236-0000;</t>
  </si>
  <si>
    <t>mactan_doctors@yahoo.com.ph</t>
  </si>
  <si>
    <t>07-033-26-110-H2-2</t>
  </si>
  <si>
    <t>Civic Drive, Filinvest Corporate City, Alabang, Muntinlupa City</t>
  </si>
  <si>
    <t>OSPITAL NG MUNTINLUPA</t>
  </si>
  <si>
    <t>Binayran Road, Dampas District, Tagbilaran City, Bohol</t>
  </si>
  <si>
    <t>MEDICAL MISSION GROUP HOSPITAL &amp; HEALTH SERVICES COOPERATIVE (BOHOL COOPERATIVE HOSPITAL)</t>
  </si>
  <si>
    <t>Blood Bank with additional function, Specialized Diagnostic X-ray Services</t>
  </si>
  <si>
    <t>1 Type I - NGB 1279</t>
  </si>
  <si>
    <t>2(Type II-ALS, Plate No. IOK839</t>
  </si>
  <si>
    <t>Edgardo B. Epe, MD</t>
  </si>
  <si>
    <t>(038) 411-0411 to 0414; 0917-304-0430</t>
  </si>
  <si>
    <t>mmgbohol@yahoo.com</t>
  </si>
  <si>
    <t>Atty. Edwin L. Dimatatac, FPCP, MHA, LLB</t>
  </si>
  <si>
    <t>07-074-26-50-H1-2</t>
  </si>
  <si>
    <t>safety.osmun@gmail.com</t>
  </si>
  <si>
    <t>DOH003499</t>
  </si>
  <si>
    <t>Consolacion</t>
  </si>
  <si>
    <t>Delist 1 ambulance (09/29/2025)</t>
  </si>
  <si>
    <t>A. Tan St., Brgy. Pitogo, Consolacion, Cebu</t>
  </si>
  <si>
    <t>MENDERO MEDICAL CENTER, INC.</t>
  </si>
  <si>
    <t>Blood Bank with Additional Services, Pharmacy, Specialized X-ray Services</t>
  </si>
  <si>
    <t>1 Type 1</t>
  </si>
  <si>
    <t>Samuel I. Mendero III, MD</t>
  </si>
  <si>
    <t>(032) 236-0091; 2397151 to 54</t>
  </si>
  <si>
    <t>menderosec@gmail.com; mendero.nso@gmail.com; menderomed@gmail.com</t>
  </si>
  <si>
    <t>07-063-26-110-H2-2</t>
  </si>
  <si>
    <t>1 (Type II-ALS, Plate No. XGO015165</t>
  </si>
  <si>
    <t>Gorordo Avenue, Kamputhaw, Cebu City, Cebu</t>
  </si>
  <si>
    <t>PERPETUAL SUCCOUR HOSPITAL OF CEBU, INC.</t>
  </si>
  <si>
    <t>Atty. Ana Liza Duran, M.D</t>
  </si>
  <si>
    <t>director.ritmdoh@gmail.com</t>
  </si>
  <si>
    <t>Sr. Zeta Caridad Rivero, SPC</t>
  </si>
  <si>
    <t>DOH000000000033794</t>
  </si>
  <si>
    <t>(032) 233-860; 2340412</t>
  </si>
  <si>
    <t>pshad2016@gmail.com</t>
  </si>
  <si>
    <t>Navotas City</t>
  </si>
  <si>
    <t>DOH002172</t>
  </si>
  <si>
    <t>M. Naval St., Brgy. San Jose, Navotas City</t>
  </si>
  <si>
    <t>NAVOTAS CITY HOSPITAL</t>
  </si>
  <si>
    <t>0139 C. Gallares St., Poblacion II, Tagbilaran City, Bohol</t>
  </si>
  <si>
    <t>RAMIRO COMMUNITY HOSPITAL</t>
  </si>
  <si>
    <t>1 (Type II-ALS, Plate No. SLB 237)</t>
  </si>
  <si>
    <t>Dr. Kazan Benigno S. Baluyot</t>
  </si>
  <si>
    <t>(038) 411-3515; 501-9646</t>
  </si>
  <si>
    <t>info@aramiromedical.ph</t>
  </si>
  <si>
    <t>Spica A. Acoba, MD (Acting Medical Director)</t>
  </si>
  <si>
    <t>07-075-26-118-H2-2</t>
  </si>
  <si>
    <t>8866-7520</t>
  </si>
  <si>
    <t>navotascityhospital@gmail.com</t>
  </si>
  <si>
    <t>13-0079-26-H1-2</t>
  </si>
  <si>
    <t>Southwestern University, Urgello St., Sambag 2, Cebu City, Cebu</t>
  </si>
  <si>
    <t>SOUTHWESTERN UNIVERSITY MEDICAL CENTER</t>
  </si>
  <si>
    <t>DOH000000000002995</t>
  </si>
  <si>
    <t>Blood Bank with Additional Functions, Tertiary Laboratory with Histopathology, Pharmacy, Specialized Diagnostic X-ray Services</t>
  </si>
  <si>
    <t>Parañaque City</t>
  </si>
  <si>
    <t>440 Quirino Ave., La Huerta, Parañaque City</t>
  </si>
  <si>
    <t>OSPITAL NG PARAÑAQUE</t>
  </si>
  <si>
    <t>Elmer S. Jabagat, MD</t>
  </si>
  <si>
    <t>(032) 418-8409 to 15</t>
  </si>
  <si>
    <t>cccabahug.shh@swu.edu.ph; admins.swumed@swu.phinma.edu.ph</t>
  </si>
  <si>
    <t>DOH005695</t>
  </si>
  <si>
    <t>ICU, NICU, Computed Tomography</t>
  </si>
  <si>
    <t>3 (Type II-ALS, CS Nos. S2-U337 and ZGC 225, Plate No. SND4406)</t>
  </si>
  <si>
    <t>210-D R. Landon St., Brgy. Sambag I, Cebu City, Cebu</t>
  </si>
  <si>
    <t>ST. VINCENT GENERAL HOSPITAL CEBU, INC.</t>
  </si>
  <si>
    <t>Dr. Redentor P. Alquiroz</t>
  </si>
  <si>
    <t>8580-7350/8825-4902</t>
  </si>
  <si>
    <t>ospar.adm100880@gmail.com</t>
  </si>
  <si>
    <t>13-0018-26-H1-1</t>
  </si>
  <si>
    <t>Nina Angela H. Darcera, MD</t>
  </si>
  <si>
    <t>(032) 238-0000; 238-6870;
0998-9656010</t>
  </si>
  <si>
    <t>admin@svgh.ph; svgh@gmail.com; cqi.svgh@gmail.com</t>
  </si>
  <si>
    <t>DOH000000000045739</t>
  </si>
  <si>
    <t>07-001-26-110-H2-2</t>
  </si>
  <si>
    <t>187 Taiwan St., Extension Corner Doña Soledad Avenue, Don Bosco, Parañaque City</t>
  </si>
  <si>
    <t>OSPITAL NG PARAÑAQUE DISTRICT II</t>
  </si>
  <si>
    <t>0117 M. Parras St., Poblacion III, Tagbilaran City, Bohol</t>
  </si>
  <si>
    <t>TAGBILARAN COMMUNITY HOSPITAL CORPORATION</t>
  </si>
  <si>
    <t>ICU and NICU; rHIVda Confirmatory Laboratory</t>
  </si>
  <si>
    <t>1 (Type II-ALS, CR No.433225715)</t>
  </si>
  <si>
    <t>Iris Inting-Gonzales, MD</t>
  </si>
  <si>
    <t>(038) 411-3324</t>
  </si>
  <si>
    <t>tagbcommhospital@gmail.com</t>
  </si>
  <si>
    <t>07-059-26-58-H2-2</t>
  </si>
  <si>
    <t>Dr. Patrick Ismael Cruz II</t>
  </si>
  <si>
    <t>8234-5459</t>
  </si>
  <si>
    <t>mdao080122@gmail.com</t>
  </si>
  <si>
    <t>North Park UN Avenue cor. Plaridel St., Brgy. Alang-Alang, Mandaue City, Cebu</t>
  </si>
  <si>
    <t>13-0080-26-H1-1</t>
  </si>
  <si>
    <t>THE HOSPITAL AT MAAYO</t>
  </si>
  <si>
    <t>DOH000000000002244</t>
  </si>
  <si>
    <t>Ambulatory Surgical Clinic, Blood Bank with Additional Services, Tertiary Laboratory with Histopathology, Mobile Clinical Laboratory, Pharmacy, Specialized Diagnostic X-ray Services</t>
  </si>
  <si>
    <t>2 Type II - GAJ 1012 and GAV 4676</t>
  </si>
  <si>
    <t>Colonel Jesus Villamor Air Base, Pasay City</t>
  </si>
  <si>
    <t>AIR FORCE GENERAL HOSPITAL</t>
  </si>
  <si>
    <t>Lawrence Chad U. Liu, MD</t>
  </si>
  <si>
    <t>(032) 888-2662; 0906-422-097</t>
  </si>
  <si>
    <t>qmn@thehospitalatmaayo.com</t>
  </si>
  <si>
    <t>07-012-26-115-H2-2</t>
  </si>
  <si>
    <t>Ouano Avenue, Guizo, City South Special Economic Adminisrative Zone, Mandaue City, Cebu</t>
  </si>
  <si>
    <t>UNIVERSITY OF CEBU MEDICAL CENTER, INC.</t>
  </si>
  <si>
    <t>1 (Type I-BLS, Plate No. SJH 130)</t>
  </si>
  <si>
    <t>2 Type II</t>
  </si>
  <si>
    <t>Col. Jonathan B. Rico MC (GSC)</t>
  </si>
  <si>
    <t>Armando V. Tan, MD</t>
  </si>
  <si>
    <t>854-0701 loc. 4611</t>
  </si>
  <si>
    <t>(032) 517-0888</t>
  </si>
  <si>
    <t>afghopns@yahoo.com</t>
  </si>
  <si>
    <t>info@ucmed.ph</t>
  </si>
  <si>
    <t>13-0067-26-H2-1</t>
  </si>
  <si>
    <t>DOH032091</t>
  </si>
  <si>
    <t>85 Osmeña Boulevard, Brgy. Santa Cruz, Cebu City, Cebu</t>
  </si>
  <si>
    <t>P. Burgos St., Pasay City</t>
  </si>
  <si>
    <t>VISAYAS MED-CEBU</t>
  </si>
  <si>
    <t>PASAY CITY GENERAL HOSPITAL</t>
  </si>
  <si>
    <t>3 Type II</t>
  </si>
  <si>
    <t>Maritzie R. Eribal, MD
Engr. Oscar A. Tuason (CEO/AO)</t>
  </si>
  <si>
    <t>(032) 253-3848; 253-1901; 253-3025</t>
  </si>
  <si>
    <t>admin@visayasmedcebu.com.ph</t>
  </si>
  <si>
    <t>DOH003050</t>
  </si>
  <si>
    <t>DOH00453</t>
  </si>
  <si>
    <t>Dr. John Victor I. de Garcia</t>
  </si>
  <si>
    <t>pasaygenmss@gmail.com</t>
  </si>
  <si>
    <t>Kangleon St., District 20, Ormoc City</t>
  </si>
  <si>
    <t>GATCHALIAN MEDICAL CENTER</t>
  </si>
  <si>
    <t>ICU-2 Beds, Hemodialysis Clinic, Computed Tomography, Lithostripsy,</t>
  </si>
  <si>
    <t>2units/Type 1/TOJ 131, F5J854</t>
  </si>
  <si>
    <t>Dr. Jaime L. Gatchalian</t>
  </si>
  <si>
    <t>gatchalianhospital@yahoo.com</t>
  </si>
  <si>
    <t>08-037-26-H1-2</t>
  </si>
  <si>
    <t>DOH00595</t>
  </si>
  <si>
    <t>R.V. Fulache St., Brgy. Eastern, Hilongos, Leyte</t>
  </si>
  <si>
    <t>LEYTE BAPTIST HOSPITAL, INCORPORATED</t>
  </si>
  <si>
    <t>Dr. Rica Mirasol Lumague</t>
  </si>
  <si>
    <t>rizalmedicalcenter@gmail.com</t>
  </si>
  <si>
    <t>1 unit/Type 1/AAF 5771</t>
  </si>
  <si>
    <t>Dr. Maria Aurora B. Uyvico</t>
  </si>
  <si>
    <t>DOH000000000029735</t>
  </si>
  <si>
    <t>lbhi_74@yahoo.com.ph</t>
  </si>
  <si>
    <t>08-001-26-H1-2</t>
  </si>
  <si>
    <t>Pasig City</t>
  </si>
  <si>
    <t>Industrial St., cor. Alcalde Jose St., Kapasigan, Pasig City</t>
  </si>
  <si>
    <t>PASIG CITY CHILDREN'S HOSPITAL - CHILD'S HOPE</t>
  </si>
  <si>
    <t>DOH40210</t>
  </si>
  <si>
    <t>Brgy. 54, Real Street, Tacloban City</t>
  </si>
  <si>
    <t>UNITED SHALOM HOSPITAL</t>
  </si>
  <si>
    <t>Computed Tomography, Hemodialysis Clinic</t>
  </si>
  <si>
    <t>1 unit/Type 1/GAV 2352</t>
  </si>
  <si>
    <t>Dr. Sean M. Declarador</t>
  </si>
  <si>
    <t>unitedshalomhospitalhrd@gmail.com</t>
  </si>
  <si>
    <t>08-025-26-H1-2</t>
  </si>
  <si>
    <t>DOH34603</t>
  </si>
  <si>
    <t>Veloso St., Brgy. Rizal, Sogod, Southern Leyte</t>
  </si>
  <si>
    <t>CHRIST THE HEALER HOSPITAL</t>
  </si>
  <si>
    <t>1 unit/Type 1/GAD 9368</t>
  </si>
  <si>
    <t>Dr. Jose Lito P. Trumata</t>
  </si>
  <si>
    <t>cthsogod@gmail.com</t>
  </si>
  <si>
    <t>08-015-26-H1-2</t>
  </si>
  <si>
    <t>COVID-19 Testing Laboratory; Blood Bank; Computed Tomography; Dental</t>
  </si>
  <si>
    <t>DOH02149</t>
  </si>
  <si>
    <t>2 (Type II-ALS Ambulance, Plate Nos. F4E554 and F4E535)</t>
  </si>
  <si>
    <t>Osmeña Street, Zone 2, Sogod, Southern Leyte</t>
  </si>
  <si>
    <t>CONSUELO K. TAN MEMORIAL MEDICAL CENTER, INC.</t>
  </si>
  <si>
    <t>Joselito T. Morete, MD</t>
  </si>
  <si>
    <t>8643-2222</t>
  </si>
  <si>
    <t>childshope.medofc@gmail.com</t>
  </si>
  <si>
    <t>1 unit/Type 1/ HAG 8299</t>
  </si>
  <si>
    <t>13-0091-26-H1-2</t>
  </si>
  <si>
    <t>Dr. Aileen D. Alinsub</t>
  </si>
  <si>
    <t>consuelotanhospital@gmail.com</t>
  </si>
  <si>
    <t>08-007-26-H1-2</t>
  </si>
  <si>
    <t>M. Eusebio Avenue, Maybunga, Pasig City</t>
  </si>
  <si>
    <t>PASIG CITY GENERAL HOSPITAL</t>
  </si>
  <si>
    <t>DOH34601</t>
  </si>
  <si>
    <t>Brgy. Isagani, Maasin, Southern Leyte</t>
  </si>
  <si>
    <t>LIVINGHOPE HOSPITAL, INC.</t>
  </si>
  <si>
    <t>Blood Bank with additional function, Specialized Diagnostic X-ray Services, Dental X-ray Services</t>
  </si>
  <si>
    <t>Hemodialysis Clinic, Mamography</t>
  </si>
  <si>
    <t>1 unit/Type 1/GDN1211</t>
  </si>
  <si>
    <t>Dr. Levi G. Tan</t>
  </si>
  <si>
    <t>Dr. Paulo Roman A. Castro Jr.</t>
  </si>
  <si>
    <t>8643-3333</t>
  </si>
  <si>
    <t>livinghopehospital.ph@gmail.com</t>
  </si>
  <si>
    <t>pasigcitygen@yahoo.com.ph</t>
  </si>
  <si>
    <t>08-024-26-H1-2</t>
  </si>
  <si>
    <t>DOH000700</t>
  </si>
  <si>
    <t>DOH25693</t>
  </si>
  <si>
    <t>R. Kangleon St., Brgy. Abgao, Maasin City</t>
  </si>
  <si>
    <t>MAASIN MEDCITY HOSPITAL</t>
  </si>
  <si>
    <t>1 unit/Type 1/UTO 711</t>
  </si>
  <si>
    <t>Dr. Joecelyn V. Villamor</t>
  </si>
  <si>
    <t>Blood Bank (with additional function to collect, test &amp; process),  HIV Testing Laboratory, Pharmacy (2), Specialized Diagnostic X-ray Services, Dental X-ray Services</t>
  </si>
  <si>
    <t>maasinmedcity@gmail.com</t>
  </si>
  <si>
    <t>08-018-26-H1-2</t>
  </si>
  <si>
    <t>DOH03812</t>
  </si>
  <si>
    <t>Dr. Alfonso G. Nuñez III</t>
  </si>
  <si>
    <t>hopss@eamc.doh.gov.ph</t>
  </si>
  <si>
    <t>Km 730 Daang Maharlika, Brgy. San Policarpo, Calbayog City</t>
  </si>
  <si>
    <t>ADVENTIST HOSPITAL - CALBAYOG INC.</t>
  </si>
  <si>
    <t>1 unit/Type 1/HAA 7861</t>
  </si>
  <si>
    <t>Quezon Avenue, Quezon City</t>
  </si>
  <si>
    <t>LUNG CENTER OF THE PHILIPPINES</t>
  </si>
  <si>
    <t>Dr. Jimuel V. Romero</t>
  </si>
  <si>
    <t>GOCC</t>
  </si>
  <si>
    <t>adventisthospitalcyp@gmail.com</t>
  </si>
  <si>
    <t>08-012-26-H1-2</t>
  </si>
  <si>
    <t>DOH38486</t>
  </si>
  <si>
    <t>Blood Bank with additional function, HIV Testing Laboratory, Specialized Diagnostic X-ray Services, Radiation Oncology</t>
  </si>
  <si>
    <t>Diversion Road, Brgy. Canlapwas, Catbalogan City</t>
  </si>
  <si>
    <t>CATBALOGAN DOCTORS HOSPITAL</t>
  </si>
  <si>
    <t>1 unit/Type 1/NFW 1076</t>
  </si>
  <si>
    <t>Dr. Vincent Balanag, Jr.</t>
  </si>
  <si>
    <t>8924-6101</t>
  </si>
  <si>
    <t>misd@lcp.gov.ph</t>
  </si>
  <si>
    <t>Dr. Lloyd M. Umil &amp; Dr. Belen Umil</t>
  </si>
  <si>
    <t>DOH006028</t>
  </si>
  <si>
    <t>0936-982-4272</t>
  </si>
  <si>
    <t>catbalogandoctorshospital@gmail.com</t>
  </si>
  <si>
    <t>Cancer Specialty Center in a General Hospital (CTF) 8/27/2024 / rHIVda Confirmatory Laboratory (01/10/2025)</t>
  </si>
  <si>
    <t>08-003-26-H1-2</t>
  </si>
  <si>
    <t>Magsaysay Blvd., BArangay East Awang, Calbayog City</t>
  </si>
  <si>
    <t>WEST SAMAR DOCTORS HOSPITAL, INCORPORATED</t>
  </si>
  <si>
    <t>1 unit / Type 1 / LAA1736</t>
  </si>
  <si>
    <t>Dr. Delanie U. Raza</t>
  </si>
  <si>
    <t>wsdhinc@gmai.com</t>
  </si>
  <si>
    <t>08-042-26-H1-2</t>
  </si>
  <si>
    <t>Dr. Philip A Morales, MA, FPPS</t>
  </si>
  <si>
    <t>Purok 1, Barangay Maulong, Catbaloga City, Samar</t>
  </si>
  <si>
    <t>nch.doh@gmail.com</t>
  </si>
  <si>
    <t>SAMAR DOCTORS' HOSPITAL</t>
  </si>
  <si>
    <t>Samar Provinical Hospital Type 1 / 1 unit / 2894</t>
  </si>
  <si>
    <t>East Avenue, Diliman, Quezon City</t>
  </si>
  <si>
    <t>Dr. Ian J. Daguman</t>
  </si>
  <si>
    <t>NATIONAL KIDNEY AND TRANSPLANT INSTITUTE</t>
  </si>
  <si>
    <t>samardoctorshosp@gmail.com</t>
  </si>
  <si>
    <t>08-043-26-H1-2</t>
  </si>
  <si>
    <t>DOH14549</t>
  </si>
  <si>
    <t>Maharlika Highway, Brgy. Trinidad, Calbayog City</t>
  </si>
  <si>
    <t>ST. CAMILLUS HOSPITAL</t>
  </si>
  <si>
    <t>Immunology &amp; Molecular Genetics, Blood Bank wtih additional function, HIV Testing Laboratory, Pharmacy (2),  Specialized Diagnostic X-Ray Services, Radiation Oncology</t>
  </si>
  <si>
    <t>Tertiary Clinical LAboratory with Anatomic Pathology</t>
  </si>
  <si>
    <t>1 unit/Type 1/V08720</t>
  </si>
  <si>
    <t>Fr. Dennis E. Morales, MI</t>
  </si>
  <si>
    <t>Dr. Rose Marie Rosete-Liquete</t>
  </si>
  <si>
    <t>schcalbayog@yahoo.com</t>
  </si>
  <si>
    <t>8981-0300</t>
  </si>
  <si>
    <t>pro@nkti.gov.ph</t>
  </si>
  <si>
    <t>08-019-26-H1-2</t>
  </si>
  <si>
    <t>DOH001981</t>
  </si>
  <si>
    <t>DOH03750</t>
  </si>
  <si>
    <t>DOH000000000007515</t>
  </si>
  <si>
    <t>Real St., Brgy. Songco, Borongan, Eastern Samar</t>
  </si>
  <si>
    <t>BORONGAN DOCTORS HOSPITAL</t>
  </si>
  <si>
    <t>Quirino Highway, San Bartolome, Novaliches, Quezon City</t>
  </si>
  <si>
    <t>NOVALICHES DISTRICT HOSPITAL</t>
  </si>
  <si>
    <t>Oras Doctors Hospital
Type 1/1/NCT 8680</t>
  </si>
  <si>
    <t>Dr. Belen C. Umil</t>
  </si>
  <si>
    <t>borongan_doctors@yahoo.com</t>
  </si>
  <si>
    <t>08-011-26-H1-2</t>
  </si>
  <si>
    <t>1 (Type I – BLS, Plate No. NAO4115)</t>
  </si>
  <si>
    <t>DOH00478</t>
  </si>
  <si>
    <t>Luzviminda S. Kwong, MD</t>
  </si>
  <si>
    <t>431 Real, Brgy. 15, Dolores, Eastern Samar</t>
  </si>
  <si>
    <t>CASANO'S HOSPITAL</t>
  </si>
  <si>
    <t>NDH@quezoncity.gov.ph</t>
  </si>
  <si>
    <t>13-0059-26-H1-1</t>
  </si>
  <si>
    <t>Dr. Lucila Gelera</t>
  </si>
  <si>
    <t>domingocasanohospital@gmail.com</t>
  </si>
  <si>
    <t>Quezon Avenue Corner Agham Road, Diliman, Quezon City</t>
  </si>
  <si>
    <t>PHILIPPINE CHILDREN’S MEDICAL CENTER</t>
  </si>
  <si>
    <t>DOH00556</t>
  </si>
  <si>
    <t>195 Lugay, Brgy. Poblacion Ward 8, Guiuan, Eastern Samar</t>
  </si>
  <si>
    <t>IMMACULATE CONCEPTION AND HOSPITAL</t>
  </si>
  <si>
    <t>Guiuan RHU
Type 1/1/LA 5244</t>
  </si>
  <si>
    <t>Dr. Sonia Gonzales</t>
  </si>
  <si>
    <t>Dr. Nelinda Catherine P. Pangilinan</t>
  </si>
  <si>
    <t>phsu.pcmc2023@gmail.com</t>
  </si>
  <si>
    <t>icch_1979@yahoo.com</t>
  </si>
  <si>
    <t>DOH000713</t>
  </si>
  <si>
    <t>08-029-26-H1-2</t>
  </si>
  <si>
    <t>DOH32074</t>
  </si>
  <si>
    <t>Oras</t>
  </si>
  <si>
    <t>National Road, Brgy. Tawagan, Oras, Eastern Samar</t>
  </si>
  <si>
    <t>ORAS DOCTORS HOSPITAL</t>
  </si>
  <si>
    <t>Negros Oriental</t>
  </si>
  <si>
    <t>1 unit/Type 1/NCT 8680</t>
  </si>
  <si>
    <t>PHILIPPINE HEART CENTER</t>
  </si>
  <si>
    <t>Dr. Armano L. Catudio</t>
  </si>
  <si>
    <t>orasdoctorshospital@gmail.com</t>
  </si>
  <si>
    <t>08-016-26-H1-2</t>
  </si>
  <si>
    <t>DOH00689</t>
  </si>
  <si>
    <t>Blood Bank wtih additional function, HIV Testing Laboratory, Specialized Diagnostic X-Ray Services</t>
  </si>
  <si>
    <t>General MacArthur</t>
  </si>
  <si>
    <t>Barangay Domrog, Gen. MacArthur, Eastern Samar</t>
  </si>
  <si>
    <t>GEN. MACARTHUR DOCTORS HOSPITAL</t>
  </si>
  <si>
    <t>MOA with Salcedo RHU, 1 Type 1 A9H062</t>
  </si>
  <si>
    <t>Salcedo Rural Health Unit</t>
  </si>
  <si>
    <t>Dr. Marilyn Uy-Umil</t>
  </si>
  <si>
    <t xml:space="preserve">Dr. Joel M. Abanilla
</t>
  </si>
  <si>
    <t>mcarthurdoctorshospital2024@gmail.com</t>
  </si>
  <si>
    <t>8925 2401</t>
  </si>
  <si>
    <t>director@phc.gov.ph</t>
  </si>
  <si>
    <t>08-041-26-H1-2</t>
  </si>
  <si>
    <t>DOH000714</t>
  </si>
  <si>
    <t>DOH38485</t>
  </si>
  <si>
    <t>Salcedo</t>
  </si>
  <si>
    <t>Brgy. 13 National Highway, Salcedo, Eastern Samar</t>
  </si>
  <si>
    <t>SALCEDO DOCTORS HOSPITAL</t>
  </si>
  <si>
    <t>Siquijor</t>
  </si>
  <si>
    <t>Albino M. Duran Memorial Hospital
Type 1/1/F3R380</t>
  </si>
  <si>
    <t>Dr. Antonia B.Sabalberino</t>
  </si>
  <si>
    <t>salcedodoctorshospital@gmail.com</t>
  </si>
  <si>
    <t>08-039-26-H1-2</t>
  </si>
  <si>
    <t>DOH36847</t>
  </si>
  <si>
    <t>Corner Loyda And Guimbalibot St., Brgy.Salug, Guiuan, Eastern Samar</t>
  </si>
  <si>
    <t>ST. JUDE HOSPITAL</t>
  </si>
  <si>
    <t>Dr. Fernando C. Naputo, Jr.</t>
  </si>
  <si>
    <t>Dr. Jose Pujalte, Jr.</t>
  </si>
  <si>
    <t>st.judehospitalphilhealth2018@yahoo.com</t>
  </si>
  <si>
    <t>08-008-26-H1-2</t>
  </si>
  <si>
    <t>medicalcenterchief@poc.doh.gov.p</t>
  </si>
  <si>
    <t>DOH34600</t>
  </si>
  <si>
    <t>National Road, Brgy. Cantahay, Guiuan, Eastern Samar</t>
  </si>
  <si>
    <t>PONFERRADA POLYMEDIC HOSPITAL</t>
  </si>
  <si>
    <t>DOH000000000003066</t>
  </si>
  <si>
    <t>1unit/Type 1/NBC6946</t>
  </si>
  <si>
    <t>Camp Crame, Quezon City</t>
  </si>
  <si>
    <t>Dr. Socorro de Lira-Ponferrada</t>
  </si>
  <si>
    <t>PNP GENERAL HOSPITAL</t>
  </si>
  <si>
    <t>socorro_ponferrada@yahoo.com</t>
  </si>
  <si>
    <t>08-028-26-BH-2</t>
  </si>
  <si>
    <t>PNP</t>
  </si>
  <si>
    <t>DOH32092</t>
  </si>
  <si>
    <t>Diversion Road Ii, Brgy. Bangkerohan, Catarman, Northern Samar</t>
  </si>
  <si>
    <t>CATARMAN DOCTORS HOSPITAL, INC</t>
  </si>
  <si>
    <t>2 units / Type 1 / EAA5155; GBJ7529</t>
  </si>
  <si>
    <t>Dr. Thomas D. de Asis</t>
  </si>
  <si>
    <t>4 (1, Type II-ALS, Plate No. NGD7536)(3 - Type I-BLS, Plate Nos. SNA7952, SNA7947, SND1298)</t>
  </si>
  <si>
    <t>CDHI_catarman@yahoo.com</t>
  </si>
  <si>
    <t>08-002-26-H1-2</t>
  </si>
  <si>
    <t>DOH38487</t>
  </si>
  <si>
    <t>PCol. Cleto P. Manongas</t>
  </si>
  <si>
    <t>723-0401 loc 6808/09939504239</t>
  </si>
  <si>
    <t>Gamay</t>
  </si>
  <si>
    <t>pnpghpos3947@gmail.com</t>
  </si>
  <si>
    <t>Brgy. Central, Gamay, Northern Samar</t>
  </si>
  <si>
    <t>GAMAY DOCTORS HOSPITAL</t>
  </si>
  <si>
    <t>13-0060-26-H2-1</t>
  </si>
  <si>
    <t>1 unit/Type 1/IOC-224</t>
  </si>
  <si>
    <t>Seminary Road, Edsa, Quezon City</t>
  </si>
  <si>
    <t>QUEZON CITY GENERAL HOSPITAL</t>
  </si>
  <si>
    <t>1 (Type II, Plate No. NDI2072)</t>
  </si>
  <si>
    <t>gamaydoctorshospital2019@gmail.com</t>
  </si>
  <si>
    <t>08-040-26-H1-2</t>
  </si>
  <si>
    <t>Dr. Josephine Sabando</t>
  </si>
  <si>
    <t>qcghdo@gmail.com</t>
  </si>
  <si>
    <t>DOH004124</t>
  </si>
  <si>
    <t>5 (Type II-ALS, Conduction No. F4D492, F4E103, F4H456,F4D487)</t>
  </si>
  <si>
    <t>DOH36845</t>
  </si>
  <si>
    <t>Pambujan</t>
  </si>
  <si>
    <t>Cawayan St., Brgy. Cababtoan, Pambujan, Northern Samar</t>
  </si>
  <si>
    <t>ST. SCHOLASTICA'S HOSPITAL, INC.</t>
  </si>
  <si>
    <t>Dr. Evelyn Victoria Reside</t>
  </si>
  <si>
    <t>8421-9293</t>
  </si>
  <si>
    <t>qmmccaosec@gmail.com</t>
  </si>
  <si>
    <t>1 unit/Type 1/NCB 3025</t>
  </si>
  <si>
    <t>Sr. Amadea K. Donadilla, OSB</t>
  </si>
  <si>
    <t>DOH000000000037966</t>
  </si>
  <si>
    <t>stscholasticashospital@gmail.com / amadeadonadilla@gmail.com</t>
  </si>
  <si>
    <t>08-006-26-H1-2</t>
  </si>
  <si>
    <t>IBP Road, Batasan Hills, District 2, Quezon City</t>
  </si>
  <si>
    <t>ROSARIO MACLANG BAUTISTA GENERAL HOSPITAL</t>
  </si>
  <si>
    <t>DOH02321</t>
  </si>
  <si>
    <t>Leopoldo Regis St., Zone V, Sogod, Southern Leyte</t>
  </si>
  <si>
    <t>CORROMPIDO GENERAL HOSPITAL</t>
  </si>
  <si>
    <t>1 (Type II-ALS, CS A5B911)</t>
  </si>
  <si>
    <t>1 unit/Type 1/GAF6745</t>
  </si>
  <si>
    <t>Dr. Andrew L. Corrompido</t>
  </si>
  <si>
    <t>cgh.ad1973@gmail.com</t>
  </si>
  <si>
    <t>Dr. Dave Anthony A. Vergara</t>
  </si>
  <si>
    <t>08-014-26-H1-2</t>
  </si>
  <si>
    <t>88352560 / 09778199910</t>
  </si>
  <si>
    <t>RMBGH@QUEZONCITY.GOV.PH</t>
  </si>
  <si>
    <t>13-0046-26-H2-1</t>
  </si>
  <si>
    <t>Brgy. 44-A, Avenida Veteranos Tacloban city, Leyte</t>
  </si>
  <si>
    <t>Anatomic Pathology, BB with add'l functions; spec. Dx:  Dental, CTscan, mammmo</t>
  </si>
  <si>
    <t>North Avenue, Diliman, Quezon City</t>
  </si>
  <si>
    <t>1, Type II - Plate No. F4K441</t>
  </si>
  <si>
    <t>VETERANS MEMORIAL MEDICAL CENTER</t>
  </si>
  <si>
    <t>DND</t>
  </si>
  <si>
    <t>Molecular Lab</t>
  </si>
  <si>
    <t>Sr. Sarah R. Gocela, OSB, Hospital Adminstrator</t>
  </si>
  <si>
    <t>053-832-7287 / 0909-123-3340</t>
  </si>
  <si>
    <t>divinewordhospitaltacloban@gmail.com</t>
  </si>
  <si>
    <t>DOH03542</t>
  </si>
  <si>
    <t>DOH37753</t>
  </si>
  <si>
    <t>Dr. Dominador M. Chiong Jr., FPCS, FACS</t>
  </si>
  <si>
    <t>Barangay 78, Marasbaras, Tacloban City</t>
  </si>
  <si>
    <t>(02) 8927 6426</t>
  </si>
  <si>
    <t>ALLIED CARE EXPERTS (ACE) MEDICAL CENTER-TACLOBAN INC.</t>
  </si>
  <si>
    <t>vmmc_irb@yahoo.com</t>
  </si>
  <si>
    <t xml:space="preserve">Leyte        </t>
  </si>
  <si>
    <t>DOH002911</t>
  </si>
  <si>
    <t>Hemodialyis Clinic, Computed Tomography, Mammography, Tertiary Lab with Histopathology</t>
  </si>
  <si>
    <t>1 unit/Type 2/NAP9353</t>
  </si>
  <si>
    <t>Dr. Maria Pilipinas D. Jaya</t>
  </si>
  <si>
    <t>V. Luna Road, Quezon City</t>
  </si>
  <si>
    <t>acemctac.admoff@gmail.com</t>
  </si>
  <si>
    <t>VICTORIANO LUNA MEDICAL CENTER</t>
  </si>
  <si>
    <t>08-002-26-H2-2</t>
  </si>
  <si>
    <t>DOH11589</t>
  </si>
  <si>
    <t xml:space="preserve">Northern Samar        </t>
  </si>
  <si>
    <t>Blood Bank with additional function, rHIV Confirmatory Laboratory, HIV Testing Laboratory, Specialized Diagnostic X-ray Services</t>
  </si>
  <si>
    <t>Benigno Ave., Brgy. 50-B Youngfield, Tacloban City, Leyte</t>
  </si>
  <si>
    <t>MOTHER OF MERCY HOSPITAL-TACLOBAN INC.</t>
  </si>
  <si>
    <t>Hemodialyis Clinic, Anatomic Pathology (Cytology&amp;Surgical)</t>
  </si>
  <si>
    <t>1 unit/Type 2/PIL501</t>
  </si>
  <si>
    <t>Dr. Fatima Claire S. Navarro, FPPS</t>
  </si>
  <si>
    <t>8246-2111</t>
  </si>
  <si>
    <t>Dr. Perla G. Ernacio</t>
  </si>
  <si>
    <t>orthoafpmc@gmail.com</t>
  </si>
  <si>
    <t>mmh.rsm@gmail.com</t>
  </si>
  <si>
    <t xml:space="preserve">Samar        </t>
  </si>
  <si>
    <t>08-005-26-H1-2</t>
  </si>
  <si>
    <t>DOH0014639</t>
  </si>
  <si>
    <t>DOH000000000002314</t>
  </si>
  <si>
    <t>DOH06053</t>
  </si>
  <si>
    <t>Can-Adieng, Ormoc City, Leyte</t>
  </si>
  <si>
    <t>N. Domingo St. Balong-Bato, San Juan City</t>
  </si>
  <si>
    <t>OSPA-FARMERS’ MEDICAL CENTER</t>
  </si>
  <si>
    <t>SAN JUAN MEDICAL CENTER</t>
  </si>
  <si>
    <t>Hemodialysis Clinic, Blood Bank, Computed Tomography, Mammography</t>
  </si>
  <si>
    <t xml:space="preserve">Southern Leyte        </t>
  </si>
  <si>
    <t>2 units / Type 2 / ABE6357, NBD9426</t>
  </si>
  <si>
    <t>Dr. Sandra Angelica F. Chiong</t>
  </si>
  <si>
    <t>Blood Bank; Mammography; Cancer Treatment Unit-Systemic Therapy</t>
  </si>
  <si>
    <t>ospafmc@gmail.com</t>
  </si>
  <si>
    <t>08-004-26-H1-2</t>
  </si>
  <si>
    <t>2 (Type I-BLS, Plate No. SKZ-413 and Type II-ALS, CS No. F3J697</t>
  </si>
  <si>
    <t>DOH00722</t>
  </si>
  <si>
    <t>Joseph M. Acosta, MD</t>
  </si>
  <si>
    <t>8725-3765</t>
  </si>
  <si>
    <t>Calanipawan Road, Brgy. 96, 1St District, Tacloban City, Leyte</t>
  </si>
  <si>
    <t>sanjuanmedicalcenter@yahoo.com</t>
  </si>
  <si>
    <t xml:space="preserve">Biliran        </t>
  </si>
  <si>
    <t>13-0081-26-H2-1</t>
  </si>
  <si>
    <t>DOÑA REMEDIOS TRINIDAD-ROMUALDEZ MEDICAL EDUCATIONAL FOUNDATION HOSPITAL</t>
  </si>
  <si>
    <t>DOH000000000004489</t>
  </si>
  <si>
    <t>Hemodialysis Clinic, Anatomic Pathology (Cytology, Surgical &amp; Frozen), Computed Tomography</t>
  </si>
  <si>
    <t>1 unit / Type 2 / AAE9051</t>
  </si>
  <si>
    <t>Taguig City</t>
  </si>
  <si>
    <t>Fort Andres Bonifacio, Taguig City</t>
  </si>
  <si>
    <t>ARMY GENERAL HOSPITAL</t>
  </si>
  <si>
    <t>Dr. Wlfredo C, Laiao</t>
  </si>
  <si>
    <t>rtrnursingservice@gmail.com</t>
  </si>
  <si>
    <t>DOH26499</t>
  </si>
  <si>
    <t>Computed Tomography, rHIVda Confirmatory Laboratory</t>
  </si>
  <si>
    <t xml:space="preserve">C. Aviles Cor. San Pablo St, Brgy. South, Ormoc City, Leyte
</t>
  </si>
  <si>
    <t>ORMOC DOCTORS HOSPITAL, INC.</t>
  </si>
  <si>
    <t>Hemodialysis Clinic, Computed Tomography, Mammography, Diagnostic Xray (level3)</t>
  </si>
  <si>
    <t>1 unit / Type 2 / ABM7304</t>
  </si>
  <si>
    <t>Col. Caesar Almer E. Candelaria MC (GSC)</t>
  </si>
  <si>
    <t>8845-9555 loc 4603</t>
  </si>
  <si>
    <t>Dr. Gardenia Z. Larrazabal</t>
  </si>
  <si>
    <t>aghoperations3@gmail.com</t>
  </si>
  <si>
    <t>ormocdoclto23@gmail.com</t>
  </si>
  <si>
    <t>13-0071-26-H1-1</t>
  </si>
  <si>
    <t>DOH000000000005304</t>
  </si>
  <si>
    <t>Turno</t>
  </si>
  <si>
    <t>MMGHHSCP COOPERATIVE HOSPITAL</t>
  </si>
  <si>
    <t>Naval Station Jose Francisco, Fort Bonifacio, Taguig City</t>
  </si>
  <si>
    <t>MANILA NAVAL HOSPITAL</t>
  </si>
  <si>
    <t>LAB, Pharmacy, X-RAY</t>
  </si>
  <si>
    <t>1, Type I, Plate No. 150803, CR No. 211319931, OR No. 0908-000000211774</t>
  </si>
  <si>
    <t>Dr. Ma. Teresa C. Lopez, M.D.</t>
  </si>
  <si>
    <t>1 (Type 1-BLS, Plate No. 131203)</t>
  </si>
  <si>
    <t>0947-407-4455</t>
  </si>
  <si>
    <t>zncoophospital1996@gmail.com</t>
  </si>
  <si>
    <t>09-0046-26-H1-2</t>
  </si>
  <si>
    <t>Col. Phaveena R. Aguinaldo MC (GSC)</t>
  </si>
  <si>
    <t>8892-8261</t>
  </si>
  <si>
    <t>mnhoperations.h3@gmail.com</t>
  </si>
  <si>
    <t>13-0058-26-H1-1</t>
  </si>
  <si>
    <t>604 Padre Ramon St.</t>
  </si>
  <si>
    <t>OSPITAL NG KABATAAN NG DIPOLOG, INC.</t>
  </si>
  <si>
    <t>DOH000000000054780</t>
  </si>
  <si>
    <t>C-6 Road, Brgy. Hagonoy, Taguig City</t>
  </si>
  <si>
    <t>TAGUIG CITY GENERAL HOSPITAL</t>
  </si>
  <si>
    <t>Owned ASP, 1, Type I, OR No. 090825000000148, CR No. 293729752, Plate No. KAB 1301, CS No. GB 8221</t>
  </si>
  <si>
    <t>1 (Type II-ALS, Plate No. SNN4064)</t>
  </si>
  <si>
    <t>Dr. Karl Owen Suan , DPPS</t>
  </si>
  <si>
    <t>9776448302/212-2837/212-4821</t>
  </si>
  <si>
    <t>okdimedrec@gmail.com</t>
  </si>
  <si>
    <t>09-0049-26-H1-2</t>
  </si>
  <si>
    <t>Marie Irene R. Sy, MD</t>
  </si>
  <si>
    <t>8555-7800 / 09206296120</t>
  </si>
  <si>
    <t>ilovetaguig@taguig.gov.ph/ tgh@taguig.gov.ph</t>
  </si>
  <si>
    <t>13-0082-26-H2-1</t>
  </si>
  <si>
    <t>Sagan Street, Poblacion</t>
  </si>
  <si>
    <t>DR. HENRY DE VILLA MEMORIAL HOSPITAL</t>
  </si>
  <si>
    <t>DOH000000000000788</t>
  </si>
  <si>
    <t>Xray</t>
  </si>
  <si>
    <t>Owned ASP, 1 Unit, Type 1 OR#: 0912-000000183606, CR#:185434804, PN: WQP800</t>
  </si>
  <si>
    <t>East Service road, Western Bicutan, Taguig City</t>
  </si>
  <si>
    <t>TAGUIG-PATEROS DISTRICT HOSPITAL</t>
  </si>
  <si>
    <t>Vida Josefina DV. Natividad, M.D.</t>
  </si>
  <si>
    <t>062-995-8426/9164833371</t>
  </si>
  <si>
    <t>devilla.hospital@yahoo.com</t>
  </si>
  <si>
    <t>09-0009-26-H1-2</t>
  </si>
  <si>
    <t>Brgy. Sanito</t>
  </si>
  <si>
    <t>IPIL DOCTOR'S HOSPITAL</t>
  </si>
  <si>
    <t>ICU, NICU, Computed Tomography &amp; Mamography</t>
  </si>
  <si>
    <t>3 (Type I-BLS, Plate Nos. SAB5308, 131210, SAA9878)</t>
  </si>
  <si>
    <t>Owned ASP-1 unit, Type 1, OR#: 0912-000000142453, CR#: 296124205, PN: NCM3082</t>
  </si>
  <si>
    <t>Dr. Anna Richie A. Quilatan</t>
  </si>
  <si>
    <t>8838-3485</t>
  </si>
  <si>
    <t>Carlos L. Gemarino, M.D.</t>
  </si>
  <si>
    <t>taguigpaterosdistricthospital@ymail.com</t>
  </si>
  <si>
    <t>062-983-0500</t>
  </si>
  <si>
    <t>ipildoctorshospital@yahoo.com</t>
  </si>
  <si>
    <t>13-0057-26-H1-1</t>
  </si>
  <si>
    <t>09-0008-26-H1-2</t>
  </si>
  <si>
    <t>General Malvar St., Poblacion</t>
  </si>
  <si>
    <t>M. SIMON HOSPITAL &amp; PHARMACY</t>
  </si>
  <si>
    <t xml:space="preserve">Owned ASP- 1 unit, Type I, OR No. 0912-000000138724, 
CR No. 42576826-5, Plate No. WPG 202
</t>
  </si>
  <si>
    <t>Dr. Warlito De Leon, M.D.</t>
  </si>
  <si>
    <t>09261861532/09092808670</t>
  </si>
  <si>
    <t>m.simonhospital@ymail.com</t>
  </si>
  <si>
    <t>09-0032-26-H1-2</t>
  </si>
  <si>
    <t>C.P. Garcia St., Sta. Cruz</t>
  </si>
  <si>
    <t>INFANTE HOSPITAL MANAGEMENT CORPORATION</t>
  </si>
  <si>
    <t>2 (Type II-ALS, Conduction No. F4H438,130110</t>
  </si>
  <si>
    <t xml:space="preserve">Owned ASP, 1 unit, Type 1, OR No. 0928-000000207958, CR No. 270486193, Plate No. JDO 3141
</t>
  </si>
  <si>
    <t>Dr. Joel T. Sanchez, MPA</t>
  </si>
  <si>
    <t>infantehospital@yahoo.com</t>
  </si>
  <si>
    <t>Dr. Estela Javier</t>
  </si>
  <si>
    <t>09-0034-26-H1-2</t>
  </si>
  <si>
    <t>valgen_hosp@yahoo.com</t>
  </si>
  <si>
    <t>Rizal Ave., Aguada</t>
  </si>
  <si>
    <t>ISABELA CITY COMMUNITY HOSPITAL</t>
  </si>
  <si>
    <t>Lacson-Burgos Sts., Bacolod City, Negros Occidental</t>
  </si>
  <si>
    <t>ASP- 1 unit, Type I, MOA with Infante Hospital Management Corporation, OR No. 0928-000000207958,</t>
  </si>
  <si>
    <t>Dr. Wilfredo S. Guevarra, MPA</t>
  </si>
  <si>
    <t>isabelacitycommunityhospital@gmail.com</t>
  </si>
  <si>
    <t>09-0031-26-H1-2</t>
  </si>
  <si>
    <t>Rizal Avenue, Doña Ramona</t>
  </si>
  <si>
    <t>BB with add'l fucntion, Acute Chronic Pshychiatric care, rHIVda Conf. Lab, clinical lb for molecular pathology. HIV Screening Laboratory-02/04/2025 Cancer treatment unit in a general hospital-systemic therapy/chemotherapy</t>
  </si>
  <si>
    <t>JUAN S. ALANO MEMORIAL HOSPITAL</t>
  </si>
  <si>
    <t>Owned ASP, 1 unit, Type 1, OR No. 0904-000000060054, CR No. 150501562, Plate No. JDZ 844</t>
  </si>
  <si>
    <t>Dr. Joan E. Cerrada</t>
  </si>
  <si>
    <t>(034) 703 1350</t>
  </si>
  <si>
    <t>dpo.clmmrh@gmail.com</t>
  </si>
  <si>
    <t>Dr. Ibrahim H. Hassan Jr., DPA</t>
  </si>
  <si>
    <t>alanohospital@yahoo.com.ph</t>
  </si>
  <si>
    <t>09-0044-26-H1-2</t>
  </si>
  <si>
    <t>Kabasalan</t>
  </si>
  <si>
    <t>Barangay Lumbayao</t>
  </si>
  <si>
    <t>Bago City</t>
  </si>
  <si>
    <t>PATHFINDER ESTATE HOSPITAL</t>
  </si>
  <si>
    <t>Rafael M. Salas Drive, Brgy. Balingasag, Bago City, Negros Occidental</t>
  </si>
  <si>
    <t>BAGO CITY HOSPITAL</t>
  </si>
  <si>
    <t>Owned ASP. 1 unit, Type 1, OR No. 0912-000000140200, CR No. 350872104, Plate No. GAX 1411</t>
  </si>
  <si>
    <t>Elena Semella-Ocureza, M.D.</t>
  </si>
  <si>
    <t>0919-3060308</t>
  </si>
  <si>
    <t>pehospital@gmail.com</t>
  </si>
  <si>
    <t>09-0039-26-H1-2</t>
  </si>
  <si>
    <t>Clinical Laboratory add-onn service: Special Chemistry, HbA1c, Thyroid Function Tests, Cardiac Markes</t>
  </si>
  <si>
    <t>1, Type 1, C.S. No. F5 O074</t>
  </si>
  <si>
    <t>Molave</t>
  </si>
  <si>
    <t>Blancia</t>
  </si>
  <si>
    <t>BLANCIA HOSPITAL</t>
  </si>
  <si>
    <t>Dr. Jesús Rey Pacilan</t>
  </si>
  <si>
    <t>pacilanrey0@gmail.com</t>
  </si>
  <si>
    <t>18-0016-26-H1-1</t>
  </si>
  <si>
    <t>CL . Blood Station, Pharmacy and Xray</t>
  </si>
  <si>
    <t>Type I, OR# 0920-000000245762, CR# 0025971453, PLT# NGJ6574</t>
  </si>
  <si>
    <t>Cadiz City</t>
  </si>
  <si>
    <t>Hda. Hortencia, Brgy. Daga, Cadiz City, Negros Occidental</t>
  </si>
  <si>
    <t>Ramcarl O. Blancia, M.D.</t>
  </si>
  <si>
    <t>9488451948 / (062) 225-2302</t>
  </si>
  <si>
    <t>CADIZ DISTRICT HOSPITAL</t>
  </si>
  <si>
    <t>blanciahospital@yahoo.com/ blanciahospital@gmail.com</t>
  </si>
  <si>
    <t>09-0056-26-H1-2</t>
  </si>
  <si>
    <t>Burgos St., Madasigon (Pob.)</t>
  </si>
  <si>
    <t>SALUG VALLEY MEDICAL CENTER</t>
  </si>
  <si>
    <t>HIV Testing Laboratory (Screening) rHIVda Confirmatory Laboratory Clinical Laboratory add-on service: Thyroid Function Tests, Special Chemistry, Troponin I, Arterial Blood Gas, Hb1Ac, DIALYSIS CLINIC (9 station)</t>
  </si>
  <si>
    <t>2, Type I, C.S. No. AIX 229, Type II, C.S. No. F1 R296</t>
  </si>
  <si>
    <t>Owned ASP-1 Type 1- OR# 0908-000000231718, CR# 211069331, Plate# ABC 2438</t>
  </si>
  <si>
    <t>Dr. Lyka Kymm E. Garcia, MD, FPCP, MMHoA, CHA, DPA</t>
  </si>
  <si>
    <t>cdh.eedd@gmail.com</t>
  </si>
  <si>
    <t>Dr. Rolynn S. Igano</t>
  </si>
  <si>
    <t>062-225-1427 / 9120647242</t>
  </si>
  <si>
    <t>svmc13@yahoo.com</t>
  </si>
  <si>
    <t>18-0014-26-H1-1</t>
  </si>
  <si>
    <t>09-0017-26-H1-2</t>
  </si>
  <si>
    <t>City of Himamaylan</t>
  </si>
  <si>
    <t>Brgy IV. Himamaylan , Negros Occidental</t>
  </si>
  <si>
    <t>W. Pulmones St, San Pedro District</t>
  </si>
  <si>
    <t>GOV. VALERIANO M. GATUSLAO MEMORIAL HOSPITAL</t>
  </si>
  <si>
    <t>AISAH MEDICAL HOSPITAL</t>
  </si>
  <si>
    <t>Level 2- Xray, Clinical Laboratory add-on service: HbA1c, Thyroid Function Tests, Troponin I, Special Chemistry.</t>
  </si>
  <si>
    <t>1, Type 1, C.S. No. F1 L838</t>
  </si>
  <si>
    <t>Xray,  Computed Tomography</t>
  </si>
  <si>
    <t>Dr. Alan L. Ramos Jr.</t>
  </si>
  <si>
    <t>Owned ASP, 1 unit, Type 1, OR #: 0920-000000342424, CR#: 36827076, PN: 070102</t>
  </si>
  <si>
    <t>vgathospital@gmail.com</t>
  </si>
  <si>
    <t>18-0012-26-H1-1</t>
  </si>
  <si>
    <t>Dr. Brando Khalif S. Jally</t>
  </si>
  <si>
    <t>062-215-4413/9124316131</t>
  </si>
  <si>
    <t>City of Silay</t>
  </si>
  <si>
    <t>amh_2010@hotmail.com/aisahmedhosp@gmail.com</t>
  </si>
  <si>
    <t>Rizal St., Brgy. Lantad</t>
  </si>
  <si>
    <t>TERESITA L. JALANDONI PROVINCIAL HOSPITAL</t>
  </si>
  <si>
    <t>09-0024-26-H1-2</t>
  </si>
  <si>
    <t>HIV Testing Laboratory, rHIVda Confirmatory Laboratory, Dialysis Clinic, COVID19 Testing Laboratory, Pediatric Intensive Care Unit, Specialized Diagnostic X-Ray Service: Computed Tomography</t>
  </si>
  <si>
    <t>F.S. Pajares Avenue, Barangay Gatas District</t>
  </si>
  <si>
    <t>1 / Type I / F1 R297 and 1 / Type II / OV 6200</t>
  </si>
  <si>
    <t>HOFILEÑA HOSPITAL</t>
  </si>
  <si>
    <t>Dr. Francis Gabriel Relota</t>
  </si>
  <si>
    <t>034-495-1736</t>
  </si>
  <si>
    <t>tljph_silay@yahoo.com</t>
  </si>
  <si>
    <t>18-0003-26-H2-1</t>
  </si>
  <si>
    <t>Xray, Specialized Diagnostic- Computed Tomography</t>
  </si>
  <si>
    <t>Owned ASP-1,  Type 1- OR# 0920-000000366836, CR# 0010701481, Plate# NDG 4953</t>
  </si>
  <si>
    <t>Escalante City</t>
  </si>
  <si>
    <t>Dr. Jose Ferrer Hofilena III,
 MBA</t>
  </si>
  <si>
    <t>Sitio Bug-as, Brgy. Balintawak</t>
  </si>
  <si>
    <t>062-925-0078/9772430099</t>
  </si>
  <si>
    <t>VICENTE GUSTILO DISTRICT HOSPITAL</t>
  </si>
  <si>
    <t>hofilenahospital.pagadiancity
@gmail.com</t>
  </si>
  <si>
    <t>09-0003-26-H1-2</t>
  </si>
  <si>
    <t>San Pedro District</t>
  </si>
  <si>
    <t>J. CABAHUG HOSPITAL</t>
  </si>
  <si>
    <t>1 / I / Plate No. FIN 908</t>
  </si>
  <si>
    <t>Dr. Gwendolyn D. Nava</t>
  </si>
  <si>
    <t>Owned ASP-1, Type 1-OR # 0920-000000383461; CR # 203695682; P# AOA4916,</t>
  </si>
  <si>
    <t>034-2130231</t>
  </si>
  <si>
    <t>pnovgus@gmail.com</t>
  </si>
  <si>
    <t>18-0017-26-H1-1</t>
  </si>
  <si>
    <t>Liz Corazon C. Parangan, M.D.</t>
  </si>
  <si>
    <t>062-215-3472/9322960924</t>
  </si>
  <si>
    <t>jcabahug_hospital@yahoo.com</t>
  </si>
  <si>
    <t>Kabankalan City</t>
  </si>
  <si>
    <t>09-0004-26-H1-2</t>
  </si>
  <si>
    <t>Brgy. Tabugon, Kabankalan City, Negros Occidental</t>
  </si>
  <si>
    <t>KABANKALAN CITY HOSPITAL</t>
  </si>
  <si>
    <t>Bagong Silang, Balangasan</t>
  </si>
  <si>
    <t>JAMELARIN HOSPITAL</t>
  </si>
  <si>
    <t>ASP, CL Secondary. Blood Station, Pharmacy and Xray</t>
  </si>
  <si>
    <t>MOA with Hofileña Hospital, Type I Plate No. ndg 4953</t>
  </si>
  <si>
    <t>Diagnostic X-Ray Services (Level 2)</t>
  </si>
  <si>
    <t>Angela J. Española, M.D.</t>
  </si>
  <si>
    <t>1, Type I, Plate No. 060104</t>
  </si>
  <si>
    <t>0917-7144904</t>
  </si>
  <si>
    <t>jh.compliance.1972@yahoo.com</t>
  </si>
  <si>
    <t>09-0075-26-H1-2</t>
  </si>
  <si>
    <t>Dr. Cornelio Daguia</t>
  </si>
  <si>
    <t>344730547 - 344712291 - 342133751 / 09994771249</t>
  </si>
  <si>
    <t>kch_tabugon@yahoo.com</t>
  </si>
  <si>
    <t>Rizal Ave., Lumbia District,</t>
  </si>
  <si>
    <t>PAGADIAN DOCTORS HOSPITAL</t>
  </si>
  <si>
    <t>18-0006-26-H1-1</t>
  </si>
  <si>
    <t>MOA with J. Cabahug General Hospital, Inc., Type I Plate No. AOA 4916</t>
  </si>
  <si>
    <t>Sitio Mohon, Brgy. 1</t>
  </si>
  <si>
    <t>LORENZO D. ZAYCO DISTRICT HOSPITAL</t>
  </si>
  <si>
    <t>Genelene G. Sy, M.D.</t>
  </si>
  <si>
    <t>062 9456665/ 09691451098</t>
  </si>
  <si>
    <t>pagdoc_records@hotmail.com</t>
  </si>
  <si>
    <t>09-0053-26-H1-2</t>
  </si>
  <si>
    <t xml:space="preserve">Diagnostic X-ray Services (Level 2)
HIV Testing Laboratory (Screening) 
Certified rHIVDA Confirmatory Laboratory        
Special Chemistry Test, Thyroid Function Test                    
Tumor Markers, HBA IC, Troponin I, ABG, Procalcitonin
</t>
  </si>
  <si>
    <t>Cabrera St., San Francisco District</t>
  </si>
  <si>
    <t>MENDERO MEDICAL CENTER PAGADIAN CITY CORPORATION</t>
  </si>
  <si>
    <t>1 / I / CS F2 G689</t>
  </si>
  <si>
    <t>Dr. Myre G. Parpa</t>
  </si>
  <si>
    <t>034-471-3635</t>
  </si>
  <si>
    <t>Computed Tomography, Dialysis Stations</t>
  </si>
  <si>
    <t>lorenzoheals@gmail.com</t>
  </si>
  <si>
    <t>MOA with ZDSMC, Type II Plate No. 110110</t>
  </si>
  <si>
    <t>18-0010-26-H1-1</t>
  </si>
  <si>
    <t>Samuel I. Mendero, III, MD</t>
  </si>
  <si>
    <t>mmc.pagadian@menderogroup.com</t>
  </si>
  <si>
    <t>La Carlota City</t>
  </si>
  <si>
    <t>09-0061-26-H2-2</t>
  </si>
  <si>
    <t>Gurrea Street, Brgy. Batuan, La Carlota City, Negros Occidental</t>
  </si>
  <si>
    <t>DON SALVADOR BENEDICTO MEMORIAL DISTRICT HOSPITAL</t>
  </si>
  <si>
    <t>Hemodialysis Clinic - 15 Stations</t>
  </si>
  <si>
    <t>Roseller Lim</t>
  </si>
  <si>
    <t>1, Type 1, Plate No. F1N909</t>
  </si>
  <si>
    <t>R.T. LIM FAMILY HOSPITAL CO.</t>
  </si>
  <si>
    <t>Dr. George Salvador M. Parreño</t>
  </si>
  <si>
    <t>dsbmdh.lcc6130@gmail.com</t>
  </si>
  <si>
    <t>Xray (Level 2), Computed Tomography,</t>
  </si>
  <si>
    <t>18-0020-26-H1-1</t>
  </si>
  <si>
    <t>Owned ASP, 1 unit Type 1, OR#: 0912-000000166104, CR#: 39143270-5, PN: GAO6917</t>
  </si>
  <si>
    <t>Dr. Shermahal B. Tingkahan, MHA</t>
  </si>
  <si>
    <t>063-995-6556/062-335-0674/9665626935</t>
  </si>
  <si>
    <t>Sagay City</t>
  </si>
  <si>
    <t>rtfamhosplicensing@gmail.com/rtfamhosphrmo@gmail.com</t>
  </si>
  <si>
    <t>A.E Marañon Street, Brgy. Poblacion 2, Sagay City, Negros Occidental</t>
  </si>
  <si>
    <t>09-0013-26-H1-2</t>
  </si>
  <si>
    <t>ALFREDO. E MARAÑON, SR. MEMORIAL DISTRICT HOSPITAL</t>
  </si>
  <si>
    <t>Titay</t>
  </si>
  <si>
    <t>Purok Talisay, Poblacion</t>
  </si>
  <si>
    <t>ROMEO B. SIBUD COUNTY HOSPITAL</t>
  </si>
  <si>
    <t>Clinical Laboratory add-onn service: CK-MB, Troponin I, LDL, Special Chemistry, HbA1c, Thyroid Function Tests, Tumor Markes</t>
  </si>
  <si>
    <t>1, Type II, Plate No. SKU 850</t>
  </si>
  <si>
    <t xml:space="preserve">Owned ASP, 1 unit, Type I, OR No. 0912-000000184010, CR No. 218248041, Plate No. GLJ 579
</t>
  </si>
  <si>
    <t>Dr. Cyrille S. Adraneda</t>
  </si>
  <si>
    <t>aemsmdh@gmail.com</t>
  </si>
  <si>
    <t>Perlie B. Sibud, M.D.</t>
  </si>
  <si>
    <t>18-0015-26-H1-1</t>
  </si>
  <si>
    <t>sibudhospital@gmail.com</t>
  </si>
  <si>
    <t>09-0029-26-H1-2</t>
  </si>
  <si>
    <t>Hda. Sta. Ana Road, Brgy. Palampas</t>
  </si>
  <si>
    <t>SAN CARLOS CITY HOSPITAL</t>
  </si>
  <si>
    <t>R.T. Lim Blvd.</t>
  </si>
  <si>
    <t>BRENT COLLEGES &amp; HOSPITAL, INC.</t>
  </si>
  <si>
    <t xml:space="preserve">Diagnostic X-ray Services (Level 2)
Specialized Diagnostic X-ray Services:
                  Computed Tomography
</t>
  </si>
  <si>
    <t>G6PD Confirmatory testing, Specialized X-Ray Services- Computed Tomography</t>
  </si>
  <si>
    <t>Owned ASP, 1, Type II, OR No. 0929-000000104514, CR No. 4985065-1, Plate No. ZHB 446</t>
  </si>
  <si>
    <t>1 / I / SHK 394</t>
  </si>
  <si>
    <t>Maritess E. Maxino, M.D.</t>
  </si>
  <si>
    <t>medical.director16@yahoo.com</t>
  </si>
  <si>
    <t>Dr. Renan E. Sanchez</t>
  </si>
  <si>
    <t>09-0050-26-H2-2</t>
  </si>
  <si>
    <t>034-729-6111</t>
  </si>
  <si>
    <t>scchospital@yahoo.com</t>
  </si>
  <si>
    <t>18-0005-26-H1-1</t>
  </si>
  <si>
    <t>Mayor Vitaliano Agan Ave.</t>
  </si>
  <si>
    <t>CIUDAD MEDICAL ZAMBOANGA</t>
  </si>
  <si>
    <t>Valladolid</t>
  </si>
  <si>
    <t>Crossing Brgy. Tabao</t>
  </si>
  <si>
    <t>VALLADOLID DISTRICT HOSPITAL</t>
  </si>
  <si>
    <t>Xray services, Specialized Xray services (Computed Tomography, Mammography, Dental, MRI), Cancer Treatment Unit in a General Hospital- Systemic</t>
  </si>
  <si>
    <t>ASP- 1, Type 2, OR# 0925-000000129934, CR# 237562511, PN# ABU 6734</t>
  </si>
  <si>
    <t>Dr. Joven Monsanto, DPBO</t>
  </si>
  <si>
    <t>0917-622-7867</t>
  </si>
  <si>
    <t>admin@ciudadmedicalzamboanga.com.ph</t>
  </si>
  <si>
    <t xml:space="preserve">Diagnostic X-ray Services (Level 2), Special Chemistry Test, HbA1c, Troponin I, Thyroid Function Test
</t>
  </si>
  <si>
    <t>09-0002-26-H2-2</t>
  </si>
  <si>
    <t>1 / I / CS F1 N891</t>
  </si>
  <si>
    <t>Pilar St. Corner Cervantes St., Barangay Zone 4</t>
  </si>
  <si>
    <t>Dr. Josephine A. Pahamtang</t>
  </si>
  <si>
    <t>034-461-0360</t>
  </si>
  <si>
    <t>vdh_eedd2012@yahoo.com</t>
  </si>
  <si>
    <t>18-0003-26-H1-1</t>
  </si>
  <si>
    <t>HOSPITAL DE ZAMBOANGA, INC.</t>
  </si>
  <si>
    <t>Bais City</t>
  </si>
  <si>
    <t>Juan Luna St., Brgy. 1, Bais City, Negros Oriental</t>
  </si>
  <si>
    <t>BAIS DISTRICT HOSPITAL</t>
  </si>
  <si>
    <t>Diagnostic X-ray Service- Level II</t>
  </si>
  <si>
    <t>1 unit, Type I, MOA with Zampen Hospital, OR No. 0925-000000066393, CR# 208878946, Plate No. AJA 1902</t>
  </si>
  <si>
    <t>Dr. Marunsal B. Jamalul</t>
  </si>
  <si>
    <t>hospitaldezamboanga@gmail.com</t>
  </si>
  <si>
    <t>09-0047-26-H1-2</t>
  </si>
  <si>
    <t>Dr. Mark Anthony M. Aranas</t>
  </si>
  <si>
    <t>Zamboanga Del Sur</t>
  </si>
  <si>
    <t>(035)402-8317 / (035) 402-3194</t>
  </si>
  <si>
    <t>baisdistricthospital@yahoo.com</t>
  </si>
  <si>
    <t>Don Alfaro St, Tetuan</t>
  </si>
  <si>
    <t>PREMIER MEDICAL CENTER  ZAMBOANGA</t>
  </si>
  <si>
    <t>18-0001-26-H1-1</t>
  </si>
  <si>
    <t>Bayawan City</t>
  </si>
  <si>
    <t>CT Scan</t>
  </si>
  <si>
    <t>Zamora Steet, Ubos, Bayawan City, Negros Oriental</t>
  </si>
  <si>
    <t>Owned ASP, 1 unit, Type II, Plate No. LAK 8409, CR No. 46183700-3, OR No. 0928-000000273725</t>
  </si>
  <si>
    <t>BINDOY DISTRICT HOSPITAL</t>
  </si>
  <si>
    <t>Leila Nelia L. Estrella, M.D.</t>
  </si>
  <si>
    <t>062-991-9778/09561647701</t>
  </si>
  <si>
    <t>compliance@pmcz.com.ph</t>
  </si>
  <si>
    <t>09-0059-26-H2-2</t>
  </si>
  <si>
    <t>Veterans Ave. Ext.</t>
  </si>
  <si>
    <t>Type 1 (Plate No. F4-E134)</t>
  </si>
  <si>
    <t>WEST METRO MEDICAL CENTER</t>
  </si>
  <si>
    <t>Dr. Raul L. Encarnacion</t>
  </si>
  <si>
    <t>0916-4058978</t>
  </si>
  <si>
    <t>bdh_stabayabas@yahoo.com</t>
  </si>
  <si>
    <t xml:space="preserve"> Diagnostic X-ray Services (Level 3) , COVID-19 (SARS-CoV-2) Testing Laboratory, Specialized Diagnostic Xray Service: Computed Tomography, Lithotripsy
</t>
  </si>
  <si>
    <t xml:space="preserve">1, Type II, Plate No. GAV4699, CR No. 431221766, 
OR No. 0928-000000264252
</t>
  </si>
  <si>
    <t>18-0013-26-H1-1</t>
  </si>
  <si>
    <t>Dr. Wilhelmina I. Hocson,  M.D.</t>
  </si>
  <si>
    <t>062-991-2506/998-978-7109</t>
  </si>
  <si>
    <t>medicaldirector@westmetro.com.ph</t>
  </si>
  <si>
    <t>09-0042-26-H2-2</t>
  </si>
  <si>
    <t>Bindoy</t>
  </si>
  <si>
    <t xml:space="preserve">North National Highway, Brgy. Tinaogan, 
   Negros Oriental
</t>
  </si>
  <si>
    <t>BAYAWAN DISTRICT HOSPITAL</t>
  </si>
  <si>
    <t>Veterans Ave.</t>
  </si>
  <si>
    <t>ZAMBOANGA DOCTORS HOSPITAL, INC.</t>
  </si>
  <si>
    <t>X-ray Level 3, CT Scan, Dental Radiography, Pharmacy , CL Tertiary</t>
  </si>
  <si>
    <t>Owned ASP, 1 unit, Type II, OR# 0928-000000228986, CR# 237913933, Plate# KGS 944</t>
  </si>
  <si>
    <t>(035) 430-0155</t>
  </si>
  <si>
    <t>Edwina D. Cabato, M.D.</t>
  </si>
  <si>
    <t>062-991-1929/9166815801</t>
  </si>
  <si>
    <t>zdh1964@yahoo.com</t>
  </si>
  <si>
    <t>18-0002-26-H1-1</t>
  </si>
  <si>
    <t>09-0005-26-H2-2</t>
  </si>
  <si>
    <t>Dumaguete City</t>
  </si>
  <si>
    <t>Putik</t>
  </si>
  <si>
    <t>Nat'l Highway, Piapi, Dumaguete  , Negros Oriental</t>
  </si>
  <si>
    <t>ZAMBOANGA PENINSULA MEDICAL CENTER</t>
  </si>
  <si>
    <t>NEGROS ORIENTAL PROVINCIAL HOSPITAL</t>
  </si>
  <si>
    <t>CL Tertiary, Blood station, Cardiac catheterization, Xray, CT scan</t>
  </si>
  <si>
    <t>Certified rHIVda Confirmatory Lab., Blood Bank, Diagnostic X-Ray (Level 3) CT, Hemodialysis (11 Stations)</t>
  </si>
  <si>
    <t>Type 2 (Plate No. P7X 844)</t>
  </si>
  <si>
    <t>Dr. Darwisa H. Singkee, MPH</t>
  </si>
  <si>
    <t>062 9554579/ 09171529495</t>
  </si>
  <si>
    <t>zpmc1999@gmail.com</t>
  </si>
  <si>
    <t>Dr. Marc Angelo C. Llosa</t>
  </si>
  <si>
    <t>09-0040-24-H2-2</t>
  </si>
  <si>
    <t>(035) 226-2703</t>
  </si>
  <si>
    <t>joycemaningo@yahoo.com; badonrovien@gmail.com; negor.provincialhospital@gmail.com</t>
  </si>
  <si>
    <t>18-0010-26-H2-1</t>
  </si>
  <si>
    <t>P. Brillantes</t>
  </si>
  <si>
    <t>HBB to HBB++</t>
  </si>
  <si>
    <t>ZAMBOANGA PUERICULTURE MATERNITY AND CHILDREN'S HOSPITAL</t>
  </si>
  <si>
    <t>Guihulngan City</t>
  </si>
  <si>
    <t>Cadre, Poblacion, Guihulngan City, Negros Oriental</t>
  </si>
  <si>
    <t>Owned ASP, 1 Unit, Type 1, OR#: 0935-000000027136, CR#: 41620680-3, PN: JAG 9189</t>
  </si>
  <si>
    <t>GOV. WILLIAM "BILLY" VILLEGAS MEMORIAL HOSPITAL</t>
  </si>
  <si>
    <t>Dr. Rodelin Agbulos</t>
  </si>
  <si>
    <t>zpc144@gmail.com</t>
  </si>
  <si>
    <t>09-0073-26-H1-2</t>
  </si>
  <si>
    <t>V. Sagun St. Lumbia District</t>
  </si>
  <si>
    <t>Type 1 (Plate No. F4E 580)</t>
  </si>
  <si>
    <t>METRO PAGADIAN SPECIALIST HOSPITAL, INC.</t>
  </si>
  <si>
    <t>Dr. Edgardo P. Pialago</t>
  </si>
  <si>
    <t>(035)336-1085 / 410-4059</t>
  </si>
  <si>
    <t>gwilliamvillegas_memhosp@yahoo.com</t>
  </si>
  <si>
    <t>MOA, Type 1</t>
  </si>
  <si>
    <t>Dr. Rosalind Pasay</t>
  </si>
  <si>
    <t>062 925-2561</t>
  </si>
  <si>
    <t>mpshi.privhosp@gmail.com</t>
  </si>
  <si>
    <t>18-0011-26-H1-1</t>
  </si>
  <si>
    <t>09-0006-26-H1-2</t>
  </si>
  <si>
    <t>Purok Morning Star, National Highway Olingan</t>
  </si>
  <si>
    <t>ALLIED CARE EXPERTS (ACE) MEDICAL CENTER DIPOLOG, INC.</t>
  </si>
  <si>
    <t>Siaton</t>
  </si>
  <si>
    <t>Progreso St., Brgy III, Siaton, Negros Oriental</t>
  </si>
  <si>
    <t>CONGRESSMAN LAMBERTO L. MACIAS MEMORIAL HOSPITAL</t>
  </si>
  <si>
    <t>CL Tertiary, X-RAY</t>
  </si>
  <si>
    <t>Type I, CS</t>
  </si>
  <si>
    <t>Owned ASP, Type 2- 1 unit, OR# 090124000000734, CR# 48661910, Plate# JAT 9631</t>
  </si>
  <si>
    <t>Dr. Ericson P. Jumalon</t>
  </si>
  <si>
    <t>acemc.dipolog@gmail.com</t>
  </si>
  <si>
    <t>JENELLIE FAITH B. OZOA, MD</t>
  </si>
  <si>
    <t>09-0078-26-H2-1</t>
  </si>
  <si>
    <t>(035)400-7207; 0917-3005417; 09362233133</t>
  </si>
  <si>
    <t>cllmmh@yahoo.com.ph</t>
  </si>
  <si>
    <t>18-0021-26-H1-1</t>
  </si>
  <si>
    <t>Jasaan</t>
  </si>
  <si>
    <t>Zone 4 Capunuyan, Aplaya</t>
  </si>
  <si>
    <t>REVER MEDICAL CENTER, INC.</t>
  </si>
  <si>
    <t>Caipilan, Siquijor, Siquijor</t>
  </si>
  <si>
    <t>SIQUIJOR PROVINCIAL HOSPITAL</t>
  </si>
  <si>
    <t xml:space="preserve">Level 2 X-ray Services, Add-on services of Secondary Clinical Laboratory: (Pro-BNP, CKMB Test, D-dimer Test, 
Procalcitonin (PCT) Test, PSA, Thyroid Panel Testing, Arterial Blood Gas, 
C-reactive Protein (CRP) Test, Glycosylated Hemoglobin (HbA1c) Test, 
Trop I, Ferritin Test) 
</t>
  </si>
  <si>
    <t>Dr. Monique Lucia A. Jardin - Quing</t>
  </si>
  <si>
    <t>0888904412 / 09666212306 / 09773993649</t>
  </si>
  <si>
    <t>Type 1 (Plate No. F4E 939)</t>
  </si>
  <si>
    <t>revermedicalcenter.hr1@gmail.com</t>
  </si>
  <si>
    <t>10-0036-26-H1-2</t>
  </si>
  <si>
    <t>Dr. Jemma M. Fortich</t>
  </si>
  <si>
    <t xml:space="preserve">initial for CL add-on  services: (Pro-BNP, CKMB Test, D-dimer Test, 
Procalcitonin (PCT) Test, PSA, Thyroid Panel Testing, Arterial Blood Gas, 
C-reactive Protein (CRP) Test, Glycosylated Hemoglobin (HbA1c) Test, 
Trop I, Ferritin Test)  - all valid from 2/27/2026 to 12/31/2026
</t>
  </si>
  <si>
    <t>(035) 344-2012; 480-9242; 0953-110-4069</t>
  </si>
  <si>
    <t>siquijor.hospital@yahoo.com</t>
  </si>
  <si>
    <t>18-0007-26-H1-1</t>
  </si>
  <si>
    <t>Brgy. 24-A, National Highway</t>
  </si>
  <si>
    <t>LIPUNAN HOSPITAL, INC.</t>
  </si>
  <si>
    <t>CrCL</t>
  </si>
  <si>
    <t>Abra</t>
  </si>
  <si>
    <t>Bangued</t>
  </si>
  <si>
    <t>Brgy. Calaba</t>
  </si>
  <si>
    <t>ABRA PROVINCIAL HOSPITAL</t>
  </si>
  <si>
    <t>Dr. Virgilio F. Lim</t>
  </si>
  <si>
    <t>0888610428 / 09175200000</t>
  </si>
  <si>
    <t>hospitallipunan@yahoo.com</t>
  </si>
  <si>
    <t>10-0005-26-H1-2</t>
  </si>
  <si>
    <t>HIV Testing Laboratory (Screening)
Serology / Immunology (Special)
Diagnostic X-ray (Level 2)
Specialized Diagnostic X-ray Services: Computed Tomography</t>
  </si>
  <si>
    <t>Zone 6, Puerto Highway</t>
  </si>
  <si>
    <t xml:space="preserve">2/Type 1/ Plate No. F1-K403
Plate No. F1-1903
</t>
  </si>
  <si>
    <t>PUERTO COMMUNITY HOSPITAL</t>
  </si>
  <si>
    <t>1 / Type 1 / Plate No. AFA 5226</t>
  </si>
  <si>
    <t>Dr. Rosaurio Seares</t>
  </si>
  <si>
    <t>abraprovincialhospital@yahoo.com</t>
  </si>
  <si>
    <t>Dr. Amabel M. Plamor</t>
  </si>
  <si>
    <t>14-0021-26-H1-1</t>
  </si>
  <si>
    <t>puerto_hosp@yahoo.com</t>
  </si>
  <si>
    <t>10-0045-26-H1-2</t>
  </si>
  <si>
    <t>292 A. Velez St.</t>
  </si>
  <si>
    <t>SABAL HOSPITAL, INC.</t>
  </si>
  <si>
    <t>Dr. Luis C. Sabal</t>
  </si>
  <si>
    <t>sabal_hospital_inc@yahoo.com</t>
  </si>
  <si>
    <t>10-0043-26-H1-2</t>
  </si>
  <si>
    <t>initial for increase in ABC from 30 to 40 - valid: 1/19/2026-12/31/2026</t>
  </si>
  <si>
    <t>Gusa</t>
  </si>
  <si>
    <t xml:space="preserve">1 Type 1, Conduction Sticker, S7 X788, 
CR No. 2262933186
1 Type 2 Conduction Sticker, F3 0924, 
CR No. 454639135 
</t>
  </si>
  <si>
    <t>CAPITOL UNIVERSITY MEDICAL CENTER FOUNDATION OF CAGAYAN, INC.</t>
  </si>
  <si>
    <t>Blood Bank, Level 3 X-ray Services, Computed Tomography, Mammography, Dental X-ray, Dialysis Clinic, Mobile Laboratory, Cardiac Catheterization, Lithotripsy, Digital Subtraction Angiography, Percutaneous Transluminal Angioplasty</t>
  </si>
  <si>
    <t>Dr. Oliver D. Lacambra</t>
  </si>
  <si>
    <t>2 / Type 2 / Conduction Sticker No. KEE 102, and Plate No. KAR 3201 with Chassis No. JTFEB9CP7P6046341</t>
  </si>
  <si>
    <t>14-0005-26-H2-1</t>
  </si>
  <si>
    <t>Dr. Natasha E. Elazegui</t>
  </si>
  <si>
    <t>(088)8525536 / 09171329361</t>
  </si>
  <si>
    <t>qa@cumc.com.ph</t>
  </si>
  <si>
    <t>10-0002-26-H2-2</t>
  </si>
  <si>
    <t>initial for increase in HDU stations from 50 to 80 and additional 1 unit ambulance (Plate No. KAR 3201) - both changes valid: 3/4/2026-12/31/2026</t>
  </si>
  <si>
    <t>Tiano - Nacalaban Sts.,</t>
  </si>
  <si>
    <t>CAGAYAN DE ORO MEDICAL CENTER, INC.</t>
  </si>
  <si>
    <t>Level 3 X-ray Services, Computed Tomography, Mammography, Bone Densitometry, Dialysis Clinic</t>
  </si>
  <si>
    <t>1 / Type 2 / Plate No. KDO 8733</t>
  </si>
  <si>
    <t>Dr. Maria Merceditas A. Seriña</t>
  </si>
  <si>
    <t>(08822)711-874 / 09178228227</t>
  </si>
  <si>
    <t xml:space="preserve">cdomedicalcenter@gmail.com
</t>
  </si>
  <si>
    <t>10-0018-26-H2-2</t>
  </si>
  <si>
    <t>Don Apolinar Velez St.</t>
  </si>
  <si>
    <t>14-0004-26-H2-1</t>
  </si>
  <si>
    <t>CAGAYAN DE ORO POLYMEDIC GENERAL HOSPITAL, INC.</t>
  </si>
  <si>
    <t>Tertiary Clinical Laboratory, Level 2 X-ray Services, Computed Tomography, Dental Service, Dialysis Clinic, Intensive Care Unit with 3 beds</t>
  </si>
  <si>
    <t>1 / Type 2, Plate No. KAA 9661</t>
  </si>
  <si>
    <t>Atok</t>
  </si>
  <si>
    <t>Paoay</t>
  </si>
  <si>
    <t>Dr. Jovito C. Lao</t>
  </si>
  <si>
    <t>ATOK DISTRICT HOSPITAL</t>
  </si>
  <si>
    <t>cdo_polymedic@yahoo.com</t>
  </si>
  <si>
    <t>10-0008-26-H1-2</t>
  </si>
  <si>
    <t>Kauswagan Highway</t>
  </si>
  <si>
    <t>C.D.O. POLYMEDIC MEDICAL PLAZA, INC.</t>
  </si>
  <si>
    <t>1/Type 1/FIR 032205</t>
  </si>
  <si>
    <t>Level 3 X-ray Services, Computed Tomography, Mammography, Dental Service, Dialysis Clinic, G6PD Confirmatory, HIV Testing Laboratory, Bone Densitometry, Cardiac Catheterization, Radiation Oncology (Conventional Radiotherapy, 3D Conformal Radiotherapy, Intensity Modulated Radiation Therapy), Mobile Laboratory</t>
  </si>
  <si>
    <t>1 / Type 2 / Plate No. KGL 213</t>
  </si>
  <si>
    <t>Dr. Joseph Giovanni C. Frias</t>
  </si>
  <si>
    <t>Dr. Ruben O. Go</t>
  </si>
  <si>
    <t>benguet_adh@yahoo.com</t>
  </si>
  <si>
    <t>14-0005-26-H1-1</t>
  </si>
  <si>
    <t>10-0001-26-H2-2</t>
  </si>
  <si>
    <t>Jimenez</t>
  </si>
  <si>
    <t>Burgos St., Naga</t>
  </si>
  <si>
    <t>DR. DICK UY FAUM HOSPITAL</t>
  </si>
  <si>
    <t>Dr. Dicksie C. Uy</t>
  </si>
  <si>
    <t>(088)272-3851 / 09816184372</t>
  </si>
  <si>
    <t>faumh.philhealth2016@gmail.com</t>
  </si>
  <si>
    <t>10-0051-26-H1-2</t>
  </si>
  <si>
    <t>Bonifacio</t>
  </si>
  <si>
    <t>Purok 4, Digson</t>
  </si>
  <si>
    <t>CLINICA OZARAGA DOCTORS HOSPITAL, INC.</t>
  </si>
  <si>
    <t>Level 2 X-ray Services, Add-on services of Secondary Clinical Laboratory: C. Reactive Protein Test, Tumor Markers (PSA, CEA), Thyroid Panel (TSH, FT4), Troponin I Test</t>
  </si>
  <si>
    <t>1 / Type 2 / Plate No. GAH 4229</t>
  </si>
  <si>
    <t>Dr. Efren V. Ozaraga</t>
  </si>
  <si>
    <t>(088)586-1591 / 09212510865</t>
  </si>
  <si>
    <t>clinicaozaraga4@gmail.com / clinicaozaraga1979@gmail.com</t>
  </si>
  <si>
    <t>10-0053-26-H1-2</t>
  </si>
  <si>
    <t>Bokod</t>
  </si>
  <si>
    <t>Daclan</t>
  </si>
  <si>
    <t>initial for change ownership/mgt and hospital name (formerly Clinica Ozaraga Doctors Hospital)</t>
  </si>
  <si>
    <t>DENNIS MOLINTAS DISTRICT HOSPITAL</t>
  </si>
  <si>
    <t>Purok 5, Lao Proper</t>
  </si>
  <si>
    <t>w/ Mobile Clinical Laboratory; Clinical Chemistry (Special; Immunology/Serology (Special);</t>
  </si>
  <si>
    <t>1/Type 1/Z4 H678</t>
  </si>
  <si>
    <t>JP SOLON FAMILY GENERAL HOSPITAL, INC.</t>
  </si>
  <si>
    <t>Dr. Tricia Hazel Panangwe</t>
  </si>
  <si>
    <t>09462366462/09267498380</t>
  </si>
  <si>
    <t>Add-on services of Secondary Clinical Laboratory: Tumor Marker (PSA, AFP), Thyroid Panel (FT3, FT4, TSH), Troponin I Test, ASO Titer, Anti-HCV, H. Pylori Test, C-Reactive Protein Test</t>
  </si>
  <si>
    <t>dmmhbenguet@gmail.com</t>
  </si>
  <si>
    <t>14-0014-26-H1-1</t>
  </si>
  <si>
    <t>Dr. Juliet P. Solon</t>
  </si>
  <si>
    <t>(088)545-1290 / 09109030710</t>
  </si>
  <si>
    <t>st.augustinehospital@gmail.com / st.augustinehospital2015@gmail.com</t>
  </si>
  <si>
    <t>Buguias</t>
  </si>
  <si>
    <t>Bekes</t>
  </si>
  <si>
    <t>10-0019-26-H1-2</t>
  </si>
  <si>
    <t>NORTHERN BENGUET DISTRICT HOSPITAL</t>
  </si>
  <si>
    <t>initial for CL add-on services: Tumor Marker (PSA, AFP), Thyroid Panel (FT3, FT4, TSH), Troponin I Test, ASO Titer, Anti-HCV, H. Pylori Test, C-Reactive Protein Test (all valid from 1/29/2026 to 12/31/2026)</t>
  </si>
  <si>
    <t>Washington Street, 50th Barangay</t>
  </si>
  <si>
    <t>OZAMIZ CITY ST. JOSEPH GENERAL HOSPITAL</t>
  </si>
  <si>
    <t>1/Type 1/ Conduction Stricker No. F4K587</t>
  </si>
  <si>
    <t>Level 2 X-ray Services, Dental X-ray</t>
  </si>
  <si>
    <t>1 / Type 1 / Plate No. KCX 263</t>
  </si>
  <si>
    <t>Dr. Alma Ged-ang.</t>
  </si>
  <si>
    <t>aehbuguias@gmail.com</t>
  </si>
  <si>
    <t>14-0016-26-H1-1</t>
  </si>
  <si>
    <t>Dr. Jose Jamuel S. Marave</t>
  </si>
  <si>
    <t>(088)521-1726 / 09063532173</t>
  </si>
  <si>
    <t>josemarave@yahoo.com / josephinemarave@yahoo.com.ph</t>
  </si>
  <si>
    <t>10-0002-26-H1-2</t>
  </si>
  <si>
    <t>La Trinidad</t>
  </si>
  <si>
    <t>Betag</t>
  </si>
  <si>
    <t>BENGUET GENERAL HOSPITAL</t>
  </si>
  <si>
    <t>HIV Testing Lab, Dialysis Clinic, Mamography, Specialized Diagnostic x-Ray, Computed Tamography, rHIVda Confirmatory Laboratory</t>
  </si>
  <si>
    <t>1/type2/F5J879
1/Type2/SOZ711</t>
  </si>
  <si>
    <t>Dr. Ma Imelda Ulep</t>
  </si>
  <si>
    <t>beghadmin@benguet.gov.ph</t>
  </si>
  <si>
    <t>14-0003-26-H2-1</t>
  </si>
  <si>
    <t>Feliciano Street, Barangay Aguada</t>
  </si>
  <si>
    <t>Ifugao</t>
  </si>
  <si>
    <t>TOBIAS FELICIANO FAITH GENERAL HOSPITAL, INC.</t>
  </si>
  <si>
    <t>Alfonso Lista</t>
  </si>
  <si>
    <t>POTIA DISTRICT HOSPITAL</t>
  </si>
  <si>
    <t>Tertiary Clinical Laboratory, Level 2 X-ray Services, Computed Tomography, Mammography, Dialysis Clinic</t>
  </si>
  <si>
    <t>HIV Testing Laboratory,Clincal Chemistry (HbA1C), Immunology / Serology(TSH,T3,T4)</t>
  </si>
  <si>
    <t>1/ Type 1/ Plate No. 020104</t>
  </si>
  <si>
    <t>Dr. Angel T. Feliciano Jr.</t>
  </si>
  <si>
    <t>tel(088)564-0728 / 09190796898</t>
  </si>
  <si>
    <t>faith.hospital1972@gmail.com</t>
  </si>
  <si>
    <t>10-0006-26-H1-2</t>
  </si>
  <si>
    <t>Dr. Jocelyn Bumidang</t>
  </si>
  <si>
    <t>potiadistrict0620@gmail.com</t>
  </si>
  <si>
    <t>14-0004-26-H1-1</t>
  </si>
  <si>
    <t>Bagakay</t>
  </si>
  <si>
    <t>MISAMIS UNIVERSITY MEDICAL CENTER</t>
  </si>
  <si>
    <t>Level 3 X-ray Services, Computed Tomography, Dialysis Clinic, LDWA (Category A), Physical Medicine &amp; Rehab Unit</t>
  </si>
  <si>
    <t>Lagawe</t>
  </si>
  <si>
    <t>Lumingay Road, Poblacion North</t>
  </si>
  <si>
    <t>IFUGAO GENERAL HOSPITAL</t>
  </si>
  <si>
    <t>1 / Type 2 / Plate No. NCE 2309</t>
  </si>
  <si>
    <t>Dr. Karen Belina F. De Leon</t>
  </si>
  <si>
    <t>(088)521-2411 / 521-2412</t>
  </si>
  <si>
    <t>Clinical Chemistry(Special:HbA1c, CK-MB), Serology &amp; Immunology (Special:TSH, T3,T4,FT$,PSA,Trop I)</t>
  </si>
  <si>
    <t>mumc@mu.edu.ph</t>
  </si>
  <si>
    <t>10-0013-26-H2-2</t>
  </si>
  <si>
    <t>1/TypeI/ S5J838</t>
  </si>
  <si>
    <t>43 Barrientos St., Layawan</t>
  </si>
  <si>
    <t>ST. THERESE HOSPITAL OF OROQUIETA CITY</t>
  </si>
  <si>
    <t>Dr. Ligaya Marie D. Idolor</t>
  </si>
  <si>
    <t>ifugaogh2023@gmail.com</t>
  </si>
  <si>
    <t>Level 2 X-ray Services, Computed Tomography, add-on services of Secondary Clinical Laboratory: Arterial Blood Gases (ABG), Machine-Based Serological and Immunological Testing</t>
  </si>
  <si>
    <t>14-0012-26-H1-1</t>
  </si>
  <si>
    <t>1 / Type 1 / Plate No. NIL 1673</t>
  </si>
  <si>
    <t>Dr. Arsie I. Buaquiña</t>
  </si>
  <si>
    <t>Lamut</t>
  </si>
  <si>
    <t>(088)531-1274 / 09452250685</t>
  </si>
  <si>
    <t>Bannit St., Mabato-Bato</t>
  </si>
  <si>
    <t>sttherese_hosp@yahoo.com</t>
  </si>
  <si>
    <t>PANOPDOPAN DISTRICT HOSPITAL</t>
  </si>
  <si>
    <t>10-0020-26-H1-2</t>
  </si>
  <si>
    <t>HIV Testing Laboratory (Screening),
Clinical Chemistry:Special - cTml, CK-MB, HbA1c (FiA 8000/Standard F200 FIA),
Immunology/Serology:Special-TSH, T3, T4,fT4 (FiA 8000/Standard F200 FIA), Anti-Hbs (Standard F200 FIA)</t>
  </si>
  <si>
    <t>Pangantucan</t>
  </si>
  <si>
    <t>Sitio Bongbong, Adtuyon</t>
  </si>
  <si>
    <t>PANGANTUCAN MEDICAL HOSPITAL</t>
  </si>
  <si>
    <t>1/ Type 1/ Plate No. 030102</t>
  </si>
  <si>
    <t>Dr. Rodolfo Velasco</t>
  </si>
  <si>
    <t>(088)828-1228 / 09164882738 / 09278441319</t>
  </si>
  <si>
    <t>Dr. Aloha Marcia B. Kalaw</t>
  </si>
  <si>
    <t>butbutan@yahoo.com</t>
  </si>
  <si>
    <t>panopdistricthosp@gmail.com</t>
  </si>
  <si>
    <t>10-0027-26-H1-2</t>
  </si>
  <si>
    <t>14-0006-26-H1-1</t>
  </si>
  <si>
    <t>Kalinga</t>
  </si>
  <si>
    <t>Tabuk City</t>
  </si>
  <si>
    <t>Bulanao</t>
  </si>
  <si>
    <t>Don Carlos</t>
  </si>
  <si>
    <t>KALINGA PROVINCIAL HOSPITAL</t>
  </si>
  <si>
    <t>E. Aguinaldo St., Poblacion</t>
  </si>
  <si>
    <t>DON CARLOS DOCTORS HOSPITAL</t>
  </si>
  <si>
    <t>Level 3 X-ray Services, Computed Tomography, Dialysis Clinic</t>
  </si>
  <si>
    <t>1 / Type 2 / Conduction Sticker No. MM2151</t>
  </si>
  <si>
    <t>Clinical Laboratory (Tertiary),
HIV Testing Laboratory, 
Diagnostic X-ray (level 2),
Specialized Diagnostic Xray Services: Computed Tomography</t>
  </si>
  <si>
    <t>Dr. David A. Pahilan</t>
  </si>
  <si>
    <t>1/Type1/ F5 J883</t>
  </si>
  <si>
    <t>dcdoctorshospital@yahoo.com</t>
  </si>
  <si>
    <t>Dr. Reynaldo A. Aranca</t>
  </si>
  <si>
    <t>10-0012-26-H2-2</t>
  </si>
  <si>
    <t>kphkalinga.gov@gmail.com</t>
  </si>
  <si>
    <t>14-0018-26-H1-1</t>
  </si>
  <si>
    <t>Sayre Highway, Poblacion</t>
  </si>
  <si>
    <t>SIMBULAN STO. NIÑO HOSPITAL</t>
  </si>
  <si>
    <t>1 / Type 1 / Conduction Sticker F1N906</t>
  </si>
  <si>
    <t>Dr. Visitacion H. Simbulan</t>
  </si>
  <si>
    <t>tel (088)828-0817 / 09177183563</t>
  </si>
  <si>
    <t>ssngh_simbulan@yahoo.com</t>
  </si>
  <si>
    <t>10-0007-26-H1-2</t>
  </si>
  <si>
    <t>Valencia City</t>
  </si>
  <si>
    <t>P-10 Guinoyuran Road, Poblacion</t>
  </si>
  <si>
    <t>14-00020260H2-1</t>
  </si>
  <si>
    <t>MEDIDAS MEDICAL CENTER, INC.</t>
  </si>
  <si>
    <t>Add-on services of Secondary Clinical Laboratory: PSA, Thyroid Panel Testing</t>
  </si>
  <si>
    <t>Besao</t>
  </si>
  <si>
    <t>Kin-Iway</t>
  </si>
  <si>
    <t>BESAO DISTRICT HOSPITAL</t>
  </si>
  <si>
    <t>Dr. Saturnino A. Medidas</t>
  </si>
  <si>
    <t>(088)828-6889</t>
  </si>
  <si>
    <t>centerincmedidasmedical@gmail.com</t>
  </si>
  <si>
    <t>Immunology / Serology: Special - HbA1c, Trop-1 (Wondfo Finecare), Thyroid function (Wondo Finecare)</t>
  </si>
  <si>
    <t>10-0012-26-H1-2</t>
  </si>
  <si>
    <t>1/ Type 1/ Plate No. F5 J799</t>
  </si>
  <si>
    <t>ESTHER HOSPITAL</t>
  </si>
  <si>
    <t>Dr. Dolores D. Dicdican</t>
  </si>
  <si>
    <t>bedh_besao@yahoo.com</t>
  </si>
  <si>
    <t>14-0013-26-H1-1</t>
  </si>
  <si>
    <t>1 / Type 1 / Plate No. KAC 4039 with Conduction Sticker No. AB 0809</t>
  </si>
  <si>
    <t>Dr. Alexander N. Nacita</t>
  </si>
  <si>
    <t>(088)828-4445</t>
  </si>
  <si>
    <t>estherhospital2003@gmail.com</t>
  </si>
  <si>
    <t>Bontoc</t>
  </si>
  <si>
    <t>10-0034-26-H1-2</t>
  </si>
  <si>
    <t>Upper Caluttit</t>
  </si>
  <si>
    <t>BONTOC GENERAL HOSPITAL</t>
  </si>
  <si>
    <t>Purok 16, Sayre Highway, Poblacion</t>
  </si>
  <si>
    <t>VALENCIA MEDICAL HOSPITAL</t>
  </si>
  <si>
    <t>Level 2 X-ray Services, Computed Tomography, Mammography</t>
  </si>
  <si>
    <t>Dialysis Clinic
HIV Testing Laboratory,
Serology / Immunology (Special),
Diagnostic X-ray Service (Level 2), 
Specialized Diagnostic X-ray Services: Computed Tomography</t>
  </si>
  <si>
    <t>1 / Type 1 / Plate No. AWA 6693</t>
  </si>
  <si>
    <t>1/ Type 1 / Plate No. F3V713</t>
  </si>
  <si>
    <t>Dr. Lorna P. Garcia</t>
  </si>
  <si>
    <t>(088)828-1228 / 09164882738</t>
  </si>
  <si>
    <t>10-0030-26-H1-2</t>
  </si>
  <si>
    <t>Dr. Raquel tannao S. Kanongkong</t>
  </si>
  <si>
    <t>bontocgeneralhospital@gmail.com</t>
  </si>
  <si>
    <t>14-0011-26-H1-1</t>
  </si>
  <si>
    <t>VALENCIA POLYMEDIC GENERAL HOSPITAL, INC.</t>
  </si>
  <si>
    <t>1 / Type 2 / Plate No. KGU 133</t>
  </si>
  <si>
    <t>Paracelis</t>
  </si>
  <si>
    <t>PARACELIS DISTRICT HOSPITAL</t>
  </si>
  <si>
    <t>Dr. Melquisedes L. Po</t>
  </si>
  <si>
    <t>(088)828-8000 / 09173028349</t>
  </si>
  <si>
    <t>vpgh2015@yahoo.com</t>
  </si>
  <si>
    <t>10-0016-26-H2-2</t>
  </si>
  <si>
    <t>CLinical Laboratory (Secondary),
Clinical Chemistry: Special - HbA1c, CK-MB, Trop-1(Finecare)
Diagnostic X-Ray Services (level 2)</t>
  </si>
  <si>
    <t>Fortich St.</t>
  </si>
  <si>
    <t>1/ Type 1 / Plate No. F5 J768</t>
  </si>
  <si>
    <t>BETHEL BAPTIST HOSPITAL, INC.</t>
  </si>
  <si>
    <t>Tertiary Clinical Laboratory, Level 2 X-ray Services, Dental Services</t>
  </si>
  <si>
    <t>Dr. Regina Pat P. Binalay</t>
  </si>
  <si>
    <t>paracelisdistricthospital@gmail.com</t>
  </si>
  <si>
    <t>14-0020-26-H1-1</t>
  </si>
  <si>
    <t>1 / Type 1 / Plate No. ABC 3303</t>
  </si>
  <si>
    <t>Dr. Vincent Troy A. Del Mundo</t>
  </si>
  <si>
    <t>(088)813-2708 / 09178705099</t>
  </si>
  <si>
    <t>bethelbaptisthospital@gmail.com / bethelbaptisthospital@yahoo.com</t>
  </si>
  <si>
    <t>Lamitan City</t>
  </si>
  <si>
    <t>Brgy. Limook</t>
  </si>
  <si>
    <t>10-0024-26-H1-2</t>
  </si>
  <si>
    <t>Fortich St., Brgy. 9</t>
  </si>
  <si>
    <t>MALAYBALAY POLYMEDIC GENERAL HOSPITAL, INC.</t>
  </si>
  <si>
    <t>LAMITAN DISTRICT HOSPITAL (EDIBORAH P. YAP MEMORIAL HOSPITAL)</t>
  </si>
  <si>
    <t>1 / Type 2 / Plate No. ABC 2753</t>
  </si>
  <si>
    <t>Tawi-Tawi</t>
  </si>
  <si>
    <t>Dr. Maureen Mary T. Po - Go</t>
  </si>
  <si>
    <t>(088)813-4016 / 09177187661</t>
  </si>
  <si>
    <t>mpgh1991@yahoo.com</t>
  </si>
  <si>
    <t>10-0003-26-H2-2</t>
  </si>
  <si>
    <t>Datu Mampaalong Street, Barangay 6</t>
  </si>
  <si>
    <t>ST. JUDE THADDEUS GENERAL HOSPITAL (SJTGH)</t>
  </si>
  <si>
    <t>Level 2 X-ray Services, Computed Tomography, Dialysis Clinic</t>
  </si>
  <si>
    <t>1 / Type I / Conduction Sticker F1C043 with Plate No. NBP 7715</t>
  </si>
  <si>
    <t>Dr. Annabelle D. Murillo</t>
  </si>
  <si>
    <t>09175190082 / 09178134834</t>
  </si>
  <si>
    <t>st.judethaddeus_08@ymail.com</t>
  </si>
  <si>
    <t>10-0003-26-H1-2</t>
  </si>
  <si>
    <t>Pharmacy, Diagnostic x-ray services, Blood-collecting unit</t>
  </si>
  <si>
    <t>Lala</t>
  </si>
  <si>
    <t>Purok Molave, Maranding</t>
  </si>
  <si>
    <t>ASENTISTA DOCTORS HOSPITAL AND LABORATORY</t>
  </si>
  <si>
    <t xml:space="preserve">3, Type 1, 
Plate No. Z3Q 606
Plate No. F5R 669
Plate No. F6X 632
</t>
  </si>
  <si>
    <t>LAMITAN DISTRICT HOSPITAL (EDIBORAH P. YAP MEMORIAL HOSPITAL) AMBULANCE</t>
  </si>
  <si>
    <t>Jackie lou eisma castillo, md, mph, fpcp</t>
  </si>
  <si>
    <t>0915-157-2349</t>
  </si>
  <si>
    <t>Dr. Apollo Abner C. Asentista</t>
  </si>
  <si>
    <t>asentistadoctors@gmail.com</t>
  </si>
  <si>
    <t>10-0031-26-H1-2</t>
  </si>
  <si>
    <t>epymhldh1976@gmail.com</t>
  </si>
  <si>
    <t>Purok Indian Tree, Maranding</t>
  </si>
  <si>
    <t>GOZO COMMUNITY HOSPITAL, INC.</t>
  </si>
  <si>
    <t>Dr. Delbert L. Gozo Jr.</t>
  </si>
  <si>
    <t>(063)3025549 / 09177160350</t>
  </si>
  <si>
    <t>gozohr95@gmail.com</t>
  </si>
  <si>
    <t>10-0017-26-H1-2</t>
  </si>
  <si>
    <t>Purok Apitong, Maranding</t>
  </si>
  <si>
    <t>BONTILAO COUNTRY HOSPITAL</t>
  </si>
  <si>
    <t>Mobile Clinical Laboratory</t>
  </si>
  <si>
    <t>Dr. Santiago L. Bontilao</t>
  </si>
  <si>
    <t>(063)227-8549 / 09687175251</t>
  </si>
  <si>
    <t>bontilaocountryhospital@yahoo.com</t>
  </si>
  <si>
    <t>10-0029-26-H1-2</t>
  </si>
  <si>
    <t>Purok 1 San Antonio, Poblacion, Municipality of Tubod</t>
  </si>
  <si>
    <t>TUBOD COMMUNITY HOSPITAL AND DIAGNOSTIC CENTER, INC.</t>
  </si>
  <si>
    <t>Dr. Leonard B. Miranda</t>
  </si>
  <si>
    <t>(063)227-6145 / 09209657968</t>
  </si>
  <si>
    <t>tubodcommunity.hospital93@gmail.com</t>
  </si>
  <si>
    <t>10-0039-26-H1-2</t>
  </si>
  <si>
    <t>Purok Pomelo, Fernan Subdivision, Maranding</t>
  </si>
  <si>
    <t>MARANDING COMMUNITY HOSPITAL, INC.</t>
  </si>
  <si>
    <t>Dr. Woodrow C. Tabanao</t>
  </si>
  <si>
    <t>(063)227-8698 / 09750863503</t>
  </si>
  <si>
    <t>marandingcommunityhospital@gmail.com</t>
  </si>
  <si>
    <t>15-0120-26-H1-1</t>
  </si>
  <si>
    <t>10-0018-26-H1-2</t>
  </si>
  <si>
    <t>Bacolod</t>
  </si>
  <si>
    <t>Purok 1, Poblacion</t>
  </si>
  <si>
    <t>ANDOT MEDICAL CLINIC</t>
  </si>
  <si>
    <t>Level 2 X-ray Services, Mobile Clinical Laboratory</t>
  </si>
  <si>
    <t>Balindong</t>
  </si>
  <si>
    <t>Salipongan</t>
  </si>
  <si>
    <t>Dr. Bob C. Andot</t>
  </si>
  <si>
    <t>BALINDONG MUNICIPAL HOSPITAL</t>
  </si>
  <si>
    <t>(063)227-2010 / 09177169776</t>
  </si>
  <si>
    <t>andothospital@ymail.com</t>
  </si>
  <si>
    <t>Pharmacy, Diagnostic x-ray services</t>
  </si>
  <si>
    <t>1, Type 1, Plate No. F4K 429
CR No. 42345802-2</t>
  </si>
  <si>
    <t>10-0037-26-H1-2</t>
  </si>
  <si>
    <t>BALINDONG MUNICIPAL HOSPITAL AMBULANCE</t>
  </si>
  <si>
    <t>Datumanong l. Domado, md, cfp, mha</t>
  </si>
  <si>
    <t>0917-327-0773</t>
  </si>
  <si>
    <t>balindongmunicipalhospital@yahoo.com</t>
  </si>
  <si>
    <t>Sister of Mercy Road, Camague, Tubod</t>
  </si>
  <si>
    <t>MERCY COMMUNITY HOSPITAL, INC.</t>
  </si>
  <si>
    <t>15-0078-26-H1-1</t>
  </si>
  <si>
    <t>Level 3 X-ray Services, Computed Tomography, Mammography,  Bone Densitometry, Dental Service, Dialysis Clinic, Anatomic Pathology (cytology, surgical and frozen)</t>
  </si>
  <si>
    <t>1 / Type 2 / Plate No. KDO 9241</t>
  </si>
  <si>
    <t>Binidayan</t>
  </si>
  <si>
    <t>Brgy. Pagalamatan</t>
  </si>
  <si>
    <t>UNAYAN MUNICIPAL HOSPITAL</t>
  </si>
  <si>
    <t>Dr. Karen J. Magahin</t>
  </si>
  <si>
    <t>(063)221-1154 / 09177105491</t>
  </si>
  <si>
    <t>mchi.iligan@gmail.com</t>
  </si>
  <si>
    <t>10-0010-26-H2-2</t>
  </si>
  <si>
    <t>Pharmacy, Diagnostic x-ray and Dental services</t>
  </si>
  <si>
    <t>Quezon Avenue Extension, Villaverde</t>
  </si>
  <si>
    <t>1, Type 1, Plate No. SKZ 440</t>
  </si>
  <si>
    <t>ST. MARY'S MATERNITY AND CHILDREN'S HOSPITAL, INC.</t>
  </si>
  <si>
    <t>UNAYAN MUNICIPAL HOSPITAL AMBULANCE</t>
  </si>
  <si>
    <t>1 / Type 1 / Plate No. KDB 613</t>
  </si>
  <si>
    <t>Raquemah a. Benito-padate, md</t>
  </si>
  <si>
    <t>0997-716-2791
0919-097-8304</t>
  </si>
  <si>
    <t>Dr. Marifah P. Maranda</t>
  </si>
  <si>
    <t>unayanmunicipalhospital@gmail.com</t>
  </si>
  <si>
    <t>(063)221-3210</t>
  </si>
  <si>
    <t>smmchi.iligan@gmail.com / smmch_inc@yahoo.com</t>
  </si>
  <si>
    <t>15-0034-26-H1-1</t>
  </si>
  <si>
    <t>10-0025-26-H1-2</t>
  </si>
  <si>
    <t>San Miguel Village, Pala-o</t>
  </si>
  <si>
    <t>Malabang</t>
  </si>
  <si>
    <t>basilam</t>
  </si>
  <si>
    <t>DR. SERAPIO B. MONTANER JR., AL HAJJ MEMORIAL HOSPITAL</t>
  </si>
  <si>
    <t>ILIGAN MEDICAL CENTER HOSPITAL</t>
  </si>
  <si>
    <t>Dental Service, Level 2 X-ray Services, Tertiary Clin. Lab., Physical Medicine and Rehab Unit</t>
  </si>
  <si>
    <t>Pharmacy, Diagnostic x-ray services, High-risk Pregnancy Unit (2), Intensive Care Unit (4)</t>
  </si>
  <si>
    <t>4, Type 1, Plate No. SND 3080
CS No. CC 696A
CS No. F4 K626</t>
  </si>
  <si>
    <t>Dr. Celina Torres - Jo</t>
  </si>
  <si>
    <t>(063)221-4661 / 09399306632</t>
  </si>
  <si>
    <t>DR. SERAPIO B. MONTANER JR., AL HAJJ MEMORIAL HOSPITAL AMBULANCE</t>
  </si>
  <si>
    <t>imchospital@yahoo.com</t>
  </si>
  <si>
    <t>10-0042-26-H1-2</t>
  </si>
  <si>
    <t>Hanipha d. Madale-montaňer, md, fpogs, mhca, fpcs, fpsms, fpcha, fiams, cnmd</t>
  </si>
  <si>
    <t>0917-513-9979</t>
  </si>
  <si>
    <t>dsbmmh1121@gmail.com</t>
  </si>
  <si>
    <t>Sta. Cruz 1, Pimentel St., Lapasan</t>
  </si>
  <si>
    <t>15-0014-26-H1-1</t>
  </si>
  <si>
    <t>ALLIED CARE EXPERTS (ACE) MEDICAL CENTER - CAGAYAN DE ORO, INC.</t>
  </si>
  <si>
    <t>FROM SECONDARY TO TERTIARY CL, 3 AMBULANCE UNITS TO 4</t>
  </si>
  <si>
    <t>Level 3 X-ray Services, Computed Tomography, Dialysis Clinic, Physical Medicine and Rehab Unit, Cancer Treatment Unit (Systemic Therapy), Ambulatory Surgical Clinic-General Surgery &amp; Thoracic Surgery</t>
  </si>
  <si>
    <t>Tamparan</t>
  </si>
  <si>
    <t>1 / Type 2 / Plate No. KAP 3119</t>
  </si>
  <si>
    <t>Brgy. Picarabawan</t>
  </si>
  <si>
    <t>TAMPARAN DISTRICT HOSPITAL</t>
  </si>
  <si>
    <t xml:space="preserve">Dr. Fausto Nariomme L. Tancongco Jr.
</t>
  </si>
  <si>
    <t>alliedcareexperts.cdo@gmail.com</t>
  </si>
  <si>
    <t>10-0008-26-H2-2</t>
  </si>
  <si>
    <t>1, Type 1, Plate No. JAO 440, CR No. 241427040</t>
  </si>
  <si>
    <t>initial for increase in abc from 100 to 125 - validity: 4/6/2026-12/31/2026</t>
  </si>
  <si>
    <t>TAMPARAN DISTRICT HOSPITAL AMBULANCE</t>
  </si>
  <si>
    <t>Kadil m. Sinolinding, jr., md, dpbo</t>
  </si>
  <si>
    <t>0917-774-1841</t>
  </si>
  <si>
    <t>Brgy. Sta. Cruz</t>
  </si>
  <si>
    <t>tamparandistricthospital@gmail.com</t>
  </si>
  <si>
    <t>TAGOLOAN POLYMEDIC GENERAL HOSPITAL, INC.</t>
  </si>
  <si>
    <t>15-0170-26-H1-1</t>
  </si>
  <si>
    <t>Wao</t>
  </si>
  <si>
    <t>Western Wao</t>
  </si>
  <si>
    <t>WAO DISTRICT HOSPITAL</t>
  </si>
  <si>
    <t>Dr. Alister B. Ucab</t>
  </si>
  <si>
    <t>088890-3071 / 09993808452 / 09258986945</t>
  </si>
  <si>
    <t>cdo_polymedic@yahoo.com / hmotagoloan2017@gmail.com</t>
  </si>
  <si>
    <t>10-0004-26-H1-2</t>
  </si>
  <si>
    <t>3, Type 1,
Plate No. F4J681
Plate No. CC705A
Plate No. K1T966</t>
  </si>
  <si>
    <t>WAO DISTRICT HOSPITAL AMBULANCE</t>
  </si>
  <si>
    <t>C. Bagaipo St, Barangay 22</t>
  </si>
  <si>
    <t>Asnawi r. Dalidig, md, msph-ha</t>
  </si>
  <si>
    <t>ADVENTIST HOSPITAL GINGOOG, INC.</t>
  </si>
  <si>
    <t>0977-836-8176</t>
  </si>
  <si>
    <t>waodhcare@gmail.com</t>
  </si>
  <si>
    <t>15-0056-26-H1-1</t>
  </si>
  <si>
    <t>Level 2 X-ray Services, Computed Tomography, Dialysis Clinic, Mobile Laboratory</t>
  </si>
  <si>
    <t>1 / Type 1 / Plate No. KDP 230</t>
  </si>
  <si>
    <t>Ampatuan</t>
  </si>
  <si>
    <t>Dr. Jeremey L. Manuel</t>
  </si>
  <si>
    <t>Brgy. Limpongo, Datu Hoffer, Maguindanao</t>
  </si>
  <si>
    <t>(088)8612006</t>
  </si>
  <si>
    <t>MAGUINDANAO PROVINCIAL HOSPITAL</t>
  </si>
  <si>
    <t>admin@adventisthealth-gng.com</t>
  </si>
  <si>
    <t>10-0054-26-H1-2</t>
  </si>
  <si>
    <t>initial for change ownership/mgt and hospital name (formerly Gingoog Sanitarium and Hospital, Inc.)</t>
  </si>
  <si>
    <t>Blood Collecting Unit, Dialysis Clinic, Specialized Diagnostic X-ray Services</t>
  </si>
  <si>
    <t>Blood Collecting Unit</t>
  </si>
  <si>
    <t>MADONNA AND CHILD MEDICAL CENTER</t>
  </si>
  <si>
    <t>Dialysis Clinic, Computed Tomography, Mammography, Cancer Treatment Unit in a General Hospital (Systemic Therapy)</t>
  </si>
  <si>
    <t>Dr. Mohammad ariff baguindali</t>
  </si>
  <si>
    <t>0936742877//09171551280</t>
  </si>
  <si>
    <t>1 / Type 2 / Plate No. KAC 8596</t>
  </si>
  <si>
    <t>iphomaguindanao.mph@gmail.com</t>
  </si>
  <si>
    <t>DOH000632</t>
  </si>
  <si>
    <t>Dr. Fernando Jay Q. Dy III</t>
  </si>
  <si>
    <t>(088)858-4105 / 858-3962 / 09171058587</t>
  </si>
  <si>
    <t>madonna.and.child.hospital@hotmail.com</t>
  </si>
  <si>
    <t>10-0017-26-H2-2</t>
  </si>
  <si>
    <t>Maguindanao del Norte</t>
  </si>
  <si>
    <t>Gov. Angel N. Medina Sr. Avenue, New Annex</t>
  </si>
  <si>
    <t>Datu Blah T. Sinsuat</t>
  </si>
  <si>
    <t>MEDINA GENERAL HOSPITAL</t>
  </si>
  <si>
    <t>Brgy. Nuro</t>
  </si>
  <si>
    <t>DATU BLAH T. SINSUAT DISTRICT HOSPITAL</t>
  </si>
  <si>
    <t>Level 3 X-ray Services, Computed Tomography, Dental Service, Dialysis Clinic</t>
  </si>
  <si>
    <t>1 / Type 2 / Plate No. ABN 4412</t>
  </si>
  <si>
    <t>2, Type 1, Plate No. NAO 4148, OR No. 000152865 2, Type 1, Plate No. NAO 4148, OR No. 000152865
Plate No. 130110, CR No. 43682973</t>
  </si>
  <si>
    <t>Dr. George Thorek C. Medina</t>
  </si>
  <si>
    <t>(088)521-1816 / 09209459124</t>
  </si>
  <si>
    <t>medinageneralhospital@rocketmail.com</t>
  </si>
  <si>
    <t>DATU BLAH T. SINSUAT DISTRICT HOSPITAL AMBULANCE</t>
  </si>
  <si>
    <t>10-0007-26-H2-2</t>
  </si>
  <si>
    <t>Edwin John c. Limjuco, md, mhca, fpcha, fpsmsg</t>
  </si>
  <si>
    <t>0917-621-9571</t>
  </si>
  <si>
    <t>datublah@gmail.com</t>
  </si>
  <si>
    <t>15-0175-26-H1-1</t>
  </si>
  <si>
    <t>Sayre Highway, Purok 8, North Poblacion</t>
  </si>
  <si>
    <t>ST. JOSEPH SOUTHERN BUKIDNON HOSPITAL, INC.</t>
  </si>
  <si>
    <t>1 / Type 2 / Plate No. KAB 3407</t>
  </si>
  <si>
    <t>Datu Odin Sinsuat</t>
  </si>
  <si>
    <t>Sister Cecille Asuncion S. Cabahug, SPC - Hospital Administrator; Dr. Ruperto G. Kisteria, Jr. - Medical Director</t>
  </si>
  <si>
    <t>Brgy. Awang</t>
  </si>
  <si>
    <t>(088)828-4702 / 09177182601</t>
  </si>
  <si>
    <t>CAMP SIONGCO STATION HOSPITAL</t>
  </si>
  <si>
    <t>sjsbh5170@yahoo.com / sjsbh5170@gmail.com</t>
  </si>
  <si>
    <t>10-0048-26-H1-2</t>
  </si>
  <si>
    <t>P-2A South Poblacion</t>
  </si>
  <si>
    <t>BONGCAS HOLY CHILD HOSPITAL</t>
  </si>
  <si>
    <t>4, Type 1, 
Plate No. ABR 1195
Plate No. CC 714A Plate No. SHB 618
Plate No. TIM 381</t>
  </si>
  <si>
    <t>CAMP SIONGCO STATION HOSPITAL AMBULANCE</t>
  </si>
  <si>
    <t>Maj Jeremie Villamor (mc) pa</t>
  </si>
  <si>
    <t>Dr. Fe C. Bongcas</t>
  </si>
  <si>
    <t>0916-267-4817</t>
  </si>
  <si>
    <t>(088)828-1746 / 09177773945</t>
  </si>
  <si>
    <t>cssh_sixid@yahoo.com</t>
  </si>
  <si>
    <t>bongcashc_hospital@yahoo.com</t>
  </si>
  <si>
    <t>15-0180-26-H1-1</t>
  </si>
  <si>
    <t>10-0010-26-H1-2</t>
  </si>
  <si>
    <t>FROM 4 AMBULANCE UNITS TO 3</t>
  </si>
  <si>
    <t>Camp Phillips, Agusan Canyon</t>
  </si>
  <si>
    <t>PHILLIPS MEMORIAL HOSPITAL</t>
  </si>
  <si>
    <t>Dalican</t>
  </si>
  <si>
    <t>DATU ODIN SINSUAT DISTRICT HOSPITAL</t>
  </si>
  <si>
    <t>Level 2 X-ray Services, Dialysis Clinic, Physical Medicine and Rehab Unit</t>
  </si>
  <si>
    <t>1 / Type 1 / Plate No. KAG 6270</t>
  </si>
  <si>
    <t>Dr. Myra A. Sicat</t>
  </si>
  <si>
    <t>(088)855-5976 / 09177264184</t>
  </si>
  <si>
    <t>pmg_pmh413@yahoo.com</t>
  </si>
  <si>
    <t>10-0009-26-H1-2</t>
  </si>
  <si>
    <t>1, Type 1, Plate No. F4K261</t>
  </si>
  <si>
    <t>DATU ODIN SINSUAT DISTRICT HOSPITAL AMBULANCE</t>
  </si>
  <si>
    <t>4007 P. Valero St., Purok 16, Poblacion</t>
  </si>
  <si>
    <t>Bai Deevah Eileen a. Samama, md</t>
  </si>
  <si>
    <t>ABELLA MIDWAY HOSPITAL</t>
  </si>
  <si>
    <t>0917-622-3894</t>
  </si>
  <si>
    <t>dinaigmunhospital@gmail.com</t>
  </si>
  <si>
    <t>Mammography</t>
  </si>
  <si>
    <t>15-0137-26-H1-1</t>
  </si>
  <si>
    <t>1 / Type 1 / Conduction Sticker No. A8S237</t>
  </si>
  <si>
    <t>Dr. Dinah G. Abella</t>
  </si>
  <si>
    <t>(088)828-3533 / 09189424178</t>
  </si>
  <si>
    <t>abella.midway@yahoo.com / abella_midway@yahoo.com</t>
  </si>
  <si>
    <t>Notre Dame Site, Brgy. Poblacion 1</t>
  </si>
  <si>
    <t>10-0011-26-H1-2</t>
  </si>
  <si>
    <t>IRANON DISTRICT HOSPITAL</t>
  </si>
  <si>
    <t>LA VIÑA GENERAL HOSPITAL, INC.</t>
  </si>
  <si>
    <t>Computed Tomography, Mammography, Dialysis Clinic, G6PD Confirmatory</t>
  </si>
  <si>
    <t>3, Type 1, 
Plate No. F4K 414
Plate No. F4J 793, NI 148A</t>
  </si>
  <si>
    <t>1 / Type 2 / Plate No. AAE 9053</t>
  </si>
  <si>
    <t>Harris d. Macapeges, md, maha, fics, fpcha-cha, fpsmsg</t>
  </si>
  <si>
    <t>0997-112-6205</t>
  </si>
  <si>
    <t>Dr. John E. Mata</t>
  </si>
  <si>
    <t>idh.barmm@gmail.com</t>
  </si>
  <si>
    <t>(088)828-6150 / 09171728644</t>
  </si>
  <si>
    <t>lvghi@yahoo.com / lvghihrdo@yahoo.com / lavinaqa1@gmail.com</t>
  </si>
  <si>
    <t>15-0038-26-H1-1</t>
  </si>
  <si>
    <t>10-0014-26-H2-2</t>
  </si>
  <si>
    <t>UPGRADED FROM INFIRMARY TO LEVEL 1 HOSPITAL.</t>
  </si>
  <si>
    <t>A. Aguilar St.,</t>
  </si>
  <si>
    <t>ADVENTIST MEDICAL CENTER - VALENCIA CITY, INC.</t>
  </si>
  <si>
    <t>Maguindao del Sur</t>
  </si>
  <si>
    <t>Buluan</t>
  </si>
  <si>
    <t>BULUAN DISTRICT HOSPITAL</t>
  </si>
  <si>
    <t>1 / Type 2, Plate No. NIF 5483</t>
  </si>
  <si>
    <t>Dr. Janellie C. Sumatra (President)</t>
  </si>
  <si>
    <t>info (088)828-7777</t>
  </si>
  <si>
    <t>info.amcv@adventisthealth-vnc.com / hr.amcv@adventisthealth-vnc.com</t>
  </si>
  <si>
    <t>10-0011-26-H2-2</t>
  </si>
  <si>
    <t>Pharmacy, Diagnostic x-ray services, Blood Collection unit</t>
  </si>
  <si>
    <t>Fortich Street, Barangay 7</t>
  </si>
  <si>
    <t>1, Type 1, Plate No. 1230-99195, CR No. 311746702</t>
  </si>
  <si>
    <t>MALAYBALAY MEDICAL HOSPITAL CARE</t>
  </si>
  <si>
    <t>BULUAN DISTRICT HOSPITAL AMBULANCE</t>
  </si>
  <si>
    <t>Rizaldy l. Piang, md</t>
  </si>
  <si>
    <t>0918-942-0136</t>
  </si>
  <si>
    <t>buluandistricthospital@yahoo.com</t>
  </si>
  <si>
    <t>Dr. Manuel A. Roxas</t>
  </si>
  <si>
    <t>(088)813-1140 / 09171146718</t>
  </si>
  <si>
    <t>15-0109-26-H1-1</t>
  </si>
  <si>
    <t>malaybalay_medical_hospital@yahoo.com</t>
  </si>
  <si>
    <t>10-0035-26-H1-2</t>
  </si>
  <si>
    <t>South UPI</t>
  </si>
  <si>
    <t>Brgy. Romangaob</t>
  </si>
  <si>
    <t>SOUTH UPI MUNICIPAL HOSPITAL</t>
  </si>
  <si>
    <t>DR. UY HOSPITAL, INC.</t>
  </si>
  <si>
    <t>Tertiary Clinical Laboratory, Level 2 X-ray Services</t>
  </si>
  <si>
    <t>1 / Type 2, Plate No. KAG 5341</t>
  </si>
  <si>
    <t>2, Type 1, Plate No. F4J 811 CR No., 4212
Plate No. F4K 663, CR No.</t>
  </si>
  <si>
    <t>SOUTH UPI MUNICIPAL HOSPITAL AMBULANCE</t>
  </si>
  <si>
    <t>Dr. Macario R. Valdez</t>
  </si>
  <si>
    <t>(063)228-1140 / 09163993540</t>
  </si>
  <si>
    <t>druyhospitalinc@yahoo.com</t>
  </si>
  <si>
    <t>Lourem d. Sioson, md, fpogs</t>
  </si>
  <si>
    <t>10-0015-26-H1-2</t>
  </si>
  <si>
    <t>0956-052-0050</t>
  </si>
  <si>
    <t>southupihospital.phic@gmail.com</t>
  </si>
  <si>
    <t>Andres Bonifacio Avenue, San Miguel</t>
  </si>
  <si>
    <t>15-0166-26-H1-1</t>
  </si>
  <si>
    <t>ADVENTIST MEDICAL CENTER - ILIGAN CITY, INC.</t>
  </si>
  <si>
    <t>COH from ESTER S. PETILO, MD, FPOGS to LOUREM D. SIOSON, MD, FPOGS</t>
  </si>
  <si>
    <t>Computed Tomography, Mammography, Dialysis Clinic, Physical  Medicine and Rehab Unit</t>
  </si>
  <si>
    <t>1 / Type 2, Plate No. WQG 551</t>
  </si>
  <si>
    <t>Bongao</t>
  </si>
  <si>
    <t>Dr. Rowena E. Delorino</t>
  </si>
  <si>
    <t>Brgy. Lamion</t>
  </si>
  <si>
    <t>(063)221-3029 / 09564820175</t>
  </si>
  <si>
    <t>DATU HALUN SAKILAN MEMORIAL HOSPITAL</t>
  </si>
  <si>
    <t>amc.iligan@gmail.com / amciligan@adventisthealth-ign.com</t>
  </si>
  <si>
    <t>10-0006-26-H2-2</t>
  </si>
  <si>
    <t>initial for Physical Medicine and Rehab Unit - validity: 5/5/2026 - 12/31/2026</t>
  </si>
  <si>
    <t>Hayes St., Cagayan De Oro City</t>
  </si>
  <si>
    <t>MARIA REYNA-XAVIER UNIVERSITY HOSPITAL, INC.</t>
  </si>
  <si>
    <t>2, Type 1, Plate No. F4J 710, CR No. 450946226, F4 K554</t>
  </si>
  <si>
    <t>Pharmacy (2), Specialized Diagnostic X-ray Services, Radiation Therapy Category (Level 3)</t>
  </si>
  <si>
    <t>DATU HALUN SAKILAN MEMORIAL HOSPITAL AMBULANCE</t>
  </si>
  <si>
    <t>Raul Winston P. Andutan</t>
  </si>
  <si>
    <t>Sangkula g. Laja, md, mph, mha, cese, csee</t>
  </si>
  <si>
    <t>(08822) 725210</t>
  </si>
  <si>
    <t>0917-374-7358</t>
  </si>
  <si>
    <t>mariareynaxucdo@gmail.com</t>
  </si>
  <si>
    <t>iphotawitawi@gmail.com</t>
  </si>
  <si>
    <t>DOH007016</t>
  </si>
  <si>
    <t>15-0181-26-H1-1</t>
  </si>
  <si>
    <t>FROM 1 AMBULANCE UNITS TO 2 UNITS</t>
  </si>
  <si>
    <t>Masterson Avenue, Upper Canitoan</t>
  </si>
  <si>
    <t>SAINT FRANCIS DOCTORS' HOSPITAL AND MEDICAL CENTER</t>
  </si>
  <si>
    <t>Computed Tomography, Physical Medicine and Rehab Unit, Mobile Laboratory, Dialysis Clinic</t>
  </si>
  <si>
    <t>1 / Type 2, Plate No. KAF 5038</t>
  </si>
  <si>
    <t>Dr. Roger Stephen S. Viajar</t>
  </si>
  <si>
    <t>(088)326-2489 / 09173215246</t>
  </si>
  <si>
    <t>saintfrancis.admn@gmail.com</t>
  </si>
  <si>
    <t>10-0004-26-H2-2</t>
  </si>
  <si>
    <t>Purok Osmeña, San Luis</t>
  </si>
  <si>
    <t>SAN ISIDRO POLYMEDIC GENERAL HOSPITAL</t>
  </si>
  <si>
    <t>1 / Type 2, Plate No. KAF 7415</t>
  </si>
  <si>
    <t>Dr. Joel A. Babanto Jr.</t>
  </si>
  <si>
    <t>sipgh.polymedic@gmail.com</t>
  </si>
  <si>
    <t>10-0020-26-H2-2</t>
  </si>
  <si>
    <t>Balangay 3, Poblacion</t>
  </si>
  <si>
    <t>ST. CLAIRE HOSPITAL</t>
  </si>
  <si>
    <t>Dr. Ofelia C. Pahilan</t>
  </si>
  <si>
    <t>st.clairehospital@yahoo.com</t>
  </si>
  <si>
    <t>10-0040-26-H1-2</t>
  </si>
  <si>
    <t>Purok Solijon, Migcanaway</t>
  </si>
  <si>
    <t>SARITA - DOCTORS HOSPITAL</t>
  </si>
  <si>
    <t>Dr. Carl Angeli B. Cagulada</t>
  </si>
  <si>
    <t>(088)521-7945</t>
  </si>
  <si>
    <t>hospitalsarita50@gmail.com</t>
  </si>
  <si>
    <t>10-0052-26-H1-2</t>
  </si>
  <si>
    <t>Mawab</t>
  </si>
  <si>
    <t>P1 Pob. Mawab, Davao De Oro</t>
  </si>
  <si>
    <t>DOCTORS COMMUNITY HOSPITAL</t>
  </si>
  <si>
    <t xml:space="preserve">No. of Dialysis Unit Per Region (as of June 30, 2026) </t>
  </si>
  <si>
    <t>MOA w/ MMGH</t>
  </si>
  <si>
    <t>Dr. Martelino D. Briguez</t>
  </si>
  <si>
    <t>dchmawab@gmail.com</t>
  </si>
  <si>
    <t>11-19-26-31-H1-2</t>
  </si>
  <si>
    <t>Nabunturan</t>
  </si>
  <si>
    <t>Flores St., Pob. Nabunturan, Comval</t>
  </si>
  <si>
    <t>MIGUEL O. CABRERA SR. MEMORIAL HOSPITAL, CORP.</t>
  </si>
  <si>
    <t>Clin. Laboratory (Secondary)</t>
  </si>
  <si>
    <t>1, Type 1, Plate No. LAB 5002</t>
  </si>
  <si>
    <t>Dr. Florencia S. Andres</t>
  </si>
  <si>
    <t>miguelcabrera.sr.hospital@gmail.com</t>
  </si>
  <si>
    <t>11-08-26-35-H1-2</t>
  </si>
  <si>
    <t>Panabo City</t>
  </si>
  <si>
    <t>2081 National Hi-Way, Salvacion, Panabo</t>
  </si>
  <si>
    <t>CAINGLET MEDICAL HOSPITAL, INC.</t>
  </si>
  <si>
    <t>Dr. Eilleen Theresa C. Cainglet</t>
  </si>
  <si>
    <t>084-3094512</t>
  </si>
  <si>
    <t>caingletmedicalhospitalinc@yahoo.com</t>
  </si>
  <si>
    <t>11-55-26-30-H1-2</t>
  </si>
  <si>
    <t>Km. 31, National Highway, New Pandan</t>
  </si>
  <si>
    <t>GOOD SHEPHERD HOSPITAL OF PANABO CITY, INC.</t>
  </si>
  <si>
    <t>Clin. Laboratory (Secondary)
CT Scan
RDU</t>
  </si>
  <si>
    <t>1, Type 1, Plate No. LAA 9447</t>
  </si>
  <si>
    <t>Dr. Inocencia M. Macrohon</t>
  </si>
  <si>
    <t>084-628-5150</t>
  </si>
  <si>
    <t>goodshepherd.panabo@gmail.com</t>
  </si>
  <si>
    <t>11-15-26-60-H1-2</t>
  </si>
  <si>
    <t>Quirino St., Panabo City</t>
  </si>
  <si>
    <t>PANABO POLYMEDIC HOSPITAL, INC.</t>
  </si>
  <si>
    <t>Physical Medicine and Rehabilitation Unit
Dialysis Station (10)</t>
  </si>
  <si>
    <t>Dr. Edgar B. Te</t>
  </si>
  <si>
    <t>084-628-5317</t>
  </si>
  <si>
    <t>panabopolymedic2002@yahoo.com</t>
  </si>
  <si>
    <t>11-07-26-94-H2-2</t>
  </si>
  <si>
    <t>7302 San Francisco, Panabo City</t>
  </si>
  <si>
    <t>RIVERA MEDICAL CENTER, INC.</t>
  </si>
  <si>
    <t>CL-Secondary, 
HIV Testing Laboratory
Computed Tomography
Mammography
Specialized X-Ray Facility</t>
  </si>
  <si>
    <t>1, Type 2, Plate No. LAB 4797</t>
  </si>
  <si>
    <t>Dr. Ramon M. Rivera</t>
  </si>
  <si>
    <t>084-6285234</t>
  </si>
  <si>
    <t>info@rmci.com.ph</t>
  </si>
  <si>
    <t>11-31-26-100-H2-2</t>
  </si>
  <si>
    <t>Bo. A. O. Floirendo, Panabo City</t>
  </si>
  <si>
    <t>TADECO HOSPITAL</t>
  </si>
  <si>
    <t>1, Type 1, Plate No. AAG 1820</t>
  </si>
  <si>
    <t>Dr. Jill Jennifer O. Santa Cruz</t>
  </si>
  <si>
    <t>084-2347711</t>
  </si>
  <si>
    <t>tadecohospital@anflocor.com</t>
  </si>
  <si>
    <t>11-02-26-30-H1-2</t>
  </si>
  <si>
    <t>Purok 3, Fd Rd 1, Sto. Tomas, Davao Del Norte</t>
  </si>
  <si>
    <t>METROPOLITAN POLYMEDIC COMMUNITY HOSPITAL, INC.</t>
  </si>
  <si>
    <t>CL (Secondary)</t>
  </si>
  <si>
    <t>1, Type 1, Plate No. AAG 3344</t>
  </si>
  <si>
    <t>Dr. Richard T. Mata</t>
  </si>
  <si>
    <t>mpchi.2015@gmail.com</t>
  </si>
  <si>
    <t>11-30-26-30-H1-2</t>
  </si>
  <si>
    <t>Mabini Street, Magugpo South, Tagum City</t>
  </si>
  <si>
    <t>AQUINO MEDICAL SPECIALISTS HOSPITAL, INC.</t>
  </si>
  <si>
    <t>1. CL-Secondary
2. XRAY-Level 1
3. POCT (CA125, Thyroid Panel), CKMB, Trop-1, ESR, PSA</t>
  </si>
  <si>
    <t>1, Type 1, Plate No. AAG 2974</t>
  </si>
  <si>
    <t>Dr. Susan A. Ramos</t>
  </si>
  <si>
    <t>084-216-2156</t>
  </si>
  <si>
    <t>aquinohospital@yahoo.com</t>
  </si>
  <si>
    <t>11-27-26-20-H1-2</t>
  </si>
  <si>
    <t>Visayan Village, Tagum City</t>
  </si>
  <si>
    <t>MEDICAL MISSION GROUP HOSP. &amp; HEALTH SERVICES COOP OF TAGUM CITY</t>
  </si>
  <si>
    <t>CL-Tertiary
HIV Testing Laboratory
Specialized Diagnostic X-ray Services:
Computed Tomography, PMRU</t>
  </si>
  <si>
    <t>1, Type 2, NCR 6709</t>
  </si>
  <si>
    <t>Dr. Renato A. Maranan</t>
  </si>
  <si>
    <t>084-2173853 / 2173903</t>
  </si>
  <si>
    <t>mmgtagum@yahoo.com</t>
  </si>
  <si>
    <t>11-09-26-150-H2-2</t>
  </si>
  <si>
    <t>Highway 54, Rabe Subd.,Visayan, Tagum</t>
  </si>
  <si>
    <t>TAGUM DOCTORS HOSPITAL</t>
  </si>
  <si>
    <t>G6PD Confirmatory
HIV Testing Laboratory
Diagnostic X-ray Services (Level 3)
"Specialized Diagnostic X-Ray Services
  Computed Tomography
  Mammography"</t>
  </si>
  <si>
    <t>1, Type II, CS No. FIK- 385</t>
  </si>
  <si>
    <t>Dr. Alejandro Rodriguez</t>
  </si>
  <si>
    <t>084-2182309</t>
  </si>
  <si>
    <t>tagumdoc@yahoo.com</t>
  </si>
  <si>
    <t>11-52-26-80-H2-2</t>
  </si>
  <si>
    <t>Purok 3, Rattan, Apokon, Tagum City</t>
  </si>
  <si>
    <t>TAGUM MEDICAL CITY</t>
  </si>
  <si>
    <t xml:space="preserve">G6PD Confirmatory
HIV Testing Laboratory
Diagnostic X-ray Services (Level 2) WITH CT SCAN
Specialized Diagnostic X-Ray Services
  Computed Tomography
  Mammography
DENTAL
</t>
  </si>
  <si>
    <t>1, Type II, Plate No. AAH 1441</t>
  </si>
  <si>
    <t>Dr. Elizabeth Derla</t>
  </si>
  <si>
    <t>tagummedicalcity@yahoo.com</t>
  </si>
  <si>
    <t>11-37-26-100-H2-2</t>
  </si>
  <si>
    <t>Purok Cafe, Visayan Village, Tagum City</t>
  </si>
  <si>
    <t>TAGUM GLOBAL MEDICAL CENTER, INC.</t>
  </si>
  <si>
    <t>Anatomic Pathology (Cytology, surgical &amp; Frozen)
PMRU</t>
  </si>
  <si>
    <t>1, Type II CS No. F5 T602</t>
  </si>
  <si>
    <t>Dr. Glenn Pono</t>
  </si>
  <si>
    <t>0998-994-8812</t>
  </si>
  <si>
    <t>tgmciao@gmail.com</t>
  </si>
  <si>
    <t>11-32-26-74-H2-2</t>
  </si>
  <si>
    <t>Cor. Sobcrecary-Rizal, Tagum City</t>
  </si>
  <si>
    <t>UNITED DOCTOR'S HOSPITAL OF TAGUM, INC.</t>
  </si>
  <si>
    <t>Physical Medicnes &amp; Rehabilitation Unit,  dialysis 4 stations, Anatopmic Pathology (Cytology, surgical &amp; frozen)</t>
  </si>
  <si>
    <t>Dr. Jerry P. Manongas</t>
  </si>
  <si>
    <t>084-400-1917</t>
  </si>
  <si>
    <t>udhi_tagum59@yahoo.com</t>
  </si>
  <si>
    <t>11-54-26-20-H1-2</t>
  </si>
  <si>
    <t>Bansalan</t>
  </si>
  <si>
    <t>R. Delos Cientos St., Bansalan</t>
  </si>
  <si>
    <t>CENTENO MED. SPECIALISTS HOSP.INC.</t>
  </si>
  <si>
    <t>Thyroid Panel Test, PSA, Troponin I CRP, NT Pro BNP</t>
  </si>
  <si>
    <t>1, Type 1, AEC 2162</t>
  </si>
  <si>
    <t>Dr. Edwin Y. Mudanza</t>
  </si>
  <si>
    <t>082-2720437</t>
  </si>
  <si>
    <t>cmshi_07@yahoo.com</t>
  </si>
  <si>
    <t>11-12-26-24-H1-2</t>
  </si>
  <si>
    <t>Bonifacio Rd Bansalan, Dvo Del Sur</t>
  </si>
  <si>
    <t>MABAMA DOCTORS' HOSPITAL</t>
  </si>
  <si>
    <t>Dr. Sylvia P. Bragat</t>
  </si>
  <si>
    <t>0920247-2361/272-2081</t>
  </si>
  <si>
    <t>williambragat@yahoo.com</t>
  </si>
  <si>
    <t>11-23-26-52-H1-2</t>
  </si>
  <si>
    <t>S. Osmeña St., Bansalan, Dvo. Sur</t>
  </si>
  <si>
    <t>VIACRUCIS MEDICAL HOSPITAL</t>
  </si>
  <si>
    <t>1, Type 1, Plate No. LDP 1058</t>
  </si>
  <si>
    <t>Dr. Victor M. Viacrucis</t>
  </si>
  <si>
    <t>viacrucis.medhospital@gmail.com</t>
  </si>
  <si>
    <t>11-14-26-78-H1-2</t>
  </si>
  <si>
    <t>Km. 7, Macarthur Highway,Bangkal, D.C</t>
  </si>
  <si>
    <t>ADVENTIST HOSPITAL- DAVAO, INC.</t>
  </si>
  <si>
    <t xml:space="preserve">HIV Testing Laboratory
Level 2 Imaging
Specialized Diagnostic X-Ray Services:
Computed Tomography
Ambulatory Surgical Clinic - Ophthalmology 
 </t>
  </si>
  <si>
    <t>1, Type II (Plate No. LAK 2626)</t>
  </si>
  <si>
    <t>Dr. Kenneth T. Tandug</t>
  </si>
  <si>
    <t>082-297-2597</t>
  </si>
  <si>
    <t>slerasan@adventisthealth-dvo.com</t>
  </si>
  <si>
    <t>11-16-26-75-H2-2</t>
  </si>
  <si>
    <t>P. Villanueva Street corner , R. Castillo St., Brgy. Centro, Agdao</t>
  </si>
  <si>
    <t>ALTERADO GENERAL HOSPITAL</t>
  </si>
  <si>
    <t>HIV Testing Laboratory
Ambulatory Surgical Clinic</t>
  </si>
  <si>
    <t>Dr. Abe Jun R. Versoza</t>
  </si>
  <si>
    <t>082-2243022</t>
  </si>
  <si>
    <t>alterado_generalhospital@yahoo.com.ph</t>
  </si>
  <si>
    <t>11-25-26-160-H2-2</t>
  </si>
  <si>
    <t>Barangay 2-A, Magallanes</t>
  </si>
  <si>
    <t>ANDA RIVERVIEW MEDICAL CENTER, INC.</t>
  </si>
  <si>
    <t>Dr. Jeanie E. Himagan</t>
  </si>
  <si>
    <t>082-2210808</t>
  </si>
  <si>
    <t>armci.hospital@gmail.com</t>
  </si>
  <si>
    <t>11-29-26-56-H2-2</t>
  </si>
  <si>
    <t>Brokenshire Heights Madapo, Brgy. 8-A Poblacion District, Davao City, Davao Del Sur</t>
  </si>
  <si>
    <t>BROKENSHIRE MEDICAL CENTER</t>
  </si>
  <si>
    <t>Anatomic Pathology, HIV, spec. Dx Servicr: Computed Tomography, Mammography, Additional Ambulance Unit</t>
  </si>
  <si>
    <t>2. Type II-ALS, Plate No. ACV11611, Type II, Plate No. DAR-9127 (10/2/2024)</t>
  </si>
  <si>
    <t>Dr. Michael N. Jaminana</t>
  </si>
  <si>
    <t>09672466644/(082) 2821908</t>
  </si>
  <si>
    <t>licensingaccreditation@brokenshire.org</t>
  </si>
  <si>
    <t>DOH005288</t>
  </si>
  <si>
    <t>Additional 1 unit  of ambulance</t>
  </si>
  <si>
    <t>Lanang J.P. Laurel Ave. Cor. Banawe St. Brgy. Aquino, Davao City</t>
  </si>
  <si>
    <t>CURE PHILIPPINES, INC.</t>
  </si>
  <si>
    <t>1 Unit, MOA</t>
  </si>
  <si>
    <t>Dr. Espiridion R. Reyes</t>
  </si>
  <si>
    <t>082-3005345</t>
  </si>
  <si>
    <t>peter.cowels@cureinternational.org</t>
  </si>
  <si>
    <t>DOH031999</t>
  </si>
  <si>
    <t>No. 118 E. Quirino Avenue, Davao City</t>
  </si>
  <si>
    <t>DAVAO DOCTOR'S HOSPITAL, INC.</t>
  </si>
  <si>
    <t>Anatomic Pathology, HIV</t>
  </si>
  <si>
    <t>Dr. James Edward R. Mangaoil</t>
  </si>
  <si>
    <t>226-4770 / 2229820</t>
  </si>
  <si>
    <t>info@ddh.com.ph</t>
  </si>
  <si>
    <t>DOH004534</t>
  </si>
  <si>
    <t>Medi Linx LAboratory Inc.-outsourced clinical laboratoy-12/27/2024</t>
  </si>
  <si>
    <t>Dmsf Drive, Bajada, Davao City</t>
  </si>
  <si>
    <t>DAVAO MED. SCH. FOUN.HOSP.</t>
  </si>
  <si>
    <t>G6PD Confirmatory Blood Bank HIV Testing Dialysis Clinic (4 stations)
Diagnostic X-ray Services (Level 3)
Specialized Diagnostic X-ray Services:
      Computed Tomography</t>
  </si>
  <si>
    <t>1, Type II Plate No. AAG 9159</t>
  </si>
  <si>
    <t>Dr. Ma. Theresa L. Carin</t>
  </si>
  <si>
    <t>227-9330/3053673</t>
  </si>
  <si>
    <t>dmsfhospital@gmail.com</t>
  </si>
  <si>
    <t>11-39-26-154-H2-2</t>
  </si>
  <si>
    <t>Mac Arthur Highway, Lizada, Toril, Dc</t>
  </si>
  <si>
    <t>DAVAO MEDIQUEST HOSPITAL, INC.</t>
  </si>
  <si>
    <t>LEVEL 2 IMAGING FACILITY</t>
  </si>
  <si>
    <t>1, Type 1, Plate No. LAC 3288</t>
  </si>
  <si>
    <t>Dr. Ricardo P. Reyes, Jr.</t>
  </si>
  <si>
    <t>082-2951007</t>
  </si>
  <si>
    <t>davaomediquesthospitalinc@gmail.com</t>
  </si>
  <si>
    <t>11-24-26-46-H1-2</t>
  </si>
  <si>
    <t>R. Castillo St., Brgy. Centro, Agdao</t>
  </si>
  <si>
    <t>GIG OCA ROBLES SEAMEN'S HOSPITAL- DAVAO</t>
  </si>
  <si>
    <t xml:space="preserve">HIV Testing Laboratory
PHYSICAL MEDICINE AND REHAB UNIT
Level 2 Imaging Facility </t>
  </si>
  <si>
    <t>1, Type II, MV File # 1303-00000604031</t>
  </si>
  <si>
    <t>Dr. Richard John C. Pecson</t>
  </si>
  <si>
    <t>082-2347185</t>
  </si>
  <si>
    <t>shd_davao@yahoo.com</t>
  </si>
  <si>
    <t>11-18-26-30-H2-2</t>
  </si>
  <si>
    <t>Sampaguita St., Mintal, Dvo City</t>
  </si>
  <si>
    <t>HOLY SPIRIT COMMUNITY HOSPITAL OF DAVAO, INC.</t>
  </si>
  <si>
    <t>1, Type 1, Plate No. LAC 4904</t>
  </si>
  <si>
    <t>Dr. Jo Anne A. Layug</t>
  </si>
  <si>
    <t>082-293-0236</t>
  </si>
  <si>
    <t>hschdmintal@gmail.com</t>
  </si>
  <si>
    <t>11-34-26-18-H1-2</t>
  </si>
  <si>
    <t>Km. 26 Calinan, Davao City</t>
  </si>
  <si>
    <t>ISAAC T. ROBILLO MEMORIAL HOSPITAL</t>
  </si>
  <si>
    <t>1, Type 1, Plate No. LAC 5975</t>
  </si>
  <si>
    <t>Dr. Ruben G. Robillo</t>
  </si>
  <si>
    <t>082-295-0200</t>
  </si>
  <si>
    <t>itrmh79@yahoo.com</t>
  </si>
  <si>
    <t>11-21-26-78-H1-2</t>
  </si>
  <si>
    <t>Davao Park Dist. Dakudao Loop, Lanang, San Antonio, Agdao, Davao City</t>
  </si>
  <si>
    <t>LANANG PREMIERE DOCTORS HOSPITAL, INC.</t>
  </si>
  <si>
    <t xml:space="preserve">
Tertiary Clinical Laboratory w/ Histopathology
Diagnostic X-ray Services: (Level 3)
Specialized Diagnostic X-Ray Services:
Computed Tomography
Cardiac Catheterization
Digital Substraction Angiography
Percutaneous Transluminal Angioplasty
Tumour Localization and Simulation
 Anatomic Pathology (Cytology, Surical &amp; Frozen)</t>
  </si>
  <si>
    <t>1, Type II (Plate No. LAG6475)</t>
  </si>
  <si>
    <t>Dr. Edgar Ramiterre</t>
  </si>
  <si>
    <t>lpdhi.quality@gmail.com</t>
  </si>
  <si>
    <t>11-44-26-100-H2-2</t>
  </si>
  <si>
    <t>Km. 14, Mcarthur Hi-Way, Toril, Dvo. City</t>
  </si>
  <si>
    <t>MALTA MEDICAL CENTER, INC.</t>
  </si>
  <si>
    <t>XRAY Level 1</t>
  </si>
  <si>
    <t>Type 1 Plate No. NEN 3043</t>
  </si>
  <si>
    <t>Dr. Warner C. Camarao</t>
  </si>
  <si>
    <t>291-4188/3019493</t>
  </si>
  <si>
    <t>maltamedicalcenter@yahoo.com</t>
  </si>
  <si>
    <t>11-11-26-36-H1-2</t>
  </si>
  <si>
    <t>3Rd Ave., Leon Garcia St., Dava City</t>
  </si>
  <si>
    <t>MEDICAL MISSION GROUP HOSP. &amp; HEALTH SERVICE COOP. OF DAVAO CITY</t>
  </si>
  <si>
    <t>Type II Plate No. ABE 8752</t>
  </si>
  <si>
    <t>Dr. Romulo Buseugo</t>
  </si>
  <si>
    <t>082-2278610</t>
  </si>
  <si>
    <t>mmghospital.davao@yahoo.com</t>
  </si>
  <si>
    <t>11-43-26-45-H1-2</t>
  </si>
  <si>
    <t>Bajada, Davao City</t>
  </si>
  <si>
    <t>METRO DAVAO MED. &amp; RESEARCH CENTER , INC</t>
  </si>
  <si>
    <t>HIV Testing Laboratory
Anatomic Pathology (Cytology, surgical &amp; Frozen)
Diagnostic X-Ray Services (Level 3)
Specialized Diagnostic X-ray Service:
Computed Tomography</t>
  </si>
  <si>
    <t>1, Type II, 1 unit, NDA 2455/CS No. B424</t>
  </si>
  <si>
    <t>Dr. Yvette Y. Tan</t>
  </si>
  <si>
    <t>082-287-7771 to 78</t>
  </si>
  <si>
    <t>mdmrci.ps@gmail.com</t>
  </si>
  <si>
    <t>11-10-26-135-H2-2</t>
  </si>
  <si>
    <t>V. Ilustre St., Davao City</t>
  </si>
  <si>
    <t>RICARDO LIMSO MEDICAL CENTER, INC.</t>
  </si>
  <si>
    <t>1, Type II, Plate No. WQN 745</t>
  </si>
  <si>
    <t>Dr. Lina R. Rabara</t>
  </si>
  <si>
    <t>2262701/226-3688</t>
  </si>
  <si>
    <t>rlmc,incorporated@gmail.com</t>
  </si>
  <si>
    <t>11-33-26-85-H2-2</t>
  </si>
  <si>
    <t>C. Guzman Street, Brgy. 14-B, Davao City</t>
  </si>
  <si>
    <t>SAN PEDRO HOSPITAL OF DAVAO CITY, INC.</t>
  </si>
  <si>
    <t>HIV, Spec Dx X-ray: Computed Tomography &amp; Mammo</t>
  </si>
  <si>
    <t>Dr. Surlito B. Encarnacion</t>
  </si>
  <si>
    <t>082-222-6100</t>
  </si>
  <si>
    <t>sphadmin@sphdavao.com</t>
  </si>
  <si>
    <t>DOH001989</t>
  </si>
  <si>
    <t>Mcarthur Highway, Brgy. Maa, Talomo District, Davao City</t>
  </si>
  <si>
    <t>UNITED DAVAO SPECIALISTS HOSPITAL AND MEDICAL CENTR, INC</t>
  </si>
  <si>
    <t xml:space="preserve">
Physical Medicine Rehabilitation Clinic
Anatomic Pathology(Cytology, Surgical &amp; Frozen)</t>
  </si>
  <si>
    <t>1, Type 2, plate No. LAk 8762</t>
  </si>
  <si>
    <t>Dr. Joseph E. Cachuela</t>
  </si>
  <si>
    <t>09989566946
 09988569932</t>
  </si>
  <si>
    <t>11-45-26-50-H2-2</t>
  </si>
  <si>
    <t>McArthur Highway, Digos City</t>
  </si>
  <si>
    <t>DIGOS DOCTOR'S HOSPITAL, INC.</t>
  </si>
  <si>
    <t>G6PD Confirmatory
Ambulatory Surgical Clinic
Specialized X-ray facility:
         Computed Tomography</t>
  </si>
  <si>
    <t>Dr. Nieto L. Dangcalan</t>
  </si>
  <si>
    <t>082-5532682</t>
  </si>
  <si>
    <t>digosdoctorshospital@yahoo.com</t>
  </si>
  <si>
    <t>11-22-26-114-H2-2</t>
  </si>
  <si>
    <t>3108 Quezon Avenue, Digos City</t>
  </si>
  <si>
    <t>GONZALES MARANAN MEDICAL CENTER, INC</t>
  </si>
  <si>
    <t>Dialysis Clinic (15 stations)
Physical Medicine Rehabilitation Clinic
Specialized Diagnostic X-ray Services:
         Computed Tomography</t>
  </si>
  <si>
    <t xml:space="preserve">1, Type 2, Plate No. AAH 4401
</t>
  </si>
  <si>
    <t>Dr. Manuel K. Gonzales</t>
  </si>
  <si>
    <t>gmmc_inc@yahoo.com</t>
  </si>
  <si>
    <t>11-49-26-100-H2-2</t>
  </si>
  <si>
    <t>Digos-Sultan Kudarat Rd., Digos City</t>
  </si>
  <si>
    <t>MEDICAL CENTER OF DIGOS COOPERATIVE HOSPITAL</t>
  </si>
  <si>
    <t>Specialized Diagnostic X-ray Services:
         Computed Tomography
mbulatory Surgical Clinic</t>
  </si>
  <si>
    <t xml:space="preserve">1, Type 2, Plate No. AOA 4798
</t>
  </si>
  <si>
    <t>Dr. Vicente Balaso, Jr.</t>
  </si>
  <si>
    <t>082-5538533</t>
  </si>
  <si>
    <t>mcdchospital@gmail.com</t>
  </si>
  <si>
    <t>11-53-26-147-H2-2</t>
  </si>
  <si>
    <t>Quezon Ave., Zone 1, Digos</t>
  </si>
  <si>
    <t>ST. DOMINIC HOSPITAL OF DIGOS, INC.</t>
  </si>
  <si>
    <t>CL-Secondary</t>
  </si>
  <si>
    <t>1, Type 1, LAA 8739</t>
  </si>
  <si>
    <t>Dr. Fe Myla D. Robles</t>
  </si>
  <si>
    <t>082-2729858</t>
  </si>
  <si>
    <t>11-47-26-35-H1-2</t>
  </si>
  <si>
    <t>Rizal Ave., Digos City</t>
  </si>
  <si>
    <t>SUNGA HOSPITAL</t>
  </si>
  <si>
    <t xml:space="preserve">No. of Hospital Per Province (as of June 30, 2023) </t>
  </si>
  <si>
    <t>1, Type 1, Plate No. LDU 864</t>
  </si>
  <si>
    <t>Dr. Joel Abella</t>
  </si>
  <si>
    <t>082-5530016</t>
  </si>
  <si>
    <t>sungahospital@yahoo.com.ph</t>
  </si>
  <si>
    <t>11-03-26-70-H1-2</t>
  </si>
  <si>
    <t>Guihing, Hagonoy, Dvo Del Sur</t>
  </si>
  <si>
    <t>GONZALES MARANAN MED. CTR.,INC.- GUIHING SATELLITE</t>
  </si>
  <si>
    <t>1, Type 1, Plate No. LFV 450</t>
  </si>
  <si>
    <t>Dr. Emma Rosario G. Lutero</t>
  </si>
  <si>
    <t>082-5532474</t>
  </si>
  <si>
    <t>gmmcisat@yahoo.com</t>
  </si>
  <si>
    <t>11-26-26-30-H1-2</t>
  </si>
  <si>
    <t>Padada</t>
  </si>
  <si>
    <t>Magsaysay St. Pob. Padada, Dvo. Sur</t>
  </si>
  <si>
    <t>BARON-YEE HOSPITAL</t>
  </si>
  <si>
    <t>CL-Secondary
X-ray: Level I</t>
  </si>
  <si>
    <t>1, Type 1, Plate No. LAA 4415</t>
  </si>
  <si>
    <t>Dr. Luisa E. Baron-Yee</t>
  </si>
  <si>
    <t>baron_yeehospital@yahoo.com</t>
  </si>
  <si>
    <t>11-01-26-49-H1-2</t>
  </si>
  <si>
    <t>Southern Paligue, Padada, Dvo Sur</t>
  </si>
  <si>
    <t>SOUTH DAVAO MEDICAL SPECILAISTS' HOSPITAL, INC.</t>
  </si>
  <si>
    <t>1, Type 1, Plate No. NBY 5327</t>
  </si>
  <si>
    <t>Dr. Vincent Alexes A. Paden</t>
  </si>
  <si>
    <t>082-2760797</t>
  </si>
  <si>
    <t>sdmsh_i@yahoo.com</t>
  </si>
  <si>
    <t>11-13-26-78-H1-2</t>
  </si>
  <si>
    <t>Apo Beach Zone Iii, Sta. Cruz, Dvo Sur</t>
  </si>
  <si>
    <t>MARPE MEDICAL CLINIC AND HOSP., INC</t>
  </si>
  <si>
    <t>CL-Secondary
X-ray-Level I</t>
  </si>
  <si>
    <t>Dr. Tamara Joy B. Martel</t>
  </si>
  <si>
    <t>082-2723906</t>
  </si>
  <si>
    <t>marpemed@yahoo.com</t>
  </si>
  <si>
    <t>11-05-26-30-H1-2</t>
  </si>
  <si>
    <t>Sta. Cruz, Davao Del Cruz</t>
  </si>
  <si>
    <t>MEDCORE HOSPITAL, INC.</t>
  </si>
  <si>
    <t>MCDC</t>
  </si>
  <si>
    <t>Dr. Julieto Comia</t>
  </si>
  <si>
    <t>medcorehospital@gmail.com</t>
  </si>
  <si>
    <t>Madang, Mati, Davao Oriental</t>
  </si>
  <si>
    <t>ST. CAMILLUS HOSP OF MATI FOUNDATION, INC.</t>
  </si>
  <si>
    <t>CL(Tertiary)
HIV Testing Laboratory
Mobile Clin. Laboratory</t>
  </si>
  <si>
    <t>1,Type 1' Plate No. POC 154</t>
  </si>
  <si>
    <t>Dr. Severo N. Arnao, Jr.</t>
  </si>
  <si>
    <t>087-3883-682</t>
  </si>
  <si>
    <t>schmfi@camillusmati.com</t>
  </si>
  <si>
    <t>11-20-26-36-H1-2</t>
  </si>
  <si>
    <t>Christ the Kind Road, Magugpo East, Tagum City</t>
  </si>
  <si>
    <t>CHRIST THE KING SPECIALISTS HOSPITAL, INC.</t>
  </si>
  <si>
    <t xml:space="preserve">Computed Tomography
Anatomic Pathology(Cytology, surgical &amp; Frozen)
Mobile Clin. laboratory
</t>
  </si>
  <si>
    <t>1, Type 11 Plate No. LAM 3824</t>
  </si>
  <si>
    <t>Dr. Ricardo B. Laganson</t>
  </si>
  <si>
    <t>ckshnsptldmn@gmail.com</t>
  </si>
  <si>
    <t>11-41-26-100-H2-2</t>
  </si>
  <si>
    <t>Purok No. 1, Gov. Guitierrez Ave., Brgy. Rosary Heights IX, Cotabato City</t>
  </si>
  <si>
    <t>NOTRE DAME HOSPITAL AND SIENA COLLEGE OF COTABATO, INC.</t>
  </si>
  <si>
    <t>Specialized Diagnostic X-ray Services:   Computed Tomography</t>
  </si>
  <si>
    <t>Type II, plate no. NED 1312</t>
  </si>
  <si>
    <t>Sr. Elisea L. Delacion, OP- Administrator (06/26/2025)</t>
  </si>
  <si>
    <t>064-421-2954</t>
  </si>
  <si>
    <t>ndhospital@yahoo.com</t>
  </si>
  <si>
    <t>DOH000684</t>
  </si>
  <si>
    <t>DOH0404</t>
  </si>
  <si>
    <t>Antipas</t>
  </si>
  <si>
    <t>National Highway, F. Cajelo Street, Poblacion</t>
  </si>
  <si>
    <t>ANTIPAS MEDICAL SPECIALISTS HOSPITAL, INC.</t>
  </si>
  <si>
    <t xml:space="preserve">Pharmacy
</t>
  </si>
  <si>
    <t>1, Type 1, MBD 9517 , CR no. 56397965</t>
  </si>
  <si>
    <t>Rodrigo A. Duarte, Jr, MD, MSBA-HA</t>
  </si>
  <si>
    <t>09515034645
064-523-0003</t>
  </si>
  <si>
    <t>amshi0028@gmail.com</t>
  </si>
  <si>
    <t>12-025-26-H1-2</t>
  </si>
  <si>
    <t>DOH000000000037371</t>
  </si>
  <si>
    <t>National Highway, Brgy Kayaga</t>
  </si>
  <si>
    <t>DESERET SURGIMED HOSPITAL</t>
  </si>
  <si>
    <t>Diagnostic x-ray (Level 2)
Pharmacy
Dental Services
Computed Tomography (CT Scan)</t>
  </si>
  <si>
    <t>1, Type 1, UID 572 , Cr NO. 153094244</t>
  </si>
  <si>
    <t>Siegfred Keen J. Macapas, MD, MMHoA</t>
  </si>
  <si>
    <t>deseretsurgimed@gmail.com</t>
  </si>
  <si>
    <t>12-045-26-H1-2</t>
  </si>
  <si>
    <t>DOH000000000000590</t>
  </si>
  <si>
    <t>National Highway, Brgy. Osias</t>
  </si>
  <si>
    <t>KABACAN POLYMEDIC COOPERATIVE HOSPITAL</t>
  </si>
  <si>
    <t>1,Type 1 , AAG 9766, CR no. 4361111104</t>
  </si>
  <si>
    <t>Gerardo C. Estillore, MD, MHcA</t>
  </si>
  <si>
    <t>k.polymedic@yahoo.com</t>
  </si>
  <si>
    <t>12-030-26-H1-2</t>
  </si>
  <si>
    <t>DOH000000000033978</t>
  </si>
  <si>
    <t>National Highway, Brgy. Osias, Kabacan, North Cotabato</t>
  </si>
  <si>
    <t>MINDANAO DOCTORS HOSPITAL AND CANCER CENTER, INC.</t>
  </si>
  <si>
    <t xml:space="preserve">Specialized Diagnostic X-ray services:
Computed Tomography &amp; Mammography </t>
  </si>
  <si>
    <t>1, Type II, LAA 2707, CR no. 269731000</t>
  </si>
  <si>
    <t>Marseilles Renee P. Tan, MD,FPOA</t>
  </si>
  <si>
    <t>mdhcci.cares@gmail.com</t>
  </si>
  <si>
    <t>12-005-26-H2-2</t>
  </si>
  <si>
    <t>DOH000000000000603</t>
  </si>
  <si>
    <t>Ninoy Aquino Road Lanao</t>
  </si>
  <si>
    <t>KIDAPAWAN DOCTORS HOSPITAL INC.</t>
  </si>
  <si>
    <t>Clinical Laboratory additional services:
   G6PD Confirmatory
   HIV Testing Laboratory
Specialized Diagnostic X-ray Services:</t>
  </si>
  <si>
    <t>1, Type II-ALS MAP 2557, CR no. 33081788</t>
  </si>
  <si>
    <t>Dr. Edwin Y. Gantuangco</t>
  </si>
  <si>
    <t>064-521-0188</t>
  </si>
  <si>
    <t>kdhiaudit@gmail.com</t>
  </si>
  <si>
    <t>12-014-26-H2-2</t>
  </si>
  <si>
    <t>DOH000000000000604</t>
  </si>
  <si>
    <t>Sudapin, Kidapawan City</t>
  </si>
  <si>
    <t>KIDAPAWAN MEDICAL SPECIALISTS CENTER, INC.</t>
  </si>
  <si>
    <t>Pharmacy, HIV Testing Laboratory, Diagnostic X-ray Services</t>
  </si>
  <si>
    <t>1,Type II, MAT 6928, CR No. 42392941-3</t>
  </si>
  <si>
    <t>Dr. Lily Y. Mudanza, MAHA</t>
  </si>
  <si>
    <t>(064) 577 4553</t>
  </si>
  <si>
    <t>kmsci_qa@yahoo.com</t>
  </si>
  <si>
    <t>12-013-26-H2-2</t>
  </si>
  <si>
    <t>DOH000000000006884</t>
  </si>
  <si>
    <t>Quezon Boulevard Poblacion</t>
  </si>
  <si>
    <t>MADONNA MEDICAL CENTER, INC</t>
  </si>
  <si>
    <t>Diagnostic X-ray (Level 3)
Pharmacy</t>
  </si>
  <si>
    <t>1, Type 1, NEO 8183 , CR no. 431812555</t>
  </si>
  <si>
    <t>Alfred D. Villarico, MD, FPOA, MBA-HA</t>
  </si>
  <si>
    <t>064-572-6018</t>
  </si>
  <si>
    <t>madonnamed.1977@gmail.com</t>
  </si>
  <si>
    <t>12-016-26-H1-2</t>
  </si>
  <si>
    <t>DOH000000000031928</t>
  </si>
  <si>
    <t>Osmeña Drive, Poblacion</t>
  </si>
  <si>
    <t>MIDWAY HOSPITAL</t>
  </si>
  <si>
    <t>Eastern Manila District
(2nd District)</t>
  </si>
  <si>
    <t>1, Type 1, 111201 , CR no. 174666962</t>
  </si>
  <si>
    <t>Franklin R. Singanon, MD, FPSMSI</t>
  </si>
  <si>
    <t>09307607795
064-577-3686</t>
  </si>
  <si>
    <t>midwayhospital@ymail.com</t>
  </si>
  <si>
    <t>12-028-26-H1-2</t>
  </si>
  <si>
    <t>DOH000000000046467</t>
  </si>
  <si>
    <t>Plaridel Street, Poblacion</t>
  </si>
  <si>
    <t>ST. PEREGRINE HOSPITAL</t>
  </si>
  <si>
    <t>Diagnostic x-ray (Level 2)
Pharmacy
Mobile Clinical Laboratory</t>
  </si>
  <si>
    <t>1, Type 1, WIE 110 , CR no. 195101185</t>
  </si>
  <si>
    <t>Pauline Jea Vargas, MD, MHcA</t>
  </si>
  <si>
    <t>09811149284
064-428-1231</t>
  </si>
  <si>
    <t>sph.humanresource@gmail.com</t>
  </si>
  <si>
    <t>12-005-26-H1-2</t>
  </si>
  <si>
    <t>DOH000000000037369</t>
  </si>
  <si>
    <t>Libungan</t>
  </si>
  <si>
    <t>Lucila Village, Poblacion, Libungan, Cotabato Province</t>
  </si>
  <si>
    <t>DR. RAMON PESANTE CLINIC &amp; HOSPITAL INC.</t>
  </si>
  <si>
    <t>1, Type 1, GAB 2766 , CR no. 320558324</t>
  </si>
  <si>
    <t>Dr. Ramon P. Pesante, MBA-HA, CHA</t>
  </si>
  <si>
    <t>kabac</t>
  </si>
  <si>
    <t>12-024-26-H2-2</t>
  </si>
  <si>
    <t>Upgraded to Level 2
April 27, 2026</t>
  </si>
  <si>
    <t>DOH000000000031939</t>
  </si>
  <si>
    <t>Magsaysay Street Poblacion A, Mlang</t>
  </si>
  <si>
    <t>CEM MEDICAL SPECIALIST HOSPITAL</t>
  </si>
  <si>
    <t>1, Type 1, LCV 1033 , CR No. 231034963</t>
  </si>
  <si>
    <t>Eugene Myra L. Castillo, MD, FPOGS</t>
  </si>
  <si>
    <t>09481568997
064-572-4106</t>
  </si>
  <si>
    <t>cem.medicalspecialists@yahoo.com</t>
  </si>
  <si>
    <t>12-014-26-H1-2</t>
  </si>
  <si>
    <t>DOH000000000032093</t>
  </si>
  <si>
    <t>Purok 2, Barangay Sangat, M’Lang, North Cotabato</t>
  </si>
  <si>
    <t>MLANG SPECIALISTS MEDICAL CENTER (MSMC), INC.</t>
  </si>
  <si>
    <t>Diagnostic X-ray Services,  Pharmacy</t>
  </si>
  <si>
    <t>1,Type II, NCP 2583, CR No. 205451061</t>
  </si>
  <si>
    <t>Dr. Amie Portaje</t>
  </si>
  <si>
    <t>064-512-0726</t>
  </si>
  <si>
    <t>msmc_exec2015@yahoo.com</t>
  </si>
  <si>
    <t>12-009-26-H2-2</t>
  </si>
  <si>
    <t>DOH000000000000731</t>
  </si>
  <si>
    <t>M.H. Del Pilar Street Poblacion A, Mlang</t>
  </si>
  <si>
    <t>ROLDAN MEDICAL CLINIC AND HOSPITAL</t>
  </si>
  <si>
    <t>1, Type 1, LAA 8570 , CR no. 235304736</t>
  </si>
  <si>
    <t>Cecilia R. Roldan, MD, MHA, D.M</t>
  </si>
  <si>
    <t>09285503372 
064-428-1435</t>
  </si>
  <si>
    <t>roldanmch2020@gmail.com</t>
  </si>
  <si>
    <t>12-055-26-H1-2</t>
  </si>
  <si>
    <t>DOH000000000000639</t>
  </si>
  <si>
    <t>Makilala</t>
  </si>
  <si>
    <t>MAKILALA MEDICAL SPECIALISTS HOSPITAL, INC.</t>
  </si>
  <si>
    <t>1, Type 1, MBD 2661 , CR no. 0075745299</t>
  </si>
  <si>
    <t>Gifford B. Abejo, MD</t>
  </si>
  <si>
    <t>064-572-2018</t>
  </si>
  <si>
    <t>mmshi2007@gmail.com</t>
  </si>
  <si>
    <t>12-049-26-H1-2</t>
  </si>
  <si>
    <t>DOH000000000034412</t>
  </si>
  <si>
    <t>National Highway Poblacion</t>
  </si>
  <si>
    <t>MAKILALA MIDWAY HOSPITAL, INC.</t>
  </si>
  <si>
    <t>1, TYPE 1, LAT 8765 , CR no. 1101-26-486117</t>
  </si>
  <si>
    <t>Dr. Franklin R. Singanon, MAHA, FPSMSI</t>
  </si>
  <si>
    <t>064-258-0595
09231344096</t>
  </si>
  <si>
    <t>mmhi2018.humanresource@gmail.com</t>
  </si>
  <si>
    <t>12-023-26-H1-2</t>
  </si>
  <si>
    <t>Poblacion I, Midsayap, North Cotabato</t>
  </si>
  <si>
    <t>ANECITO T. PESANTE SR. MEMORIAL HOSPITAL CO.</t>
  </si>
  <si>
    <t>1,Type II, LAI 8699, CR No. 39694282-5</t>
  </si>
  <si>
    <t>Jude Irene M. Pesante, MD, MAHA</t>
  </si>
  <si>
    <t>064-229-9177</t>
  </si>
  <si>
    <t>apsmhc@yahoo.com</t>
  </si>
  <si>
    <t>12-012-26-H2-2</t>
  </si>
  <si>
    <t>DOH000000000000668</t>
  </si>
  <si>
    <t>Poblacion 8</t>
  </si>
  <si>
    <t>COMMUNITY HEALTH SERVICE COOPERATIVE HOSPITAL</t>
  </si>
  <si>
    <t>Pharmacy, Medical X-ray (Level 1), Pharmacy</t>
  </si>
  <si>
    <t>1, Type I, LCV 2375 , CR no. 255810881</t>
  </si>
  <si>
    <t>Emily C. Dizor, MD, MBA-HA, FPCHA, FIAMS</t>
  </si>
  <si>
    <t>064-521-0682</t>
  </si>
  <si>
    <t>mcdh_012002@yahoo.com</t>
  </si>
  <si>
    <t>12-001-26-H1-2</t>
  </si>
  <si>
    <t>DOH000000000000669</t>
  </si>
  <si>
    <t>National Highway, Quezon Avenue, Poblacion 8</t>
  </si>
  <si>
    <t>MIDSAYAP DIAGNOSTIC CENTER AND HOSPITAL INC.</t>
  </si>
  <si>
    <t>1, Type I, ABA 8272 , CR no. 197249043</t>
  </si>
  <si>
    <t>Marietta F. Loria, MD, MBA-HA, FPCHA</t>
  </si>
  <si>
    <t>mdch03082000@gmail.com</t>
  </si>
  <si>
    <t>12-002-26-H1-2</t>
  </si>
  <si>
    <t>DOH000000000039856</t>
  </si>
  <si>
    <t>45 Quezon Avenue Poblacion 6</t>
  </si>
  <si>
    <t>MIDSAYAP DOCTORS SPECIALIST HOSPITAL INC.</t>
  </si>
  <si>
    <t>1, Type 1, MAU 8281 , CR no. 423888474</t>
  </si>
  <si>
    <t>Ernesto A. Redoble, MD,MPH</t>
  </si>
  <si>
    <t>064-521-6602</t>
  </si>
  <si>
    <t>midsayapdoctors2020@gmail.com</t>
  </si>
  <si>
    <t>12-022-26-H1-2</t>
  </si>
  <si>
    <t>DOH000000000046468</t>
  </si>
  <si>
    <t>Jaycee Avenue, Poblacion 2</t>
  </si>
  <si>
    <t>SARA FAMILY CLINIC AND HOSPITAL, INC.</t>
  </si>
  <si>
    <t>ANECITO PESANTE SR. MEMORIAL HOSPITAL</t>
  </si>
  <si>
    <t>Maria Luisa Renora  A. Sara, MD,MMHOA</t>
  </si>
  <si>
    <t>09164252622
09500212011</t>
  </si>
  <si>
    <t>sfchi0219@gmail.com</t>
  </si>
  <si>
    <t>12-048-26-H1-2</t>
  </si>
  <si>
    <t>DOH000000000002762</t>
  </si>
  <si>
    <t>Pikit</t>
  </si>
  <si>
    <t>#19 Fidel Flores St, Poblacion</t>
  </si>
  <si>
    <t>CRUZADO MEDICAL HOSPITAL</t>
  </si>
  <si>
    <t>1, Type 1, ACV 1329, CR no. 255810370</t>
  </si>
  <si>
    <t>Isabelita A. Cruzado, MD, MBA-HA</t>
  </si>
  <si>
    <t>binkycruzado@yahoo.com</t>
  </si>
  <si>
    <t>12-010-26-H1-2</t>
  </si>
  <si>
    <t>DOH000000000000433</t>
  </si>
  <si>
    <t>Talunan</t>
  </si>
  <si>
    <t>National Highway Purok 4 Bual</t>
  </si>
  <si>
    <t>BIRHEN SA REGLA HOSPITAL</t>
  </si>
  <si>
    <t>1, Type 1, AAZ 5179 , CR no. 197823065</t>
  </si>
  <si>
    <t>Rufino Oro, MD, MHA</t>
  </si>
  <si>
    <t>birhenclinic@yahoo.com.ph</t>
  </si>
  <si>
    <t>12-003-26-H1-2</t>
  </si>
  <si>
    <t>DOH000000000006591</t>
  </si>
  <si>
    <t>National Highway Sibsib</t>
  </si>
  <si>
    <t>SORILLA MEDICAL AND MATERNITY CLINIC HOSPITAL</t>
  </si>
  <si>
    <t>Southern Manila District (4th District)</t>
  </si>
  <si>
    <t>1, Type 1, AAH 1821 , CR no. 203238744</t>
  </si>
  <si>
    <t>Gadi Nathan T. Sorilla, MD</t>
  </si>
  <si>
    <t>smmchhr24@gmail.com@gmail.com</t>
  </si>
  <si>
    <t>12-018-26-H1-2</t>
  </si>
  <si>
    <t>DOH000000000045827</t>
  </si>
  <si>
    <t>Banga</t>
  </si>
  <si>
    <t>443-C Rizal Poblacion</t>
  </si>
  <si>
    <t>DANTOM DOCTORS' HOSPITAL, INC</t>
  </si>
  <si>
    <t>Allah Valley Medical Specialist Center, Inc .</t>
  </si>
  <si>
    <t>Cecilia  T. Diaz, MD, FPPS</t>
  </si>
  <si>
    <t>09209290304
083-239-1500</t>
  </si>
  <si>
    <t>dantomdoctors.hospital@gmail.com</t>
  </si>
  <si>
    <t>12-052-26-H1-2</t>
  </si>
  <si>
    <t>DOH000000000043465</t>
  </si>
  <si>
    <t>Leon Llido St., City Heights</t>
  </si>
  <si>
    <t>DADIANGAS MEDICAL CENTER</t>
  </si>
  <si>
    <t>Diagnostic X-ray Services
Pharmacy</t>
  </si>
  <si>
    <t>1 , Type II, LAJ1159, CR no. 43065184-1</t>
  </si>
  <si>
    <t>Eva . Hormigos, MD</t>
  </si>
  <si>
    <t>09171902568
083-520-7881 
083-310-6975</t>
  </si>
  <si>
    <t>dhpidmc.compliance@gmail.com</t>
  </si>
  <si>
    <t>12-007-26-H2-2</t>
  </si>
  <si>
    <t>DOH000000000004971</t>
  </si>
  <si>
    <t>National Highway</t>
  </si>
  <si>
    <t>GENERAL SANTOS DOCTORS’ HOSPITAL, INC.</t>
  </si>
  <si>
    <t>G6PD CONFIRMATORY , ANATOMIC PATHOLOGY (FROZEN) , BLOOD BANK (W/ ADDT'L FUNCTION TO COLLECT, TEST &amp; PROCESS BLOOD), HIV TESTING LAB, CANCER TREATMENT UNIT (4/22/24) (1)SYSTEMATIC THERAPHY(2)RADIOTHERAPHY(3)BRACHY THERAPHY(4)NUCLEAR MEDICINE, DIAGNOSTIC X-RAY (LEVEL 3) SPECIALIZED DIAGNOSTIC X-RAY SERVICES : (1) COMPUTED TOMOGRAPHY (2) MAMMOGRAPHY (3) INTERVENTIONAL</t>
  </si>
  <si>
    <t>1
Type II
KGS 782 , Cr no. 345116984</t>
  </si>
  <si>
    <t>Dr. Daniel G. Yap</t>
  </si>
  <si>
    <t>083-250-2777 / 2888</t>
  </si>
  <si>
    <t>admin@gsdh.com.ph</t>
  </si>
  <si>
    <t>DOH004971</t>
  </si>
  <si>
    <t>DOH000000000034335</t>
  </si>
  <si>
    <t>Purok Veterans, National Highway, Brgy. Calumpang</t>
  </si>
  <si>
    <t>GENSAN MEDICAL CENTER</t>
  </si>
  <si>
    <t>Specialized Diagnostic X-ray Services, Pharmacy, HIV Testing Laboratory, Physical Medicine and Rehabilitation Unit</t>
  </si>
  <si>
    <t>1, Type II, ZAA 5600, CR no. 266967330</t>
  </si>
  <si>
    <t>Benjamin A. Suedad Jr., MD, MAHA</t>
  </si>
  <si>
    <t>(083) 887 9898
09988472884</t>
  </si>
  <si>
    <t>contactus@gensanmed.com</t>
  </si>
  <si>
    <t>12-019-26-H2-2</t>
  </si>
  <si>
    <t>DOH000000000002753</t>
  </si>
  <si>
    <t>1St Road, Calumpang</t>
  </si>
  <si>
    <t>LABELLA HOSPITAL, INC.</t>
  </si>
  <si>
    <t>Diagnostic X-ray (Level 1) 
Pharmacy</t>
  </si>
  <si>
    <t>GENERAL SANTOS DOCTORS HOSPITAL, INC.</t>
  </si>
  <si>
    <t>Ana Belle L. Abella, MD</t>
  </si>
  <si>
    <t>09228590044
083-887-6409</t>
  </si>
  <si>
    <t>hospital_labella@yahoo.com</t>
  </si>
  <si>
    <t>12-042-26-H1-2</t>
  </si>
  <si>
    <t>DOH000000000000672</t>
  </si>
  <si>
    <t>Cannery Road, City Heights, General Santos City</t>
  </si>
  <si>
    <t>MINDANAO MEDICAL CENTER, INC.</t>
  </si>
  <si>
    <t>Pharmacy, Specialized Diagnostic X-ray Services, HIV Testing Laboratory</t>
  </si>
  <si>
    <t>1, Type II, GAU 5801, CR no. 39857096-6</t>
  </si>
  <si>
    <t>Dr. Ester Lanelle G. Alon</t>
  </si>
  <si>
    <t>09177913052
083-553-3985</t>
  </si>
  <si>
    <t>mindanao_med@yahoo.com</t>
  </si>
  <si>
    <t>12-022-26-H2-2</t>
  </si>
  <si>
    <t>DOH000000000005018</t>
  </si>
  <si>
    <t>#015 Albaro street Cor. Quezon Avenue, Dadiangas North</t>
  </si>
  <si>
    <t>R.O DIAGAN COOPERATIVE HOSPITAL</t>
  </si>
  <si>
    <t>Mindanao Medical Center</t>
  </si>
  <si>
    <t>Nathalie R. Diagan</t>
  </si>
  <si>
    <t>r.o_diagan0405@yahoo.com</t>
  </si>
  <si>
    <t>12-054-26-H1-2</t>
  </si>
  <si>
    <t>DOH000000000039088</t>
  </si>
  <si>
    <t>Makar Junction, National Highway, Brgy. Apopong</t>
  </si>
  <si>
    <t>SARANGANI BAY SPECIALISTS MEDICAL CENTER INC.</t>
  </si>
  <si>
    <t>Ambulatory Surgical Clinic</t>
  </si>
  <si>
    <t>1 Type II, NGG 7399, CR no. 37806478-3</t>
  </si>
  <si>
    <t>Rizaldy S. Nolasco, MD, JD, FPOA</t>
  </si>
  <si>
    <t>(083) 887 8888
09190678408</t>
  </si>
  <si>
    <t>sarmed.qualityassurance@gmail.com</t>
  </si>
  <si>
    <t>12-021-26-H2-2</t>
  </si>
  <si>
    <t>DOH000000000005168</t>
  </si>
  <si>
    <t>Bula-Lagao Road, Cor. Arradaza St., General Santos City</t>
  </si>
  <si>
    <t>SOCSARGEN COUNTY HOSPITAL</t>
  </si>
  <si>
    <t>HIV Testing Laboratory, Specialized Diagnostic X-ray Services, Pharmacy</t>
  </si>
  <si>
    <t>1, Type II, LAC 5969, CR no. 314991353</t>
  </si>
  <si>
    <t>ROMEO D. PASTOR, MD</t>
  </si>
  <si>
    <t>(083) 553 8906</t>
  </si>
  <si>
    <t xml:space="preserve">	socsargencountyhospital@gmail.com</t>
  </si>
  <si>
    <t>12-017-26-H2-2</t>
  </si>
  <si>
    <t>DOH000000000000761</t>
  </si>
  <si>
    <t>National Highway, General Santos City</t>
  </si>
  <si>
    <t>ST. ELIZABETH HOSPITAL, INC.</t>
  </si>
  <si>
    <t>Blood Bank (with additional function to collect, test &amp; process), HIV Testing Laboratory, Specialized Diagnostic X-ray Servicess, Mobile Clinical Laboratory, Radiation Therapy Sevice Category (Level 4)</t>
  </si>
  <si>
    <t>1 Type II, Plate No. NG8773</t>
  </si>
  <si>
    <t>Dr. Ma. Helena Veneracion-Garcia</t>
  </si>
  <si>
    <t>(083) 552 3162</t>
  </si>
  <si>
    <t>contact@sehi.ph</t>
  </si>
  <si>
    <t>DOH000761</t>
  </si>
  <si>
    <t>DOH000000000001902</t>
  </si>
  <si>
    <t>Purok Villegas, General Santos Drive, Zone Iii, Koronadal City</t>
  </si>
  <si>
    <t>ALLAH VALLEY MEDICAL SPECIALISTS CENTER, INC.</t>
  </si>
  <si>
    <t>Dialysis Clinic, Specialized Diagnostic X-ray Services, Pharmacy</t>
  </si>
  <si>
    <t>1, Type II, GAW 6834, CR no. 47171383-0</t>
  </si>
  <si>
    <t>Dr. Jude D. Dabalus, RN, MD, MHCA, FPCP</t>
  </si>
  <si>
    <t>(083) 228 3550</t>
  </si>
  <si>
    <t>avmsci@yahoo.com</t>
  </si>
  <si>
    <t>12-015-26-H2-2</t>
  </si>
  <si>
    <t>DOH000000000000793</t>
  </si>
  <si>
    <t>General Santos Drive, Zone IV, Koronadal City, South Cotabato</t>
  </si>
  <si>
    <t>DR. ARTURO P. PINGOY MEDICAL CENTER</t>
  </si>
  <si>
    <t>Diagnostic X-ray Services, Physical Medicine and Rehabilitation Unit, Pharmacy</t>
  </si>
  <si>
    <t>1, Type II, AGA 5858 / CR no. 213069220</t>
  </si>
  <si>
    <t>Nanette P. Franco, MD, FPARM, MSHSM, FPCHA</t>
  </si>
  <si>
    <t>(083) 228 2202</t>
  </si>
  <si>
    <t>dchikoronadal@gmail.com</t>
  </si>
  <si>
    <t>12-006-26-H2-2</t>
  </si>
  <si>
    <t>DOH000000000004427</t>
  </si>
  <si>
    <t>Judge Alba St., Zone Iii</t>
  </si>
  <si>
    <t>SOCOMEDICS MEDICAL CENTER</t>
  </si>
  <si>
    <t>Diagnostic X-ray (Level 2)
Pharmacy
HIV 1 &amp; 2 Screening Test</t>
  </si>
  <si>
    <t>1, Type 1, ABC 6022 , CR no. 218959414</t>
  </si>
  <si>
    <t>Gertrudes D. Dajay, MD</t>
  </si>
  <si>
    <t>09811188140
083-228-8202</t>
  </si>
  <si>
    <t>socomedicsmedicalcenter@gmail.com</t>
  </si>
  <si>
    <t>12-037-26-H1-2</t>
  </si>
  <si>
    <t>DOH000000000001866</t>
  </si>
  <si>
    <t>700 B. Bayan Sr. St., Poblacion</t>
  </si>
  <si>
    <t>BONTUYAN MEDICAL HOSPITAL, INC.</t>
  </si>
  <si>
    <t>1, Type 1, NBC 4175 , CR no. 292850902</t>
  </si>
  <si>
    <t>Zenaida C. Bontuyan</t>
  </si>
  <si>
    <t>09460756358
500-9343</t>
  </si>
  <si>
    <t>bmhi1964@gmail.com</t>
  </si>
  <si>
    <t>12-007-26-H1-2</t>
  </si>
  <si>
    <t>DOH000000000002831</t>
  </si>
  <si>
    <t>Citizens Village Poblacion</t>
  </si>
  <si>
    <t>HERAMIL HOSPITAL</t>
  </si>
  <si>
    <t>Pharmacy
Physical Rehabilitation and CT scan</t>
  </si>
  <si>
    <t>1, Type 1 , GAO 6815 , CR no. 39943893-3</t>
  </si>
  <si>
    <t>Wilma T. Heramil, MD</t>
  </si>
  <si>
    <t>09175009247
083-500-9247</t>
  </si>
  <si>
    <t>heramil.hospital@gmail.com</t>
  </si>
  <si>
    <t>12-033-26-H1-2</t>
  </si>
  <si>
    <t>DOH000000000005359</t>
  </si>
  <si>
    <t>Cannery Road, Cannery Site</t>
  </si>
  <si>
    <t>HOWARD HUBBARD MEMORIAL HOSPITAL</t>
  </si>
  <si>
    <t xml:space="preserve">Diagnostic X-ray (Level 2)
</t>
  </si>
  <si>
    <t>1, Type II, NCQ 9122 / CR no. 0023952393</t>
  </si>
  <si>
    <t>Ronaldo G. Veneracion, MD</t>
  </si>
  <si>
    <t>083-500-2183</t>
  </si>
  <si>
    <t>compliance@mmhi.ph</t>
  </si>
  <si>
    <t>12-002-26-H2-2</t>
  </si>
  <si>
    <t>DOH000000000003624</t>
  </si>
  <si>
    <t>#85 Corner Rizal And Jacinto St., Libertad, Surallah</t>
  </si>
  <si>
    <t>LANDERO CLINIC AND HOSPITAL</t>
  </si>
  <si>
    <t xml:space="preserve">Diagnostic X-ray (Level 2)
Pharmacy
HIV Testing Laboratory </t>
  </si>
  <si>
    <t>1, Type 1, GAO 5948 , CR no. 38219394-3</t>
  </si>
  <si>
    <t>Amelia E. Landero</t>
  </si>
  <si>
    <t>09178770598
083-238-3187</t>
  </si>
  <si>
    <t>landerohr@gmail.com</t>
  </si>
  <si>
    <t>12-050-26-H1-2</t>
  </si>
  <si>
    <t>DOH000000000000612</t>
  </si>
  <si>
    <t>Diego Silang Street, Zone 1, Brgy. Libertad</t>
  </si>
  <si>
    <t>LARIOSA CLINIC AND HOSPITAL, INC</t>
  </si>
  <si>
    <t>1, Type 1, NCF 8182 , CR no. 256912364</t>
  </si>
  <si>
    <t>Nicasio Alejandro C. Arjona, Jr, MD</t>
  </si>
  <si>
    <t>09201049214
083-238-3027</t>
  </si>
  <si>
    <t>admin.lariosa@gmail.com</t>
  </si>
  <si>
    <t>12-051-26-H1-2</t>
  </si>
  <si>
    <t>DOH000000000003717</t>
  </si>
  <si>
    <t>674 Rosal Street, Libertad</t>
  </si>
  <si>
    <t>SURALLAH COMMUNITY HOSPITAL</t>
  </si>
  <si>
    <t>1, Type 1, MAD 6871 , CR no.. 287746314</t>
  </si>
  <si>
    <t>Judel D. Javelosa , MD, FPCP</t>
  </si>
  <si>
    <t>09464825526
083-238-3049</t>
  </si>
  <si>
    <t>surcomhospital@gmail.com</t>
  </si>
  <si>
    <t>12-053-26-H1-2</t>
  </si>
  <si>
    <t>DOH000000000005504</t>
  </si>
  <si>
    <t>Ala Esperanza</t>
  </si>
  <si>
    <t>Purok Liwayway, Ala Esperanza, Sultan Kudarat</t>
  </si>
  <si>
    <t>DR. DOMINGO B. TAMONDONG MEMORIAL HOSPITAL &amp; COLLEGE FOUNDATION, INC.</t>
  </si>
  <si>
    <t>Specialized Diagnostic X-ray Services, Pharmacy</t>
  </si>
  <si>
    <t>1, Type II,
MDJ 353, CR no. 11764451-6</t>
  </si>
  <si>
    <t>Jose B. Alcayde, MD</t>
  </si>
  <si>
    <t>09157784566
064-471-6219</t>
  </si>
  <si>
    <t>ala_tmch@yahoo.com.ph</t>
  </si>
  <si>
    <t>12-018-26-H2-2</t>
  </si>
  <si>
    <t>DOH000000000032919</t>
  </si>
  <si>
    <t>Esperanza</t>
  </si>
  <si>
    <t>Purok Bannawag, Villamor</t>
  </si>
  <si>
    <t>JOHN MARK D. VILLANUEVA MEDICAL-CLINIC AND HOSPITAL</t>
  </si>
  <si>
    <t>1,Type 1 ,ACV 2473 , CR no. 243371995</t>
  </si>
  <si>
    <t>John Mark D. Villanueva, MD, MHCA</t>
  </si>
  <si>
    <t>09178477231
064-460-0416</t>
  </si>
  <si>
    <t>2014.jmvch@gmail.com</t>
  </si>
  <si>
    <t>12-008-26-H1-2</t>
  </si>
  <si>
    <t>DOH000000000000012</t>
  </si>
  <si>
    <t>Notre Dame Avenue, Saliao</t>
  </si>
  <si>
    <t>OUR LADY OF HOPE MEDICAL CLINIC AND HOSPITAL</t>
  </si>
  <si>
    <t>1, Type 1, NDN 4457 , CR no. 365929561</t>
  </si>
  <si>
    <t>Jesus A. Galapate, MD</t>
  </si>
  <si>
    <t>olhmch_1989@yahoo.com</t>
  </si>
  <si>
    <t>12-046-26-H1-2</t>
  </si>
  <si>
    <t>DOH000000000041325</t>
  </si>
  <si>
    <t>National Highway Brgy. Saliao</t>
  </si>
  <si>
    <t>ST. JUDE DOCTORS HOSPITAL</t>
  </si>
  <si>
    <t>Pharmacy
Diagnostic X-ray (Level 2)</t>
  </si>
  <si>
    <t>1, Type 1, MFN 595 , CR no. 14812429-2</t>
  </si>
  <si>
    <t>Arlene R. Lorenzo, MD</t>
  </si>
  <si>
    <t>stjudehrd2020@gmail.com</t>
  </si>
  <si>
    <t>12-017-26-H1-2</t>
  </si>
  <si>
    <t>DOH000000000004405</t>
  </si>
  <si>
    <t>Guyabano St., Kalawag II</t>
  </si>
  <si>
    <t>GALINATO FAMILY CLINIC AND HOSPITAL</t>
  </si>
  <si>
    <t>1, Type 1, NBK 6840 , CR No. 299938623</t>
  </si>
  <si>
    <t>Julian B. Galinato, Jr, MD, MHCA</t>
  </si>
  <si>
    <t>09209137983
064-471-1403</t>
  </si>
  <si>
    <t>galinatofamilyclinicandhospital@yahoo.com</t>
  </si>
  <si>
    <t>12-011-26-H1-2</t>
  </si>
  <si>
    <t>DOH000000000002962</t>
  </si>
  <si>
    <t>National Highway Kalawag II</t>
  </si>
  <si>
    <t>HOLY NAZARENE CLINIC AND HOSPITAL</t>
  </si>
  <si>
    <t>1, Type 1, LCV 1033, CR no. 231034963</t>
  </si>
  <si>
    <t>Susie M. Figuracion, MD</t>
  </si>
  <si>
    <t>09922206448
064-201-5278</t>
  </si>
  <si>
    <t>holynazareneclincandhospital@gmail.com</t>
  </si>
  <si>
    <t>12-013-26-H1-2</t>
  </si>
  <si>
    <t>DOH000000000000619</t>
  </si>
  <si>
    <t>National Highway, Brgy. Kalawag 2</t>
  </si>
  <si>
    <t>MATIAS CLINIC AND HOSPITAL</t>
  </si>
  <si>
    <t>1, Type 1, NAX 2057 , CR no. 319389560</t>
  </si>
  <si>
    <t>Krystal Marie V. Matias-Teves, RN, MD</t>
  </si>
  <si>
    <t>09276046943
064-471-0390</t>
  </si>
  <si>
    <t>matias_clinic@yahoo.com</t>
  </si>
  <si>
    <t>12-027-26-H1-2</t>
  </si>
  <si>
    <t>DOH000000000035975</t>
  </si>
  <si>
    <t>President Quirino</t>
  </si>
  <si>
    <t>Purok Cadena Amor, Poblacion</t>
  </si>
  <si>
    <t>IMMACULATE CONCEPTION MEDICAL CLINIC</t>
  </si>
  <si>
    <t>Pharmacy
Diagnostic X-ray (Level 1)
Dental Clinic</t>
  </si>
  <si>
    <t>QUIJANO CLINIC AND HOSPITAL</t>
  </si>
  <si>
    <t>Galileo A. Dogoldogol</t>
  </si>
  <si>
    <t>09066347076
064-532-5327</t>
  </si>
  <si>
    <t>immaculateconceptionmc17@yahoo.com</t>
  </si>
  <si>
    <t>12-043-26-H1-2</t>
  </si>
  <si>
    <t>DOH000000000004861</t>
  </si>
  <si>
    <t>Tacurong City</t>
  </si>
  <si>
    <t>National Highway corner General Luna Street, Poblacion,</t>
  </si>
  <si>
    <t>LU CLINIC AND HOSPITAL</t>
  </si>
  <si>
    <t>DR. TAMONDONG MEMORIAL HOSPITAL &amp; COLLEGE FOUNDATION, INC.</t>
  </si>
  <si>
    <t>James G. Lu, MD</t>
  </si>
  <si>
    <t>luclinicandhospital28@yahoo.com</t>
  </si>
  <si>
    <t>12-006-26-H1-2</t>
  </si>
  <si>
    <t>DOH000000000005265</t>
  </si>
  <si>
    <t>National Highway Brgy. Buenaflor</t>
  </si>
  <si>
    <t>QUIJANO CLINIC AND HOSPITAL INCORPORATED</t>
  </si>
  <si>
    <t>Pharmacy
HIV Testing Laboratory
Diagnostic X-ray (Level 1)
Dental Clinic</t>
  </si>
  <si>
    <t>1, Type 1, ARA 9034, CR no. 215672424</t>
  </si>
  <si>
    <t>Yvonne Q. Barroquillo, MD, FPAFP, MHCA</t>
  </si>
  <si>
    <t>064-477-0498</t>
  </si>
  <si>
    <t>quijano_1968@yahoo.com</t>
  </si>
  <si>
    <t>12-021-26-H1-2</t>
  </si>
  <si>
    <t>DOH000000000004587</t>
  </si>
  <si>
    <t>#5, Ledesma Street, Poblacion</t>
  </si>
  <si>
    <t>SANDIG MEDICAL CLINIC AND HOSPITAL</t>
  </si>
  <si>
    <t>1, Type 1, MAP 9086, CR no. 339222236</t>
  </si>
  <si>
    <t>Marilie C. Lechonsito, MD, DPPS</t>
  </si>
  <si>
    <t>064-562-3365</t>
  </si>
  <si>
    <t>sandighospital1992@yahoo.com</t>
  </si>
  <si>
    <t>12-019-26-H1-2</t>
  </si>
  <si>
    <t>DOH000000000004271</t>
  </si>
  <si>
    <t>Purok Yellowbell, New Isabela, Tacurong City</t>
  </si>
  <si>
    <t>ST. LOUIS HOSPITAL</t>
  </si>
  <si>
    <t>Pharmacy
Physical Medicine and Rehabilitation Unit
Specialized Diagnostic X-ray Services (Computed Tomography, Mammography, Bone Densitometry)
Dental clinic
Laboratory for Drinking Water Analysis</t>
  </si>
  <si>
    <t>1, Type II, MAM 2382, Cr no. 38967060-6</t>
  </si>
  <si>
    <t>Thelma S. Valdez, MD</t>
  </si>
  <si>
    <t>(064) 477 0171
09388793645</t>
  </si>
  <si>
    <t>stlouishospitaltacurong@gmail.com</t>
  </si>
  <si>
    <t>12-001-26-H2-2</t>
  </si>
  <si>
    <t>DOH000000000006895</t>
  </si>
  <si>
    <t>25 National Highway Poblacion</t>
  </si>
  <si>
    <t>SULTAN KUDARAT DOCTORS HOSPITAL, INC.</t>
  </si>
  <si>
    <t>Dante T. Eugenio, MD</t>
  </si>
  <si>
    <t>09977641461
064-200-3012</t>
  </si>
  <si>
    <t>skdoctorshosp@yahoo.com</t>
  </si>
  <si>
    <t>12-040-26-H1-2</t>
  </si>
  <si>
    <t>DOH000000000005419</t>
  </si>
  <si>
    <t>Alunan Highway</t>
  </si>
  <si>
    <t>SULTAN KUDARAT MEDICAL SPECIALISTS CENTER, INC.</t>
  </si>
  <si>
    <t>Marlene G. Ferolino, MD</t>
  </si>
  <si>
    <t>09295073303
064-562-0073</t>
  </si>
  <si>
    <t>garingo_skmsi@yahoo.com</t>
  </si>
  <si>
    <t>12-044-26-H1-2</t>
  </si>
  <si>
    <t>DOH000000000005709</t>
  </si>
  <si>
    <t>Purok Waya-Waya, Brgy. San Emamnuel</t>
  </si>
  <si>
    <t>TOMBOC-SALAYOG HOSPITAL</t>
  </si>
  <si>
    <t>Pharmacy
Diagnostic X-ray (Level 2) :  Computed Tomography</t>
  </si>
  <si>
    <t>1, Type II, LDX 351 / Cr no. 320720697</t>
  </si>
  <si>
    <t>Raquel T. Salayog, MD</t>
  </si>
  <si>
    <t>064-200-6057</t>
  </si>
  <si>
    <t>tombocsalayoghospital123@yahoo.com.ph</t>
  </si>
  <si>
    <t>12-003-26-H2-2</t>
  </si>
  <si>
    <t>DOH000000000004580</t>
  </si>
  <si>
    <t>Lambayong</t>
  </si>
  <si>
    <t>National Highway, Poblacion</t>
  </si>
  <si>
    <t>EVANGELISTA MEDICAL CLINIC AND HOSPITAL</t>
  </si>
  <si>
    <t>Cienne R. Evangelista, MD, FPCP</t>
  </si>
  <si>
    <t>emch1984@yahoo.com</t>
  </si>
  <si>
    <t>12-031-26-H1-2</t>
  </si>
  <si>
    <t>DOH000000000035958</t>
  </si>
  <si>
    <t>JP Laurel, Poblacion A</t>
  </si>
  <si>
    <t>MLANG POLYMEDIC HOSPITAL, INC.</t>
  </si>
  <si>
    <t>CEM MEDICAL SPECIALISTS HOSPITAL</t>
  </si>
  <si>
    <t>Ervin T. Castillo, MD, MBHA, FPCS, FPSGS, FAMP</t>
  </si>
  <si>
    <t>09942099145
644-281-077</t>
  </si>
  <si>
    <t>mlangpolymedic_06@yahoo.com</t>
  </si>
  <si>
    <t>12-015-26-H1-2</t>
  </si>
  <si>
    <t>DOH000000000051914</t>
  </si>
  <si>
    <t>Lapu-Lapu Street, Brgy. Poblacion</t>
  </si>
  <si>
    <t>TACURONG DOCTORS' HOSPITAL INCORPORATED</t>
  </si>
  <si>
    <t>Pharmacy
Dignostic X-ray (Level 1)</t>
  </si>
  <si>
    <t>1, Type 1 , MBJ6176, CR No. 0031855428</t>
  </si>
  <si>
    <t>Vanessa P. Cabaluna, MD</t>
  </si>
  <si>
    <t>09358041871
064-477-5251</t>
  </si>
  <si>
    <t>tdhofficial2019@gmail.com</t>
  </si>
  <si>
    <t>12-032-26-H1-2</t>
  </si>
  <si>
    <t>DOH000000000045600</t>
  </si>
  <si>
    <t>Zone 3, Brgy. Baguer</t>
  </si>
  <si>
    <t>RAYRAY GENERAL HOSPITAL INC.</t>
  </si>
  <si>
    <t>MIDSAYAP DIAGNOSTIC CENTER AND HOSPITAL INC</t>
  </si>
  <si>
    <t>Dr. Edward Q. Rayray</t>
  </si>
  <si>
    <t>09987938848
064-521-4115</t>
  </si>
  <si>
    <t>rayraygen2022@gmail.com</t>
  </si>
  <si>
    <t>12-035-26-H1-2</t>
  </si>
  <si>
    <t>National Highway, Brgy. Bagontapay, Mlang, Cotabato</t>
  </si>
  <si>
    <t>MLANG GOOD SAMARITAN HOSPITAL, CO.</t>
  </si>
  <si>
    <t>1, Type 1, PLATE NO. KBA 3402, CR NO. 0097126915</t>
  </si>
  <si>
    <t>Rizalino C. Urbano, Jr. MD</t>
  </si>
  <si>
    <t>goodsam_88@gmail.com</t>
  </si>
  <si>
    <t>12-056-26-H1-2</t>
  </si>
  <si>
    <t>Upgraded to Level 1 Hospital</t>
  </si>
  <si>
    <t>Lot 371-1-2, South Montilla Road, Barrio Villa Kananga, Butuan City, Agusan del Norte</t>
  </si>
  <si>
    <t>ALLIED CARE EXPERTS(ACE) MEDICAL CENTER – BUTUAN INC.</t>
  </si>
  <si>
    <t>1 Type II-ALS, Plate No. DBG5659</t>
  </si>
  <si>
    <t>Dr. Arhimedes P. Brodith</t>
  </si>
  <si>
    <t>acemcbutuan@gmail.com</t>
  </si>
  <si>
    <t>DOH047655</t>
  </si>
  <si>
    <t>J.C. Aquino Avenue, Butuan City</t>
  </si>
  <si>
    <t>BUTUAN DOCTORS' HOSPITAL AND COLLEGE, INCORPORATED</t>
  </si>
  <si>
    <t>HIV Testing Laboratory, Dialysis Clinic, Diagnostic X-ray Services, Specialized Diagnostic X-ray Services</t>
  </si>
  <si>
    <t>1 Type II  Plate No. 151004 CR No. 156133106</t>
  </si>
  <si>
    <t>Dr. Claudio B. Estacio</t>
  </si>
  <si>
    <t>No. of Government Hospitals Per Ownership Classification</t>
  </si>
  <si>
    <t>butuandoctorshospital@yahoo.com.ph</t>
  </si>
  <si>
    <t>DOH003769</t>
  </si>
  <si>
    <t>702 San Jose St., Butuan City</t>
  </si>
  <si>
    <t>BUTUAN PUERICULTURE CENTER NO. 394, INC. E. R. OCHOA MEMORIAL AND MATERNITY GENERAL HOSPITAL</t>
  </si>
  <si>
    <t>Specialized Diagnostic X-ray Services</t>
  </si>
  <si>
    <t>Type II, Plate No. JCU-540</t>
  </si>
  <si>
    <t>Dr. Bayani Rey R. Quinte</t>
  </si>
  <si>
    <t>342-70-00</t>
  </si>
  <si>
    <t>butuan_maternity@yahoo.com</t>
  </si>
  <si>
    <t>DOH003385</t>
  </si>
  <si>
    <t>2Nd St., Guingona Subd., Butuan City</t>
  </si>
  <si>
    <t>HOLY CHILD COLLEGES OF BUTUAN HOSPITAL, CO.</t>
  </si>
  <si>
    <t>Xray Level I</t>
  </si>
  <si>
    <t>DOH Retained</t>
  </si>
  <si>
    <t>Type 1/ Plate no. LAC1417</t>
  </si>
  <si>
    <t>University</t>
  </si>
  <si>
    <t>Dr. Emmanuel M. Rivera</t>
  </si>
  <si>
    <t>225-52-21 / 341-2222</t>
  </si>
  <si>
    <t>hccbhospital082008@gmail.com</t>
  </si>
  <si>
    <t>16-15-26-H1-2</t>
  </si>
  <si>
    <t>Montilla Blvd. Butuan City</t>
  </si>
  <si>
    <t>MANUEL J. SANTOS HOSPITAL</t>
  </si>
  <si>
    <t>Blood Bank, HIV Testing Laboratory, Dialysis Clinic, Diagnostic X-ray Service, Specialized Diagnostic X-ray Services</t>
  </si>
  <si>
    <t>TYPE II  Plate No. NLB-9974</t>
  </si>
  <si>
    <t>Dr. Rene Antonio Gonzales</t>
  </si>
  <si>
    <t>342-50-17</t>
  </si>
  <si>
    <t>csjurane@mjsantos.com.ph</t>
  </si>
  <si>
    <t>DOH003561</t>
  </si>
  <si>
    <t>Bayugan City</t>
  </si>
  <si>
    <t>Maygatasan, National Hiway, Bayugan, Agusan Del Sur</t>
  </si>
  <si>
    <t>BAYUGAN CITY DOCTORS HOSPITAL</t>
  </si>
  <si>
    <t>X-ray (Level 1), Dialysis Clinic</t>
  </si>
  <si>
    <t>Type 1/ Plate no. GAF 1260</t>
  </si>
  <si>
    <t>DR. ALEX G. BASCUG</t>
  </si>
  <si>
    <t>(085) 2313352</t>
  </si>
  <si>
    <t>bcdh.official@gmail.com</t>
  </si>
  <si>
    <t>16-14-26-H1-2</t>
  </si>
  <si>
    <t>Hubang, San Francisco, Agusan Del Sur</t>
  </si>
  <si>
    <t>SAN FRANCISCO DOCTORS HOSP. INC.</t>
  </si>
  <si>
    <t>Dialysis Clinic, Diagnostic X-ray Services, Specialized Diagnostic X-ray Services</t>
  </si>
  <si>
    <t>Dr. Joel E. Esparagoza, MPH</t>
  </si>
  <si>
    <t>231-20-27</t>
  </si>
  <si>
    <t>sanfranciscodoctorshospital@gmail.com</t>
  </si>
  <si>
    <t>DOH001935</t>
  </si>
  <si>
    <t>Km,4 Nat. Highway, Brgy. San Juan, Surigao City</t>
  </si>
  <si>
    <t>ST. PAUL SURIGAO UNIVERSITY HOSP.</t>
  </si>
  <si>
    <t>Dialysis Clinic, Specialized Diagnostic X-ray Services</t>
  </si>
  <si>
    <t>Dr. Agnes C. Andanar</t>
  </si>
  <si>
    <t>826-20-04/ 09192169601</t>
  </si>
  <si>
    <t>spsuh_a@yahoo.com</t>
  </si>
  <si>
    <t>DOH034296</t>
  </si>
  <si>
    <t>for inclusion on LTO: CTU (Systemic Therapy and Wellness and Rehabilitation Center (02/19/2025)</t>
  </si>
  <si>
    <t>Brgy. Rizal, Surigao City</t>
  </si>
  <si>
    <t>SURIGAO DOCTORS' HOSPITAL</t>
  </si>
  <si>
    <t>CT Scan, XRay Level 3</t>
  </si>
  <si>
    <t>DR. ROMINA L. RUSILLON-SAJULGA</t>
  </si>
  <si>
    <t>surigaodoctorshospital2015@gmail.com</t>
  </si>
  <si>
    <t>16-12-26-H1-2</t>
  </si>
  <si>
    <t>Km. 1, Surigao City</t>
  </si>
  <si>
    <t>SURIGAO MEDICAL CENTER INC.</t>
  </si>
  <si>
    <t>Mammography, CT Scan,  XRay Level 3, Dialysis Clinic</t>
  </si>
  <si>
    <t>Type 1, Plate No. ZAA9541,</t>
  </si>
  <si>
    <t>Dr. Corisa K. Bautista-Benitez</t>
  </si>
  <si>
    <t>826-10-57/232-6450</t>
  </si>
  <si>
    <t>surigaomedicalcenter@yahoo.com</t>
  </si>
  <si>
    <t>16-9-26-H1-2</t>
  </si>
  <si>
    <t>Barobo</t>
  </si>
  <si>
    <t>National Highway, Poblacion, Barobo, Surigao del Sur</t>
  </si>
  <si>
    <t>F.P. URBIZTONDO MEDICAL HOSP. INC</t>
  </si>
  <si>
    <t>Blood Station, Pharmacy, X-ray level</t>
  </si>
  <si>
    <t>: 1 (Type 1)Con. Sticker No. F4A474 CR No. 41309839-4</t>
  </si>
  <si>
    <t>Engr. Randell U. Espina, PhD.</t>
  </si>
  <si>
    <t>fpumhi@gmail.com</t>
  </si>
  <si>
    <t>Purok 1, Brgy. Cumawas, Bislig City</t>
  </si>
  <si>
    <t>ANDRES SORIANO MEMORIAL HOSPITAL</t>
  </si>
  <si>
    <t>Blood Collection Unit, HIV Testing Laboratory, Dialysis Clinic</t>
  </si>
  <si>
    <t>Dr. Angelo L. Dimaano</t>
  </si>
  <si>
    <t>853-31-24/ 853-31-25</t>
  </si>
  <si>
    <t>asmhc97@yahoo.com</t>
  </si>
  <si>
    <t>DOH002821</t>
  </si>
  <si>
    <t>DOH000000000004706</t>
  </si>
  <si>
    <t>849 Gen. Luis St., Bagbaguin, Caloocan City</t>
  </si>
  <si>
    <t>ACEBEDO GENERAL HOSPITAL</t>
  </si>
  <si>
    <t>1 (Ace Cor Medical Service, Inc.)</t>
  </si>
  <si>
    <t>Eddie D. Acebedo, MD</t>
  </si>
  <si>
    <t>acebedogenhospital@yahoo.com</t>
  </si>
  <si>
    <t>13-0043-26-H1-2</t>
  </si>
  <si>
    <t>DOH000000000000429</t>
  </si>
  <si>
    <t>391 Malaria Road, Brgy. 185, Zone 16, District 1, Tala, Caloocan City</t>
  </si>
  <si>
    <t>BERMUDEZ POLYMEDIC HOSPITAL, INC.</t>
  </si>
  <si>
    <t>1 (Ace Cor Medical Services, Inc.)</t>
  </si>
  <si>
    <t>Dr. Harold J. Tempongko</t>
  </si>
  <si>
    <t>8961-3229</t>
  </si>
  <si>
    <t>bermudezhospital@yahoo.com</t>
  </si>
  <si>
    <t>13-0008-26-H1-2</t>
  </si>
  <si>
    <t>DOH000000000045845</t>
  </si>
  <si>
    <t>No. 1 Camarin Road, Brgy. 172, Camarin, Caloocan City</t>
  </si>
  <si>
    <t>CAMARIN DOCTORS HOSPITAL</t>
  </si>
  <si>
    <t>Computed Tomography, Physical Medicine and Rehabilitation Unit</t>
  </si>
  <si>
    <t>1 (Type II-ALS, Plate No. NIB4416)</t>
  </si>
  <si>
    <t>Dr. Visitacion C. Vicente-Toy</t>
  </si>
  <si>
    <t>8260-5952/0927-0018111</t>
  </si>
  <si>
    <t>info@camarindoctorshospital.ph</t>
  </si>
  <si>
    <t>13-0083-26-H2-1</t>
  </si>
  <si>
    <t>Edsa, Caloocan City</t>
  </si>
  <si>
    <t>MANILA CENTRAL UNIVERSITY-DR. FILEMON D. TANCHOCO, SR. MEDICAL FOUNDATION, INC.</t>
  </si>
  <si>
    <t>G6PD Confirmatory, Blood Bank (with additional function to collect, test &amp; process),  HIV Testing Laboratory, Specialized Diagnostic X-ray Services</t>
  </si>
  <si>
    <t>Dr. Romel Galvez</t>
  </si>
  <si>
    <t>(02) 83672031</t>
  </si>
  <si>
    <t>customercare@mcuhospital.org</t>
  </si>
  <si>
    <t>DOH005738</t>
  </si>
  <si>
    <t>DOH000000000005081</t>
  </si>
  <si>
    <t>198 A. Mabini St., Maypajo, Caloocan City</t>
  </si>
  <si>
    <t>MARTINEZ MEMORIAL HOSPITAL, INC.</t>
  </si>
  <si>
    <t>Diaysis(5 stations (Reinshen Medical Care, Inc.)</t>
  </si>
  <si>
    <t>Frederick Antonio C. Martinez, MD</t>
  </si>
  <si>
    <t>828845-74</t>
  </si>
  <si>
    <t>administration@martinezhospital.cloud</t>
  </si>
  <si>
    <t>13-0088-26-H1-2</t>
  </si>
  <si>
    <t>DOH000000000006502</t>
  </si>
  <si>
    <t>Capt. Samano St., Area A, Camarin, Brgy. 175, Caloocan City</t>
  </si>
  <si>
    <t>NODADO GENERAL HOSPITAL</t>
  </si>
  <si>
    <t>1 (Fil-Am Rescue Equipment Trading)</t>
  </si>
  <si>
    <t>Dr. Olivia D. Favor</t>
  </si>
  <si>
    <t>71173026/82414446</t>
  </si>
  <si>
    <t>hrd.nodadogen@gmail.com</t>
  </si>
  <si>
    <t>13-0073-26-H1-2</t>
  </si>
  <si>
    <t>DOH000000000005050</t>
  </si>
  <si>
    <t>L31, B10, Quirino Highway, Bankers Village 2, Caloocan City</t>
  </si>
  <si>
    <t>NORTH CALOOCAN DOCTORS HOSPITAL, INC.</t>
  </si>
  <si>
    <t>1 (Medic One Ambulance Service)</t>
  </si>
  <si>
    <t>Dr. Lloyd T. Delos Santos</t>
  </si>
  <si>
    <t>8961-5213</t>
  </si>
  <si>
    <t>ncdhi@yahoo.com</t>
  </si>
  <si>
    <t>13-0064-26-H1-2</t>
  </si>
  <si>
    <t>DOH000000000005484</t>
  </si>
  <si>
    <t>8th Avenue cor. F. Roxas St., West Grace Park, Caloocan City</t>
  </si>
  <si>
    <t>OUR LADY OF GRACE HOSPITAL, INC.</t>
  </si>
  <si>
    <t>Lawrence N. Sembrano, MD</t>
  </si>
  <si>
    <t>83611124 to 38/09178403811</t>
  </si>
  <si>
    <t>ourladyofgrace.hospital@yahoo.com</t>
  </si>
  <si>
    <t>13-0077-26-H1-2</t>
  </si>
  <si>
    <t>DOH000000000005026</t>
  </si>
  <si>
    <t>Atlas Compound, Naga Road, Pulang Lupa Uno, Las Piñas City</t>
  </si>
  <si>
    <t>A. ZARATE GENERAL HOSPITAL</t>
  </si>
  <si>
    <t>Albert L. Zarate, MD</t>
  </si>
  <si>
    <t>azarategeneralhospitaldx91@gmail.com</t>
  </si>
  <si>
    <t>13-0095-26-H1-2</t>
  </si>
  <si>
    <t>DOH000000000000447</t>
  </si>
  <si>
    <t>130 Real St., Pamplona Uno, District 4, Las Piñas City</t>
  </si>
  <si>
    <t>CHRIST THE KING MEDICAL CENTER UNIHEALTH LAS PIÑAS, INC.</t>
  </si>
  <si>
    <t>Computed tomography, Dialysis ( 10 stations (Gentle Care Hemodialysis Center, Inc.), PMRU</t>
  </si>
  <si>
    <t>1 (Type II-ALS, Plate No. NGQ4440)</t>
  </si>
  <si>
    <t>Mercedita Perez, MD</t>
  </si>
  <si>
    <t>christthekingmedicalcenter@gmail.com</t>
  </si>
  <si>
    <t>13-0024-26-H2-2</t>
  </si>
  <si>
    <t>DOH000000000023768</t>
  </si>
  <si>
    <t>16 J. Aguilar Ave., Talon I, Las Piñas City</t>
  </si>
  <si>
    <t>E. ZARATE HOSPITAL</t>
  </si>
  <si>
    <t>1 (Fil-AM Rescue Equipment Trading)</t>
  </si>
  <si>
    <t>Dr. Edgar L. Zarate</t>
  </si>
  <si>
    <t>88711440/09199914938</t>
  </si>
  <si>
    <t>e.zaratehospital@yahoo.com</t>
  </si>
  <si>
    <t>13-0090-26-H1-2</t>
  </si>
  <si>
    <t>DOH000000000005710</t>
  </si>
  <si>
    <t>#1314 Marcos Alvarez Ave., Talon V, Las Piñas City</t>
  </si>
  <si>
    <t>LAS PIÑAS CITY MEDICAL CENTER, INC.</t>
  </si>
  <si>
    <t>Computed Tomography; Mammography</t>
  </si>
  <si>
    <t>1 (Type II-BLS, Plate No. NCU6601)</t>
  </si>
  <si>
    <t>Resurreccion G. Manalad, MD</t>
  </si>
  <si>
    <t>8800-5678/09175934944</t>
  </si>
  <si>
    <t>lpcmc01@yahoo.com</t>
  </si>
  <si>
    <t>13-0035-26-H2-2</t>
  </si>
  <si>
    <t>#8009 Ji Aguilar Ave., Pulanglupa 2, Las Piñas City</t>
  </si>
  <si>
    <t>LAS PIÑAS DOCTORS HOSPITAL, INC.</t>
  </si>
  <si>
    <t>Anatomic Pathology, Blood Bank (with additional function to collect, test &amp; process),  HIV Testing Laboratory, Specialized Diagnostic X-ray Services</t>
  </si>
  <si>
    <t>1 Type II-ALS, Plate No. NFX6071</t>
  </si>
  <si>
    <t>B, Braun Avitum Phils., Inc.</t>
  </si>
  <si>
    <t>Dr. Nestor Arroyo</t>
  </si>
  <si>
    <t>lpdh.laspinasdoctorshospital@gmail.com</t>
  </si>
  <si>
    <t>DOH000614</t>
  </si>
  <si>
    <t>DOH000000000047808</t>
  </si>
  <si>
    <t>46 Zapote-Alabang Road, Pamplona, Las Piñas City</t>
  </si>
  <si>
    <t>PAMPLONA HOSPITAL AND MEDICAL CENTER INC.</t>
  </si>
  <si>
    <t>1 (Type II-ALS, Plate No. NEE2362)</t>
  </si>
  <si>
    <t>Dr. Harold C. Macadangdang</t>
  </si>
  <si>
    <t>8255-4802 / 8873 0054</t>
  </si>
  <si>
    <t>phmc2015inc@gmail.com</t>
  </si>
  <si>
    <t>13-0074-26-H2-2</t>
  </si>
  <si>
    <t>DOH000000000038397</t>
  </si>
  <si>
    <t>545-E Alabang-Zapote Road, Brgy. Talon III, Las Piñas City</t>
  </si>
  <si>
    <t>POPE JOHN PAUL II HOSPITAL AND MEDICAL CENTER INC.</t>
  </si>
  <si>
    <t>1 (Type II-ALS, Plate No. NBE4606)</t>
  </si>
  <si>
    <t>Dr. Aurora C. Sandoval</t>
  </si>
  <si>
    <t>8826-0285</t>
  </si>
  <si>
    <t>pjp2hmc.executivesecretary@gmail.com</t>
  </si>
  <si>
    <t>13-0027-26-H2-2</t>
  </si>
  <si>
    <t>Alabang-Zapote Road, Las Piñas City</t>
  </si>
  <si>
    <t>UNIVERSITY OF PERPETUAL HELP DALTA MEDICAL CENTER, INC.</t>
  </si>
  <si>
    <t>G6PD Confirmatory, Blood Bank (with additional function to collect, test &amp; process),  HIV Testing Laboratory, Specialized Diagnostic X-ray Services, Radiation Therapy Category (Level 3)</t>
  </si>
  <si>
    <t>1 Type II-ALS, Plate No. ZUG161 &amp; CS. W0491</t>
  </si>
  <si>
    <t>Dr. Adrian Kidlat</t>
  </si>
  <si>
    <t>8880-7700 | 8874-8515</t>
  </si>
  <si>
    <t>evphd_uphdmc@yahoo.com</t>
  </si>
  <si>
    <t>DOH000798</t>
  </si>
  <si>
    <t>DOH000000000053032</t>
  </si>
  <si>
    <t>Malugay Street, Barangay Bel-Air, Makati City</t>
  </si>
  <si>
    <t>MAKATI LIFE MEDICAL CENTER</t>
  </si>
  <si>
    <t>Ambulatory Surgical Clinic: General Surgery, Colorectal, Ortho, Optha, Thoracic, Otorhino, Pedia, Plastic, Repro, Uro; Computed Tomography; Mammography; COVID-19 (SARS-CoV-2) Testing Laboratory (RT-PCR)</t>
  </si>
  <si>
    <t>1 (Type II-ALS, Plate No. NHF 6155)</t>
  </si>
  <si>
    <t>Dr. Brial Michael Cabral</t>
  </si>
  <si>
    <t>makatilife.compliance@gmail.com</t>
  </si>
  <si>
    <t>13-0017-26-H2-2</t>
  </si>
  <si>
    <t>#2 Amorsolo St., Legaspi Village, Makati City</t>
  </si>
  <si>
    <t>MAKATI MEDICAL CENTER</t>
  </si>
  <si>
    <t>Cancer Specialty Center in a general Hospital, Clinical Laboratory (Tertiary), Blood Bank (with additional function to collect, test &amp; process),  HIV Testing Laboratory, Pharmacy (2), Specialized Diagnostic X-ray Services, Radiation Therapy Service Category (Level 4), Dental X-ray Services</t>
  </si>
  <si>
    <t>1 MOA</t>
  </si>
  <si>
    <t>Lifeline 16911 Medical, Inc.</t>
  </si>
  <si>
    <t>Dr. Johnny B. Sinon</t>
  </si>
  <si>
    <t xml:space="preserve">
+632 8888 8999</t>
  </si>
  <si>
    <t>mmc@makatimed.net.ph</t>
  </si>
  <si>
    <t>DOH000637</t>
  </si>
  <si>
    <t>#1838 Dian St., Palanan, Makati City</t>
  </si>
  <si>
    <t>ST. CLARE'S MEDICAL CENTER, INC.</t>
  </si>
  <si>
    <t>Computed Tomography, Mammography</t>
  </si>
  <si>
    <t>1 (Type I-BLS, Plate No. NOX552) and 1 (Argonix Medical Corporation)</t>
  </si>
  <si>
    <t>Dr. Alodia L. Del Rosario (President)/Dr. Araceli P. Jo (Med. Director)</t>
  </si>
  <si>
    <t>831-6512/0917-6257232</t>
  </si>
  <si>
    <t>SCMC1972@yahoo.com</t>
  </si>
  <si>
    <t>13-0004-26-H2-2</t>
  </si>
  <si>
    <t>DOH000000000050194</t>
  </si>
  <si>
    <t>264 Gov. Pascual St., Brgy. Catmon, Malabon City</t>
  </si>
  <si>
    <t>MALABON HOSPITAL AND MEDICAL CENTER INC.</t>
  </si>
  <si>
    <t>PMRU; Computed Tomography</t>
  </si>
  <si>
    <t>1 (Type II-ALS, Plate No. NEE3927)</t>
  </si>
  <si>
    <t>Dr. Laarnie N. Cale-Subia</t>
  </si>
  <si>
    <t>adminofficer@mhmc.com.ph</t>
  </si>
  <si>
    <t>13-0050-26-H2-2</t>
  </si>
  <si>
    <t>DOH000000000051110</t>
  </si>
  <si>
    <t># 145 Haig Street, Daang Bakal, Mandaluyong City</t>
  </si>
  <si>
    <t>ALLIED CARE EXPERTS (ACE) MEDICAL CENTER – MANDALUYONG INC.</t>
  </si>
  <si>
    <t>Physical Medicine and Rehabilitation Unit; Specialized Diagnostic X-ray Services-Computed Tomograpy; Percutaneous Transluminal Angioplasty;Cardiac Catheterization; Cancer Treatment Unit-Systemic Therapy</t>
  </si>
  <si>
    <t>1 (type II-ALS, Plate No. NIO 1702)</t>
  </si>
  <si>
    <t>Dr. Mario Jacinto A. Rapadas</t>
  </si>
  <si>
    <t>8711-4268</t>
  </si>
  <si>
    <t>acemcmandaluyong@gmail.com</t>
  </si>
  <si>
    <t>13-0001-26-H2-2</t>
  </si>
  <si>
    <t>#163 Edsa, Mandaluyong City</t>
  </si>
  <si>
    <t>VRP MEDICAL CENTER</t>
  </si>
  <si>
    <t>Blood Bank (with additional function to collect, test &amp; process),  HIV Testing Laboratory, Specialized Diagnostic X-ray Servicess</t>
  </si>
  <si>
    <t>1 Type II-ALS, Plate No. NGX5495 and 1 MOA Ambulance Unit</t>
  </si>
  <si>
    <t>Alpha Care Emergency Medical Services, Inc.</t>
  </si>
  <si>
    <t>Dr. Edgardo P. Penserga</t>
  </si>
  <si>
    <t>(02) 8464 9999</t>
  </si>
  <si>
    <t xml:space="preserve">	info@vrp.com.ph</t>
  </si>
  <si>
    <t>DOH000523</t>
  </si>
  <si>
    <t>Cabildo St. Cor. San Jose St., Intramuros, Manila</t>
  </si>
  <si>
    <t>AMOSUP SEAMEN'S HOSPITAL</t>
  </si>
  <si>
    <t>HIV Testing Laboratory, Specialized Diagnostic X-ray Services, Dental X-ray Services</t>
  </si>
  <si>
    <t>1 Ambulance Unit</t>
  </si>
  <si>
    <t>Dr. Gilbert Gonzales</t>
  </si>
  <si>
    <t>(02) 8527 8116</t>
  </si>
  <si>
    <t>shosp_mnl@amosup.org</t>
  </si>
  <si>
    <t>DOH005687</t>
  </si>
  <si>
    <t>Change of name (06/11/2025)</t>
  </si>
  <si>
    <t>#286 Blumentritt St., Sta. Cruz, Manila</t>
  </si>
  <si>
    <t>CHINESE GENERAL HOSPITAL &amp; MEDICAL CENTER</t>
  </si>
  <si>
    <t>Blood Bank with additional function, HIV Testing Laboratory, SPecialized Diagnostic X-ray Services, Radiation Theraphy Services</t>
  </si>
  <si>
    <t>Dr. Samuel Ang</t>
  </si>
  <si>
    <t>(02) 8711 4141</t>
  </si>
  <si>
    <t>info@cghmc.com.ph</t>
  </si>
  <si>
    <t>DOH000446</t>
  </si>
  <si>
    <t>DOH000000000003873</t>
  </si>
  <si>
    <t>1068 Hermosa St., Manuguit, Tondo, Manila</t>
  </si>
  <si>
    <t>CURE AND CARE MATERNITY HOSPITAL OPC</t>
  </si>
  <si>
    <t>Dr. Maria Carmencita J. Ablaza</t>
  </si>
  <si>
    <t>8252-3335</t>
  </si>
  <si>
    <t>cncmh20@gmail.com</t>
  </si>
  <si>
    <t>13-0063-26-H1-2</t>
  </si>
  <si>
    <t>DOH000000000000469</t>
  </si>
  <si>
    <t>2921 Nagtahan St., Sta. Mesa, Manila</t>
  </si>
  <si>
    <t>DE OCAMPO MEMORIAL MEDICAL CENTER</t>
  </si>
  <si>
    <t>Dr. Ma. Victoria De Ocampo-Lantin</t>
  </si>
  <si>
    <t>02-87151891</t>
  </si>
  <si>
    <t>deocampomemorialmedicalcenter23@yahoo.com</t>
  </si>
  <si>
    <t>13-0048-26-H1-2</t>
  </si>
  <si>
    <t>#1556 Laon Laan Road, Sampaloc, Manila</t>
  </si>
  <si>
    <t>HOSPITAL OF THE INFANT JESUS MEDICAL CENTER</t>
  </si>
  <si>
    <t>Dr. Pura Rodriguez-Caisip</t>
  </si>
  <si>
    <t>(+632) 87312771-76</t>
  </si>
  <si>
    <t>hij_childcare@yahoo.com</t>
  </si>
  <si>
    <t>DOH000572</t>
  </si>
  <si>
    <t>#667 United Nations Ave., Ermita, Manila</t>
  </si>
  <si>
    <t>MANILA DOCTORS HOSPITAL</t>
  </si>
  <si>
    <t>Blood Bank with additional function, HIV Testing Laboratory, Specialized Diagnostic X-ray Services, Radiation Theraphy Services, Dental X-ray Services</t>
  </si>
  <si>
    <t>Dr. Eugenio B. Reyes</t>
  </si>
  <si>
    <t>028-558-0888</t>
  </si>
  <si>
    <t>info@maniladoctors.com.ph</t>
  </si>
  <si>
    <t>DOH003999</t>
  </si>
  <si>
    <t>667 Gastambide St., Sampaloc, Manila</t>
  </si>
  <si>
    <t>MARY CHILES GENERAL HOSPITAL, INC.</t>
  </si>
  <si>
    <t>Dr. Rolando Florendo</t>
  </si>
  <si>
    <t>(632) 735-5341</t>
  </si>
  <si>
    <t>marychilesgeneralhospital@gmail.com</t>
  </si>
  <si>
    <t>DOH000650</t>
  </si>
  <si>
    <t>1221 Juan Nolasco St., Tondo, Manila</t>
  </si>
  <si>
    <t>MARY JOHNSTON HOSPITAL, INC.</t>
  </si>
  <si>
    <t>1 Type II-ALS, Plate No. JOB416</t>
  </si>
  <si>
    <t>Dr. Myrna Velasquez</t>
  </si>
  <si>
    <t>(02) 5318 – 6600 loc. 225</t>
  </si>
  <si>
    <t>maryjohnstonhospital@yahoo.com.ph</t>
  </si>
  <si>
    <t>DOH006037</t>
  </si>
  <si>
    <t>850 United Nations Avenue, Ermita, Manila</t>
  </si>
  <si>
    <t>MEDICAL CENTER MANILA, INC.</t>
  </si>
  <si>
    <t>Blood Bank (with additional function to collect, test &amp; process),  HIV Testing Laboratory, Specialized Diagnostic X-ray Services</t>
  </si>
  <si>
    <t>1 Type II-ALS, Plate No. TQI887</t>
  </si>
  <si>
    <t>Sarah Jane Datay-Lim</t>
  </si>
  <si>
    <t>02-85238131-65</t>
  </si>
  <si>
    <t>customerservice@manilamed.com.ph</t>
  </si>
  <si>
    <t>DOH000655</t>
  </si>
  <si>
    <t>#1357 G. Masangkay St., Sta. Cruz, Manila</t>
  </si>
  <si>
    <t>METROPOLITAN MEDICAL CENTER</t>
  </si>
  <si>
    <t>Blood Bank (with additional function to collect, test &amp; process), HIV Testing Laboratory, Specialized Diagnostic X-ray Services, Radiation Oncology, Dental X-ray Services</t>
  </si>
  <si>
    <t>Dr. Kim Shi Tan</t>
  </si>
  <si>
    <t>8-254-1111</t>
  </si>
  <si>
    <t>customercare@metromedicalcenter.ph</t>
  </si>
  <si>
    <t>DOH003281</t>
  </si>
  <si>
    <t>increase in bed from 295 to 500 (10/22/2025), type 2 ambulance 6/3/2024</t>
  </si>
  <si>
    <t>#46 P. Sanchez St., Sta. Mesa, Manila</t>
  </si>
  <si>
    <t>1 Type II-ALS, Plate No. NBA2117 and 1 MOA Ambulance Unit</t>
  </si>
  <si>
    <t>Transcare Emergency Medical Services, Corp.</t>
  </si>
  <si>
    <t>Dr. Joyce Santos</t>
  </si>
  <si>
    <t>(02) 8716 3901</t>
  </si>
  <si>
    <t>info@ollh.ph</t>
  </si>
  <si>
    <t>DOH012505</t>
  </si>
  <si>
    <t>Clinical Lab. (Medi Linx Lab. Inc.) 8/29/2024</t>
  </si>
  <si>
    <t>DOH000000000000711</t>
  </si>
  <si>
    <t>836 F. Cayco St., Sampaloc, Manila</t>
  </si>
  <si>
    <t>PERPETUAL SUCCOR HOSPITAL &amp; MATERNITY, INC.</t>
  </si>
  <si>
    <t>1 (Ace Cor Medical Services Inc.)</t>
  </si>
  <si>
    <t>Dr. Alberto A. Atilano</t>
  </si>
  <si>
    <t>8731-1631 to 33</t>
  </si>
  <si>
    <t>perpetual.succor@yahoo.com</t>
  </si>
  <si>
    <t>13-0020-26-H1-2</t>
  </si>
  <si>
    <t>DOH000000000002852</t>
  </si>
  <si>
    <t>2732 New Panaderos St., Sta. Ana, Manila</t>
  </si>
  <si>
    <t>TRINITY WOMAN &amp; CHILD CENTER "THE BIRTHPLACE"</t>
  </si>
  <si>
    <t>Dr. Edwin Agustin E. Dimayuga</t>
  </si>
  <si>
    <t>trinitydocuments@yahoo.com</t>
  </si>
  <si>
    <t>13-0062-26-H1-2</t>
  </si>
  <si>
    <t>España Boulevard, Manila</t>
  </si>
  <si>
    <t>UNIVERSITY OF SANTO TOMAS HOSPITAL</t>
  </si>
  <si>
    <t>Blood Bank with additional function, HIV Testing Laboratory, Laboratory for Drinking Water Analysis, Specialized Diagnostic X-ray Services, Radiation Therapy (Level 4)</t>
  </si>
  <si>
    <t>2 Unit</t>
  </si>
  <si>
    <t>Dr. Charito P. Malong - Consolacion</t>
  </si>
  <si>
    <t>(02) 8731 3001</t>
  </si>
  <si>
    <t>usthmedicaldirectorofficial@gmail.com</t>
  </si>
  <si>
    <t>DOH002997</t>
  </si>
  <si>
    <t>DOH000000000007507</t>
  </si>
  <si>
    <t>49 Bayan-bayanan Ave., Marikina Heights, Concepcion, Marikina City</t>
  </si>
  <si>
    <t>GARCIA GENERAL HOSPITAL</t>
  </si>
  <si>
    <t>1 (Salve Regina General Hospital, Inc.)</t>
  </si>
  <si>
    <t>Nestor C. Garcia, MD</t>
  </si>
  <si>
    <t>garciagenhosp@gmail.com</t>
  </si>
  <si>
    <t>13-0031-26-H1-2</t>
  </si>
  <si>
    <t>DOH000000000005205</t>
  </si>
  <si>
    <t>#35 Bayan-Bayanan Avenue, Concepcion Uno, Marikina City</t>
  </si>
  <si>
    <t>MARIKINA ST. VINCENT GENERAL HOSPITAL, INC.</t>
  </si>
  <si>
    <t>Emmanuel M. Bueno, MD</t>
  </si>
  <si>
    <t>msvghinc.licensing@gmail.com</t>
  </si>
  <si>
    <t>13-0066-26-H2-2</t>
  </si>
  <si>
    <t>DOH000000000000648</t>
  </si>
  <si>
    <t>Sumulong Highway cor. Aguinaldo St., Brgy. Santo Niño, Marikina City</t>
  </si>
  <si>
    <t>MARIKINA VALLEY MEDICAL CENTER INC.</t>
  </si>
  <si>
    <t>Computed Tomography, Mammography, Cardiac Catheterization, Digital Subtraction Angiography, Percutaneous Transluminal Angioplasty; Blood Bank (2/11/2026); ASC-Colorectal Ambulatory Service</t>
  </si>
  <si>
    <t>1 (Type II-ALS, Plate No. NGO 8768)</t>
  </si>
  <si>
    <t>Joel G. Julian, MD</t>
  </si>
  <si>
    <t>86822222 loc 700</t>
  </si>
  <si>
    <t>info@mvmc.com.ph</t>
  </si>
  <si>
    <t>13-0089-26-H1-2</t>
  </si>
  <si>
    <t>Clinical Laboratory (Change ownership to Medi Linx Laboratory, Inc.); Reclassification of Blood Bank ++ to Blood Bank, COI 2026 is for Blood Bank only- 2/11/2026</t>
  </si>
  <si>
    <t>DOH000000000005470</t>
  </si>
  <si>
    <t>Katipunan Rd. cor. Pio del Pilar St., Concepcion 2, Marikina City</t>
  </si>
  <si>
    <t>SDS MEDICAL CENTER, INC.</t>
  </si>
  <si>
    <t>1 (ER Med Ambulance Services)</t>
  </si>
  <si>
    <t>Amparo S. Serrano, MD</t>
  </si>
  <si>
    <t>70043739/09569547049</t>
  </si>
  <si>
    <t>sdsmedicalcenter@gmail.com</t>
  </si>
  <si>
    <t>13-0040-26-H1-2</t>
  </si>
  <si>
    <t>DOH000000000013518</t>
  </si>
  <si>
    <t>32 Sta. Ana Ext. Cor Betelnut St., San Roque, Marikina City</t>
  </si>
  <si>
    <t>ST. ANTHONY MEDICAL CENTER OF MARIKINA, INC.</t>
  </si>
  <si>
    <t>1 (Type II-ALS, Plate No. NOX257)</t>
  </si>
  <si>
    <t>Ma. Melissa Monica L. Turao-Agoncillo, MD</t>
  </si>
  <si>
    <t>8682-2000/09084122347</t>
  </si>
  <si>
    <t>samcm@saintanthony.com.ph</t>
  </si>
  <si>
    <t>13-0045-26-H2-2</t>
  </si>
  <si>
    <t>DOH000000000000774</t>
  </si>
  <si>
    <t>444 J.P. Rizal St., Brgy. Sto. Nino, District 1, Marikina City</t>
  </si>
  <si>
    <t>ST. VICTORIA HOSPITAL</t>
  </si>
  <si>
    <t>1(Ace Cor Medical Services, Inc.)</t>
  </si>
  <si>
    <t>Madonna Victoria C. Domingo, MD</t>
  </si>
  <si>
    <t>8942-2022 loc 114/09673827660</t>
  </si>
  <si>
    <t>stvictoriabillingdepartment@gmail.com</t>
  </si>
  <si>
    <t>13-0087-26-H1-2</t>
  </si>
  <si>
    <t>DOH000000000025838</t>
  </si>
  <si>
    <t>3 Toyota Ave. cor. Guerilla St., Sto. Nino, Marikina City</t>
  </si>
  <si>
    <t>VILLON-TANSINSIN HOSPITAL, INC.</t>
  </si>
  <si>
    <t>1 (Type I, Plate No. WJS 885)</t>
  </si>
  <si>
    <t>Edilberto Villon, MD</t>
  </si>
  <si>
    <t>8942-66-69/09777057978</t>
  </si>
  <si>
    <t>vtmaternityhospital1800@gmail.com</t>
  </si>
  <si>
    <t>13-0051-26-H1-2</t>
  </si>
  <si>
    <t>DOH000000000000403</t>
  </si>
  <si>
    <t>Alabang-Zapote Road, Muntinlupa City</t>
  </si>
  <si>
    <t>ALABANG MEDICAL CENTER</t>
  </si>
  <si>
    <t>Lithotripsy, Mammography, Immunology/serology for Tumor Markers and Thyroid Function</t>
  </si>
  <si>
    <t>Gerald T. Alcid, MD</t>
  </si>
  <si>
    <t>8850-2628/8807-8199/09167434076</t>
  </si>
  <si>
    <t>alabangmedicalcenter@gmail.com</t>
  </si>
  <si>
    <t>13-0013-26-H1-2</t>
  </si>
  <si>
    <t>DOH000000000004702</t>
  </si>
  <si>
    <t>#90 ML Quezon Wawa St., Alabang, Muntinlupa</t>
  </si>
  <si>
    <t>ALABANG MEDICAL CLINIC</t>
  </si>
  <si>
    <t>Physical Medicine and Rehabilitation Unit; ASC (Opthalmology and General Surgery ) Computed Tomography; Mammography</t>
  </si>
  <si>
    <t>1 (Type II-ALS, Plate No. NHL4930)</t>
  </si>
  <si>
    <t>Ana Cristina N. Montillano, MD</t>
  </si>
  <si>
    <t>88420680 loc 125 / 09189164756/ 88421723 loc 240</t>
  </si>
  <si>
    <t>fmontillano@yahoo.com</t>
  </si>
  <si>
    <t>13-0076-26-H2-2</t>
  </si>
  <si>
    <t>#2205 Civic Drive, Filinvest Corporate City, Alabang, Muntinlupa City</t>
  </si>
  <si>
    <t>ASIAN HOSPITAL INC.</t>
  </si>
  <si>
    <t>Cancer Specialty Center in a general Hospital, Blood Bank (with additional function to collect, test &amp; process),  HIV Testing Laboratory, Pharmacy (6), Specialized Diagnostic X-ray Services, Radiation Therapy Service Category (Level 4), Dental X-ray Services</t>
  </si>
  <si>
    <t>1 Type II-ALS, Plate No. NEP8293 and 1 MOA Ambulance Unit</t>
  </si>
  <si>
    <t>Dr. Jose M. Acuin</t>
  </si>
  <si>
    <t>8771-9000</t>
  </si>
  <si>
    <t>info@asianhospital.com</t>
  </si>
  <si>
    <t>DOH000410</t>
  </si>
  <si>
    <t>increase in bed from 296 to 325 (01/23/2026)
 Medilinx Laboratory, Inc. Clinical Lab. Teriary (11/20/2024)</t>
  </si>
  <si>
    <t>DOH000000000002245</t>
  </si>
  <si>
    <t>#38 National Road, Putatan, Muntinlupa City</t>
  </si>
  <si>
    <t>MEDICAL CENTER MUNTINLUPA, INC.</t>
  </si>
  <si>
    <t>Anatomic Pathology (cytology, surgical &amp; frozen section), Computed Tomography &amp; Mammography</t>
  </si>
  <si>
    <t>1(Type II-ALS Ambulance, Plate No. NEA5440)</t>
  </si>
  <si>
    <t>Dr. Geanie Cerna-Lopez</t>
  </si>
  <si>
    <t>8861-1687/09178375263</t>
  </si>
  <si>
    <t>mcmincoffice@gmail.com</t>
  </si>
  <si>
    <t>13-0019-26-H2-2</t>
  </si>
  <si>
    <t>DOH000000000000690</t>
  </si>
  <si>
    <t>Coastal Road, Brgy. San Dionisio, Parañaque City</t>
  </si>
  <si>
    <t>FOUNDATION OF OUR LADY OF PEACE MISSION, INC. (OUR LADY OF PEACE HOSPITAL)</t>
  </si>
  <si>
    <t>1 (Lifeline 16911 Medical, Inc.)</t>
  </si>
  <si>
    <t>Rhoderick C. De Leon, MD</t>
  </si>
  <si>
    <t>olph2002@gmail.com</t>
  </si>
  <si>
    <t>13-0032-26-H1-2</t>
  </si>
  <si>
    <t>Additional service: Dialysis Clinic (8 stations - 4/4/2026)</t>
  </si>
  <si>
    <t>DOH000000000000656</t>
  </si>
  <si>
    <t>Dr. A. Santos Ave., Sucat, Parañaque City</t>
  </si>
  <si>
    <t>MEDICAL CENTER PARAÑAQUE, INC.</t>
  </si>
  <si>
    <t>Physical Medicine and Rehabilitation Unit; Computed Tomography; Cardiac Catheterization</t>
  </si>
  <si>
    <t>1 (Type II-ALS, Plate No. NEU4775)</t>
  </si>
  <si>
    <t>Dr. Orlando I. Diomampo</t>
  </si>
  <si>
    <t>5318-9999 loc 812</t>
  </si>
  <si>
    <t>medicaloffice@medicalcenterparanaque.com</t>
  </si>
  <si>
    <t>13-0015-26-H2-2</t>
  </si>
  <si>
    <t>DOH000000000002174</t>
  </si>
  <si>
    <t>Dr. A. Santos Avenue, Sucat Road, 
  Parañaque City</t>
  </si>
  <si>
    <t>OLIVAREZ GENERAL HOSPITAL, INC.</t>
  </si>
  <si>
    <t>ICU &amp; NICU, Computed Tomography, Mammography</t>
  </si>
  <si>
    <t>1 (Type I-BLS, Plate No. AOA 5259)</t>
  </si>
  <si>
    <t>Imelda Olivarez-Orteza, MD</t>
  </si>
  <si>
    <t>88267966/8826-0684/09694147596</t>
  </si>
  <si>
    <t>hrdepartment@olivarezgenhospital.com</t>
  </si>
  <si>
    <t>13-0003-26-H1-2</t>
  </si>
  <si>
    <t>DOH000000000004437</t>
  </si>
  <si>
    <t>Km. 17, West Service Road, Brgy. Marcelo, Parañaque City</t>
  </si>
  <si>
    <t>SOUTH SUPERHIGHWAY MEDICAL CENTER</t>
  </si>
  <si>
    <t>2 (Type I-BLS, Plate Nos. NEX7834, NFY5344)</t>
  </si>
  <si>
    <t>Jose C. Rabe, MD</t>
  </si>
  <si>
    <t>8823-2027/09189042480</t>
  </si>
  <si>
    <t>ssmc.humanresources@gmail.com</t>
  </si>
  <si>
    <t>13-0094-26-H1-2</t>
  </si>
  <si>
    <t>DOH000000000032082</t>
  </si>
  <si>
    <t>Amvel Business Park, Dr. A. Santos Ave., Brgy. San Dionisio, Sucat Road, Parañaque City</t>
  </si>
  <si>
    <t>THE PREMIER MEDICAL CENTER</t>
  </si>
  <si>
    <t>1(Type II-ALS, Plate No. NFV5022)</t>
  </si>
  <si>
    <t>Dr. Carol Pauline T. Funtila-Villaraza</t>
  </si>
  <si>
    <t>8865-2200 loc. 134</t>
  </si>
  <si>
    <t>tpmc.oha@gmail.com</t>
  </si>
  <si>
    <t>13-0026-26-H2-2</t>
  </si>
  <si>
    <t>DOH000000000000698</t>
  </si>
  <si>
    <t>#175 Doña Soledad Ave., Betterliving Subd., Parañaque City</t>
  </si>
  <si>
    <t>UHBI - PARAÑAQUE DOCTORS HOSPITAL, INC.</t>
  </si>
  <si>
    <t>Blood Bank (with add'l function to collect, test and process blood); Computed Tomography; Physical Medicine and Rehabilitation Unit-3/24/2026</t>
  </si>
  <si>
    <t>1 (Type II-ALS, Plate No. ABQ9744)</t>
  </si>
  <si>
    <t>Dr. Frederick G. Tan</t>
  </si>
  <si>
    <t>8776-0645/09175564833</t>
  </si>
  <si>
    <t>pdhdirectorsoffice@gmail.com/malo@pdh.com.ph</t>
  </si>
  <si>
    <t>13-0085-26-H1-2</t>
  </si>
  <si>
    <t>Clinical Laboratory (Change ownership to Medi Linx Laboratory, Inc.)-1/5/2026; Add-on Physical Medicine and Rehabilitation Unit-3/24/2026</t>
  </si>
  <si>
    <t>DOH000000000032017</t>
  </si>
  <si>
    <t>Dr. A. Santos Avenue, Brgy. San Isidro, Sucat Road, Parañaque City</t>
  </si>
  <si>
    <t>UNIHEALTH PARAÑAQUE HOSPITAL AND MEDICAL CENTER, INC.</t>
  </si>
  <si>
    <t>Computed Tomography, Mammography, Bone Densitometry, Dental X-ray Service: Panoramic</t>
  </si>
  <si>
    <t>2 (Type II-ALS, Plate No. NEA8021), Type II - NHM 3479</t>
  </si>
  <si>
    <t>Dr. Marian G. Colasito</t>
  </si>
  <si>
    <t>02 88320641 local 7955 / 0917 586 2370</t>
  </si>
  <si>
    <t>upar.executiveoffice@gmail.com</t>
  </si>
  <si>
    <t>13-0012-26-H2-2</t>
  </si>
  <si>
    <t>#1975 Donada St., Pasay City</t>
  </si>
  <si>
    <t>ADVENTIST MEDICAL CENTER MANILA</t>
  </si>
  <si>
    <t>Blood Bank (with additional function to collect, test &amp; process), HIV Testing Laboratory, Specialized Diagnostic X-ray Services, Dental X-ray Services</t>
  </si>
  <si>
    <t>Dr. Bibly Macaya</t>
  </si>
  <si>
    <t>info@amcmanila.org</t>
  </si>
  <si>
    <t>DOH006034</t>
  </si>
  <si>
    <t>DOH000000000054618</t>
  </si>
  <si>
    <t>808 M. Dela Cruz Street Ext., Barangay 141, Pasay City</t>
  </si>
  <si>
    <t>METRO PASAY HOSPITAL AND MEDICAL CENTER</t>
  </si>
  <si>
    <t>1 (Type II-ALS, Plate No. NJJ2397)</t>
  </si>
  <si>
    <t>Dr. Samuel Vincent Yrasturza</t>
  </si>
  <si>
    <t>0962-044-8372</t>
  </si>
  <si>
    <t>metropasayhr@gmail.com</t>
  </si>
  <si>
    <t>13-0053-26-H2-2</t>
  </si>
  <si>
    <t>Additional service: Dialysis Clinic (5 stations - 3/19/2026)</t>
  </si>
  <si>
    <t>#2772 Roxas Blvd., Pasay City</t>
  </si>
  <si>
    <t>SAN JUAN DE DIOS EDUCATIONAL FOUNDATION, INC.</t>
  </si>
  <si>
    <t>Blood Bank (with additional function to collect, test &amp; process), HIV Testing Laboratory, Laboratory for Drinking Water Analysis, Specialized Diagnostic X-ray Services, Radiation Therapy Service (Level 3), Dental X-ray Services</t>
  </si>
  <si>
    <t>1 Type II-ALS, Plate No. XFX820</t>
  </si>
  <si>
    <t>Dr. Camilo A. Roa Jr</t>
  </si>
  <si>
    <t>admission_office@sjdefi.edu.ph</t>
  </si>
  <si>
    <t>DOH005084</t>
  </si>
  <si>
    <t>rHIVda Confirmatory Laboratory (5/28/2024)</t>
  </si>
  <si>
    <t>DOH000000000003039</t>
  </si>
  <si>
    <t>185 Dr. Sixto Antonio Ave., Rosario, Pasig City</t>
  </si>
  <si>
    <t>ALFONSO SPECIALIST HOSPITAL</t>
  </si>
  <si>
    <t>Dr. Jaime L. Alfonso</t>
  </si>
  <si>
    <t>alfonsospecialist_hospital@yahoo.com</t>
  </si>
  <si>
    <t>13-0041-26-H1-2</t>
  </si>
  <si>
    <t>DOH000000000007986</t>
  </si>
  <si>
    <t>19 Pres. Quezon St., Lifehomes Subdivision, Rosario Pasig City</t>
  </si>
  <si>
    <t>HOLYLIFE HOSPITAL</t>
  </si>
  <si>
    <t>Jesus B. Acantilado, MD</t>
  </si>
  <si>
    <t>7919-0179</t>
  </si>
  <si>
    <t>holylifehospital@yahoo.com.ph</t>
  </si>
  <si>
    <t>13-0022-26-H1-2</t>
  </si>
  <si>
    <t>DOH000000000003626</t>
  </si>
  <si>
    <t>Km. 17, Ortigas Avenue Extension, Rosario, Pasig City</t>
  </si>
  <si>
    <t>MISSION HOSPITAL</t>
  </si>
  <si>
    <t>1 (Type I-BLS, Plate No. NCM3155)</t>
  </si>
  <si>
    <t>Eugenio Tomas A. Alonzo, MD</t>
  </si>
  <si>
    <t>8656-2851</t>
  </si>
  <si>
    <t>mission_hospital98@yahoo.com</t>
  </si>
  <si>
    <t>13-0078-26-H1-2</t>
  </si>
  <si>
    <t>DOH000000000035564</t>
  </si>
  <si>
    <t>254 Amang Rodriguez Avenue, Manggahan, Pasig City</t>
  </si>
  <si>
    <t>PASIG DOCTORS MEDICAL CENTER INC.</t>
  </si>
  <si>
    <t>Computed Tomography; PMRU; rHIVda Confirmatory Laboratory</t>
  </si>
  <si>
    <t>1 (Type II-ALS, CS No. OY5683)</t>
  </si>
  <si>
    <t>Dr. Jerome Joseph Grageda</t>
  </si>
  <si>
    <t>8878-7362 / 09173218914</t>
  </si>
  <si>
    <t>pasigdoctorsmedicalcenter.inc@gmail.com</t>
  </si>
  <si>
    <t>13-0092-26-H1-2</t>
  </si>
  <si>
    <t>DOH000000000054680</t>
  </si>
  <si>
    <t>001 San Agustin St. cor. Caruncho Ave., Brgy. Pinagbuhatan, Pasig City</t>
  </si>
  <si>
    <t>PRIME HOSPITAL AND MEDICAL CENTER-PASIG, INC.</t>
  </si>
  <si>
    <t>1 (Type II-ALS, Plate No. NHV4425)</t>
  </si>
  <si>
    <t>Dr. Raul L. Lapitan</t>
  </si>
  <si>
    <t>0917-856-4964</t>
  </si>
  <si>
    <t>primehospitalpasig@yahoo.com / primehospitalpasig2@gmail.com</t>
  </si>
  <si>
    <t>13-0068-26-H2-2</t>
  </si>
  <si>
    <t>DOH000000000002550</t>
  </si>
  <si>
    <t>Lot A2A Marcos Highway, Dela Paz, Pasig City</t>
  </si>
  <si>
    <t>SALVE REGINA GENERAL HOSPITAL, INC.</t>
  </si>
  <si>
    <t>1 (Type 1-BLS, Plate No. XPR 219)</t>
  </si>
  <si>
    <t>Ronaldo V. Mendoza, MD</t>
  </si>
  <si>
    <t>(02) 86453035</t>
  </si>
  <si>
    <t>salvereginahosp@gmail.com</t>
  </si>
  <si>
    <t>13-0084-26-H1-2</t>
  </si>
  <si>
    <t>DOH000000000024433</t>
  </si>
  <si>
    <t>116 E. Amang Rodriguez Avenue, Santolan, Pasig City</t>
  </si>
  <si>
    <t>ST. CAMILLUS MEDICAL CENTER</t>
  </si>
  <si>
    <t>Computed Tomography; PMRU</t>
  </si>
  <si>
    <t>1 (Type II-ALS, Plate No. NCM2359)</t>
  </si>
  <si>
    <t>Dr. Digna V. Datu</t>
  </si>
  <si>
    <t>8645-3741/09162954954</t>
  </si>
  <si>
    <t>scmc.qa2022@gmail.com</t>
  </si>
  <si>
    <t>13-0047-26-H2-2</t>
  </si>
  <si>
    <t>DOH000000000023753</t>
  </si>
  <si>
    <t>3338 Kaginhawahan Rd., Karangalan Village, Manggahan, Pasig City</t>
  </si>
  <si>
    <t>ST. CHRISTIANA HOSPITAL, INC.</t>
  </si>
  <si>
    <t>Mayflor A. Rodriguez, MD</t>
  </si>
  <si>
    <t>stchristiana_hospital2010@yahoo.com</t>
  </si>
  <si>
    <t>13-0093-26-H1-2</t>
  </si>
  <si>
    <t>The Medical City, Don Eugenio Lopez Sr., Medical Complex, Ortigas Avenue, Brgy. Ugong, Pasig City</t>
  </si>
  <si>
    <t>THE MEDICAL CITY</t>
  </si>
  <si>
    <t>Cancer Specialty Center in a general Hospital, G6PD Confirmatory, Blood Bank (with additional function to collect, test &amp; process),  HIV Testing Laboratory, Specialized Diagnostic X-ray Services, Radiation Oncology, Dental X-ray Services</t>
  </si>
  <si>
    <t>Dr. Kuben Kasala</t>
  </si>
  <si>
    <t>988-1000</t>
  </si>
  <si>
    <t>mail@themedicalcity.com</t>
  </si>
  <si>
    <t>DOH005104</t>
  </si>
  <si>
    <t>Dr. Stuart A. Bennet-President and Group CEO Effective 10/16/2024</t>
  </si>
  <si>
    <t>DOH000000000032083</t>
  </si>
  <si>
    <t>269 C. Raymundo Avenue, Maybunga, Pasig City</t>
  </si>
  <si>
    <t>TRICITY MEDICAL CENTER, INC.</t>
  </si>
  <si>
    <t>Computed tomography, Panoramic/Caphalometric and Peri-apical dental x-rays</t>
  </si>
  <si>
    <t>1 (Type II-ALS, Plate No. ABH6645)</t>
  </si>
  <si>
    <t>Dr. Juan M. Lim</t>
  </si>
  <si>
    <t>8759752/09175152453</t>
  </si>
  <si>
    <t>tricitymedicalcenter2016@gmail.com</t>
  </si>
  <si>
    <t>13-0056-26-H2-2</t>
  </si>
  <si>
    <t>DOH000000000037036</t>
  </si>
  <si>
    <t>Pateros</t>
  </si>
  <si>
    <t>884 P. Herrera St., Aguho, Pateros, Metro Manila</t>
  </si>
  <si>
    <t>ALLIED CARE EXPERTS (ACE) MEDICAL CENTER-PATEROS, INC.</t>
  </si>
  <si>
    <t>Blood Bank (with add’l function to collect, test &amp; process blood); Computed Tomography; Cancer Treatment Unit (1/7/2026), MRI (3/10/2026)</t>
  </si>
  <si>
    <t>1 (Type II-ALS Ambulance, Plate No. NDS 9673)</t>
  </si>
  <si>
    <t>Cecile C. Sta. Ana, MD</t>
  </si>
  <si>
    <t>8706-9398</t>
  </si>
  <si>
    <t>acemcpateros2@gmail.com</t>
  </si>
  <si>
    <t>13-0061-26-H2-2</t>
  </si>
  <si>
    <t>Additional Services: Cancer Treatment Unit in a General Hospital (1/7/2026); MRI (3/10/2026)</t>
  </si>
  <si>
    <t>DOH000000000037012</t>
  </si>
  <si>
    <t>No. 20 Seminary Road, Bahay Toro, Project 8, Quezon City</t>
  </si>
  <si>
    <t>ALLIED CARE EXPERTS (ACE) MEDICAL CENTER-QUEZON CITY, INC.</t>
  </si>
  <si>
    <t>Computed Tomography, Cardiac Catheterization</t>
  </si>
  <si>
    <t>1 (Type II-ALS, CS VL5192; Plate No. NAC4864)</t>
  </si>
  <si>
    <t>Dr. Federico N. Eleazar</t>
  </si>
  <si>
    <t>8283-4003/0933-8650195</t>
  </si>
  <si>
    <t>acemcquezoncity2@gmail.com</t>
  </si>
  <si>
    <t>13-0021-26-H2-2</t>
  </si>
  <si>
    <t>DOH000000000005521</t>
  </si>
  <si>
    <t>#680 Quirino Highway, San Bartolome, Novaliches, Quezon City</t>
  </si>
  <si>
    <t>BERNARDINO GENERAL HOSPITAL I</t>
  </si>
  <si>
    <t>Computed Tomography; Mammography; Blood Bank</t>
  </si>
  <si>
    <t>1 (Type II-ALS, Plate No. NDE3757)</t>
  </si>
  <si>
    <t>Dr. Edgar A. Baltazar</t>
  </si>
  <si>
    <t>8937-9183/09088807202</t>
  </si>
  <si>
    <t>bernardino.hosp@gmail.com</t>
  </si>
  <si>
    <t>13-0037-26-H2-2</t>
  </si>
  <si>
    <t>DOH000000000000430</t>
  </si>
  <si>
    <t>B1 L2 North Olympus Subd., Zabarte Rd., Brgy. Kaligayahan, Novaliches, Quezon City</t>
  </si>
  <si>
    <t>BERNARDINO GENERAL HOSPITAL II</t>
  </si>
  <si>
    <t>1 (Bernardino General Hospital I)</t>
  </si>
  <si>
    <t>Yolanda B. Lim, MD</t>
  </si>
  <si>
    <t>admbgh2@gmail.com</t>
  </si>
  <si>
    <t>13-0011-26-H1-2</t>
  </si>
  <si>
    <t>BALANGA MEDICAL CENTER (BMCC) CORPORATION</t>
  </si>
  <si>
    <t>Quezon Ave. Cor. Sct. Magbanua,</t>
  </si>
  <si>
    <t>CAPITOL MEDICAL CENTER, INC.</t>
  </si>
  <si>
    <t>Blood Bank (with additional function to collect, test &amp; process), HIV Testing Laboratory, Specialized Diagnostic X-ray Services</t>
  </si>
  <si>
    <t>1 Type II-ALS, CS. Z6K483 and 1 MOA Ambulance Unit</t>
  </si>
  <si>
    <t>Aero Med Ambulance Transport, Inc.</t>
  </si>
  <si>
    <t>Dr. Jorge T. Logarta</t>
  </si>
  <si>
    <t>8372-3825</t>
  </si>
  <si>
    <t>info@capitolmed.edu.ph</t>
  </si>
  <si>
    <t>DOH004515</t>
  </si>
  <si>
    <t>DOH000000000023752</t>
  </si>
  <si>
    <t>Lot 3 and 4, Block 3 Neopolitan Business Park, Regalado Highway, Brgy. Greater Lagro, Novaliches, District 2, Quezon City</t>
  </si>
  <si>
    <t>COMMONWEALTH HOSPITAL AND MEDICAL CENTER</t>
  </si>
  <si>
    <t>DR. EUTIQUIO LL. ATANACIO JR. MEMORIAL HOSPITAL</t>
  </si>
  <si>
    <t>PMRU; Computer Tomography, Mammography</t>
  </si>
  <si>
    <t>1(Type II-ALS, Plate No. NEY2106)</t>
  </si>
  <si>
    <t>John Rosello Madrid, MD</t>
  </si>
  <si>
    <t>8930-0000 local 127 &amp; 201</t>
  </si>
  <si>
    <t>chmc.ph@gmail.com</t>
  </si>
  <si>
    <t>13-0042-26-H2-2</t>
  </si>
  <si>
    <t>#201 E. Rodriguez Sr. Blvd., Quezon City</t>
  </si>
  <si>
    <t>DE LOS SANTOS MEDICAL CENTER</t>
  </si>
  <si>
    <t>Blood Bank (with additional function to collect, test &amp; process), HIV Testing Laboratory, Cancer Treatment Unit in a General Hospital, Specialized Diagnostic X-ray Services</t>
  </si>
  <si>
    <t>1 Type II-ALS, Plate No. F3C057</t>
  </si>
  <si>
    <t>Dr. Nilo de los Santos</t>
  </si>
  <si>
    <t>customercare@dlsmc.ph / medicalaffairs@dlsmc.ph / ilmorada@dlsmc.ph</t>
  </si>
  <si>
    <t>DOH003191</t>
  </si>
  <si>
    <t>DOH000000000037100</t>
  </si>
  <si>
    <t>JECSONS' MEDICAL CENTER</t>
  </si>
  <si>
    <t>251 Commonwealth Avenue, Matandang Balara, Quezon City</t>
  </si>
  <si>
    <t>DILIMAN DOCTORS HOSPITAL, INC.</t>
  </si>
  <si>
    <t>9 stations (Hemotek Renal Center, Inc.), Ambulatory Surgical Clinic (Urology, General Surgery, Colorectal and Orthopedic); Computed Tomography; Mammography; Cardiac Catheterization; Lithotripsy; Digital Subtraction Angiography; Tumor Localization and Simulation; Blood Bank (w/ additional function to collect, test and process),</t>
  </si>
  <si>
    <t>1 (Type II-ALS, Plate No. NDC 9171)</t>
  </si>
  <si>
    <t>Dr. Agnes G. Rafinan</t>
  </si>
  <si>
    <t>8883-6900 loc. 2027/09954023055</t>
  </si>
  <si>
    <t>dilimandoctorshospital2011@gmail.com</t>
  </si>
  <si>
    <t>13-0033-26-H2-2</t>
  </si>
  <si>
    <t>DOH000000000000493</t>
  </si>
  <si>
    <t>11 Banawe St., Brgy. Doña Josefa, Quezon City</t>
  </si>
  <si>
    <t>DR. FE DEL MUNDO MEDICAL CENTER</t>
  </si>
  <si>
    <t>Anatomic Pathology (cytology); Computed Tomography &amp; Blood Bank</t>
  </si>
  <si>
    <t>1 (Type II-ALS, Plate No. NAN6163)</t>
  </si>
  <si>
    <t>Dr. Jennie A. Wong</t>
  </si>
  <si>
    <t>engineering@fedelmundo.com.ph</t>
  </si>
  <si>
    <t>13-0002-26-H2-2</t>
  </si>
  <si>
    <t>Increase in the dialysis station from 13 to 16 stations- 1/23/2026</t>
  </si>
  <si>
    <t>DOH000000000000496</t>
  </si>
  <si>
    <t>#7 Kamuning Road, Quezon City</t>
  </si>
  <si>
    <t>DR. JESUS C. DELGADO MEMORIAL HOSPITAL</t>
  </si>
  <si>
    <t>Blood Bank; Mammography</t>
  </si>
  <si>
    <t>1 (Transcare Emergency Medical Services Corp.)</t>
  </si>
  <si>
    <t>Ma. Aurora Abad Ramos, MD</t>
  </si>
  <si>
    <t>dtan@jdmh.ph</t>
  </si>
  <si>
    <t>13-0072-26-H2-2</t>
  </si>
  <si>
    <t>DOH000000000000508</t>
  </si>
  <si>
    <t>46 Bukidnon St., Bago Bantay, Quezon City</t>
  </si>
  <si>
    <t>DR. MONTANO G. RAMOS GENERAL HOSPITAL CORPORATION</t>
  </si>
  <si>
    <t>1 (Argonix Medical Corp.)</t>
  </si>
  <si>
    <t>Dr. Montano G. Ramos</t>
  </si>
  <si>
    <t>montano.ramos@yahoo.com.ph</t>
  </si>
  <si>
    <t>13-0028-26-H1-2</t>
  </si>
  <si>
    <t>RIDON'S ST. JUDE MEDICAL CENTER</t>
  </si>
  <si>
    <t>DOH000000000006711</t>
  </si>
  <si>
    <t>ROSARIO MEDICAL CENTER OF GUAGUA</t>
  </si>
  <si>
    <t>Commonwealth Ave. cor. Tandang Sora Ave., Quezon City</t>
  </si>
  <si>
    <t>F.Y. MANALO MEDICAL FOUNDATION, INC.</t>
  </si>
  <si>
    <t>SAINT PIO'S MEDICAL CENTER</t>
  </si>
  <si>
    <t>Blood Bank (with additional function to collect, test and process blood); Computed Tomography; Mammography; Transportable (Plate No. NZI 814); ASC: General Surgery, Ophthalmology, Orthopedic, Reproductive Health</t>
  </si>
  <si>
    <t>2 (Type II- ALS, Plate no. WVO 254, Type I-BLS, Plate no. NAD2292)</t>
  </si>
  <si>
    <t>Dr. Salvador B. Corpuz</t>
  </si>
  <si>
    <t>8714-6344/096193422431</t>
  </si>
  <si>
    <t>info@negh.com.ph</t>
  </si>
  <si>
    <t>13-0044-26-H2-2</t>
  </si>
  <si>
    <t>DOH000000000000546</t>
  </si>
  <si>
    <t>ST. CATHERINE OF ALEXANDRIA FOUNDATION AND MEDICAL CENTER</t>
  </si>
  <si>
    <t>ST. JOSEPH HOSPITAL OF REMEDIOS, INC.</t>
  </si>
  <si>
    <t>Lot 20 cor. Mercury St., Fairview, Quezon City</t>
  </si>
  <si>
    <t>FAIRVIEW GENERAL HOSPITAL, INC.</t>
  </si>
  <si>
    <t>Hermogenes D. Jarin, MD</t>
  </si>
  <si>
    <t>632-89398764</t>
  </si>
  <si>
    <t xml:space="preserve">TWIN CARE HOSPITAL </t>
  </si>
  <si>
    <t>fghjarin@yahoo.com</t>
  </si>
  <si>
    <t>13-0009-26-H1-2</t>
  </si>
  <si>
    <t>DOH000000000000550</t>
  </si>
  <si>
    <t>531 Commonwealth Avenue, Quezon City</t>
  </si>
  <si>
    <t>GEN. MIGUEL MALVAR MEDICAL RESEARCH 
  FOUNDATION, INC.</t>
  </si>
  <si>
    <t>computed tomography</t>
  </si>
  <si>
    <t>Reinerio A. Prieto, MD</t>
  </si>
  <si>
    <t>gen.malvarhospital@yahoo.com</t>
  </si>
  <si>
    <t>13-0034-26-H1-2</t>
  </si>
  <si>
    <t>Regalado Avenue Cor. Dahlia, West Fairview, Quezon City</t>
  </si>
  <si>
    <t>HEALTHWAY HOSPITAL FAIRVIEW, INC. (formerly FEU-Dr. Nicanor Reyes Medical Found., Inc.)</t>
  </si>
  <si>
    <t>Blood Bank (with additional function to collect, test &amp; process), HIV Testing Laboratory, Pharmacy (2) Specialized Diagnostic X-ray Services, Dental X-ray Services</t>
  </si>
  <si>
    <t>Raymund Andrew G. Ong, MD</t>
  </si>
  <si>
    <t>(02)-3427-0213</t>
  </si>
  <si>
    <t>info@feu-nrmf.ph</t>
  </si>
  <si>
    <t>DOH002407</t>
  </si>
  <si>
    <t>increase in dialysis station (02/19/2026)</t>
  </si>
  <si>
    <t>DOH000000000030973</t>
  </si>
  <si>
    <t>1001 Mindanao Avenue, Brgy. Bahay Toro, Quezon City</t>
  </si>
  <si>
    <t>METRO NORTH MEDICAL CENTER AND HOSPITAL, INC.</t>
  </si>
  <si>
    <t>Blood Bank (with add’l function to collect, test and process blood); Computed Tomography, Cardiac Catheterization (Metro Heart Specialists Group Inc.-MHSGI)</t>
  </si>
  <si>
    <t>1 (Type I-BLS, Plate No. WIC 787)</t>
  </si>
  <si>
    <t>Dr. Michael J. Diaz</t>
  </si>
  <si>
    <t>8426-8000 local 8149/09171341342</t>
  </si>
  <si>
    <t>metronorthmedicalcenter@yahoo.com</t>
  </si>
  <si>
    <t>13-0016-26-H2-2</t>
  </si>
  <si>
    <t>DOH000000000007516</t>
  </si>
  <si>
    <t>793 Quirino Highway, Brgy. Gulod, Novaliches Quezon City</t>
  </si>
  <si>
    <t>NOVALICHES GENERAL HOSPITAL AND MEDICAL CENTER, INC.</t>
  </si>
  <si>
    <t>Dr. Ferdinand E. Tan</t>
  </si>
  <si>
    <t>8426-8888</t>
  </si>
  <si>
    <t>nghi@novagen.com.ph</t>
  </si>
  <si>
    <t>13-0014-26-H2-2</t>
  </si>
  <si>
    <t>DOH000000000029741</t>
  </si>
  <si>
    <t>Lot 2b, Mindanao Avenue, Brgy. Talipapa, Novaliches, Quezon City</t>
  </si>
  <si>
    <t>PACIFIC GLOBAL MEDICAL CENTER, INC.</t>
  </si>
  <si>
    <t>1(Type II-ALS, CS No. F6H360)</t>
  </si>
  <si>
    <t>Dr. Ermelo P. Balcueva</t>
  </si>
  <si>
    <t>82487400/79014941 loc. 2002/09178149697</t>
  </si>
  <si>
    <t>pgmcinc@yahoo.com.ph</t>
  </si>
  <si>
    <t>13-0075-26-H2-2</t>
  </si>
  <si>
    <t>DOH000000000032015</t>
  </si>
  <si>
    <t>1515 Quezon Ave., West Triangle, Quezon City</t>
  </si>
  <si>
    <t>PROVIDENCE HOSPITAL, INC.</t>
  </si>
  <si>
    <t>Blood Bank (with add’l function to collect, test &amp; process blood); Anatomic Pathology (Cytology, Surgical, Frozen &amp; Immunochemistry); Computed Tomography; Mammography; Cardiac Catheterization; Lithotripsy;  Cancer Treatment Unit 1/7/2026 (HFSRB); MRI-3/5/2026</t>
  </si>
  <si>
    <t>1 (Type II-ALS, Plate No. NJC3862)</t>
  </si>
  <si>
    <t>Lysander P. Ragodon, MD</t>
  </si>
  <si>
    <t>8558-6999/09178345032</t>
  </si>
  <si>
    <t>phi.admin@providencehospital.com.ph</t>
  </si>
  <si>
    <t>13-0005-26-H2-2</t>
  </si>
  <si>
    <t>Additional service:  Cancer Treatment Unit 1/7/2026 (HFSRB); MRI-3/5/2026</t>
  </si>
  <si>
    <t>DOH000000000004475</t>
  </si>
  <si>
    <t>Quirino Highway, Brgy. Pasong Putik, Novaliches, Quezon City</t>
  </si>
  <si>
    <t>SAN LORENZO HOSPITAL HEALTH MANAGEMENT CO., INC.</t>
  </si>
  <si>
    <t>Dr. Eduardo S. Noveloso</t>
  </si>
  <si>
    <t>lagro.sanlorenzohospital@gmail.com</t>
  </si>
  <si>
    <t>13-0036-26-H1-2</t>
  </si>
  <si>
    <t>#279 E. Rodriguez Sr. Blvd., Quezon City</t>
  </si>
  <si>
    <t>ST. LUKE’S MEDICAL CENTER</t>
  </si>
  <si>
    <t>Blood Bank (with additional function to collect, test &amp; process), HIV Testing Laboratory, Pharmacy (2), Specialized Diagnostic X-ray Services, Radiation Therapy Service Category (Level 4), Radiation Oncology, Dental X-ray Services</t>
  </si>
  <si>
    <t>Dr. Deborah Ignacia S. Ona, MBA</t>
  </si>
  <si>
    <t>8723-0101</t>
  </si>
  <si>
    <t>customer.qc@stlukes.com.ph</t>
  </si>
  <si>
    <t>DOH003522</t>
  </si>
  <si>
    <t>DOH000000000000797</t>
  </si>
  <si>
    <t>6 N. Ramirez St., Brgy. Don Manuel, Quezon City</t>
  </si>
  <si>
    <t>UNITED DOCTORS MEDICAL CENTER</t>
  </si>
  <si>
    <t>Blood Bank (with add’l function to collect, test &amp; process blood), Computed Tomography, Mammography</t>
  </si>
  <si>
    <t>1(Type II-ALS, Plate No. NBO9855)</t>
  </si>
  <si>
    <t>Chester C. Tan, MD</t>
  </si>
  <si>
    <t>8400-4865/09937649372</t>
  </si>
  <si>
    <t>admin@udmc.com.ph</t>
  </si>
  <si>
    <t>13-0065-26-H2-2</t>
  </si>
  <si>
    <t>Aurora Boulevard, Quezon City</t>
  </si>
  <si>
    <t>UNIVERSITY OF THE EAST RAMON MAGSAYSAY MEMORIAL MEDICAL CENTER, INC.</t>
  </si>
  <si>
    <t>Blood Bank (with additional function to collect, test &amp; process), HIV Testing Laboratory, Specialized Diagnostic X-ray Services,</t>
  </si>
  <si>
    <t>Ambucore</t>
  </si>
  <si>
    <t>Dr. Maribeth T. Delos Santos, MSPH</t>
  </si>
  <si>
    <t>8715-0861</t>
  </si>
  <si>
    <t>admission@uerm.edu.ph</t>
  </si>
  <si>
    <t>DOH005683</t>
  </si>
  <si>
    <t>1 (Ambucore Ambulance Services) 11/28/2024</t>
  </si>
  <si>
    <t>#960 Aurora Blvd., Brgy. Bagong Buhay, Quezon City</t>
  </si>
  <si>
    <t>WORLD CITI MEDICAL CENTER</t>
  </si>
  <si>
    <t>1 (Type II-ALS, Plate No. NBE1330</t>
  </si>
  <si>
    <t>Dr. Margarita Santella-Jara</t>
  </si>
  <si>
    <t>inquiry@worldcitimedicalcenter.com</t>
  </si>
  <si>
    <t>DOH005107</t>
  </si>
  <si>
    <t>10 Wilson St., Greenhills, San Juan City</t>
  </si>
  <si>
    <t>CARDINAL SANTOS MEDICAL CENTER</t>
  </si>
  <si>
    <t>Blood Bank with additional function, HIV Testing Laboratory, Mobile Clinical Laboratory, Specialized Diagnostic X-ray Services, Radiation Oncology</t>
  </si>
  <si>
    <t>Dr. Zenaida Javier-Uy</t>
  </si>
  <si>
    <t>qad@csmc.ph</t>
  </si>
  <si>
    <t>DOH001919</t>
  </si>
  <si>
    <t>1-Type II, Plate No. NHJ9990 (9/23/2024) / Medi Linx (01/15/2025)</t>
  </si>
  <si>
    <t>DOH000000000050189</t>
  </si>
  <si>
    <t>191 M. L. Quezon St., Barangay New Lower Bicutan, Taguig City</t>
  </si>
  <si>
    <t>BICUTAN MEDICAL CENTER INC.</t>
  </si>
  <si>
    <t>1 (Type II-ALS, Plate No. NHR 4327)</t>
  </si>
  <si>
    <t>Dr. Mark Corleto C. Untalan, Jr.</t>
  </si>
  <si>
    <t>09171376627/8538-1280</t>
  </si>
  <si>
    <t>bmcihrdava@gmail.com</t>
  </si>
  <si>
    <t>13-0039-26-H2-2</t>
  </si>
  <si>
    <t>DOH000000000003264</t>
  </si>
  <si>
    <t>37 Gen. Luna St., Brgy. Tuktukan, Taguig City</t>
  </si>
  <si>
    <t>CRUZ-RABE MATERNITY &amp; GENERAL HOSPITAL</t>
  </si>
  <si>
    <t>1 (South Superhighway Medical Center)</t>
  </si>
  <si>
    <t>Erlinda Cruz Rabe, MD</t>
  </si>
  <si>
    <t>86423433/09189042480</t>
  </si>
  <si>
    <t>cruzrabe@gmail.com</t>
  </si>
  <si>
    <t>13-0052-26-H1-2</t>
  </si>
  <si>
    <t>DOH000000000000519</t>
  </si>
  <si>
    <t>313 Gen. Santos Avenue, Lower Bicutan, Taguig City</t>
  </si>
  <si>
    <t>DR. SABILI HEALTH SERVICES CORPORATION</t>
  </si>
  <si>
    <t>1 (Styx Ambulance Service)</t>
  </si>
  <si>
    <t>Jose A. Sabili, MD</t>
  </si>
  <si>
    <t>8837-0917</t>
  </si>
  <si>
    <t>sabilihospital@yahoo.com</t>
  </si>
  <si>
    <t>13-0069-26-H1-2</t>
  </si>
  <si>
    <t>Lot 26, Bagsakan Road, FTI Complex, Special Economic Zone, Western, Bicutan, Taguig City</t>
  </si>
  <si>
    <t>HEALTHWAY CANCER CARE CENTER</t>
  </si>
  <si>
    <t>Specialized Xray Service: Computed Tomography, Mammography, Tumour Locallization, Positron Emission Tomohraphy/COmputed Tomography (PET/CT)  Radiation Theraphy Services (Level 4)</t>
  </si>
  <si>
    <t>1 type II</t>
  </si>
  <si>
    <t>STYX Ambulance Service</t>
  </si>
  <si>
    <t>Dr. Ramy Roxas</t>
  </si>
  <si>
    <t>7777 2273</t>
  </si>
  <si>
    <t>care@healthway.com.ph</t>
  </si>
  <si>
    <t>DOH050094</t>
  </si>
  <si>
    <t>DOH000000000033842</t>
  </si>
  <si>
    <t>Lot 1B - Levi B. Mariano Avenue, Barangay Ususan, Taguig City</t>
  </si>
  <si>
    <t>MEDICAL CENTER OF TAGUIG CITY, INC.</t>
  </si>
  <si>
    <t>PMRU; Blood Bank (with add'l function to collect, test &amp; process blood); Computed Tomography; Mammography</t>
  </si>
  <si>
    <t>1 (Type II-ALS Ambulance, Plate No. NGD7490)</t>
  </si>
  <si>
    <t>Mark Corleto N. Untalan, Jr., MD</t>
  </si>
  <si>
    <t>09176384367/88886264</t>
  </si>
  <si>
    <t>mctaguig@gmail.com</t>
  </si>
  <si>
    <t>13-0055-26-H2-2</t>
  </si>
  <si>
    <t>DOH000000000034334</t>
  </si>
  <si>
    <t>68 Sampaloc Extension, North Signal Village, Taguig City</t>
  </si>
  <si>
    <t>RECUENCO GENERAL HOSPITAL, INC.</t>
  </si>
  <si>
    <t>1 (Medixtogo Ambulance Service)</t>
  </si>
  <si>
    <t>Dr. Evelyn F. Recuenco, FPPS, MMHA</t>
  </si>
  <si>
    <t>recuencogeneralhospitalinc@gmail.com, recuencomedical@gmail.com</t>
  </si>
  <si>
    <t>13-0054-26-H1-2</t>
  </si>
  <si>
    <t>Rizal Drive Corner 32Nd Street And 5Th Avenue, Bonifacio Global City, Taguig</t>
  </si>
  <si>
    <t>ST. LUKE’S MEDICAL CENTER – GLOBAL CITY</t>
  </si>
  <si>
    <t>Anatomic Pathology, Blood Bank (with additional function to collect, test &amp; process),  Laboratory for Drinking Water Analysis, Pharmacy (2), Specialized Diagnostic X-ray Services, Radiation Therapy Service Category (Level 4), Radiation Oncology, Dental X-ray Services</t>
  </si>
  <si>
    <t>Dr. Anthony R. Perez, MHA</t>
  </si>
  <si>
    <t>8789-7700</t>
  </si>
  <si>
    <t>customer.bgc@stlukes.com.ph</t>
  </si>
  <si>
    <t>DOH007987</t>
  </si>
  <si>
    <t>add'l services: Cancer Specialty Center in a Gen. Hospital (02/12/2025)</t>
  </si>
  <si>
    <t>DOH000000000032019</t>
  </si>
  <si>
    <t>548 Mc Arthur Highway Malanday Valenzuela City</t>
  </si>
  <si>
    <t>ALLIED CARE EXPERTS (ACE) MEDICAL CENTER VALENZUELA, INC.</t>
  </si>
  <si>
    <t>PMRU, Anatomic Pathology: cytology and surgical pathology, rHIVda Confirmatory Laboratory, Blood Bank (with add’l function to collect, test &amp; process blood), Computed Tomography, Mammography, Bone Densitometry; ASC(General Surgery, Otorhinolaryngologic Surgery, Pediatric Surgery, Plastic and Reconstructive Surgery, Reproductive Health Surgery, Thoracic Surgery, Urologic Surgery, Cancer Treatment Unit in a General Hospital-Systemic Therapy</t>
  </si>
  <si>
    <t>1 (Type II-ALS, Plate No. ADA 2007)</t>
  </si>
  <si>
    <t>Dr. Diosdado M. Bartolo, Jr.</t>
  </si>
  <si>
    <t>8366-0000/09178294482</t>
  </si>
  <si>
    <t>acemc_valenzuela@yahoo.com</t>
  </si>
  <si>
    <t>13-0006-26-H2-2</t>
  </si>
  <si>
    <t>Increase in the dialysis station from 38 to 52 stations- 3/17/2026</t>
  </si>
  <si>
    <t>120 Mcarthur Highway, Marulas, Valenzuela City</t>
  </si>
  <si>
    <t>FATIMA UNIVERSITY MEDICAL CENTER</t>
  </si>
  <si>
    <t>1 Type II-ALS, Plate No. ASA4596</t>
  </si>
  <si>
    <t>Dr. Jose Ravelo Bartolome, MBAH FPCS, FPSGS, FRCSEd, FACS</t>
  </si>
  <si>
    <t>fumcwebemail@gmail.com</t>
  </si>
  <si>
    <t>DOH006013</t>
  </si>
  <si>
    <t>DOH000000000032020</t>
  </si>
  <si>
    <t>Km. 14 McArthur Highway, Malinta, Valenzuela City</t>
  </si>
  <si>
    <t>VALENZUELA CITICARE MEDICAL CENTER - TIMOG HILAGA PROVIDENCE GROUP, INC.</t>
  </si>
  <si>
    <t>1 (Type II-ALS Ambulance, Plate No. AAQ4205)</t>
  </si>
  <si>
    <t>Dr. Catherine C. Lucas</t>
  </si>
  <si>
    <t>aalba@citicare.com.ph</t>
  </si>
  <si>
    <t>13-0049-26-H2-2</t>
  </si>
  <si>
    <t>C.V.Ramos Avenue, Taculing, Bacolod City, Negros Occidental</t>
  </si>
  <si>
    <t>ADVENTIST MEDICAL CENTER-BACOLOD, INC.</t>
  </si>
  <si>
    <t>1, Type 2, Plate No. AKA1677</t>
  </si>
  <si>
    <t>Dr. Sherwin Lowe Rodrigo</t>
  </si>
  <si>
    <t>(034) 488 7777</t>
  </si>
  <si>
    <t>mjavelosa@adventisthealth-bcd.com</t>
  </si>
  <si>
    <t>DOH000414</t>
  </si>
  <si>
    <t>Eroreco LN Drive, Brgy. Mandalagan, Bacolod City, Negros Occidental</t>
  </si>
  <si>
    <t>BACOLOD QUEEN OF MERCY HOSPITAL</t>
  </si>
  <si>
    <t>Dialysis Clinic (25 Stations), Specialized Diagnostic X-Ray Service: Computed Tomography</t>
  </si>
  <si>
    <t>1, Type II, C.S. IOB 428</t>
  </si>
  <si>
    <t>DR. GERONIMO CEQUIÑA, Jr.</t>
  </si>
  <si>
    <t>bqmhospital2018@gmail.com</t>
  </si>
  <si>
    <t>18-0009-26-H2-2</t>
  </si>
  <si>
    <t>B. Aquino Drive., Brgy. 5, Bacolod City, Negros Occidental</t>
  </si>
  <si>
    <t>DR. PABLO O. TORRE MEMORIAL HOSPITAL</t>
  </si>
  <si>
    <t>Blood Bank (with additional function to collect, test &amp; process),  HIV Testing Laboratory, G6PD Confirmatory, Pharmacy (6), Cancer Treatment Unit,  Specialized Diagnostic X-ray Servicess, Radiation Therapy Services (Level 4)</t>
  </si>
  <si>
    <t>1, Type 2, Plate No. AVA8573, FAU3063</t>
  </si>
  <si>
    <t>Dr. Walthauser H. Viaje</t>
  </si>
  <si>
    <t>(034) 432-7624</t>
  </si>
  <si>
    <t>totalqualitydivision@rivermedcenter.net</t>
  </si>
  <si>
    <t>DOH000512</t>
  </si>
  <si>
    <t>Burgos Extension, Camingawan, Brgy. Estefania, Bacolod City, Negros Occidental</t>
  </si>
  <si>
    <t>METRO BACOLOD HOSPITAL AND MEDICAL CENTER</t>
  </si>
  <si>
    <t>Dialysis Clinic (19 Stations), HIV Testing Laboratory,PhysicaI Medicine and Rehabilitation Unit, Specialized Diagnonic X-Ray Services: Computed Tomography and Digital Subtraction Angiography</t>
  </si>
  <si>
    <t>1, Type II, Plate No. FAM 3130</t>
  </si>
  <si>
    <t>DR. WALTHAUSER G. VIAJE</t>
  </si>
  <si>
    <t>034-488-7288</t>
  </si>
  <si>
    <t>metrobacolodhospitalmedcenter@gmail.com</t>
  </si>
  <si>
    <t>18-0006-26-H2-2</t>
  </si>
  <si>
    <t>Araneta Highway, Pahanocoy, Bacolod City, Negros Occidental</t>
  </si>
  <si>
    <t>SOUTH BACOLOD GENERAL HOSPITAL AND MEDICAL CENTER, INC.</t>
  </si>
  <si>
    <t>Diagnostic Xray Services (Level 3), Dialysis Clinic (22 Stations), HIV Testing Laboratory, Specialized Diagnostic X-Ray Services: Computed Tomography</t>
  </si>
  <si>
    <t>1, Type II, Plate No. GAU 4871</t>
  </si>
  <si>
    <t>DR. RODOL P. NONATO</t>
  </si>
  <si>
    <t>034-704-2911</t>
  </si>
  <si>
    <t>sbgh@sbghmci.com</t>
  </si>
  <si>
    <t>18-0005-26-H2-2</t>
  </si>
  <si>
    <t>B.S. Aquino Drive, Brgy. Villamonte, Bacolod City, Negros Occidental</t>
  </si>
  <si>
    <t>THE DOCTORS' HOSPITAL, INC.</t>
  </si>
  <si>
    <t>Blood Bank (with additional function to collect, test &amp; process),  HIV Testing Laboratory, Pharmacy (2), Specialized Diagnostic X-ray Servicess</t>
  </si>
  <si>
    <t>1, Type 2, Plate No. FAC1930</t>
  </si>
  <si>
    <t>Dr. Rafael L. Jocson</t>
  </si>
  <si>
    <t>(034) 468-2100</t>
  </si>
  <si>
    <t>licensing@thedoctorshospital.com</t>
  </si>
  <si>
    <t>DOH006595</t>
  </si>
  <si>
    <t>Hinigaran</t>
  </si>
  <si>
    <t>Corner M.H. del Pilar and Luna Streets, Brgy. III (Poblacion), Hinigaran, Negros Occidental</t>
  </si>
  <si>
    <t>HINIGARAN DOCTORS HOSPITAL INC.</t>
  </si>
  <si>
    <t>Diagnostic X-ray Services (Level 2), Dialysis Clinic (10 stations)</t>
  </si>
  <si>
    <t>MOA - South Bacolod General Hospital and Medical Center Inc.</t>
  </si>
  <si>
    <t>Dr. Benjamin S. Souribio</t>
  </si>
  <si>
    <t>hinigaranhdhi@gmail.com</t>
  </si>
  <si>
    <t>18-0009-26-H1-2</t>
  </si>
  <si>
    <t>CITY / MUNICIPALITY</t>
  </si>
  <si>
    <t>Sen. Espiridion Guanco, Northdrive Avenue, Acacia St. Brgy. Gargato, Hinigaran, Negros Occidental</t>
  </si>
  <si>
    <t>HOLY MOTHER OF MERCY HOSPITAL - HINIGARAN</t>
  </si>
  <si>
    <t>Diagnostic Xray Services (Level 2)</t>
  </si>
  <si>
    <t>DR. JEREMIAS MANUEL K. MOSCARDON, JR.</t>
  </si>
  <si>
    <t>hmomh.hinigaran@gmail.com</t>
  </si>
  <si>
    <t>18-0008-26-H2-2</t>
  </si>
  <si>
    <t>Highway Mabinay, Don Emilio Village, Barangay 9, Kabankalan City, Negros Occidental</t>
  </si>
  <si>
    <t>HOLY MOTHER OF MERCY HOSPITAL</t>
  </si>
  <si>
    <t>Clinical Lab</t>
  </si>
  <si>
    <t>Infirmary</t>
  </si>
  <si>
    <t>Clinical Lab - Hospital</t>
  </si>
  <si>
    <t>Cancer Treatment Facility - Hospital</t>
  </si>
  <si>
    <t>Status</t>
  </si>
  <si>
    <t>Dental Lab</t>
  </si>
  <si>
    <t>Psychiatrict Care</t>
  </si>
  <si>
    <t>LDWA</t>
  </si>
  <si>
    <t>Dialysis Clinic (20 Stations), Diagnostic X-ray Services Level 3), Hlv Testing Laboratory, Specialized Diagnostic X-Ray Service: Computed Tomography</t>
  </si>
  <si>
    <t>1, Type II, Plate No. NAT 7727</t>
  </si>
  <si>
    <t>DR. ANTONIO TAN</t>
  </si>
  <si>
    <t>034-471-8881</t>
  </si>
  <si>
    <t>AD-ONS SERVICES</t>
  </si>
  <si>
    <t>hmomhkab@gmail.com</t>
  </si>
  <si>
    <t>BSF</t>
  </si>
  <si>
    <t>Service Capability</t>
  </si>
  <si>
    <t>18-0004-26-H2-2</t>
  </si>
  <si>
    <t>New</t>
  </si>
  <si>
    <t>Manapla</t>
  </si>
  <si>
    <t>FIXED</t>
  </si>
  <si>
    <t>Provincial Road &amp; National Highway, Brgy.1-A, Manapla, Negros Occidental</t>
  </si>
  <si>
    <t>NORTHLAND HOSPITAL</t>
  </si>
  <si>
    <t>Custodial Psychiatric Care Facility</t>
  </si>
  <si>
    <t>Microbiological</t>
  </si>
  <si>
    <t>Physical Medicine and Rehabilitation Unit. Diagnostic X-ray services (Level 3), Specialized X-Ray services: Computed Tomography (CT) Magnetic Resonance Imaging (MRI)</t>
  </si>
  <si>
    <t>1, Type 1, C.R. No. 226596823</t>
  </si>
  <si>
    <t>DR. ANTHONY A. MARQUEZ</t>
  </si>
  <si>
    <t>ramongustilohospital@gmail.com</t>
  </si>
  <si>
    <t>18-0018-26-H1-2</t>
  </si>
  <si>
    <t>National Highway, Brgy. Poblacion 2, Sagay City, Negros Occidental</t>
  </si>
  <si>
    <t>G6PD Confirmatory</t>
  </si>
  <si>
    <t>LOPEZ DISTRICT FARMERS' HOSPITAL, INC.</t>
  </si>
  <si>
    <t>Hospital-based</t>
  </si>
  <si>
    <t>REMOVABLE</t>
  </si>
  <si>
    <t>Acute Chronic Psychiatric Facility</t>
  </si>
  <si>
    <t>Physico-Chemical</t>
  </si>
  <si>
    <t>Diagnostic X-ray Services (Level 2) Thyroid Functiuon Test, Tumor Markes, HbA1c, Troponin I</t>
  </si>
  <si>
    <t>Abra de Ilog</t>
  </si>
  <si>
    <t>1, Type 1, Plate No. FAA 7515</t>
  </si>
  <si>
    <t>Non-Hospital-based</t>
  </si>
  <si>
    <t>DR. MA. JENNIFER SUBONG</t>
  </si>
  <si>
    <t>lodifhi@gmail.com</t>
  </si>
  <si>
    <t>18-0004-26-H1-2</t>
  </si>
  <si>
    <t>Microbiological and Physico-Chemical</t>
  </si>
  <si>
    <t>Abucay</t>
  </si>
  <si>
    <t>San Carlos</t>
  </si>
  <si>
    <t>C.L. Ledesma Avenue, Brgy. 1, San Carlos City, Negros Occidental</t>
  </si>
  <si>
    <t>SAN CARLOS DOCTORS' HOSPITAL</t>
  </si>
  <si>
    <t>Dialysis Clinic (11 Stations) Clinical Laboratory (Tertiary) Diagnostic X-Ray Services (Level 2), Specialized X-ray servcices: Computed Tomography.</t>
  </si>
  <si>
    <t>1, Type I, Plate No.YJN 217</t>
  </si>
  <si>
    <t>Limited</t>
  </si>
  <si>
    <t>Dr. Wilmer L. Yap</t>
  </si>
  <si>
    <t>034 312-5136</t>
  </si>
  <si>
    <t>scdhi.hr@gmail.com</t>
  </si>
  <si>
    <t>18-0005-26-H1-2</t>
  </si>
  <si>
    <t>Adams</t>
  </si>
  <si>
    <t>Bayawan Citty</t>
  </si>
  <si>
    <t>Physical Medicine and Rehabilitation Unit</t>
  </si>
  <si>
    <t>Integrated Business Center, Brgy Villareal, Bayawan City, Negros Oriental</t>
  </si>
  <si>
    <t>Blood Center</t>
  </si>
  <si>
    <t>Institutional Character</t>
  </si>
  <si>
    <t>ALLIED CARE EXPERTS (ACE) MEDICAL CENTER - BAYAWAN INC.</t>
  </si>
  <si>
    <t>Agdangan</t>
  </si>
  <si>
    <t>Institution-based</t>
  </si>
  <si>
    <t>Aglipay</t>
  </si>
  <si>
    <t>Type 1 (Plate No. GAU 1509</t>
  </si>
  <si>
    <t>Non-Institution based</t>
  </si>
  <si>
    <t>DR. ANGELA C. HIDALGO</t>
  </si>
  <si>
    <t>Agno</t>
  </si>
  <si>
    <t>(035) 523-6594; 0935-182-2251</t>
  </si>
  <si>
    <t>Tertiary Laboratory w/ histopathology</t>
  </si>
  <si>
    <t>acemcbayawan@yahoo.com</t>
  </si>
  <si>
    <t>18-0008-26-H1-2</t>
  </si>
  <si>
    <t>Agoncillo</t>
  </si>
  <si>
    <t>Anatomic Pathology</t>
  </si>
  <si>
    <t>Dumaguete</t>
  </si>
  <si>
    <t>F. Cimafranca Street, Daro, Dumaguete City, Negros Oriental</t>
  </si>
  <si>
    <t>ALLIED CARE EXPERTS (ACE) DUMAGUETE DOCTORS, INC.</t>
  </si>
  <si>
    <t>Dental X-ray Services</t>
  </si>
  <si>
    <t>Function</t>
  </si>
  <si>
    <t>Aguilar</t>
  </si>
  <si>
    <t>Blood Bank, Diagnostic X-Ray(Level 3), DIALYSIS CLINIC (15 Station), PMRU, Specialized Diagnostic X-Ray Services" CT, Bone Densitometry, Digital Subtraction Angiography</t>
  </si>
  <si>
    <t>CP - Clinical Pathology</t>
  </si>
  <si>
    <t>Type 2 (Plate No. GAE 4971</t>
  </si>
  <si>
    <t>Aguinaldo</t>
  </si>
  <si>
    <t>DR. AIDELINE SISON</t>
  </si>
  <si>
    <t>(035) 523-5957; 09985534961, 09069730687</t>
  </si>
  <si>
    <t>AP - Anatomic Pathology</t>
  </si>
  <si>
    <t>acedumaguetedoctors@yahoo.com.ph</t>
  </si>
  <si>
    <t>18-0002-26-H2-2</t>
  </si>
  <si>
    <t>Agutaya</t>
  </si>
  <si>
    <t>Cancer Treatment Facility</t>
  </si>
  <si>
    <t>CP-AP</t>
  </si>
  <si>
    <t>Bishop Epifanio Surban St. Dumaguete City, Negros Oriental</t>
  </si>
  <si>
    <t>HOLY CHILD HOSPITAL</t>
  </si>
  <si>
    <t>Ajuy</t>
  </si>
  <si>
    <t>Laboratory for Drinking Water Analysis</t>
  </si>
  <si>
    <t>CP With Associate AP</t>
  </si>
  <si>
    <t>Akbar</t>
  </si>
  <si>
    <t>HIV Testing Laboratory, DIALYSIS CLINIC (6 Station), Diagnostic X-Ray Services: CT</t>
  </si>
  <si>
    <t>Radiation Therapy Service</t>
  </si>
  <si>
    <t>MP - Molecular Pathology</t>
  </si>
  <si>
    <t>Type 2 (Plate No. FAI 1138)</t>
  </si>
  <si>
    <t>Al-Barka</t>
  </si>
  <si>
    <t>DR. KENNETH T. COO
 Sr. Gina L. Yabo, O. Carm (Administrator)</t>
  </si>
  <si>
    <t>Radiation Oncology Services</t>
  </si>
  <si>
    <t>(035) 421-0991 loc. 200</t>
  </si>
  <si>
    <t>holychildhospital@gmail.com</t>
  </si>
  <si>
    <t>18-0007-26-H2-2</t>
  </si>
  <si>
    <t>Increase ABC from 70 to 100</t>
  </si>
  <si>
    <t>V. Aldecoa Sr. Road, Daro, Dumaguete City, Negros Oriental</t>
  </si>
  <si>
    <t>SUMC FOUNDATION, INC.</t>
  </si>
  <si>
    <t>Blood Bank with Additional Functions, Mobile Clinical Laboratory, G6PD Confirmatory Laboratory, Tertiary Clinical Laboratory with Histopathology, Pharmacy, Specialized Diagnostic X-ray Services (CT Scan), 
Cardiac Catheterization</t>
  </si>
  <si>
    <t>Butuan</t>
  </si>
  <si>
    <t>DR. VEMA T. REYES</t>
  </si>
  <si>
    <t>(035) 420-2000; 225-0841</t>
  </si>
  <si>
    <t>silliman.medical@yahoo.com; sumcfi_99@yahoo.com</t>
  </si>
  <si>
    <t>Psychiatric Care</t>
  </si>
  <si>
    <t>DOH004358</t>
  </si>
  <si>
    <t>Alamada</t>
  </si>
  <si>
    <t>Sibulan</t>
  </si>
  <si>
    <t>North Nat'l Highway, Tubtubon, Sibulan, Negros Oriental</t>
  </si>
  <si>
    <t>NEGROS POLYMEDIC HOSPITAL</t>
  </si>
  <si>
    <t>Alaminos</t>
  </si>
  <si>
    <t>Blood Bank, DIALYSIS CLINIC (10 Stations), Specialized X-Ray Services: CT</t>
  </si>
  <si>
    <t>Type 2 (Plate No. P3 J695)</t>
  </si>
  <si>
    <t>Alangalang</t>
  </si>
  <si>
    <t>DR. KRYPTON G. KO</t>
  </si>
  <si>
    <t>(035) 419-2112, 09189207783, 09173257402</t>
  </si>
  <si>
    <t>sma@negrospolymedic.com</t>
  </si>
  <si>
    <t>Albuera</t>
  </si>
  <si>
    <t>18-0001-26-H2-2</t>
  </si>
  <si>
    <t>Alburquerque</t>
  </si>
  <si>
    <t>Magallanes St., Zone 5</t>
  </si>
  <si>
    <t>Alcala</t>
  </si>
  <si>
    <t>ASSUMPTA FAMILY HOSPITAL</t>
  </si>
  <si>
    <t>Alcantara</t>
  </si>
  <si>
    <t>Clinical Chemistry (Special;HbA1C) &amp; Serology/Immunology (Special: Troponin-I, Pro-BNP)</t>
  </si>
  <si>
    <t>1/Type 1/ Plate No. FMB 815</t>
  </si>
  <si>
    <t>Alcoy</t>
  </si>
  <si>
    <t>Dr. Milagros C. Burgos</t>
  </si>
  <si>
    <t>Alegria</t>
  </si>
  <si>
    <t>assumpta_815@yahoo.com.ph</t>
  </si>
  <si>
    <t>Alfonso Castañeda</t>
  </si>
  <si>
    <t>Aliaga</t>
  </si>
  <si>
    <t>Dinagat Islands</t>
  </si>
  <si>
    <t>Alilem</t>
  </si>
  <si>
    <t>Torrijos St., Zone 5</t>
  </si>
  <si>
    <t>BANGUED CHRISTIAN HOSPITAL</t>
  </si>
  <si>
    <t>Alitagtag</t>
  </si>
  <si>
    <t>Serology / Immunology-Special - iCHOMA (PSA, T3, T4, TSH)
Clinical Chemistry: Special - CK-MB, Trop 1, HbA1c</t>
  </si>
  <si>
    <t>General Trias</t>
  </si>
  <si>
    <t>Allacapan</t>
  </si>
  <si>
    <t>1/Type 1/ Conduction Sticker Z5B075</t>
  </si>
  <si>
    <t>Dr. Dr. Julieta Joy B. Figueras</t>
  </si>
  <si>
    <t>banguedchristianhospital@yahoo.com.ph</t>
  </si>
  <si>
    <t>Almagro</t>
  </si>
  <si>
    <t>14-0002-26-H1-2</t>
  </si>
  <si>
    <t>Almeria</t>
  </si>
  <si>
    <t>Peñarrubia St., Zone</t>
  </si>
  <si>
    <t>DR. PETRONILO V. SEARES SR. MEMORIAL HOSPITAL</t>
  </si>
  <si>
    <t>Aloguinsan</t>
  </si>
  <si>
    <t>Clinical Chemistry (special:HbA1C)
Serology and Immunology (Special: Troponin -1, Pro-BNP)</t>
  </si>
  <si>
    <t>Aloran</t>
  </si>
  <si>
    <t>1/Type 1/ Plate No. NDM 3188</t>
  </si>
  <si>
    <t>Altavas</t>
  </si>
  <si>
    <t>Dr. AC Voltaire L. Seares</t>
  </si>
  <si>
    <t>09353388157/
09677608595</t>
  </si>
  <si>
    <t>petronilo_seares@yahoo.com.ph</t>
  </si>
  <si>
    <t>Alubijid</t>
  </si>
  <si>
    <t>14-0003-26-H1-2</t>
  </si>
  <si>
    <t>Kidapawan</t>
  </si>
  <si>
    <t>Amadeo</t>
  </si>
  <si>
    <t>Military Cut-Off</t>
  </si>
  <si>
    <t>Amai Manabilang</t>
  </si>
  <si>
    <t>BAGUIO MEDICAL CENTER</t>
  </si>
  <si>
    <t>Ambaguio</t>
  </si>
  <si>
    <t>Dialysis Clinic,
Diagnostic X-ray Services (Level 2),
Clinical Laboratory (Secondary)
Immunology/Serology:Special-PSA, CEA, fT4, TSH, Anti-Hbs(iChroma)
Clinical Chemistry: Special-ABG (iStat), HbA1c (Greencare A1c), Other test (EMP-168)</t>
  </si>
  <si>
    <t>Amlan</t>
  </si>
  <si>
    <t>Baguio-Benguet Public Information &amp; Civic Action Group (BBPCAG) Philippines, Inc.</t>
  </si>
  <si>
    <t>Dr. Dionisio Claridad III</t>
  </si>
  <si>
    <t>bmc68claridad@yahoo.com</t>
  </si>
  <si>
    <t>Amulung</t>
  </si>
  <si>
    <t>14-0007-26-H1-1</t>
  </si>
  <si>
    <t>General Luna Rd.</t>
  </si>
  <si>
    <t>NOTRE DAME DE CHARTRES HOSPITAL</t>
  </si>
  <si>
    <t>Anao</t>
  </si>
  <si>
    <t>Anda</t>
  </si>
  <si>
    <t>Hospital Blood Bank, HIV Testing Lab., Dialysis Clinic, Diagnostic X-ray Services (Level 3), Specialized Diagnostic X-ray Services(Computed Tamograghy, Mammography, Cardiac Catheterization, Bone Densitometry, Angioplasty, C-Arm, Dental Panoramic)</t>
  </si>
  <si>
    <t>Angadanan</t>
  </si>
  <si>
    <t>Airbag, Incorporated</t>
  </si>
  <si>
    <t>Dr. Eduardo M. Badua</t>
  </si>
  <si>
    <t>admin@notredamebaguio.com</t>
  </si>
  <si>
    <t>14-0007-26-H2-2</t>
  </si>
  <si>
    <t>Magsaysay Avenue</t>
  </si>
  <si>
    <t>PINES CITY DOCTORS HOSPITAL</t>
  </si>
  <si>
    <t>Anilao</t>
  </si>
  <si>
    <t>Blood Baknk, HIV Testing Laboratory, Dialysis Clinic, Rehabilitation Services, Eye Center, Specialized Diagnostic X-ray Services (Computed Tamography)</t>
  </si>
  <si>
    <t>1/Type 2/ CAK 1254</t>
  </si>
  <si>
    <t>Anini-y</t>
  </si>
  <si>
    <t>Dr. George J. Pangwi</t>
  </si>
  <si>
    <t>pcdh_mail@yahoo.com</t>
  </si>
  <si>
    <t>14-0006-26-H2-2</t>
  </si>
  <si>
    <t>Antequera</t>
  </si>
  <si>
    <t>Naga</t>
  </si>
  <si>
    <t>Assumption Rd.</t>
  </si>
  <si>
    <t>SAINT LOUIS UNIVERSITY - SACRED HEART MEDICAL CENTER</t>
  </si>
  <si>
    <t>Blood Bank(with addt'l Function to collect, test and process blood), HIV Testing Laboratory, Specialized Diagnostic X-ray Services ( Computed Tomography, Mammography,Lithothripsy(BSC), Mammotome(BSC)), Dental, Nuclear Medicine Laboratory, PT and Rehab Center, Dialysis station</t>
  </si>
  <si>
    <t>Dr. Paul Adlai B. Quitiquit</t>
  </si>
  <si>
    <t>442-5624</t>
  </si>
  <si>
    <t>hosp.adminassistant@slu.edu.ph</t>
  </si>
  <si>
    <t>DOH006689</t>
  </si>
  <si>
    <t>Araceli</t>
  </si>
  <si>
    <t>Arakan</t>
  </si>
  <si>
    <t>LUTHERAN HOSPITAL, INC.</t>
  </si>
  <si>
    <t>HIV Testing Laboratory, Serology/Immunology (Special), Clinical Chemistry (Special)</t>
  </si>
  <si>
    <t>1/Type 1/ WHK357</t>
  </si>
  <si>
    <t>Argao</t>
  </si>
  <si>
    <t>Dr. Miriam B. Lasegan</t>
  </si>
  <si>
    <t>lutheranhospitalhroffice@gmail.com</t>
  </si>
  <si>
    <t>14-0010-26-H1-2</t>
  </si>
  <si>
    <t>Aringay</t>
  </si>
  <si>
    <t>Aritao</t>
  </si>
  <si>
    <t>Puguis</t>
  </si>
  <si>
    <t>CORDILLERA HOSPITAL OF THE DIVINE GRACE</t>
  </si>
  <si>
    <t>Aroroy</t>
  </si>
  <si>
    <t>w/ Anatomic Pathology (cytology &amp; surgical), Blood Bank (w/ add'l function to collect, test, &amp; process blood), &amp; Computed Tomography, Magnetic Resonance Imaging; Cancer Treatment Unit (Systemic Therapy)</t>
  </si>
  <si>
    <t>1/TypeII/YAA 8157</t>
  </si>
  <si>
    <t>Arteche</t>
  </si>
  <si>
    <t>Dr. Edgar Biteng</t>
  </si>
  <si>
    <t>info@cordillerahospital.com</t>
  </si>
  <si>
    <t>14-0001-26-H2-2</t>
  </si>
  <si>
    <t>Proseperidad</t>
  </si>
  <si>
    <t>Asipulo</t>
  </si>
  <si>
    <t>Purok 4, Silao Street, Bulanao</t>
  </si>
  <si>
    <t>ALMORA GENERAL HOSPITAL</t>
  </si>
  <si>
    <t>Asturias</t>
  </si>
  <si>
    <t>Dialysis Clinic, Diagnostic X-ray Services, Mobile X-ray, Computed Tamography, Dental</t>
  </si>
  <si>
    <t>Asuncion</t>
  </si>
  <si>
    <t>1/Type 1/142400</t>
  </si>
  <si>
    <t>Dr. Jaime A. Almora</t>
  </si>
  <si>
    <t>almorageneralhospital@yahoo.com</t>
  </si>
  <si>
    <t>14-0015-26-H1-2</t>
  </si>
  <si>
    <t>Purok 6, Bulanao,</t>
  </si>
  <si>
    <t>HOLY TRINITY MEDICAL CLINIC</t>
  </si>
  <si>
    <t>Dialysis Clinic, Clinical Chemistry: Special - ABG,  HbA1c (Finecare), Immunology/Serology: Special - PSA, T3, T4, FT3, FT4, TSH (Finecare) ), Clinial Laboratory (secondary)</t>
  </si>
  <si>
    <t>Ayungon</t>
  </si>
  <si>
    <t>1/Type1/ NAE 1957</t>
  </si>
  <si>
    <t>Baao</t>
  </si>
  <si>
    <t>Dr. George C. Taclobao</t>
  </si>
  <si>
    <t>htmcbulanao@yahoo.com</t>
  </si>
  <si>
    <t>14-0017-26-H1-2</t>
  </si>
  <si>
    <t>Babatngon</t>
  </si>
  <si>
    <t>Bacacay</t>
  </si>
  <si>
    <t>SAN JUAN GENERAL HOSPITAL</t>
  </si>
  <si>
    <t>Baclayon</t>
  </si>
  <si>
    <t>HIV Testing Laboratory, Immunology/Serology: Special - AFP, CEA, PSA, T3, T4, FT3, FT4, TSH, Anti-HBs, Anti-HCV  Troponin I, CK-MB  &amp; Clinical Chemistry (Special) - HbA1c, Total Protein, Albumin, Calcium, Phosphorus, b-hCG  Amylase, Lipase, Bilirubin, ALP, LDH, Ferritin, Magnesium</t>
  </si>
  <si>
    <t>1/Type 1/ UQU 363</t>
  </si>
  <si>
    <t>Dr. John V. Akia</t>
  </si>
  <si>
    <t>074-627-7136</t>
  </si>
  <si>
    <t>sjgh2019@yahoo.com</t>
  </si>
  <si>
    <t>14-0001-26-H1-2</t>
  </si>
  <si>
    <t>Dagupan Centro</t>
  </si>
  <si>
    <t>ST. PETER CLAVER HOSPITAL</t>
  </si>
  <si>
    <t>Bacolod-Kalawi</t>
  </si>
  <si>
    <t>Clinical Laboratory (Secondary), Immunology/Serology:Special - PSA (Finecare)
Clinical Chemistry: Special - HbA1c (Finecare)</t>
  </si>
  <si>
    <t>1/Type1/BAA 4909</t>
  </si>
  <si>
    <t>Bacolor</t>
  </si>
  <si>
    <t>Ms. Jane A. Claver</t>
  </si>
  <si>
    <t>stpetertabuk@gmail.com</t>
  </si>
  <si>
    <t>Bacong</t>
  </si>
  <si>
    <t>14-0009-26-H1-2</t>
  </si>
  <si>
    <t>Sagada</t>
  </si>
  <si>
    <t>Staunton Rd., Poblacion</t>
  </si>
  <si>
    <t>THE ST. THEODORE OF TARSUS HOSPITAL FOUNDATION, INC.</t>
  </si>
  <si>
    <t>Bacuag</t>
  </si>
  <si>
    <t>Badian</t>
  </si>
  <si>
    <t>Clinical Laboratory (Secondary),
Serology/Immunology: fT4, T4, TSH (iChroma III)</t>
  </si>
  <si>
    <t>1/ Type 1/ Plate No. YAA 9400</t>
  </si>
  <si>
    <t>Badiangan</t>
  </si>
  <si>
    <t>Dr. Vinah Lyn P. Bugnay</t>
  </si>
  <si>
    <t>sth_tarsus@yahoo.com</t>
  </si>
  <si>
    <t>Badoc</t>
  </si>
  <si>
    <t>14-0019-26-H1-2</t>
  </si>
  <si>
    <t>Bagabag</t>
  </si>
  <si>
    <t>Marantao</t>
  </si>
  <si>
    <t>Lake Lanao Circum Road, Brgy. Daana Ingud</t>
  </si>
  <si>
    <t>HIJRAH HOSPITAL</t>
  </si>
  <si>
    <t>Bagac</t>
  </si>
  <si>
    <t>Bagamanoc</t>
  </si>
  <si>
    <t>1, Type 1, KAU 4703</t>
  </si>
  <si>
    <t>Baganga</t>
  </si>
  <si>
    <t>Baggao</t>
  </si>
  <si>
    <t>BASHARY LATIPH, MD</t>
  </si>
  <si>
    <t>0917-718-5432</t>
  </si>
  <si>
    <t>hijrahhospital@gmail.com</t>
  </si>
  <si>
    <t>Bagulin</t>
  </si>
  <si>
    <t>15-0168-26-H1-2</t>
  </si>
  <si>
    <t>Bagumbayan</t>
  </si>
  <si>
    <t>Biaba Damag</t>
  </si>
  <si>
    <t>AL-SHIEK HOSPITAL II</t>
  </si>
  <si>
    <t>1, Type 1, Plate No. SJS 387</t>
  </si>
  <si>
    <t>JAMELA USMA-PASAGI, MD</t>
  </si>
  <si>
    <t>0917-701-0022 
 0910-648-7777</t>
  </si>
  <si>
    <t>alshiekhospital@yahoo.com</t>
  </si>
  <si>
    <t>15-0144-26-H1-2</t>
  </si>
  <si>
    <t>Bakun</t>
  </si>
  <si>
    <t>Marawi Poblacion</t>
  </si>
  <si>
    <t>DR. ABDULLAH HOSPITAL FOUNDATION INC.</t>
  </si>
  <si>
    <t>Balabac</t>
  </si>
  <si>
    <t>Pharmacy, Diagnostic x-ray services, Dialysis Clinic</t>
  </si>
  <si>
    <t>1, Type 1, Plate No. KAD 7916</t>
  </si>
  <si>
    <t>Balabagan</t>
  </si>
  <si>
    <t>NAJIB-ALI M. ABDULLAH, MD, MBA-HA</t>
  </si>
  <si>
    <t>0917-717-0501
0917-585-8021</t>
  </si>
  <si>
    <t>dr.abdullahhospital@gmail.com</t>
  </si>
  <si>
    <t>15-0133-26-H1-2</t>
  </si>
  <si>
    <t>Panggao Saduc</t>
  </si>
  <si>
    <t>MINDALANO SPECIALIST HOSPITAL FOUNDATION INC.</t>
  </si>
  <si>
    <t>Balangiga</t>
  </si>
  <si>
    <t>1, Type 1, CS No. GA 4688</t>
  </si>
  <si>
    <t>Balangkayan</t>
  </si>
  <si>
    <t>DR. TAHIR MINDALANO</t>
  </si>
  <si>
    <t>0908-758-4496</t>
  </si>
  <si>
    <t>tahir_mindalanomd@yahoo.com.ph</t>
  </si>
  <si>
    <t>15-0146-26-H1-2</t>
  </si>
  <si>
    <t>Brgy. Papandayan</t>
  </si>
  <si>
    <t>SALAAM HOSPITAL FOUNDATION INC.</t>
  </si>
  <si>
    <t>Balatan</t>
  </si>
  <si>
    <t>1, Type 1, Plate No. KAC 1875, CS No. F1 A035</t>
  </si>
  <si>
    <t>Balbalan</t>
  </si>
  <si>
    <t>BEDORIA M. MACABALANG, MD, DPBA, FPBA, MBA-HA</t>
  </si>
  <si>
    <t>0917-718-0675</t>
  </si>
  <si>
    <t>salaamhospital08@gmail.com</t>
  </si>
  <si>
    <t>Baleno</t>
  </si>
  <si>
    <t>15-0047-26-H1-2</t>
  </si>
  <si>
    <t>TAMPARAN MEDICAL FOUNDATION INC. HOSPITAL</t>
  </si>
  <si>
    <t>Balete</t>
  </si>
  <si>
    <t>Baliangao</t>
  </si>
  <si>
    <t>1, Type 1, 
Plate No. F1AO28</t>
  </si>
  <si>
    <t>Baliguian</t>
  </si>
  <si>
    <t>MIRIAM G. GURO, MD, MHA</t>
  </si>
  <si>
    <t>0956-708-9456</t>
  </si>
  <si>
    <t>Balilihan</t>
  </si>
  <si>
    <t>tamparanmedical@gmail.com</t>
  </si>
  <si>
    <t>15-0091-26-H1-2</t>
  </si>
  <si>
    <t>Rosary Heights</t>
  </si>
  <si>
    <t>BANGSAMORO DOCTORS HOSPITAL</t>
  </si>
  <si>
    <t>Balingoan</t>
  </si>
  <si>
    <t>1, Type 1, Plate No. ABC 5209</t>
  </si>
  <si>
    <t>MERIAM P. KANAKAN, MD</t>
  </si>
  <si>
    <t>0926-138-5031</t>
  </si>
  <si>
    <t>bmdoctorshospital@gmail.com</t>
  </si>
  <si>
    <t>15-0060-26-H1-2</t>
  </si>
  <si>
    <t>Balo-i</t>
  </si>
  <si>
    <t>From 25 ABC to 16 ABC</t>
  </si>
  <si>
    <t>Balud</t>
  </si>
  <si>
    <t>Poblacion 6</t>
  </si>
  <si>
    <t>COTABATO PUERICULTURE CENTER AND GENERAL HOSPITAL FOUNDATION INC.</t>
  </si>
  <si>
    <t>Balungao</t>
  </si>
  <si>
    <t>Bamban</t>
  </si>
  <si>
    <t>1, Type 1, 
Plate No. ABC 5269</t>
  </si>
  <si>
    <t>EMILIO S. CAOAGDAN, MD</t>
  </si>
  <si>
    <t>0917-622-0350 
0916-601-5431</t>
  </si>
  <si>
    <t>cotabatopuericulture@yahoo.com</t>
  </si>
  <si>
    <t xml:space="preserve">
15-0124-26-H1-2</t>
  </si>
  <si>
    <t>Banate</t>
  </si>
  <si>
    <t>Banaue</t>
  </si>
  <si>
    <t>Banaybanay</t>
  </si>
  <si>
    <t>Rosary Heights Ii</t>
  </si>
  <si>
    <t>Banayoyo</t>
  </si>
  <si>
    <t>UNITED DOCTORS HOSPITAL OF COTABATO CITY</t>
  </si>
  <si>
    <t>Bangar</t>
  </si>
  <si>
    <t>1, Type 1, Plate No. MAT 6884, CR No. 40409623</t>
  </si>
  <si>
    <t>RODRIGO L. AGUSTIN, MD, DPCHA</t>
  </si>
  <si>
    <t>0997-882-0326</t>
  </si>
  <si>
    <t>udhcci@gmail.com</t>
  </si>
  <si>
    <t>15-0030-26-H1-2</t>
  </si>
  <si>
    <t>Banguingui</t>
  </si>
  <si>
    <t>Datu Paglas</t>
  </si>
  <si>
    <t>EROS HOSPITAL</t>
  </si>
  <si>
    <t>Bani</t>
  </si>
  <si>
    <t>Banisilan</t>
  </si>
  <si>
    <t>1, Type 1, 
MAN 4927</t>
  </si>
  <si>
    <t>Banna</t>
  </si>
  <si>
    <t>Dr. Vanessa P. Cabaluna, MD</t>
  </si>
  <si>
    <t>0955-374-1652</t>
  </si>
  <si>
    <t>eroshospital2@gmail.com</t>
  </si>
  <si>
    <t>Bansud</t>
  </si>
  <si>
    <t>15-0115-26-H1-2</t>
  </si>
  <si>
    <t>Guindulungan</t>
  </si>
  <si>
    <t>Tambunan</t>
  </si>
  <si>
    <t>GUINDULUNGAN DOCTORS HOSPITAL</t>
  </si>
  <si>
    <t>Banton</t>
  </si>
  <si>
    <t>Baras</t>
  </si>
  <si>
    <t>1, Type 1, Plate No. LAI 9969</t>
  </si>
  <si>
    <t>NICK P. PABIONA, JR., MD, MHCA</t>
  </si>
  <si>
    <t>Barbaza</t>
  </si>
  <si>
    <t>0998-532-1363</t>
  </si>
  <si>
    <t>guindudoc@gmail.com</t>
  </si>
  <si>
    <t>15-0141-26-H1-1</t>
  </si>
  <si>
    <t>Barcelona</t>
  </si>
  <si>
    <t>Shariff Aguak</t>
  </si>
  <si>
    <t>Barili</t>
  </si>
  <si>
    <t>SULAIK CLINIC HOSPITAL</t>
  </si>
  <si>
    <t>Barira</t>
  </si>
  <si>
    <t>Barlig</t>
  </si>
  <si>
    <t>1, Type 1, Plate No. LAG 1003, 
CR No. 36094569-0</t>
  </si>
  <si>
    <t>TAHIR B. SULAIK, MD, MPHM</t>
  </si>
  <si>
    <t>0905-263-4225</t>
  </si>
  <si>
    <t>sulaikclinicandhospital@gmail.com
sulaikhospital2021@gmail.com</t>
  </si>
  <si>
    <t>15-0023-26-H1-2</t>
  </si>
  <si>
    <t>Barugo</t>
  </si>
  <si>
    <t>Basay</t>
  </si>
  <si>
    <t>Basilisa</t>
  </si>
  <si>
    <t>Basista</t>
  </si>
  <si>
    <t>Basud</t>
  </si>
  <si>
    <t>Batad</t>
  </si>
  <si>
    <t>Batan</t>
  </si>
  <si>
    <t>Bato</t>
  </si>
  <si>
    <t>Batuan</t>
  </si>
  <si>
    <t>Bauang</t>
  </si>
  <si>
    <t>Baungon</t>
  </si>
  <si>
    <t>Bautista</t>
  </si>
  <si>
    <t>Bayabas</t>
  </si>
  <si>
    <t>Bayang</t>
  </si>
  <si>
    <t>Bayog</t>
  </si>
  <si>
    <t>Belison</t>
  </si>
  <si>
    <t>Benito Soliven</t>
  </si>
  <si>
    <t>Bien Unido</t>
  </si>
  <si>
    <t>Bilar</t>
  </si>
  <si>
    <t>Binalbagan</t>
  </si>
  <si>
    <t>Binalonan</t>
  </si>
  <si>
    <t>Bingawan</t>
  </si>
  <si>
    <t>Biri</t>
  </si>
  <si>
    <t>Bobon</t>
  </si>
  <si>
    <t>Boliney</t>
  </si>
  <si>
    <t>Boljoon</t>
  </si>
  <si>
    <t>Bombon</t>
  </si>
  <si>
    <t>Bongabong</t>
  </si>
  <si>
    <t>Borbon</t>
  </si>
  <si>
    <t>Boston</t>
  </si>
  <si>
    <t>Botolan</t>
  </si>
  <si>
    <t>Braulio E. Dujali</t>
  </si>
  <si>
    <t>Buadiposo-Buntong</t>
  </si>
  <si>
    <t>Bubong</t>
  </si>
  <si>
    <t>Bucay</t>
  </si>
  <si>
    <t>Bucloc</t>
  </si>
  <si>
    <t>Buenavista</t>
  </si>
  <si>
    <t>Bugallon</t>
  </si>
  <si>
    <t>Bugasong</t>
  </si>
  <si>
    <t>Buguey</t>
  </si>
  <si>
    <t>Buhi</t>
  </si>
  <si>
    <t>Bula</t>
  </si>
  <si>
    <t>Bulalacao</t>
  </si>
  <si>
    <t>Bulan</t>
  </si>
  <si>
    <t>Buldon</t>
  </si>
  <si>
    <t>Bulusan</t>
  </si>
  <si>
    <t>Burdeos</t>
  </si>
  <si>
    <t>Burgos</t>
  </si>
  <si>
    <t>Buruanga</t>
  </si>
  <si>
    <t>Busuanga</t>
  </si>
  <si>
    <t>Butig</t>
  </si>
  <si>
    <t>Buug</t>
  </si>
  <si>
    <t>Cabadbaran City</t>
  </si>
  <si>
    <t>Cabangan</t>
  </si>
  <si>
    <t>Cabanglasan</t>
  </si>
  <si>
    <t>Cabid-an</t>
  </si>
  <si>
    <t>Cabucgayan</t>
  </si>
  <si>
    <t>Cagayancillo</t>
  </si>
  <si>
    <t>Cagdianao</t>
  </si>
  <si>
    <t>Cagwait</t>
  </si>
  <si>
    <t>Caibiran</t>
  </si>
  <si>
    <t>Cajidiocan</t>
  </si>
  <si>
    <t>Calabanga</t>
  </si>
  <si>
    <t>Calanasan</t>
  </si>
  <si>
    <t>Calanogas</t>
  </si>
  <si>
    <t>Calape</t>
  </si>
  <si>
    <t>Calasiao</t>
  </si>
  <si>
    <t>Calatagan</t>
  </si>
  <si>
    <t>Calatrava</t>
  </si>
  <si>
    <t>Calauan</t>
  </si>
  <si>
    <t>Calayan</t>
  </si>
  <si>
    <t>Calbiga</t>
  </si>
  <si>
    <t>Calintaan</t>
  </si>
  <si>
    <t>Calubian</t>
  </si>
  <si>
    <t>Caluya</t>
  </si>
  <si>
    <t>Camalig</t>
  </si>
  <si>
    <t>Camaligan</t>
  </si>
  <si>
    <t>Can-avid</t>
  </si>
  <si>
    <t>Canaman</t>
  </si>
  <si>
    <t>Candaba</t>
  </si>
  <si>
    <t>Candijay</t>
  </si>
  <si>
    <t>Candoni</t>
  </si>
  <si>
    <t>Canlaon City</t>
  </si>
  <si>
    <t>Cantilan</t>
  </si>
  <si>
    <t>Caoayan</t>
  </si>
  <si>
    <t>Capalonga</t>
  </si>
  <si>
    <t>Capoocan</t>
  </si>
  <si>
    <t>Capul</t>
  </si>
  <si>
    <t>Caraga</t>
  </si>
  <si>
    <t>Caramoan</t>
  </si>
  <si>
    <t>Caramoran</t>
  </si>
  <si>
    <t>Carasi</t>
  </si>
  <si>
    <t>Carles</t>
  </si>
  <si>
    <t>Carranglan</t>
  </si>
  <si>
    <t>Carrascal</t>
  </si>
  <si>
    <t>Casiguran</t>
  </si>
  <si>
    <t>Castillejos</t>
  </si>
  <si>
    <t>Cateel</t>
  </si>
  <si>
    <t>Catmon</t>
  </si>
  <si>
    <t>Catubig</t>
  </si>
  <si>
    <t>Cavinti</t>
  </si>
  <si>
    <t>Definition of Terms and Acronyms</t>
  </si>
  <si>
    <t>Cawayan</t>
  </si>
  <si>
    <t xml:space="preserve">1. ABC - Authorized Bed Capacity </t>
  </si>
  <si>
    <t>2. LGU - Local Government Unit</t>
  </si>
  <si>
    <t>3. DOH Retained - Hospital Under Department of Health</t>
  </si>
  <si>
    <t>4. DND - Department of National Defense</t>
  </si>
  <si>
    <t>5. AFP - Armed Forces of the Philippines</t>
  </si>
  <si>
    <t>6. PAF - Philippine Air Force</t>
  </si>
  <si>
    <t>7. MOH BARMM - Ministery of Health - Bangsamoro Autonomous Region in Muslim Mindanao</t>
  </si>
  <si>
    <t>City of Bago</t>
  </si>
  <si>
    <t>City of Cadiz</t>
  </si>
  <si>
    <t>City of Iloilo</t>
  </si>
  <si>
    <t>Related Issuances</t>
  </si>
  <si>
    <t>City of La Carlota</t>
  </si>
  <si>
    <t>1. Administrative Order No. 2012 - 0012</t>
  </si>
  <si>
    <t>City of Passi</t>
  </si>
  <si>
    <t>Clarin</t>
  </si>
  <si>
    <t>Claver</t>
  </si>
  <si>
    <t>Claveria</t>
  </si>
  <si>
    <t>Columbio</t>
  </si>
  <si>
    <t>Compostela</t>
  </si>
  <si>
    <t>2. Administrative Order No. 2012 - 0012 - A</t>
  </si>
  <si>
    <t>Corcuera</t>
  </si>
  <si>
    <t>3. Administrative Order No. 2012 - 0012 - B</t>
  </si>
  <si>
    <t>Cordova</t>
  </si>
  <si>
    <t>Corella</t>
  </si>
  <si>
    <t>4. Administrative Order No. 2007 - 0041</t>
  </si>
  <si>
    <t>Cuartero</t>
  </si>
  <si>
    <t>Culaba</t>
  </si>
  <si>
    <t>Click here to view more...</t>
  </si>
  <si>
    <t>Currimao</t>
  </si>
  <si>
    <t>Cuyapo</t>
  </si>
  <si>
    <t>Cuyo</t>
  </si>
  <si>
    <t>Daanbantayan</t>
  </si>
  <si>
    <t>Dagami</t>
  </si>
  <si>
    <t>Dagohoy</t>
  </si>
  <si>
    <t>Daguioman</t>
  </si>
  <si>
    <t>Dalaguete</t>
  </si>
  <si>
    <t>Damulog</t>
  </si>
  <si>
    <t>Dangcagan</t>
  </si>
  <si>
    <t>Danglas</t>
  </si>
  <si>
    <t>Daram</t>
  </si>
  <si>
    <t>Datu Abdullah Sangki</t>
  </si>
  <si>
    <t>Datu Anggal Midtimbang</t>
  </si>
  <si>
    <t>Datu Hoffer Ampatuan</t>
  </si>
  <si>
    <t>Datu Montawal</t>
  </si>
  <si>
    <t>Datu Piang</t>
  </si>
  <si>
    <t>Datu Salibo</t>
  </si>
  <si>
    <t>Datu Saudi-Ampatuan</t>
  </si>
  <si>
    <t>Datu Unsay</t>
  </si>
  <si>
    <t>Dauin</t>
  </si>
  <si>
    <t>Dauis</t>
  </si>
  <si>
    <t>Del Carmen</t>
  </si>
  <si>
    <t>Del Gallego</t>
  </si>
  <si>
    <t>Delfin Albano</t>
  </si>
  <si>
    <t>Diadi</t>
  </si>
  <si>
    <t>Diffun</t>
  </si>
  <si>
    <t>Dilasag</t>
  </si>
  <si>
    <t>Dimasalang</t>
  </si>
  <si>
    <t>Dimataling</t>
  </si>
  <si>
    <t>Dimiao</t>
  </si>
  <si>
    <t>Dinagat</t>
  </si>
  <si>
    <t>Dinalungan</t>
  </si>
  <si>
    <t>Dinapigue</t>
  </si>
  <si>
    <t>Dinas</t>
  </si>
  <si>
    <t>Dingalan</t>
  </si>
  <si>
    <t>Dingle</t>
  </si>
  <si>
    <t>Dingras</t>
  </si>
  <si>
    <t>Dipaculao</t>
  </si>
  <si>
    <t>Diplahan</t>
  </si>
  <si>
    <t>Ditsaan-Ramain</t>
  </si>
  <si>
    <t>Divilacan</t>
  </si>
  <si>
    <t>Don Marcelino</t>
  </si>
  <si>
    <t>Don Victoriano Chiongbian</t>
  </si>
  <si>
    <t>Doña Remedios Trinidad</t>
  </si>
  <si>
    <t>Dueñas</t>
  </si>
  <si>
    <t>Duero</t>
  </si>
  <si>
    <t>Dulag</t>
  </si>
  <si>
    <t>Dumalag</t>
  </si>
  <si>
    <t>Dumalinao</t>
  </si>
  <si>
    <t>Dumalneg</t>
  </si>
  <si>
    <t>Dumanjug</t>
  </si>
  <si>
    <t>Dumaran</t>
  </si>
  <si>
    <t>Dumarao</t>
  </si>
  <si>
    <t>Dumingag</t>
  </si>
  <si>
    <t>Dupax del Sur</t>
  </si>
  <si>
    <t>El Nido</t>
  </si>
  <si>
    <t>El Salvador City</t>
  </si>
  <si>
    <t>Enrile</t>
  </si>
  <si>
    <t>Enrique B. Magalona</t>
  </si>
  <si>
    <t>Enrique Villanueva</t>
  </si>
  <si>
    <t>Estancia</t>
  </si>
  <si>
    <t>Ferrol</t>
  </si>
  <si>
    <t>Flora</t>
  </si>
  <si>
    <t>Gabaldon</t>
  </si>
  <si>
    <t>Gainza</t>
  </si>
  <si>
    <t>Galimuyod</t>
  </si>
  <si>
    <t>Gamu</t>
  </si>
  <si>
    <t>Ganassi</t>
  </si>
  <si>
    <t>Gandara</t>
  </si>
  <si>
    <t>Garchitorena</t>
  </si>
  <si>
    <t>Garcia Hernandez</t>
  </si>
  <si>
    <t>Gasan</t>
  </si>
  <si>
    <t>Gattaran</t>
  </si>
  <si>
    <t>General Emilio Aguinaldo</t>
  </si>
  <si>
    <t>General Luna</t>
  </si>
  <si>
    <t>General Mamerto Natividad</t>
  </si>
  <si>
    <t>General Mariano Alvarez</t>
  </si>
  <si>
    <t>General Nakar</t>
  </si>
  <si>
    <t>General Salipada K. Pendatun</t>
  </si>
  <si>
    <t>General Tinio</t>
  </si>
  <si>
    <t>Getafe</t>
  </si>
  <si>
    <t>Gigaquit</t>
  </si>
  <si>
    <t>Gigmoto</t>
  </si>
  <si>
    <t>Ginatilan</t>
  </si>
  <si>
    <t>Giporlos</t>
  </si>
  <si>
    <t>Gitagum</t>
  </si>
  <si>
    <t>Gloria</t>
  </si>
  <si>
    <t>Godod</t>
  </si>
  <si>
    <t>Governor Generoso</t>
  </si>
  <si>
    <t>Gregorio del Pilar</t>
  </si>
  <si>
    <t>Guindulman</t>
  </si>
  <si>
    <t>Guinobatan</t>
  </si>
  <si>
    <t>Guinsiliban</t>
  </si>
  <si>
    <t>Guipos</t>
  </si>
  <si>
    <t>Gutalac</t>
  </si>
  <si>
    <t>Hadji Mohammad Ajul</t>
  </si>
  <si>
    <t>Hadji Muhtamad</t>
  </si>
  <si>
    <t>Hadji Panglima Tahil</t>
  </si>
  <si>
    <t>Hamtic</t>
  </si>
  <si>
    <t>Hermosa</t>
  </si>
  <si>
    <t>Hernani</t>
  </si>
  <si>
    <t>Himamaylan City</t>
  </si>
  <si>
    <t>Hinabangan</t>
  </si>
  <si>
    <t>Hindang</t>
  </si>
  <si>
    <t>Hingyon</t>
  </si>
  <si>
    <t>Hinoba-an</t>
  </si>
  <si>
    <t>Hinunangan</t>
  </si>
  <si>
    <t>Hinundayan</t>
  </si>
  <si>
    <t>Hungduan</t>
  </si>
  <si>
    <t>Ibajay</t>
  </si>
  <si>
    <t>Igbaras</t>
  </si>
  <si>
    <t>Iguig</t>
  </si>
  <si>
    <t>Ilog</t>
  </si>
  <si>
    <t>Imelda</t>
  </si>
  <si>
    <t>Impasugong</t>
  </si>
  <si>
    <t>Indanan</t>
  </si>
  <si>
    <t>Indang</t>
  </si>
  <si>
    <t>Inopacan</t>
  </si>
  <si>
    <t>Isabel</t>
  </si>
  <si>
    <t>Itbayat</t>
  </si>
  <si>
    <t>Itogon</t>
  </si>
  <si>
    <t>Ivana</t>
  </si>
  <si>
    <t>Ivisan</t>
  </si>
  <si>
    <t>Jabonga</t>
  </si>
  <si>
    <t>Jaen</t>
  </si>
  <si>
    <t>Jalajala</t>
  </si>
  <si>
    <t>Jamindan</t>
  </si>
  <si>
    <t>Jaro</t>
  </si>
  <si>
    <t>Javier</t>
  </si>
  <si>
    <t>Jiabong</t>
  </si>
  <si>
    <t>Jimalalud</t>
  </si>
  <si>
    <t>Jipapad</t>
  </si>
  <si>
    <t>Jomalig</t>
  </si>
  <si>
    <t>Jones</t>
  </si>
  <si>
    <t>Jose Abad Santos</t>
  </si>
  <si>
    <t>Jose Dalman</t>
  </si>
  <si>
    <t>Jose Panganiban</t>
  </si>
  <si>
    <t>Josefina</t>
  </si>
  <si>
    <t>Jovellar</t>
  </si>
  <si>
    <t>Juban</t>
  </si>
  <si>
    <t>Julita</t>
  </si>
  <si>
    <t>Kabayan</t>
  </si>
  <si>
    <t>Kabugao</t>
  </si>
  <si>
    <t>Kabuntalan</t>
  </si>
  <si>
    <t>Kadingilan</t>
  </si>
  <si>
    <t>Kalamansig</t>
  </si>
  <si>
    <t>Kalawit</t>
  </si>
  <si>
    <t>Kalayaan</t>
  </si>
  <si>
    <t>Kalilangan</t>
  </si>
  <si>
    <t>Kalingalan Caluang</t>
  </si>
  <si>
    <t>Kananga</t>
  </si>
  <si>
    <t>Kapai</t>
  </si>
  <si>
    <t>Kapangan</t>
  </si>
  <si>
    <t>Kasibu</t>
  </si>
  <si>
    <t>Katipunan</t>
  </si>
  <si>
    <t>Kauswagan</t>
  </si>
  <si>
    <t>Kawayan</t>
  </si>
  <si>
    <t>Kiangan</t>
  </si>
  <si>
    <t>Kiblawan</t>
  </si>
  <si>
    <t>Kibungan</t>
  </si>
  <si>
    <t>Kinoguitan</t>
  </si>
  <si>
    <t>Kitaotao</t>
  </si>
  <si>
    <t>Kitcharao</t>
  </si>
  <si>
    <t>Kumalarang</t>
  </si>
  <si>
    <t>La Castellana</t>
  </si>
  <si>
    <t>La Libertad</t>
  </si>
  <si>
    <t>Labangan</t>
  </si>
  <si>
    <t>Labason</t>
  </si>
  <si>
    <t>Labrador</t>
  </si>
  <si>
    <t>Lacub</t>
  </si>
  <si>
    <t>Lagangilang</t>
  </si>
  <si>
    <t>Lagayan</t>
  </si>
  <si>
    <t>Lagonglong</t>
  </si>
  <si>
    <t>Lagonoy</t>
  </si>
  <si>
    <t>Laguindingan</t>
  </si>
  <si>
    <t>Lake Sebu</t>
  </si>
  <si>
    <t>Lakewood</t>
  </si>
  <si>
    <t>Lal-lo</t>
  </si>
  <si>
    <t>Langiden</t>
  </si>
  <si>
    <t>Languyan</t>
  </si>
  <si>
    <t>Lantapan</t>
  </si>
  <si>
    <t>Lantawan</t>
  </si>
  <si>
    <t>Lanuza</t>
  </si>
  <si>
    <t>Laoac</t>
  </si>
  <si>
    <t>Laoang</t>
  </si>
  <si>
    <t>Lapinig</t>
  </si>
  <si>
    <t>Lapuyan</t>
  </si>
  <si>
    <t>Larena</t>
  </si>
  <si>
    <t>Las Navas</t>
  </si>
  <si>
    <t>Las Nieves</t>
  </si>
  <si>
    <t>Laua-an</t>
  </si>
  <si>
    <t>Laur</t>
  </si>
  <si>
    <t>Laurel</t>
  </si>
  <si>
    <t>Lavezares</t>
  </si>
  <si>
    <t>Lazi</t>
  </si>
  <si>
    <t>Leganes</t>
  </si>
  <si>
    <t>Leon</t>
  </si>
  <si>
    <t>Leon B. Postigo</t>
  </si>
  <si>
    <t>Lezo</t>
  </si>
  <si>
    <t>Lian</t>
  </si>
  <si>
    <t>Libacao</t>
  </si>
  <si>
    <t>Libagon</t>
  </si>
  <si>
    <t>Libertad</t>
  </si>
  <si>
    <t>Libjo</t>
  </si>
  <si>
    <t>Libon</t>
  </si>
  <si>
    <t>Libona</t>
  </si>
  <si>
    <t>Licab</t>
  </si>
  <si>
    <t>Licuan-Baay</t>
  </si>
  <si>
    <t>Lidlidda</t>
  </si>
  <si>
    <t>Lila</t>
  </si>
  <si>
    <t>Liliw</t>
  </si>
  <si>
    <t>Liloan</t>
  </si>
  <si>
    <t>Liloy</t>
  </si>
  <si>
    <t>Limasawa</t>
  </si>
  <si>
    <t>Limay</t>
  </si>
  <si>
    <t>Linamon</t>
  </si>
  <si>
    <t>Linapacan</t>
  </si>
  <si>
    <t>Lingig</t>
  </si>
  <si>
    <t>Llanera</t>
  </si>
  <si>
    <t>Llorente</t>
  </si>
  <si>
    <t>Loay</t>
  </si>
  <si>
    <t>Loboc</t>
  </si>
  <si>
    <t>Looc</t>
  </si>
  <si>
    <t>Loon</t>
  </si>
  <si>
    <t>Lope de Vega</t>
  </si>
  <si>
    <t>Lopez Jaena</t>
  </si>
  <si>
    <t>Loreto</t>
  </si>
  <si>
    <t>Luba</t>
  </si>
  <si>
    <t>Lubang</t>
  </si>
  <si>
    <t>Lubuagan</t>
  </si>
  <si>
    <t>Lugait</t>
  </si>
  <si>
    <t>Lugus</t>
  </si>
  <si>
    <t>Lumba-Bayabao</t>
  </si>
  <si>
    <t>Lumbaca-Unayan</t>
  </si>
  <si>
    <t>Lumban</t>
  </si>
  <si>
    <t>Lumbatan</t>
  </si>
  <si>
    <t>Lumbayanague</t>
  </si>
  <si>
    <t>Lupao</t>
  </si>
  <si>
    <t>Lupi</t>
  </si>
  <si>
    <t>Lupon</t>
  </si>
  <si>
    <t>Lutayan</t>
  </si>
  <si>
    <t>Ma-ayon</t>
  </si>
  <si>
    <t>Maasim</t>
  </si>
  <si>
    <t>Mabinay</t>
  </si>
  <si>
    <t>Mabitac</t>
  </si>
  <si>
    <t>Mabuhay</t>
  </si>
  <si>
    <t>Macabog</t>
  </si>
  <si>
    <t>Macalelon</t>
  </si>
  <si>
    <t>MacArthur</t>
  </si>
  <si>
    <t>Maco</t>
  </si>
  <si>
    <t>Maconacon</t>
  </si>
  <si>
    <t>Macrohon</t>
  </si>
  <si>
    <t>Madalag</t>
  </si>
  <si>
    <t>Madalum</t>
  </si>
  <si>
    <t>Madamba</t>
  </si>
  <si>
    <t>Madridejos</t>
  </si>
  <si>
    <t>Magallanes</t>
  </si>
  <si>
    <t>Magarao</t>
  </si>
  <si>
    <t>Magdalena</t>
  </si>
  <si>
    <t>Magdiwang</t>
  </si>
  <si>
    <t>Magpet</t>
  </si>
  <si>
    <t>Maguing</t>
  </si>
  <si>
    <t>Mahaplag</t>
  </si>
  <si>
    <t>Mahatao</t>
  </si>
  <si>
    <t>Mahayag</t>
  </si>
  <si>
    <t>Mahinog</t>
  </si>
  <si>
    <t>Maigo</t>
  </si>
  <si>
    <t>Mainit</t>
  </si>
  <si>
    <t>Maitum</t>
  </si>
  <si>
    <t>Makato</t>
  </si>
  <si>
    <t>Malabuyoc</t>
  </si>
  <si>
    <t>Malalag</t>
  </si>
  <si>
    <t>Malangas</t>
  </si>
  <si>
    <t>Malapatan</t>
  </si>
  <si>
    <t>Malibcong</t>
  </si>
  <si>
    <t>Malilipot</t>
  </si>
  <si>
    <t>Malimono</t>
  </si>
  <si>
    <t>Malinao</t>
  </si>
  <si>
    <t>Malinta</t>
  </si>
  <si>
    <t>Malitbog</t>
  </si>
  <si>
    <t>Mallig</t>
  </si>
  <si>
    <t>Maluso</t>
  </si>
  <si>
    <t>Malvar</t>
  </si>
  <si>
    <t>Mamasapano</t>
  </si>
  <si>
    <t>Manabo</t>
  </si>
  <si>
    <t>Manay</t>
  </si>
  <si>
    <t>Mandaluyong</t>
  </si>
  <si>
    <t>Mandaon</t>
  </si>
  <si>
    <t>Mangaldan</t>
  </si>
  <si>
    <t>Mangudadatu</t>
  </si>
  <si>
    <t>Manito</t>
  </si>
  <si>
    <t>Manjuyod</t>
  </si>
  <si>
    <t>Mankayan</t>
  </si>
  <si>
    <t>Mansalay</t>
  </si>
  <si>
    <t>Manukan</t>
  </si>
  <si>
    <t>Mapanas</t>
  </si>
  <si>
    <t>Mapun</t>
  </si>
  <si>
    <t>Marabut</t>
  </si>
  <si>
    <t>Maragondon</t>
  </si>
  <si>
    <t>Marcos</t>
  </si>
  <si>
    <t>Maria</t>
  </si>
  <si>
    <t>Maria Aurora</t>
  </si>
  <si>
    <t>Maribojoc</t>
  </si>
  <si>
    <t>Maripipi</t>
  </si>
  <si>
    <t>Marogong</t>
  </si>
  <si>
    <t>Masantol</t>
  </si>
  <si>
    <t>Masinloc</t>
  </si>
  <si>
    <t>Masiu</t>
  </si>
  <si>
    <t>Maslog</t>
  </si>
  <si>
    <t>Mataasnakahoy</t>
  </si>
  <si>
    <t>Matag-ob</t>
  </si>
  <si>
    <t>Matalam</t>
  </si>
  <si>
    <t>Matalom</t>
  </si>
  <si>
    <t>Matanao</t>
  </si>
  <si>
    <t>Matanog</t>
  </si>
  <si>
    <t>Matnog</t>
  </si>
  <si>
    <t>Matuguinao</t>
  </si>
  <si>
    <t>Matungao</t>
  </si>
  <si>
    <t>Mayamot</t>
  </si>
  <si>
    <t>Mayantoc</t>
  </si>
  <si>
    <t>Maydolong</t>
  </si>
  <si>
    <t>Mayorga</t>
  </si>
  <si>
    <t>Mayoyao</t>
  </si>
  <si>
    <t>Medina</t>
  </si>
  <si>
    <t>Mercedes</t>
  </si>
  <si>
    <t>Merida</t>
  </si>
  <si>
    <t>Miagao</t>
  </si>
  <si>
    <t>Midsalip</t>
  </si>
  <si>
    <t>Milagros</t>
  </si>
  <si>
    <t>Milaor</t>
  </si>
  <si>
    <t>Mina</t>
  </si>
  <si>
    <t>Minalabac</t>
  </si>
  <si>
    <t>Minalin</t>
  </si>
  <si>
    <t>Minglanilla</t>
  </si>
  <si>
    <t>Moalboal</t>
  </si>
  <si>
    <t>Mobo</t>
  </si>
  <si>
    <t>Mogpog</t>
  </si>
  <si>
    <t>Moises Padilla</t>
  </si>
  <si>
    <t>Mondragon</t>
  </si>
  <si>
    <t>Monkayo</t>
  </si>
  <si>
    <t>Monreal</t>
  </si>
  <si>
    <t>Motiong</t>
  </si>
  <si>
    <t>Mulanay</t>
  </si>
  <si>
    <t>Mulondo</t>
  </si>
  <si>
    <t>Munai</t>
  </si>
  <si>
    <t>Muñoz City</t>
  </si>
  <si>
    <t>Murcia</t>
  </si>
  <si>
    <t>Mutia</t>
  </si>
  <si>
    <t>Naawan</t>
  </si>
  <si>
    <t>Nabas</t>
  </si>
  <si>
    <t>Nagbukel</t>
  </si>
  <si>
    <t>Nagtipunan</t>
  </si>
  <si>
    <t>Naguilan</t>
  </si>
  <si>
    <t>Nampicuan</t>
  </si>
  <si>
    <t>Nasipit</t>
  </si>
  <si>
    <t>Natonin</t>
  </si>
  <si>
    <t>Naujan</t>
  </si>
  <si>
    <t>New Bataan</t>
  </si>
  <si>
    <t>New Corella</t>
  </si>
  <si>
    <t>New Lucena</t>
  </si>
  <si>
    <t>New Washington</t>
  </si>
  <si>
    <t>Northern Kabuntalan</t>
  </si>
  <si>
    <t>Nueva Era</t>
  </si>
  <si>
    <t>Nueva Valencia</t>
  </si>
  <si>
    <t>Numancia</t>
  </si>
  <si>
    <t>Nunungan</t>
  </si>
  <si>
    <t>Oas</t>
  </si>
  <si>
    <t>Obando</t>
  </si>
  <si>
    <t>Ocampo</t>
  </si>
  <si>
    <t>Olutanga</t>
  </si>
  <si>
    <t>Omar</t>
  </si>
  <si>
    <t>Opol</t>
  </si>
  <si>
    <t>Oslob</t>
  </si>
  <si>
    <t>Oton</t>
  </si>
  <si>
    <t>Padre Burgos</t>
  </si>
  <si>
    <t>Padre Garcia</t>
  </si>
  <si>
    <t>Paete</t>
  </si>
  <si>
    <t>Pagalungan</t>
  </si>
  <si>
    <t>Pagayawan</t>
  </si>
  <si>
    <t>Pagbilao</t>
  </si>
  <si>
    <t>Paglat</t>
  </si>
  <si>
    <t>Pagsanghan</t>
  </si>
  <si>
    <t>Pagudpud</t>
  </si>
  <si>
    <t>Palanan</t>
  </si>
  <si>
    <t>Palanas</t>
  </si>
  <si>
    <t>Palapag</t>
  </si>
  <si>
    <t>Palauig</t>
  </si>
  <si>
    <t>Palayan City</t>
  </si>
  <si>
    <t>Palimbang</t>
  </si>
  <si>
    <t>Palompon</t>
  </si>
  <si>
    <t>Paluan</t>
  </si>
  <si>
    <t>Pamplona</t>
  </si>
  <si>
    <t>Panamao</t>
  </si>
  <si>
    <t>Panaon</t>
  </si>
  <si>
    <t>Panay</t>
  </si>
  <si>
    <t>Pandag</t>
  </si>
  <si>
    <t>Pandami</t>
  </si>
  <si>
    <t>Pandi</t>
  </si>
  <si>
    <t>Panganiban</t>
  </si>
  <si>
    <t>Pangil</t>
  </si>
  <si>
    <t>Panglao</t>
  </si>
  <si>
    <t>Panglima Estino</t>
  </si>
  <si>
    <t>Panglima Sugala</t>
  </si>
  <si>
    <t>Pangpang</t>
  </si>
  <si>
    <t>Pangutaran</t>
  </si>
  <si>
    <t>Panitan</t>
  </si>
  <si>
    <t>Pantabangan</t>
  </si>
  <si>
    <t>Pantao Ragat</t>
  </si>
  <si>
    <t>Pantar</t>
  </si>
  <si>
    <t>Panukulan</t>
  </si>
  <si>
    <t>Paracale</t>
  </si>
  <si>
    <t>Parañaque</t>
  </si>
  <si>
    <t>Paranas</t>
  </si>
  <si>
    <t>Pasacao</t>
  </si>
  <si>
    <t>Pasil</t>
  </si>
  <si>
    <t>Pastrana</t>
  </si>
  <si>
    <t>Pasuquin</t>
  </si>
  <si>
    <t>Pata</t>
  </si>
  <si>
    <t>Patikul</t>
  </si>
  <si>
    <t>Patnanungan</t>
  </si>
  <si>
    <t>Patnongon</t>
  </si>
  <si>
    <t>Pavia</t>
  </si>
  <si>
    <t>Payao</t>
  </si>
  <si>
    <t>Peñablanca</t>
  </si>
  <si>
    <t>Peñaranda</t>
  </si>
  <si>
    <t>Peñarrubia</t>
  </si>
  <si>
    <t>Perez</t>
  </si>
  <si>
    <t>Piagapo</t>
  </si>
  <si>
    <t>Picong</t>
  </si>
  <si>
    <t>Piddig</t>
  </si>
  <si>
    <t>Pidigan</t>
  </si>
  <si>
    <t>Pigcawayan</t>
  </si>
  <si>
    <t>Pila</t>
  </si>
  <si>
    <t>Pili</t>
  </si>
  <si>
    <t>Pililla</t>
  </si>
  <si>
    <t>Pinabacdao</t>
  </si>
  <si>
    <t>Pinamungajan</t>
  </si>
  <si>
    <t>Piñan</t>
  </si>
  <si>
    <t>Pinili</t>
  </si>
  <si>
    <t>Pintuyan</t>
  </si>
  <si>
    <t>Pinukpuk</t>
  </si>
  <si>
    <t>Pio Duran</t>
  </si>
  <si>
    <t>Pio V. Corpuz</t>
  </si>
  <si>
    <t>Pitogo</t>
  </si>
  <si>
    <t>Pola</t>
  </si>
  <si>
    <t>Polanco</t>
  </si>
  <si>
    <t>Polangui</t>
  </si>
  <si>
    <t>Polillo</t>
  </si>
  <si>
    <t>Poona Bayabao</t>
  </si>
  <si>
    <t>Poona Piagapo</t>
  </si>
  <si>
    <t>Poro</t>
  </si>
  <si>
    <t>Presentacion</t>
  </si>
  <si>
    <t>President Carlos P. Garcia</t>
  </si>
  <si>
    <t>President Roxas</t>
  </si>
  <si>
    <t>Prieto Diaz</t>
  </si>
  <si>
    <t>Pualas</t>
  </si>
  <si>
    <t>Pudtol</t>
  </si>
  <si>
    <t>Puerto Galera</t>
  </si>
  <si>
    <t>Pugo</t>
  </si>
  <si>
    <t>Pulupandan</t>
  </si>
  <si>
    <t>Pura</t>
  </si>
  <si>
    <t>Quinapondan</t>
  </si>
  <si>
    <t>Ragay</t>
  </si>
  <si>
    <t>Rajah Buayan</t>
  </si>
  <si>
    <t>Ramon</t>
  </si>
  <si>
    <t>Ramos</t>
  </si>
  <si>
    <t>Real</t>
  </si>
  <si>
    <t>Reina Mercedes</t>
  </si>
  <si>
    <t>Remedios T. Romualdez</t>
  </si>
  <si>
    <t>Ronda</t>
  </si>
  <si>
    <t>Sabangan</t>
  </si>
  <si>
    <t>Sablan</t>
  </si>
  <si>
    <t>Sabtang</t>
  </si>
  <si>
    <t>Sadanga</t>
  </si>
  <si>
    <t>Sagbayan</t>
  </si>
  <si>
    <t>Sagñay</t>
  </si>
  <si>
    <t>Saguday</t>
  </si>
  <si>
    <t>Saguiaran</t>
  </si>
  <si>
    <t>Saint Bernard</t>
  </si>
  <si>
    <t>Salay</t>
  </si>
  <si>
    <t>Sallapadan</t>
  </si>
  <si>
    <t>Salug</t>
  </si>
  <si>
    <t>Salvador</t>
  </si>
  <si>
    <t>Salvador Benedicto</t>
  </si>
  <si>
    <t>Sambag</t>
  </si>
  <si>
    <t>Samboan</t>
  </si>
  <si>
    <t>San Agustin</t>
  </si>
  <si>
    <t>San Benito</t>
  </si>
  <si>
    <t>San Clemente</t>
  </si>
  <si>
    <t>San Dionisio</t>
  </si>
  <si>
    <t>San Emilio</t>
  </si>
  <si>
    <t>San Enrique</t>
  </si>
  <si>
    <t>San Esteban</t>
  </si>
  <si>
    <t>San Fabian</t>
  </si>
  <si>
    <t>San Felipe</t>
  </si>
  <si>
    <t>San Gabriel</t>
  </si>
  <si>
    <t>San Guillermo</t>
  </si>
  <si>
    <t>San Jacinto</t>
  </si>
  <si>
    <t>San Joaquin</t>
  </si>
  <si>
    <t>San Jorge</t>
  </si>
  <si>
    <t>San Jose de Buan</t>
  </si>
  <si>
    <t>San Julian</t>
  </si>
  <si>
    <t>San Lorenzo</t>
  </si>
  <si>
    <t>San Lorenzo Ruiz</t>
  </si>
  <si>
    <t>San Manuel</t>
  </si>
  <si>
    <t>San Narciso</t>
  </si>
  <si>
    <t>San Policarpo</t>
  </si>
  <si>
    <t>San Quintin</t>
  </si>
  <si>
    <t>San Rafael</t>
  </si>
  <si>
    <t>San Remigio</t>
  </si>
  <si>
    <t>San Ricardo</t>
  </si>
  <si>
    <t>San Sebastian</t>
  </si>
  <si>
    <t>San Simon</t>
  </si>
  <si>
    <t>San Teodoro</t>
  </si>
  <si>
    <t>San Vicente</t>
  </si>
  <si>
    <t>Sanchez-Mira</t>
  </si>
  <si>
    <t>Santa</t>
  </si>
  <si>
    <t>Santa Ana</t>
  </si>
  <si>
    <t>Santa Catalina</t>
  </si>
  <si>
    <t>Santa Fe</t>
  </si>
  <si>
    <t>Santa Ignacia</t>
  </si>
  <si>
    <t>Santa Josefa</t>
  </si>
  <si>
    <t>Santa Magdalena</t>
  </si>
  <si>
    <t>Santa Marcela</t>
  </si>
  <si>
    <t>Santa Margarita</t>
  </si>
  <si>
    <t>Santa Monica</t>
  </si>
  <si>
    <t>Santa Praxedes</t>
  </si>
  <si>
    <t>Santa Rita</t>
  </si>
  <si>
    <t>Santa Teresita</t>
  </si>
  <si>
    <t>Santander</t>
  </si>
  <si>
    <t>Santo Niño</t>
  </si>
  <si>
    <t>Sergio Osmeña</t>
  </si>
  <si>
    <t>Sofronio Española</t>
  </si>
  <si>
    <t>Sudapin</t>
  </si>
  <si>
    <t>Tagbac</t>
  </si>
  <si>
    <t>Tap-oc</t>
  </si>
  <si>
    <t>Triangulo</t>
  </si>
  <si>
    <t>valladolid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</si>
</sst>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mm&quot;/&quot;dd&quot;/&quot;yyyy"/>
    <numFmt numFmtId="166" formatCode="m/d/yyyy"/>
    <numFmt numFmtId="167" formatCode="mM/dd/yyyy"/>
    <numFmt numFmtId="168" formatCode="yyyy&quot;/&quot;mm&quot;/&quot;dd"/>
    <numFmt numFmtId="169" formatCode="_(&quot;$&quot;* #,##0.00_);_(&quot;$&quot;* \(#,##0.00\);_(&quot;$&quot;* &quot;-&quot;??_);_(@_)"/>
    <numFmt numFmtId="170" formatCode="mm/dd/yyyy"/>
  </numFmts>
  <fonts count="79">
    <font>
      <sz val="10.0"/>
      <color rgb="FF000000"/>
      <name val="Arial"/>
      <scheme val="minor"/>
    </font>
    <font>
      <b/>
      <sz val="16.0"/>
      <color rgb="FFFFFFFF"/>
      <name val="Arial Narrow"/>
    </font>
    <font>
      <b/>
      <sz val="16.0"/>
      <color theme="0"/>
      <name val="Arial Narrow"/>
    </font>
    <font>
      <b/>
      <sz val="13.0"/>
      <color rgb="FFFFFFFF"/>
      <name val="Arial Narrow"/>
    </font>
    <font/>
    <font>
      <b/>
      <sz val="24.0"/>
      <color rgb="FFFFFFFF"/>
      <name val="Arial Narrow"/>
    </font>
    <font>
      <b/>
      <sz val="13.0"/>
      <color theme="0"/>
      <name val="Arial Narrow"/>
    </font>
    <font>
      <b/>
      <sz val="13.0"/>
      <color theme="1"/>
      <name val="Arial Narrow"/>
    </font>
    <font>
      <b/>
      <sz val="12.0"/>
      <color rgb="FF000000"/>
      <name val="Arial Narrow"/>
    </font>
    <font>
      <b/>
      <sz val="11.0"/>
      <color rgb="FFFFFFFF"/>
      <name val="Arial"/>
      <scheme val="minor"/>
    </font>
    <font>
      <b/>
      <sz val="10.0"/>
      <color rgb="FFFFFFFF"/>
      <name val="Arial"/>
    </font>
    <font>
      <sz val="13.0"/>
      <color theme="1"/>
      <name val="Arial Narrow"/>
    </font>
    <font>
      <sz val="11.0"/>
      <color rgb="FFFFFFFF"/>
      <name val="Arial"/>
      <scheme val="minor"/>
    </font>
    <font>
      <sz val="10.0"/>
      <color rgb="FF000000"/>
      <name val="Arial"/>
    </font>
    <font>
      <sz val="11.0"/>
      <color rgb="FF000000"/>
      <name val="Arial"/>
      <scheme val="minor"/>
    </font>
    <font>
      <b/>
      <sz val="10.0"/>
      <color rgb="FF000000"/>
      <name val="Arial"/>
    </font>
    <font>
      <b/>
      <sz val="11.0"/>
      <color rgb="FF000000"/>
      <name val="Arial"/>
      <scheme val="minor"/>
    </font>
    <font>
      <b/>
      <sz val="19.0"/>
      <color theme="0"/>
      <name val="Arial Narrow"/>
    </font>
    <font>
      <b/>
      <sz val="14.0"/>
      <color rgb="FF000000"/>
      <name val="Arial Narrow"/>
    </font>
    <font>
      <u/>
      <sz val="11.0"/>
      <color rgb="FF000000"/>
    </font>
    <font>
      <u/>
      <sz val="11.0"/>
      <color rgb="FF000000"/>
    </font>
    <font>
      <color theme="1"/>
      <name val="Arial"/>
      <scheme val="minor"/>
    </font>
    <font>
      <sz val="11.0"/>
      <color theme="1"/>
      <name val="Arial"/>
      <scheme val="minor"/>
    </font>
    <font>
      <b/>
      <sz val="18.0"/>
      <color rgb="FF000000"/>
      <name val="Arial Narrow"/>
    </font>
    <font>
      <b/>
      <sz val="15.0"/>
      <color theme="1"/>
      <name val="Arial Narrow"/>
    </font>
    <font>
      <b/>
      <sz val="14.0"/>
      <color theme="1"/>
      <name val="Arial Narrow"/>
    </font>
    <font>
      <b/>
      <sz val="18.0"/>
      <color theme="0"/>
      <name val="Arial Narrow"/>
    </font>
    <font>
      <b/>
      <sz val="18.0"/>
      <color theme="1"/>
      <name val="Arial Narrow"/>
    </font>
    <font>
      <sz val="15.0"/>
      <color theme="1"/>
      <name val="Arial"/>
      <scheme val="minor"/>
    </font>
    <font>
      <b/>
      <sz val="11.0"/>
      <color rgb="FFFFFFFF"/>
      <name val="Arial"/>
    </font>
    <font>
      <sz val="11.0"/>
      <color theme="1"/>
      <name val="Arial"/>
    </font>
    <font>
      <color theme="1"/>
      <name val="Arial"/>
    </font>
    <font>
      <b/>
      <sz val="11.0"/>
      <color theme="1"/>
      <name val="Arial"/>
    </font>
    <font>
      <u/>
      <sz val="10.0"/>
      <color rgb="FF000000"/>
      <name val="Arial"/>
    </font>
    <font>
      <u/>
      <sz val="11.0"/>
      <color rgb="FF000000"/>
      <name val="Arial"/>
      <scheme val="minor"/>
    </font>
    <font>
      <b/>
      <sz val="12.0"/>
      <color rgb="FFFFFFFF"/>
      <name val="Arial"/>
      <scheme val="minor"/>
    </font>
    <font>
      <b/>
      <sz val="15.0"/>
      <color rgb="FFFFFFFF"/>
      <name val="Arial"/>
      <scheme val="minor"/>
    </font>
    <font>
      <sz val="12.0"/>
      <color theme="1"/>
      <name val="Arial"/>
      <scheme val="minor"/>
    </font>
    <font>
      <b/>
      <sz val="12.0"/>
      <color theme="1"/>
      <name val="Arial"/>
      <scheme val="minor"/>
    </font>
    <font>
      <b/>
      <sz val="20.0"/>
      <color rgb="FFFFFFFF"/>
      <name val="Arial"/>
      <scheme val="minor"/>
    </font>
    <font>
      <b/>
      <sz val="17.0"/>
      <color rgb="FFFFFFFF"/>
      <name val="Arial"/>
      <scheme val="minor"/>
    </font>
    <font>
      <u/>
      <sz val="11.0"/>
      <color rgb="FF000000"/>
    </font>
    <font>
      <i/>
      <sz val="11.0"/>
      <color rgb="FF000000"/>
      <name val="Arial"/>
      <scheme val="minor"/>
    </font>
    <font>
      <u/>
      <sz val="11.0"/>
      <color rgb="FF000000"/>
      <name val="Arial"/>
      <scheme val="minor"/>
    </font>
    <font>
      <u/>
      <sz val="10.0"/>
      <color rgb="FF000000"/>
      <name val="Arial"/>
    </font>
    <font>
      <b/>
      <sz val="22.0"/>
      <color theme="1"/>
      <name val="Arial"/>
      <scheme val="minor"/>
    </font>
    <font>
      <b/>
      <sz val="22.0"/>
      <color rgb="FFFFFFFF"/>
      <name val="Arial"/>
      <scheme val="minor"/>
    </font>
    <font>
      <u/>
      <sz val="11.0"/>
      <color rgb="FF000000"/>
      <name val="Arial"/>
      <scheme val="minor"/>
    </font>
    <font>
      <u/>
      <sz val="11.0"/>
      <color rgb="FF000000"/>
    </font>
    <font>
      <b/>
      <sz val="15.0"/>
      <color rgb="FFFFFFFF"/>
      <name val="Arial Narrow"/>
    </font>
    <font>
      <b/>
      <sz val="12.0"/>
      <color theme="0"/>
      <name val="Arial Narrow"/>
    </font>
    <font>
      <b/>
      <sz val="12.0"/>
      <color rgb="FFFFFFFF"/>
      <name val="Arial Narrow"/>
    </font>
    <font>
      <b/>
      <sz val="12.0"/>
      <color theme="1"/>
      <name val="Arial Narrow"/>
    </font>
    <font>
      <sz val="12.0"/>
      <color theme="1"/>
      <name val="Arial Narrow"/>
    </font>
    <font>
      <b/>
      <sz val="11.0"/>
      <color theme="1"/>
      <name val="Arial"/>
      <scheme val="minor"/>
    </font>
    <font>
      <b/>
      <sz val="14.0"/>
      <color rgb="FFFFFFFF"/>
      <name val="Arial Narrow"/>
    </font>
    <font>
      <b/>
      <sz val="14.0"/>
      <color theme="0"/>
      <name val="Arial Narrow"/>
    </font>
    <font>
      <b/>
      <sz val="15.0"/>
      <color theme="0"/>
      <name val="Arial Narrow"/>
    </font>
    <font>
      <b/>
      <sz val="18.0"/>
      <color rgb="FFFFFFFF"/>
      <name val="Arial Narrow"/>
    </font>
    <font>
      <b/>
      <sz val="30.0"/>
      <color theme="0"/>
      <name val="Arial Narrow"/>
    </font>
    <font>
      <sz val="14.0"/>
      <color theme="1"/>
      <name val="Arial Narrow"/>
    </font>
    <font>
      <sz val="14.0"/>
      <color rgb="FF000000"/>
      <name val="Inconsolata"/>
    </font>
    <font>
      <b/>
      <sz val="11.0"/>
      <color rgb="FFFF0000"/>
      <name val="Arial"/>
      <scheme val="minor"/>
    </font>
    <font>
      <b/>
      <sz val="11.0"/>
      <color rgb="FFFF0000"/>
      <name val="Arial"/>
    </font>
    <font>
      <b/>
      <sz val="10.0"/>
      <color rgb="FF000000"/>
      <name val="Arial Narrow"/>
    </font>
    <font>
      <b/>
      <sz val="10.0"/>
      <color theme="1"/>
      <name val="Arial"/>
    </font>
    <font>
      <b/>
      <color theme="1"/>
      <name val="Arial"/>
    </font>
    <font>
      <b/>
      <sz val="9.0"/>
      <color rgb="FF000000"/>
      <name val="Arial Narrow"/>
    </font>
    <font>
      <sz val="11.0"/>
      <color theme="1"/>
      <name val="Calibri"/>
    </font>
    <font>
      <sz val="11.0"/>
      <color rgb="FF000000"/>
      <name val="Calibri"/>
    </font>
    <font>
      <u/>
      <sz val="10.0"/>
      <color rgb="FF000000"/>
      <name val="Arial"/>
    </font>
    <font>
      <u/>
      <sz val="10.0"/>
      <color rgb="FF000000"/>
      <name val="Arial"/>
    </font>
    <font>
      <u/>
      <sz val="10.0"/>
      <color rgb="FF000000"/>
      <name val="Arial"/>
    </font>
    <font>
      <b/>
      <sz val="24.0"/>
      <color rgb="FFFFFFFF"/>
      <name val="Calibri"/>
    </font>
    <font>
      <b/>
      <sz val="14.0"/>
      <color theme="0"/>
      <name val="Calibri"/>
    </font>
    <font>
      <b/>
      <sz val="14.0"/>
      <color rgb="FFFFFFFF"/>
      <name val="Calibri"/>
    </font>
    <font>
      <b/>
      <sz val="14.0"/>
      <color theme="1"/>
      <name val="Calibri"/>
    </font>
    <font>
      <b/>
      <u/>
      <sz val="14.0"/>
      <color theme="0"/>
      <name val="Calibri"/>
    </font>
    <font>
      <sz val="11.0"/>
      <color rgb="FF000000"/>
      <name val="Arial"/>
    </font>
  </fonts>
  <fills count="22">
    <fill>
      <patternFill patternType="none"/>
    </fill>
    <fill>
      <patternFill patternType="lightGray"/>
    </fill>
    <fill>
      <patternFill patternType="solid">
        <fgColor rgb="FF008000"/>
        <bgColor rgb="FF008000"/>
      </patternFill>
    </fill>
    <fill>
      <patternFill patternType="solid">
        <fgColor rgb="FFFFFFFF"/>
        <bgColor rgb="FFFFFFFF"/>
      </patternFill>
    </fill>
    <fill>
      <patternFill patternType="solid">
        <fgColor rgb="FF274E13"/>
        <bgColor rgb="FF274E13"/>
      </patternFill>
    </fill>
    <fill>
      <patternFill patternType="solid">
        <fgColor rgb="FFFF9900"/>
        <bgColor rgb="FFFF9900"/>
      </patternFill>
    </fill>
    <fill>
      <patternFill patternType="solid">
        <fgColor rgb="FF0B5394"/>
        <bgColor rgb="FF0B5394"/>
      </patternFill>
    </fill>
    <fill>
      <patternFill patternType="solid">
        <fgColor rgb="FFB6D7A8"/>
        <bgColor rgb="FFB6D7A8"/>
      </patternFill>
    </fill>
    <fill>
      <patternFill patternType="solid">
        <fgColor rgb="FFF6B26B"/>
        <bgColor rgb="FFF6B26B"/>
      </patternFill>
    </fill>
    <fill>
      <patternFill patternType="solid">
        <fgColor rgb="FF9FC5E8"/>
        <bgColor rgb="FF9FC5E8"/>
      </patternFill>
    </fill>
    <fill>
      <patternFill patternType="solid">
        <fgColor rgb="FF38761D"/>
        <bgColor rgb="FF38761D"/>
      </patternFill>
    </fill>
    <fill>
      <patternFill patternType="solid">
        <fgColor theme="0"/>
        <bgColor theme="0"/>
      </patternFill>
    </fill>
    <fill>
      <patternFill patternType="solid">
        <fgColor rgb="FFFFFF00"/>
        <bgColor rgb="FFFFFF00"/>
      </patternFill>
    </fill>
    <fill>
      <patternFill patternType="solid">
        <fgColor rgb="FFEFEFEF"/>
        <bgColor rgb="FFEFEFEF"/>
      </patternFill>
    </fill>
    <fill>
      <patternFill patternType="solid">
        <fgColor rgb="FFFF6D01"/>
        <bgColor rgb="FFFF6D01"/>
      </patternFill>
    </fill>
    <fill>
      <patternFill patternType="solid">
        <fgColor rgb="FF6AA84F"/>
        <bgColor rgb="FF6AA84F"/>
      </patternFill>
    </fill>
    <fill>
      <patternFill patternType="solid">
        <fgColor rgb="FFFBBC04"/>
        <bgColor rgb="FFFBBC04"/>
      </patternFill>
    </fill>
    <fill>
      <patternFill patternType="solid">
        <fgColor rgb="FFF3F3F3"/>
        <bgColor rgb="FFF3F3F3"/>
      </patternFill>
    </fill>
    <fill>
      <patternFill patternType="solid">
        <fgColor rgb="FFB7B7B7"/>
        <bgColor rgb="FFB7B7B7"/>
      </patternFill>
    </fill>
    <fill>
      <patternFill patternType="solid">
        <fgColor rgb="FFF9CB9C"/>
        <bgColor rgb="FFF9CB9C"/>
      </patternFill>
    </fill>
    <fill>
      <patternFill patternType="solid">
        <fgColor rgb="FF666666"/>
        <bgColor rgb="FF666666"/>
      </patternFill>
    </fill>
    <fill>
      <patternFill patternType="solid">
        <fgColor rgb="FFA4C2F4"/>
        <bgColor rgb="FFA4C2F4"/>
      </patternFill>
    </fill>
  </fills>
  <borders count="20">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8000"/>
      </left>
      <right style="thin">
        <color rgb="FF008000"/>
      </right>
      <top style="thin">
        <color rgb="FF008000"/>
      </top>
    </border>
    <border>
      <left style="thin">
        <color rgb="FF008000"/>
      </left>
      <right style="thin">
        <color rgb="FF008000"/>
      </right>
    </border>
    <border>
      <left style="thin">
        <color rgb="FF008000"/>
      </left>
      <right style="thin">
        <color rgb="FF008000"/>
      </right>
      <bottom style="thin">
        <color rgb="FF008000"/>
      </bottom>
    </border>
    <border>
      <left style="thin">
        <color rgb="FF008000"/>
      </left>
      <right style="thin">
        <color rgb="FF008000"/>
      </right>
      <top style="thin">
        <color rgb="FF008000"/>
      </top>
      <bottom style="thin">
        <color rgb="FF008000"/>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shrinkToFit="0" vertical="center" wrapText="1"/>
    </xf>
    <xf borderId="2" fillId="2" fontId="3" numFmtId="0" xfId="0" applyAlignment="1" applyBorder="1" applyFill="1" applyFont="1">
      <alignment horizontal="center" readingOrder="0" shrinkToFit="0" vertical="center" wrapText="0"/>
    </xf>
    <xf borderId="3" fillId="0" fontId="4" numFmtId="0" xfId="0" applyBorder="1" applyFont="1"/>
    <xf borderId="4" fillId="0" fontId="4" numFmtId="0" xfId="0" applyBorder="1" applyFont="1"/>
    <xf borderId="0" fillId="3" fontId="5" numFmtId="0" xfId="0" applyAlignment="1" applyFill="1" applyFont="1">
      <alignment horizontal="center" readingOrder="0" shrinkToFit="0" vertical="center" wrapText="0"/>
    </xf>
    <xf borderId="5" fillId="0" fontId="4" numFmtId="0" xfId="0" applyBorder="1" applyFont="1"/>
    <xf borderId="6" fillId="4" fontId="6"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1" fillId="4" fontId="3" numFmtId="0" xfId="0" applyAlignment="1" applyBorder="1" applyFill="1" applyFont="1">
      <alignment horizontal="center" shrinkToFit="0" vertical="center" wrapText="1"/>
    </xf>
    <xf borderId="6" fillId="5" fontId="7"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9" fillId="6" fontId="6" numFmtId="0" xfId="0" applyAlignment="1" applyBorder="1" applyFill="1" applyFont="1">
      <alignment horizontal="center" shrinkToFit="0" vertical="center" wrapText="1"/>
    </xf>
    <xf borderId="1" fillId="6" fontId="6" numFmtId="0" xfId="0" applyAlignment="1" applyBorder="1" applyFill="1" applyFont="1">
      <alignment horizontal="center" shrinkToFit="0" vertical="center" wrapText="1"/>
    </xf>
    <xf borderId="0" fillId="3" fontId="8" numFmtId="0" xfId="0" applyAlignment="1" applyFill="1" applyFont="1">
      <alignment horizontal="center" shrinkToFit="0" vertical="center" wrapText="1"/>
    </xf>
    <xf borderId="10" fillId="0" fontId="4" numFmtId="0" xfId="0" applyBorder="1" applyFont="1"/>
    <xf borderId="11" fillId="0" fontId="4" numFmtId="0" xfId="0" applyBorder="1" applyFont="1"/>
    <xf borderId="12" fillId="0" fontId="4" numFmtId="0" xfId="0" applyBorder="1" applyFont="1"/>
    <xf borderId="13" fillId="0" fontId="4" numFmtId="0" xfId="0" applyBorder="1" applyFont="1"/>
    <xf borderId="14" fillId="7" fontId="7" numFmtId="0" xfId="0" applyAlignment="1" applyBorder="1" applyFill="1" applyFont="1">
      <alignment horizontal="center" shrinkToFit="0" vertical="center" wrapText="1"/>
    </xf>
    <xf borderId="14" fillId="8" fontId="7" numFmtId="0" xfId="0" applyAlignment="1" applyBorder="1" applyFill="1" applyFont="1">
      <alignment horizontal="center" shrinkToFit="0" vertical="center" wrapText="1"/>
    </xf>
    <xf borderId="14" fillId="9" fontId="7" numFmtId="0" xfId="0" applyAlignment="1" applyBorder="1" applyFill="1" applyFont="1">
      <alignment horizontal="center" shrinkToFit="0" vertical="center" wrapText="1"/>
    </xf>
    <xf borderId="14" fillId="3" fontId="7" numFmtId="0" xfId="0" applyAlignment="1" applyBorder="1" applyFill="1" applyFont="1">
      <alignment horizontal="center" shrinkToFit="0" vertical="center" wrapText="1"/>
    </xf>
    <xf borderId="14" fillId="3" fontId="7" numFmtId="0" xfId="0" applyAlignment="1" applyBorder="1" applyFill="1" applyFont="1">
      <alignment horizontal="left" shrinkToFit="0" vertical="center" wrapText="1"/>
    </xf>
    <xf borderId="14" fillId="10" fontId="9" numFmtId="0" xfId="0" applyAlignment="1" applyBorder="1" applyFill="1" applyFont="1">
      <alignment horizontal="center" readingOrder="0" shrinkToFit="0" vertical="center" wrapText="1"/>
    </xf>
    <xf borderId="14" fillId="10" fontId="10" numFmtId="0" xfId="0" applyAlignment="1" applyBorder="1" applyFill="1" applyFont="1">
      <alignment horizontal="center" readingOrder="0" shrinkToFit="0" vertical="center" wrapText="1"/>
    </xf>
    <xf borderId="14" fillId="10" fontId="9" numFmtId="0" xfId="0" applyAlignment="1" applyBorder="1" applyFill="1" applyFont="1">
      <alignment horizontal="center" shrinkToFit="0" vertical="center" wrapText="1"/>
    </xf>
    <xf borderId="14" fillId="10" fontId="10" numFmtId="0" xfId="0" applyAlignment="1" applyBorder="1" applyFill="1" applyFont="1">
      <alignment horizontal="center" shrinkToFit="0" vertical="center" wrapText="1"/>
    </xf>
    <xf borderId="14" fillId="11" fontId="11" numFmtId="0" xfId="0" applyAlignment="1" applyBorder="1" applyFill="1" applyFont="1">
      <alignment horizontal="center" shrinkToFit="0" vertical="center" wrapText="0"/>
    </xf>
    <xf borderId="14" fillId="10" fontId="12" numFmtId="0" xfId="0" applyAlignment="1" applyBorder="1" applyFill="1" applyFont="1">
      <alignment horizontal="center" shrinkToFit="0" vertical="center" wrapText="1"/>
    </xf>
    <xf borderId="14" fillId="10" fontId="10" numFmtId="164" xfId="0" applyAlignment="1" applyBorder="1" applyFill="1" applyFont="1" applyNumberFormat="1">
      <alignment horizontal="center" shrinkToFit="0" vertical="center" wrapText="1"/>
    </xf>
    <xf borderId="14" fillId="4" fontId="6" numFmtId="0" xfId="0" applyAlignment="1" applyBorder="1" applyFill="1" applyFont="1">
      <alignment horizontal="center" shrinkToFit="0" vertical="center" wrapText="0"/>
    </xf>
    <xf borderId="14" fillId="10" fontId="9" numFmtId="164" xfId="0" applyAlignment="1" applyBorder="1" applyFill="1" applyFont="1" applyNumberFormat="1">
      <alignment horizontal="center" shrinkToFit="0" vertical="center" wrapText="1"/>
    </xf>
    <xf borderId="14" fillId="3" fontId="13" numFmtId="0" xfId="0" applyAlignment="1" applyBorder="1" applyFill="1" applyFont="1">
      <alignment horizontal="center" readingOrder="0" shrinkToFit="0" vertical="center" wrapText="1"/>
    </xf>
    <xf borderId="14" fillId="3" fontId="14" numFmtId="0" xfId="0" applyAlignment="1" applyBorder="1" applyFill="1" applyFont="1">
      <alignment horizontal="center" readingOrder="0" shrinkToFit="0" vertical="center" wrapText="1"/>
    </xf>
    <xf borderId="14" fillId="3" fontId="13" numFmtId="49" xfId="0" applyAlignment="1" applyBorder="1" applyFill="1" applyFont="1" applyNumberFormat="1">
      <alignment horizontal="center" readingOrder="0" shrinkToFit="0" vertical="center" wrapText="1"/>
    </xf>
    <xf borderId="14" fillId="3" fontId="14" numFmtId="49" xfId="0" applyAlignment="1" applyBorder="1" applyFill="1" applyFont="1" applyNumberFormat="1">
      <alignment horizontal="center" shrinkToFit="0" vertical="center" wrapText="1"/>
    </xf>
    <xf borderId="14" fillId="3" fontId="14" numFmtId="0" xfId="0" applyAlignment="1" applyBorder="1" applyFill="1" applyFont="1">
      <alignment horizontal="center" shrinkToFit="0" vertical="center" wrapText="1"/>
    </xf>
    <xf borderId="14" fillId="3" fontId="14" numFmtId="0" xfId="0" applyAlignment="1" applyBorder="1" applyFill="1" applyFont="1">
      <alignment horizontal="center" shrinkToFit="0" vertical="center" wrapText="1"/>
    </xf>
    <xf borderId="14" fillId="3" fontId="15" numFmtId="0" xfId="0" applyAlignment="1" applyBorder="1" applyFill="1" applyFont="1">
      <alignment horizontal="center" readingOrder="0" shrinkToFit="0" vertical="center" wrapText="1"/>
    </xf>
    <xf borderId="14" fillId="3" fontId="16" numFmtId="0" xfId="0" applyAlignment="1" applyBorder="1" applyFill="1" applyFont="1">
      <alignment horizontal="center" readingOrder="0" shrinkToFit="0" vertical="center" wrapText="1"/>
    </xf>
    <xf borderId="14" fillId="3" fontId="14" numFmtId="3" xfId="0" applyAlignment="1" applyBorder="1" applyFill="1" applyFont="1" applyNumberFormat="1">
      <alignment shrinkToFit="0" vertical="center" wrapText="1"/>
    </xf>
    <xf borderId="14" fillId="5" fontId="7" numFmtId="0" xfId="0" applyAlignment="1" applyBorder="1" applyFill="1" applyFont="1">
      <alignment horizontal="center" shrinkToFit="0" vertical="center" wrapText="0"/>
    </xf>
    <xf borderId="14" fillId="3" fontId="14" numFmtId="1" xfId="0" applyAlignment="1" applyBorder="1" applyFill="1" applyFont="1" applyNumberFormat="1">
      <alignment horizontal="center" shrinkToFit="0" vertical="center" wrapText="1"/>
    </xf>
    <xf borderId="14" fillId="3" fontId="13" numFmtId="165" xfId="0" applyAlignment="1" applyBorder="1" applyFill="1" applyFont="1" applyNumberFormat="1">
      <alignment horizontal="center" readingOrder="0" shrinkToFit="0" vertical="center" wrapText="1"/>
    </xf>
    <xf borderId="14" fillId="6" fontId="17" numFmtId="0" xfId="0" applyAlignment="1" applyBorder="1" applyFill="1" applyFont="1">
      <alignment horizontal="center" shrinkToFit="0" vertical="center" wrapText="0"/>
    </xf>
    <xf borderId="0" fillId="12" fontId="18" numFmtId="0" xfId="0" applyAlignment="1" applyFill="1" applyFont="1">
      <alignment horizontal="center" shrinkToFit="0" vertical="center" wrapText="0"/>
    </xf>
    <xf borderId="14" fillId="3" fontId="14" numFmtId="0" xfId="0" applyAlignment="1" applyBorder="1" applyFill="1" applyFont="1">
      <alignment shrinkToFit="0" vertical="center" wrapText="1"/>
    </xf>
    <xf borderId="14" fillId="3" fontId="14" numFmtId="166" xfId="0" applyAlignment="1" applyBorder="1" applyFill="1" applyFont="1" applyNumberFormat="1">
      <alignment horizontal="center" shrinkToFit="0" vertical="center" wrapText="1"/>
    </xf>
    <xf borderId="14" fillId="3" fontId="14" numFmtId="165" xfId="0" applyAlignment="1" applyBorder="1" applyFill="1" applyFont="1" applyNumberFormat="1">
      <alignment horizontal="center" shrinkToFit="0" vertical="center" wrapText="1"/>
    </xf>
    <xf borderId="14" fillId="3" fontId="13" numFmtId="0" xfId="0" applyAlignment="1" applyBorder="1" applyFill="1" applyFont="1">
      <alignment horizontal="center" shrinkToFit="0" vertical="center" wrapText="1"/>
    </xf>
    <xf borderId="14" fillId="3" fontId="14" numFmtId="49" xfId="0" applyAlignment="1" applyBorder="1" applyFill="1" applyFont="1" applyNumberFormat="1">
      <alignment horizontal="center" readingOrder="0" shrinkToFit="0" vertical="center" wrapText="1"/>
    </xf>
    <xf quotePrefix="1" borderId="14" fillId="3" fontId="14" numFmtId="0" xfId="0" applyAlignment="1" applyBorder="1" applyFill="1" applyFont="1">
      <alignment horizontal="center" shrinkToFit="0" vertical="center" wrapText="1"/>
    </xf>
    <xf borderId="14" fillId="3" fontId="14" numFmtId="165" xfId="0" applyAlignment="1" applyBorder="1" applyFill="1" applyFont="1" applyNumberFormat="1">
      <alignment shrinkToFit="0" vertical="center" wrapText="1"/>
    </xf>
    <xf borderId="14" fillId="3" fontId="14" numFmtId="3" xfId="0" applyAlignment="1" applyBorder="1" applyFill="1" applyFont="1" applyNumberFormat="1">
      <alignment horizontal="center" readingOrder="0" shrinkToFit="0" vertical="center" wrapText="1"/>
    </xf>
    <xf borderId="14" fillId="3" fontId="14" numFmtId="1" xfId="0" applyAlignment="1" applyBorder="1" applyFill="1" applyFont="1" applyNumberFormat="1">
      <alignment horizontal="center" readingOrder="0" shrinkToFit="0" vertical="center" wrapText="1"/>
    </xf>
    <xf borderId="14" fillId="3" fontId="14" numFmtId="165" xfId="0" applyAlignment="1" applyBorder="1" applyFill="1" applyFont="1" applyNumberFormat="1">
      <alignment horizontal="center" readingOrder="0" shrinkToFit="0" vertical="center" wrapText="1"/>
    </xf>
    <xf borderId="14" fillId="3" fontId="14" numFmtId="167" xfId="0" applyAlignment="1" applyBorder="1" applyFill="1" applyFont="1" applyNumberFormat="1">
      <alignment horizontal="center" readingOrder="0" shrinkToFit="0" vertical="center" wrapText="1"/>
    </xf>
    <xf borderId="14" fillId="3" fontId="14" numFmtId="3" xfId="0" applyAlignment="1" applyBorder="1" applyFill="1" applyFont="1" applyNumberFormat="1">
      <alignment horizontal="center" shrinkToFit="0" vertical="center" wrapText="1"/>
    </xf>
    <xf borderId="14" fillId="3" fontId="14" numFmtId="165" xfId="0" applyAlignment="1" applyBorder="1" applyFill="1" applyFont="1" applyNumberFormat="1">
      <alignment horizontal="center" shrinkToFit="0" vertical="center" wrapText="1"/>
    </xf>
    <xf borderId="14" fillId="3" fontId="19" numFmtId="0" xfId="0" applyAlignment="1" applyBorder="1" applyFill="1" applyFont="1">
      <alignment horizontal="center" shrinkToFit="0" vertical="center" wrapText="1"/>
    </xf>
    <xf borderId="14" fillId="3" fontId="20" numFmtId="1" xfId="0" applyAlignment="1" applyBorder="1" applyFill="1" applyFont="1" applyNumberFormat="1">
      <alignment horizontal="center" shrinkToFit="0" vertical="center" wrapText="1"/>
    </xf>
    <xf borderId="14" fillId="3" fontId="21" numFmtId="0" xfId="0" applyBorder="1" applyFill="1" applyFont="1"/>
    <xf borderId="14" fillId="3" fontId="14" numFmtId="167" xfId="0" applyAlignment="1" applyBorder="1" applyFill="1" applyFont="1" applyNumberFormat="1">
      <alignment horizontal="center" shrinkToFit="0" vertical="center" wrapText="1"/>
    </xf>
    <xf borderId="14" fillId="3" fontId="14" numFmtId="164" xfId="0" applyAlignment="1" applyBorder="1" applyFill="1" applyFont="1" applyNumberFormat="1">
      <alignment horizontal="center" shrinkToFit="0" vertical="center" wrapText="1"/>
    </xf>
    <xf borderId="14" fillId="3" fontId="14" numFmtId="164" xfId="0" applyAlignment="1" applyBorder="1" applyFill="1" applyFont="1" applyNumberFormat="1">
      <alignment horizontal="center" readingOrder="0" shrinkToFit="0" vertical="center" wrapText="1"/>
    </xf>
    <xf borderId="14" fillId="0" fontId="22" numFmtId="0" xfId="0" applyAlignment="1" applyBorder="1" applyFont="1">
      <alignment horizontal="center" readingOrder="0" shrinkToFit="0" vertical="center" wrapText="1"/>
    </xf>
    <xf borderId="14" fillId="0" fontId="21" numFmtId="0" xfId="0" applyBorder="1" applyFont="1"/>
    <xf borderId="14" fillId="3" fontId="16" numFmtId="0" xfId="0" applyAlignment="1" applyBorder="1" applyFill="1" applyFont="1">
      <alignment horizontal="center" shrinkToFit="0" vertical="center" wrapText="1"/>
    </xf>
    <xf borderId="14" fillId="3" fontId="7" numFmtId="0" xfId="0" applyAlignment="1" applyBorder="1" applyFill="1" applyFont="1">
      <alignment horizontal="center" readingOrder="0" shrinkToFit="0" vertical="center" wrapText="1"/>
    </xf>
    <xf borderId="14" fillId="3" fontId="7" numFmtId="0" xfId="0" applyAlignment="1" applyBorder="1" applyFill="1" applyFont="1">
      <alignment horizontal="left" readingOrder="0" shrinkToFit="0" vertical="center" wrapText="1"/>
    </xf>
    <xf borderId="14" fillId="3" fontId="13" numFmtId="165" xfId="0" applyAlignment="1" applyBorder="1" applyFill="1" applyFont="1" applyNumberFormat="1">
      <alignment horizontal="center" shrinkToFit="0" vertical="center" wrapText="1"/>
    </xf>
    <xf borderId="14" fillId="3" fontId="13" numFmtId="49" xfId="0" applyAlignment="1" applyBorder="1" applyFill="1" applyFont="1" applyNumberFormat="1">
      <alignment horizontal="center" readingOrder="0" shrinkToFit="0" vertical="center" wrapText="1"/>
    </xf>
    <xf borderId="2" fillId="13" fontId="7" numFmtId="0" xfId="0" applyAlignment="1" applyBorder="1" applyFill="1" applyFont="1">
      <alignment horizontal="left" shrinkToFit="0" vertical="center" wrapText="1"/>
    </xf>
    <xf borderId="14" fillId="7" fontId="7" numFmtId="0" xfId="0" applyAlignment="1" applyBorder="1" applyFill="1" applyFont="1">
      <alignment horizontal="center" shrinkToFit="0" vertical="center" wrapText="0"/>
    </xf>
    <xf borderId="14" fillId="3" fontId="13" numFmtId="49" xfId="0" applyAlignment="1" applyBorder="1" applyFill="1" applyFont="1" applyNumberFormat="1">
      <alignment horizontal="center" shrinkToFit="0" vertical="center" wrapText="1"/>
    </xf>
    <xf borderId="14" fillId="8" fontId="7" numFmtId="0" xfId="0" applyAlignment="1" applyBorder="1" applyFill="1" applyFont="1">
      <alignment horizontal="center" shrinkToFit="0" vertical="center" wrapText="0"/>
    </xf>
    <xf borderId="14" fillId="9" fontId="7" numFmtId="0" xfId="0" applyAlignment="1" applyBorder="1" applyFill="1" applyFont="1">
      <alignment horizontal="center" shrinkToFit="0" vertical="center" wrapText="0"/>
    </xf>
    <xf borderId="0" fillId="3" fontId="23" numFmtId="0" xfId="0" applyAlignment="1" applyFill="1" applyFont="1">
      <alignment horizontal="center" shrinkToFit="0" vertical="center" wrapText="0"/>
    </xf>
    <xf borderId="0" fillId="13" fontId="24" numFmtId="0" xfId="0" applyAlignment="1" applyFill="1" applyFont="1">
      <alignment horizontal="left" shrinkToFit="0" vertical="center" wrapText="1"/>
    </xf>
    <xf borderId="0" fillId="7" fontId="25" numFmtId="0" xfId="0" applyAlignment="1" applyFill="1" applyFont="1">
      <alignment horizontal="center" shrinkToFit="0" vertical="center" wrapText="0"/>
    </xf>
    <xf borderId="0" fillId="4" fontId="26" numFmtId="0" xfId="0" applyAlignment="1" applyFill="1" applyFont="1">
      <alignment horizontal="center" shrinkToFit="0" vertical="center" wrapText="0"/>
    </xf>
    <xf borderId="0" fillId="8" fontId="25" numFmtId="0" xfId="0" applyAlignment="1" applyFill="1" applyFont="1">
      <alignment horizontal="center" shrinkToFit="0" vertical="center" wrapText="0"/>
    </xf>
    <xf borderId="0" fillId="5" fontId="27" numFmtId="0" xfId="0" applyAlignment="1" applyFill="1" applyFont="1">
      <alignment horizontal="center" shrinkToFit="0" vertical="center" wrapText="0"/>
    </xf>
    <xf borderId="0" fillId="9" fontId="25" numFmtId="0" xfId="0" applyAlignment="1" applyFill="1" applyFont="1">
      <alignment horizontal="center" shrinkToFit="0" vertical="center" wrapText="0"/>
    </xf>
    <xf borderId="0" fillId="6" fontId="26" numFmtId="0" xfId="0" applyAlignment="1" applyFill="1" applyFont="1">
      <alignment horizontal="center" shrinkToFit="0" vertical="center" wrapText="0"/>
    </xf>
    <xf borderId="0" fillId="3" fontId="26" numFmtId="0" xfId="0" applyAlignment="1" applyFill="1" applyFont="1">
      <alignment horizontal="center" shrinkToFit="0" vertical="center" wrapText="0"/>
    </xf>
    <xf borderId="0" fillId="0" fontId="28" numFmtId="0" xfId="0" applyFont="1"/>
    <xf borderId="0" fillId="0" fontId="21" numFmtId="3" xfId="0" applyAlignment="1" applyFont="1" applyNumberFormat="1">
      <alignment readingOrder="0"/>
    </xf>
    <xf borderId="0" fillId="3" fontId="21" numFmtId="3" xfId="0" applyAlignment="1" applyFill="1" applyFont="1" applyNumberFormat="1">
      <alignment readingOrder="0"/>
    </xf>
    <xf borderId="0" fillId="3" fontId="21" numFmtId="0" xfId="0" applyFill="1" applyFont="1"/>
    <xf borderId="1" fillId="4" fontId="29" numFmtId="0" xfId="0" applyAlignment="1" applyBorder="1" applyFill="1" applyFont="1">
      <alignment horizontal="center" shrinkToFit="0" vertical="bottom" wrapText="1"/>
    </xf>
    <xf borderId="3" fillId="4" fontId="29" numFmtId="0" xfId="0" applyAlignment="1" applyBorder="1" applyFill="1" applyFont="1">
      <alignment horizontal="center" shrinkToFit="0" vertical="bottom" wrapText="1"/>
    </xf>
    <xf borderId="3" fillId="14" fontId="29" numFmtId="0" xfId="0" applyAlignment="1" applyBorder="1" applyFill="1" applyFont="1">
      <alignment horizontal="center" shrinkToFit="0" vertical="bottom" wrapText="1"/>
    </xf>
    <xf borderId="15" fillId="15" fontId="29" numFmtId="0" xfId="0" applyAlignment="1" applyBorder="1" applyFill="1" applyFont="1">
      <alignment horizontal="center" shrinkToFit="0" vertical="bottom" wrapText="1"/>
    </xf>
    <xf borderId="15" fillId="16" fontId="29" numFmtId="0" xfId="0" applyAlignment="1" applyBorder="1" applyFill="1" applyFont="1">
      <alignment horizontal="center" shrinkToFit="0" vertical="bottom" wrapText="1"/>
    </xf>
    <xf borderId="0" fillId="0" fontId="21" numFmtId="0" xfId="0" applyAlignment="1" applyFont="1">
      <alignment readingOrder="0"/>
    </xf>
    <xf borderId="0" fillId="0" fontId="21" numFmtId="0" xfId="0" applyFont="1"/>
    <xf borderId="13" fillId="0" fontId="30" numFmtId="0" xfId="0" applyAlignment="1" applyBorder="1" applyFont="1">
      <alignment horizontal="center" shrinkToFit="0" vertical="bottom" wrapText="1"/>
    </xf>
    <xf borderId="12" fillId="0" fontId="31" numFmtId="0" xfId="0" applyAlignment="1" applyBorder="1" applyFont="1">
      <alignment vertical="bottom"/>
    </xf>
    <xf borderId="14" fillId="3" fontId="13" numFmtId="168" xfId="0" applyAlignment="1" applyBorder="1" applyFill="1" applyFont="1" applyNumberFormat="1">
      <alignment horizontal="center" shrinkToFit="0" vertical="center" wrapText="1"/>
    </xf>
    <xf borderId="14" fillId="3" fontId="30" numFmtId="0" xfId="0" applyAlignment="1" applyBorder="1" applyFill="1" applyFont="1">
      <alignment horizontal="center" shrinkToFit="0" vertical="center" wrapText="1"/>
    </xf>
    <xf borderId="14" fillId="3" fontId="31" numFmtId="0" xfId="0" applyAlignment="1" applyBorder="1" applyFill="1" applyFont="1">
      <alignment horizontal="center" shrinkToFit="0" vertical="center" wrapText="1"/>
    </xf>
    <xf borderId="14" fillId="3" fontId="30" numFmtId="0" xfId="0" applyAlignment="1" applyBorder="1" applyFill="1" applyFont="1">
      <alignment horizontal="center" shrinkToFit="0" vertical="center" wrapText="1"/>
    </xf>
    <xf borderId="14" fillId="3" fontId="32" numFmtId="0" xfId="0" applyAlignment="1" applyBorder="1" applyFill="1" applyFont="1">
      <alignment horizontal="center" shrinkToFit="0" vertical="center" wrapText="1"/>
    </xf>
    <xf borderId="14" fillId="3" fontId="31" numFmtId="3" xfId="0" applyAlignment="1" applyBorder="1" applyFill="1" applyFont="1" applyNumberFormat="1">
      <alignment horizontal="center" shrinkToFit="0" vertical="center" wrapText="1"/>
    </xf>
    <xf borderId="14" fillId="3" fontId="30" numFmtId="1" xfId="0" applyAlignment="1" applyBorder="1" applyFill="1" applyFont="1" applyNumberFormat="1">
      <alignment horizontal="center" shrinkToFit="0" vertical="center" wrapText="1"/>
    </xf>
    <xf borderId="14" fillId="3" fontId="31" numFmtId="165" xfId="0" applyAlignment="1" applyBorder="1" applyFill="1" applyFont="1" applyNumberFormat="1">
      <alignment horizontal="center" shrinkToFit="0" vertical="center" wrapText="1"/>
    </xf>
    <xf borderId="14" fillId="3" fontId="31" numFmtId="0" xfId="0" applyAlignment="1" applyBorder="1" applyFill="1" applyFont="1">
      <alignment horizontal="center" shrinkToFit="0" vertical="center" wrapText="1"/>
    </xf>
    <xf borderId="14" fillId="3" fontId="30" numFmtId="165" xfId="0" applyAlignment="1" applyBorder="1" applyFill="1" applyFont="1" applyNumberFormat="1">
      <alignment horizontal="center" shrinkToFit="0" vertical="center" wrapText="1"/>
    </xf>
    <xf borderId="14" fillId="3" fontId="33" numFmtId="0" xfId="0" applyAlignment="1" applyBorder="1" applyFill="1" applyFont="1">
      <alignment horizontal="center" readingOrder="0" shrinkToFit="0" vertical="center" wrapText="1"/>
    </xf>
    <xf borderId="14" fillId="17" fontId="21" numFmtId="0" xfId="0" applyBorder="1" applyFill="1" applyFont="1"/>
    <xf borderId="14" fillId="17" fontId="31" numFmtId="165" xfId="0" applyAlignment="1" applyBorder="1" applyFill="1" applyFont="1" applyNumberFormat="1">
      <alignment horizontal="center" shrinkToFit="0" vertical="center" wrapText="1"/>
    </xf>
    <xf borderId="14" fillId="17" fontId="31" numFmtId="165" xfId="0" applyBorder="1" applyFill="1" applyFont="1" applyNumberFormat="1"/>
    <xf borderId="14" fillId="3" fontId="31" numFmtId="165" xfId="0" applyBorder="1" applyFill="1" applyFont="1" applyNumberFormat="1"/>
    <xf borderId="14" fillId="3" fontId="34" numFmtId="0" xfId="0" applyAlignment="1" applyBorder="1" applyFill="1" applyFont="1">
      <alignment horizontal="center" readingOrder="0" shrinkToFit="0" vertical="center" wrapText="1"/>
    </xf>
    <xf borderId="14" fillId="3" fontId="14" numFmtId="0" xfId="0" applyAlignment="1" applyBorder="1" applyFill="1" applyFont="1">
      <alignment readingOrder="0" shrinkToFit="0" vertical="center" wrapText="1"/>
    </xf>
    <xf borderId="0" fillId="3" fontId="35" numFmtId="0" xfId="0" applyAlignment="1" applyFill="1" applyFont="1">
      <alignment horizontal="center" shrinkToFit="0" vertical="center" wrapText="1"/>
    </xf>
    <xf borderId="1" fillId="2" fontId="35" numFmtId="0" xfId="0" applyAlignment="1" applyBorder="1" applyFill="1" applyFont="1">
      <alignment horizontal="center" shrinkToFit="0" vertical="center" wrapText="1"/>
    </xf>
    <xf borderId="8" fillId="2" fontId="35" numFmtId="0" xfId="0" applyAlignment="1" applyBorder="1" applyFill="1" applyFont="1">
      <alignment horizontal="center" shrinkToFit="0" vertical="center" wrapText="1"/>
    </xf>
    <xf borderId="3" fillId="2" fontId="36" numFmtId="3" xfId="0" applyAlignment="1" applyBorder="1" applyFill="1" applyFont="1" applyNumberFormat="1">
      <alignment horizontal="center" readingOrder="0" shrinkToFit="0" vertical="center" wrapText="1"/>
    </xf>
    <xf borderId="0" fillId="0" fontId="37" numFmtId="0" xfId="0" applyFont="1"/>
    <xf borderId="15" fillId="0" fontId="4" numFmtId="0" xfId="0" applyBorder="1" applyFont="1"/>
    <xf borderId="0" fillId="4" fontId="35" numFmtId="3" xfId="0" applyAlignment="1" applyFill="1" applyFont="1" applyNumberFormat="1">
      <alignment horizontal="center" shrinkToFit="0" vertical="center" wrapText="1"/>
    </xf>
    <xf borderId="15" fillId="4" fontId="35" numFmtId="3" xfId="0" applyAlignment="1" applyBorder="1" applyFill="1" applyFont="1" applyNumberFormat="1">
      <alignment horizontal="center" shrinkToFit="0" vertical="center" wrapText="1"/>
    </xf>
    <xf borderId="0" fillId="5" fontId="38" numFmtId="3" xfId="0" applyAlignment="1" applyFill="1" applyFont="1" applyNumberFormat="1">
      <alignment horizontal="center" shrinkToFit="0" vertical="center" wrapText="1"/>
    </xf>
    <xf borderId="15" fillId="5" fontId="38" numFmtId="3" xfId="0" applyAlignment="1" applyBorder="1" applyFill="1" applyFont="1" applyNumberFormat="1">
      <alignment horizontal="center" shrinkToFit="0" vertical="center" wrapText="1"/>
    </xf>
    <xf borderId="0" fillId="6" fontId="35" numFmtId="3" xfId="0" applyAlignment="1" applyFill="1" applyFont="1" applyNumberFormat="1">
      <alignment horizontal="center" shrinkToFit="0" vertical="center" wrapText="1"/>
    </xf>
    <xf borderId="15" fillId="6" fontId="39" numFmtId="3" xfId="0" applyAlignment="1" applyBorder="1" applyFill="1" applyFont="1" applyNumberFormat="1">
      <alignment horizontal="center" shrinkToFit="0" vertical="center" wrapText="1"/>
    </xf>
    <xf borderId="14" fillId="3" fontId="22" numFmtId="0" xfId="0" applyAlignment="1" applyBorder="1" applyFill="1" applyFont="1">
      <alignment horizontal="center" readingOrder="0" shrinkToFit="0" vertical="center" wrapText="1"/>
    </xf>
    <xf borderId="12" fillId="7" fontId="38" numFmtId="3" xfId="0" applyAlignment="1" applyBorder="1" applyFill="1" applyFont="1" applyNumberFormat="1">
      <alignment horizontal="center" shrinkToFit="0" vertical="center" wrapText="1"/>
    </xf>
    <xf borderId="12" fillId="8" fontId="38" numFmtId="3" xfId="0" applyAlignment="1" applyBorder="1" applyFill="1" applyFont="1" applyNumberFormat="1">
      <alignment horizontal="center" shrinkToFit="0" vertical="center" wrapText="1"/>
    </xf>
    <xf borderId="12" fillId="9" fontId="38" numFmtId="3" xfId="0" applyAlignment="1" applyBorder="1" applyFill="1" applyFont="1" applyNumberFormat="1">
      <alignment horizontal="center" shrinkToFit="0" vertical="center" wrapText="1"/>
    </xf>
    <xf borderId="13" fillId="0" fontId="38" numFmtId="0" xfId="0" applyAlignment="1" applyBorder="1" applyFont="1">
      <alignment horizontal="left" shrinkToFit="0" vertical="center" wrapText="1"/>
    </xf>
    <xf borderId="12" fillId="0" fontId="38" numFmtId="0" xfId="0" applyAlignment="1" applyBorder="1" applyFont="1">
      <alignment horizontal="left" shrinkToFit="0" vertical="center" wrapText="1"/>
    </xf>
    <xf borderId="14" fillId="3" fontId="14" numFmtId="0" xfId="0" applyAlignment="1" applyBorder="1" applyFill="1" applyFont="1">
      <alignment horizontal="center" shrinkToFit="0" vertical="center" wrapText="1"/>
    </xf>
    <xf borderId="14" fillId="3" fontId="14" numFmtId="165" xfId="0" applyAlignment="1" applyBorder="1" applyFill="1" applyFont="1" applyNumberFormat="1">
      <alignment horizontal="center" readingOrder="0" shrinkToFit="0" vertical="center" wrapText="1"/>
    </xf>
    <xf borderId="12" fillId="3" fontId="37" numFmtId="3" xfId="0" applyAlignment="1" applyBorder="1" applyFill="1" applyFont="1" applyNumberFormat="1">
      <alignment horizontal="center" shrinkToFit="0" vertical="center" wrapText="1"/>
    </xf>
    <xf borderId="12" fillId="4" fontId="40" numFmtId="3" xfId="0" applyAlignment="1" applyBorder="1" applyFill="1" applyFont="1" applyNumberFormat="1">
      <alignment horizontal="center" shrinkToFit="0" vertical="center" wrapText="1"/>
    </xf>
    <xf borderId="14" fillId="3" fontId="41" numFmtId="0" xfId="0" applyAlignment="1" applyBorder="1" applyFill="1" applyFont="1">
      <alignment horizontal="center" readingOrder="0" shrinkToFit="0" vertical="center" wrapText="1"/>
    </xf>
    <xf borderId="14" fillId="3" fontId="14" numFmtId="169" xfId="0" applyAlignment="1" applyBorder="1" applyFill="1" applyFont="1" applyNumberFormat="1">
      <alignment horizontal="center" readingOrder="0" shrinkToFit="0" vertical="center" wrapText="1"/>
    </xf>
    <xf borderId="12" fillId="5" fontId="40" numFmtId="3" xfId="0" applyAlignment="1" applyBorder="1" applyFill="1" applyFont="1" applyNumberFormat="1">
      <alignment horizontal="center" shrinkToFit="0" vertical="center" wrapText="1"/>
    </xf>
    <xf borderId="12" fillId="3" fontId="37" numFmtId="3" xfId="0" applyAlignment="1" applyBorder="1" applyFill="1" applyFont="1" applyNumberFormat="1">
      <alignment horizontal="center" readingOrder="0" shrinkToFit="0" vertical="center" wrapText="1"/>
    </xf>
    <xf borderId="12" fillId="6" fontId="40" numFmtId="3" xfId="0" applyAlignment="1" applyBorder="1" applyFill="1" applyFont="1" applyNumberFormat="1">
      <alignment horizontal="center" shrinkToFit="0" vertical="center" wrapText="1"/>
    </xf>
    <xf borderId="14" fillId="3" fontId="14" numFmtId="166" xfId="0" applyAlignment="1" applyBorder="1" applyFill="1" applyFont="1" applyNumberFormat="1">
      <alignment horizontal="center" readingOrder="0" shrinkToFit="0" vertical="center" wrapText="1"/>
    </xf>
    <xf borderId="14" fillId="3" fontId="42" numFmtId="0" xfId="0" applyAlignment="1" applyBorder="1" applyFill="1" applyFont="1">
      <alignment horizontal="center" shrinkToFit="0" vertical="center" wrapText="1"/>
    </xf>
    <xf borderId="14" fillId="3" fontId="43" numFmtId="1" xfId="0" applyAlignment="1" applyBorder="1" applyFill="1" applyFont="1" applyNumberFormat="1">
      <alignment horizontal="center" readingOrder="0" shrinkToFit="0" vertical="center" wrapText="1"/>
    </xf>
    <xf borderId="13" fillId="0" fontId="38" numFmtId="0" xfId="0" applyAlignment="1" applyBorder="1" applyFont="1">
      <alignment horizontal="left" readingOrder="0" shrinkToFit="0" vertical="center" wrapText="1"/>
    </xf>
    <xf borderId="12" fillId="0" fontId="38" numFmtId="0" xfId="0" applyAlignment="1" applyBorder="1" applyFont="1">
      <alignment horizontal="left" readingOrder="0" shrinkToFit="0" vertical="center" wrapText="1"/>
    </xf>
    <xf borderId="14" fillId="3" fontId="44" numFmtId="165" xfId="0" applyAlignment="1" applyBorder="1" applyFill="1" applyFont="1" applyNumberFormat="1">
      <alignment horizontal="center" readingOrder="0" shrinkToFit="0" vertical="center" wrapText="1"/>
    </xf>
    <xf borderId="14" fillId="3" fontId="13" numFmtId="167" xfId="0" applyAlignment="1" applyBorder="1" applyFill="1" applyFont="1" applyNumberFormat="1">
      <alignment horizontal="center" readingOrder="0" shrinkToFit="0" vertical="center" wrapText="1"/>
    </xf>
    <xf borderId="10" fillId="13" fontId="38" numFmtId="0" xfId="0" applyAlignment="1" applyBorder="1" applyFill="1" applyFont="1">
      <alignment horizontal="left" shrinkToFit="0" vertical="center" wrapText="1"/>
    </xf>
    <xf borderId="12" fillId="7" fontId="45" numFmtId="3" xfId="0" applyAlignment="1" applyBorder="1" applyFill="1" applyFont="1" applyNumberFormat="1">
      <alignment horizontal="center" shrinkToFit="0" vertical="center" wrapText="1"/>
    </xf>
    <xf borderId="12" fillId="4" fontId="46" numFmtId="3" xfId="0" applyAlignment="1" applyBorder="1" applyFill="1" applyFont="1" applyNumberFormat="1">
      <alignment horizontal="center" shrinkToFit="0" vertical="center" wrapText="1"/>
    </xf>
    <xf borderId="12" fillId="8" fontId="45" numFmtId="3" xfId="0" applyAlignment="1" applyBorder="1" applyFill="1" applyFont="1" applyNumberFormat="1">
      <alignment horizontal="center" shrinkToFit="0" vertical="center" wrapText="1"/>
    </xf>
    <xf borderId="12" fillId="5" fontId="46" numFmtId="3" xfId="0" applyAlignment="1" applyBorder="1" applyFill="1" applyFont="1" applyNumberFormat="1">
      <alignment horizontal="center" shrinkToFit="0" vertical="center" wrapText="1"/>
    </xf>
    <xf borderId="12" fillId="9" fontId="45" numFmtId="3" xfId="0" applyAlignment="1" applyBorder="1" applyFill="1" applyFont="1" applyNumberFormat="1">
      <alignment horizontal="center" shrinkToFit="0" vertical="center" wrapText="1"/>
    </xf>
    <xf borderId="12" fillId="6" fontId="46" numFmtId="3" xfId="0" applyAlignment="1" applyBorder="1" applyFill="1" applyFont="1" applyNumberFormat="1">
      <alignment horizontal="center" shrinkToFit="0" vertical="center" wrapText="1"/>
    </xf>
    <xf borderId="0" fillId="0" fontId="37" numFmtId="0" xfId="0" applyAlignment="1" applyFont="1">
      <alignment horizontal="left"/>
    </xf>
    <xf borderId="14" fillId="3" fontId="13" numFmtId="165" xfId="0" applyAlignment="1" applyBorder="1" applyFill="1" applyFont="1" applyNumberFormat="1">
      <alignment horizontal="center" readingOrder="0" shrinkToFit="0" vertical="center" wrapText="1"/>
    </xf>
    <xf borderId="14" fillId="3" fontId="47" numFmtId="1" xfId="0" applyAlignment="1" applyBorder="1" applyFill="1" applyFont="1" applyNumberFormat="1">
      <alignment horizontal="center" readingOrder="0" shrinkToFit="0" vertical="center" wrapText="1"/>
    </xf>
    <xf borderId="14" fillId="3" fontId="14" numFmtId="170" xfId="0" applyAlignment="1" applyBorder="1" applyFill="1" applyFont="1" applyNumberFormat="1">
      <alignment horizontal="center" readingOrder="0" shrinkToFit="0" vertical="center" wrapText="1"/>
    </xf>
    <xf borderId="14" fillId="3" fontId="48" numFmtId="1" xfId="0" applyAlignment="1" applyBorder="1" applyFill="1" applyFont="1" applyNumberFormat="1">
      <alignment horizontal="center" readingOrder="0" shrinkToFit="0" vertical="center" wrapText="1"/>
    </xf>
    <xf borderId="14" fillId="3" fontId="22" numFmtId="167" xfId="0" applyAlignment="1" applyBorder="1" applyFill="1" applyFont="1" applyNumberFormat="1">
      <alignment horizontal="center" shrinkToFit="0" vertical="center" wrapText="1"/>
    </xf>
    <xf borderId="14" fillId="3" fontId="13" numFmtId="166" xfId="0" applyAlignment="1" applyBorder="1" applyFill="1" applyFont="1" applyNumberFormat="1">
      <alignment horizontal="center" readingOrder="0" shrinkToFit="0" vertical="center" wrapText="1"/>
    </xf>
    <xf borderId="14" fillId="3" fontId="21" numFmtId="0" xfId="0" applyAlignment="1" applyBorder="1" applyFill="1" applyFont="1">
      <alignment readingOrder="0"/>
    </xf>
    <xf borderId="1" fillId="2" fontId="49" numFmtId="0" xfId="0" applyAlignment="1" applyBorder="1" applyFill="1" applyFont="1">
      <alignment horizontal="left" readingOrder="0" shrinkToFit="0" vertical="center" wrapText="1"/>
    </xf>
    <xf borderId="2" fillId="2" fontId="5" numFmtId="3" xfId="0" applyAlignment="1" applyBorder="1" applyFill="1" applyFont="1" applyNumberFormat="1">
      <alignment horizontal="center" readingOrder="0" shrinkToFit="0" vertical="center" wrapText="1"/>
    </xf>
    <xf borderId="6" fillId="4" fontId="50" numFmtId="3" xfId="0" applyAlignment="1" applyBorder="1" applyFill="1" applyFont="1" applyNumberFormat="1">
      <alignment horizontal="center" shrinkToFit="0" vertical="center" wrapText="1"/>
    </xf>
    <xf borderId="1" fillId="4" fontId="51" numFmtId="3" xfId="0" applyAlignment="1" applyBorder="1" applyFill="1" applyFont="1" applyNumberFormat="1">
      <alignment horizontal="center" shrinkToFit="0" vertical="center" wrapText="1"/>
    </xf>
    <xf borderId="6" fillId="5" fontId="52" numFmtId="3" xfId="0" applyAlignment="1" applyBorder="1" applyFill="1" applyFont="1" applyNumberFormat="1">
      <alignment horizontal="center" shrinkToFit="0" vertical="center" wrapText="1"/>
    </xf>
    <xf borderId="1" fillId="5" fontId="52" numFmtId="3" xfId="0" applyAlignment="1" applyBorder="1" applyFill="1" applyFont="1" applyNumberFormat="1">
      <alignment horizontal="center" shrinkToFit="0" vertical="center" wrapText="1"/>
    </xf>
    <xf borderId="9" fillId="6" fontId="50" numFmtId="3" xfId="0" applyAlignment="1" applyBorder="1" applyFill="1" applyFont="1" applyNumberFormat="1">
      <alignment horizontal="center" shrinkToFit="0" vertical="center" wrapText="1"/>
    </xf>
    <xf borderId="1" fillId="6" fontId="50" numFmtId="3" xfId="0" applyAlignment="1" applyBorder="1" applyFill="1" applyFont="1" applyNumberFormat="1">
      <alignment horizontal="center" shrinkToFit="0" vertical="center" wrapText="1"/>
    </xf>
    <xf borderId="14" fillId="7" fontId="52" numFmtId="3" xfId="0" applyAlignment="1" applyBorder="1" applyFill="1" applyFont="1" applyNumberFormat="1">
      <alignment horizontal="center" shrinkToFit="0" vertical="center" wrapText="1"/>
    </xf>
    <xf borderId="14" fillId="8" fontId="52" numFmtId="3" xfId="0" applyAlignment="1" applyBorder="1" applyFill="1" applyFont="1" applyNumberFormat="1">
      <alignment horizontal="center" shrinkToFit="0" vertical="center" wrapText="1"/>
    </xf>
    <xf borderId="14" fillId="9" fontId="52" numFmtId="3" xfId="0" applyAlignment="1" applyBorder="1" applyFill="1" applyFont="1" applyNumberFormat="1">
      <alignment horizontal="center" shrinkToFit="0" vertical="center" wrapText="1"/>
    </xf>
    <xf borderId="1" fillId="0" fontId="25" numFmtId="0" xfId="0" applyAlignment="1" applyBorder="1" applyFont="1">
      <alignment horizontal="left" shrinkToFit="0" vertical="center" wrapText="1"/>
    </xf>
    <xf borderId="14" fillId="0" fontId="25" numFmtId="0" xfId="0" applyAlignment="1" applyBorder="1" applyFont="1">
      <alignment horizontal="left" readingOrder="0" shrinkToFit="0" vertical="center" wrapText="1"/>
    </xf>
    <xf borderId="14" fillId="11" fontId="53" numFmtId="3" xfId="0" applyAlignment="1" applyBorder="1" applyFill="1" applyFont="1" applyNumberFormat="1">
      <alignment horizontal="center" shrinkToFit="0" vertical="center" wrapText="1"/>
    </xf>
    <xf borderId="14" fillId="4" fontId="50" numFmtId="3" xfId="0" applyAlignment="1" applyBorder="1" applyFill="1" applyFont="1" applyNumberFormat="1">
      <alignment horizontal="center" shrinkToFit="0" vertical="center" wrapText="1"/>
    </xf>
    <xf borderId="14" fillId="5" fontId="52" numFmtId="3" xfId="0" applyAlignment="1" applyBorder="1" applyFill="1" applyFont="1" applyNumberFormat="1">
      <alignment horizontal="center" shrinkToFit="0" vertical="center" wrapText="1"/>
    </xf>
    <xf borderId="14" fillId="6" fontId="50" numFmtId="3" xfId="0" applyAlignment="1" applyBorder="1" applyFill="1" applyFont="1" applyNumberFormat="1">
      <alignment horizontal="center" shrinkToFit="0" vertical="center" wrapText="1"/>
    </xf>
    <xf borderId="2" fillId="18" fontId="25" numFmtId="0" xfId="0" applyAlignment="1" applyBorder="1" applyFill="1" applyFont="1">
      <alignment horizontal="left" readingOrder="0" shrinkToFit="0" vertical="center" wrapText="1"/>
    </xf>
    <xf borderId="14" fillId="19" fontId="52" numFmtId="3" xfId="0" applyAlignment="1" applyBorder="1" applyFill="1" applyFont="1" applyNumberFormat="1">
      <alignment horizontal="center" shrinkToFit="0" vertical="center" wrapText="1"/>
    </xf>
    <xf borderId="14" fillId="3" fontId="13" numFmtId="164" xfId="0" applyAlignment="1" applyBorder="1" applyFill="1" applyFont="1" applyNumberFormat="1">
      <alignment horizontal="center" shrinkToFit="0" vertical="center" wrapText="1"/>
    </xf>
    <xf borderId="14" fillId="3" fontId="22" numFmtId="1" xfId="0" applyAlignment="1" applyBorder="1" applyFill="1" applyFont="1" applyNumberFormat="1">
      <alignment horizontal="center" readingOrder="0" shrinkToFit="0" vertical="center" wrapText="1"/>
    </xf>
    <xf borderId="14" fillId="3" fontId="22" numFmtId="167" xfId="0" applyAlignment="1" applyBorder="1" applyFill="1" applyFont="1" applyNumberFormat="1">
      <alignment horizontal="center" readingOrder="0" shrinkToFit="0" vertical="center" wrapText="1"/>
    </xf>
    <xf borderId="14" fillId="3" fontId="22" numFmtId="0" xfId="0" applyAlignment="1" applyBorder="1" applyFill="1" applyFont="1">
      <alignment horizontal="center" shrinkToFit="0" vertical="center" wrapText="1"/>
    </xf>
    <xf borderId="14" fillId="11" fontId="53" numFmtId="3" xfId="0" applyAlignment="1" applyBorder="1" applyFill="1" applyFont="1" applyNumberFormat="1">
      <alignment horizontal="center" readingOrder="0" shrinkToFit="0" vertical="center" wrapText="1"/>
    </xf>
    <xf borderId="14" fillId="3" fontId="53" numFmtId="3" xfId="0" applyAlignment="1" applyBorder="1" applyFill="1" applyFont="1" applyNumberFormat="1">
      <alignment horizontal="center" shrinkToFit="0" vertical="center" wrapText="1"/>
    </xf>
    <xf borderId="14" fillId="4" fontId="51" numFmtId="3" xfId="0" applyAlignment="1" applyBorder="1" applyFill="1" applyFont="1" applyNumberFormat="1">
      <alignment horizontal="center" shrinkToFit="0" vertical="center" wrapText="1"/>
    </xf>
    <xf borderId="14" fillId="0" fontId="53" numFmtId="3" xfId="0" applyAlignment="1" applyBorder="1" applyFont="1" applyNumberFormat="1">
      <alignment horizontal="center" shrinkToFit="0" vertical="center" wrapText="1"/>
    </xf>
    <xf borderId="14" fillId="3" fontId="54" numFmtId="0" xfId="0" applyAlignment="1" applyBorder="1" applyFill="1" applyFont="1">
      <alignment horizontal="center" readingOrder="0" shrinkToFit="0" vertical="center" wrapText="1"/>
    </xf>
    <xf borderId="14" fillId="3" fontId="22" numFmtId="3" xfId="0" applyAlignment="1" applyBorder="1" applyFill="1" applyFont="1" applyNumberFormat="1">
      <alignment horizontal="center" readingOrder="0" shrinkToFit="0" vertical="center" wrapText="1"/>
    </xf>
    <xf borderId="2" fillId="18" fontId="24" numFmtId="0" xfId="0" applyAlignment="1" applyBorder="1" applyFill="1" applyFont="1">
      <alignment horizontal="left" readingOrder="0" shrinkToFit="0" vertical="center" wrapText="1"/>
    </xf>
    <xf borderId="14" fillId="3" fontId="22" numFmtId="165" xfId="0" applyAlignment="1" applyBorder="1" applyFill="1" applyFont="1" applyNumberFormat="1">
      <alignment horizontal="center" readingOrder="0" shrinkToFit="0" vertical="center" wrapText="1"/>
    </xf>
    <xf borderId="14" fillId="3" fontId="22" numFmtId="166" xfId="0" applyAlignment="1" applyBorder="1" applyFill="1" applyFont="1" applyNumberFormat="1">
      <alignment horizontal="center" readingOrder="0" shrinkToFit="0" vertical="center" wrapText="1"/>
    </xf>
    <xf borderId="14" fillId="3" fontId="22" numFmtId="165" xfId="0" applyAlignment="1" applyBorder="1" applyFill="1" applyFont="1" applyNumberFormat="1">
      <alignment horizontal="center" shrinkToFit="0" vertical="center" wrapText="1"/>
    </xf>
    <xf borderId="2" fillId="20" fontId="49" numFmtId="0" xfId="0" applyAlignment="1" applyBorder="1" applyFill="1" applyFont="1">
      <alignment horizontal="left" readingOrder="0" shrinkToFit="0" vertical="center" wrapText="1"/>
    </xf>
    <xf borderId="14" fillId="4" fontId="55" numFmtId="3" xfId="0" applyAlignment="1" applyBorder="1" applyFill="1" applyFont="1" applyNumberFormat="1">
      <alignment horizontal="center" shrinkToFit="0" vertical="center" wrapText="0"/>
    </xf>
    <xf borderId="14" fillId="4" fontId="56" numFmtId="3" xfId="0" applyAlignment="1" applyBorder="1" applyFill="1" applyFont="1" applyNumberFormat="1">
      <alignment horizontal="center" shrinkToFit="0" vertical="center" wrapText="0"/>
    </xf>
    <xf borderId="14" fillId="5" fontId="25" numFmtId="3" xfId="0" applyAlignment="1" applyBorder="1" applyFill="1" applyFont="1" applyNumberFormat="1">
      <alignment horizontal="center" shrinkToFit="0" vertical="center" wrapText="0"/>
    </xf>
    <xf borderId="14" fillId="3" fontId="22" numFmtId="1" xfId="0" applyAlignment="1" applyBorder="1" applyFill="1" applyFont="1" applyNumberFormat="1">
      <alignment horizontal="center" shrinkToFit="0" vertical="center" wrapText="1"/>
    </xf>
    <xf borderId="14" fillId="6" fontId="55" numFmtId="3" xfId="0" applyAlignment="1" applyBorder="1" applyFill="1" applyFont="1" applyNumberFormat="1">
      <alignment horizontal="center" shrinkToFit="0" vertical="center" wrapText="0"/>
    </xf>
    <xf borderId="1" fillId="2" fontId="57" numFmtId="0" xfId="0" applyAlignment="1" applyBorder="1" applyFill="1" applyFont="1">
      <alignment horizontal="left" shrinkToFit="0" vertical="center" wrapText="1"/>
    </xf>
    <xf borderId="14" fillId="3" fontId="13" numFmtId="0" xfId="0" applyAlignment="1" applyBorder="1" applyFill="1" applyFont="1">
      <alignment horizontal="center" readingOrder="0" shrinkToFit="0" vertical="center" wrapText="1"/>
    </xf>
    <xf borderId="14" fillId="0" fontId="25" numFmtId="0" xfId="0" applyAlignment="1" applyBorder="1" applyFont="1">
      <alignment horizontal="left" shrinkToFit="0" vertical="center" wrapText="1"/>
    </xf>
    <xf borderId="14" fillId="3" fontId="13" numFmtId="170" xfId="0" applyAlignment="1" applyBorder="1" applyFill="1" applyFont="1" applyNumberFormat="1">
      <alignment horizontal="center" readingOrder="0" shrinkToFit="0" vertical="center" wrapText="1"/>
    </xf>
    <xf borderId="14" fillId="21" fontId="52" numFmtId="3" xfId="0" applyAlignment="1" applyBorder="1" applyFill="1" applyFont="1" applyNumberFormat="1">
      <alignment horizontal="center" shrinkToFit="0" vertical="center" wrapText="1"/>
    </xf>
    <xf borderId="2" fillId="13" fontId="25" numFmtId="0" xfId="0" applyAlignment="1" applyBorder="1" applyFill="1" applyFont="1">
      <alignment horizontal="left" shrinkToFit="0" vertical="center" wrapText="1"/>
    </xf>
    <xf borderId="14" fillId="7" fontId="25" numFmtId="3" xfId="0" applyAlignment="1" applyBorder="1" applyFill="1" applyFont="1" applyNumberFormat="1">
      <alignment horizontal="center" shrinkToFit="0" vertical="center" wrapText="1"/>
    </xf>
    <xf borderId="14" fillId="4" fontId="56" numFmtId="3" xfId="0" applyAlignment="1" applyBorder="1" applyFill="1" applyFont="1" applyNumberFormat="1">
      <alignment horizontal="center" shrinkToFit="0" vertical="center" wrapText="1"/>
    </xf>
    <xf borderId="14" fillId="8" fontId="25" numFmtId="3" xfId="0" applyAlignment="1" applyBorder="1" applyFill="1" applyFont="1" applyNumberFormat="1">
      <alignment horizontal="center" shrinkToFit="0" vertical="center" wrapText="1"/>
    </xf>
    <xf borderId="14" fillId="5" fontId="25" numFmtId="3" xfId="0" applyAlignment="1" applyBorder="1" applyFill="1" applyFont="1" applyNumberFormat="1">
      <alignment horizontal="center" shrinkToFit="0" vertical="center" wrapText="1"/>
    </xf>
    <xf borderId="14" fillId="9" fontId="25" numFmtId="3" xfId="0" applyAlignment="1" applyBorder="1" applyFill="1" applyFont="1" applyNumberFormat="1">
      <alignment horizontal="center" shrinkToFit="0" vertical="center" wrapText="1"/>
    </xf>
    <xf borderId="1" fillId="4" fontId="58" numFmtId="0" xfId="0" applyAlignment="1" applyBorder="1" applyFill="1" applyFont="1">
      <alignment horizontal="left" shrinkToFit="0" vertical="center" wrapText="1"/>
    </xf>
    <xf borderId="14" fillId="3" fontId="13" numFmtId="167" xfId="0" applyAlignment="1" applyBorder="1" applyFill="1" applyFont="1" applyNumberFormat="1">
      <alignment horizontal="center" shrinkToFit="0" vertical="center" wrapText="1"/>
    </xf>
    <xf borderId="1" fillId="4" fontId="26" numFmtId="0" xfId="0" applyAlignment="1" applyBorder="1" applyFill="1" applyFont="1">
      <alignment horizontal="left" shrinkToFit="0" vertical="center" wrapText="1"/>
    </xf>
    <xf borderId="14" fillId="6" fontId="56" numFmtId="3" xfId="0" applyAlignment="1" applyBorder="1" applyFill="1" applyFont="1" applyNumberFormat="1">
      <alignment horizontal="center" shrinkToFit="0" vertical="center" wrapText="1"/>
    </xf>
    <xf borderId="1" fillId="4" fontId="59" numFmtId="3" xfId="0" applyAlignment="1" applyBorder="1" applyFill="1" applyFont="1" applyNumberFormat="1">
      <alignment horizontal="center" shrinkToFit="0" vertical="center" wrapText="0"/>
    </xf>
    <xf borderId="0" fillId="0" fontId="21" numFmtId="3" xfId="0" applyFont="1" applyNumberFormat="1"/>
    <xf borderId="2" fillId="4" fontId="59" numFmtId="3" xfId="0" applyAlignment="1" applyBorder="1" applyFill="1" applyFont="1" applyNumberFormat="1">
      <alignment horizontal="center" shrinkToFit="0" vertical="center" wrapText="0"/>
    </xf>
    <xf borderId="1" fillId="4" fontId="5" numFmtId="3" xfId="0" applyAlignment="1" applyBorder="1" applyFill="1" applyFont="1" applyNumberFormat="1">
      <alignment horizontal="center" shrinkToFit="0" vertical="center" wrapText="1"/>
    </xf>
    <xf borderId="6" fillId="4" fontId="5" numFmtId="3" xfId="0" applyAlignment="1" applyBorder="1" applyFill="1" applyFont="1" applyNumberFormat="1">
      <alignment horizontal="center" shrinkToFit="0" vertical="center" wrapText="1"/>
    </xf>
    <xf borderId="3" fillId="4" fontId="29" numFmtId="3" xfId="0" applyAlignment="1" applyBorder="1" applyFill="1" applyFont="1" applyNumberFormat="1">
      <alignment horizontal="center" shrinkToFit="0" vertical="bottom" wrapText="1"/>
    </xf>
    <xf borderId="1" fillId="4" fontId="50" numFmtId="3" xfId="0" applyAlignment="1" applyBorder="1" applyFill="1" applyFont="1" applyNumberFormat="1">
      <alignment horizontal="center" shrinkToFit="0" vertical="center" wrapText="1"/>
    </xf>
    <xf borderId="3" fillId="14" fontId="29" numFmtId="3" xfId="0" applyAlignment="1" applyBorder="1" applyFill="1" applyFont="1" applyNumberFormat="1">
      <alignment horizontal="center" shrinkToFit="0" vertical="bottom" wrapText="1"/>
    </xf>
    <xf borderId="5" fillId="4" fontId="5" numFmtId="3" xfId="0" applyAlignment="1" applyBorder="1" applyFill="1" applyFont="1" applyNumberFormat="1">
      <alignment horizontal="center" shrinkToFit="0" vertical="center" wrapText="1"/>
    </xf>
    <xf borderId="13" fillId="7" fontId="25" numFmtId="3" xfId="0" applyAlignment="1" applyBorder="1" applyFill="1" applyFont="1" applyNumberFormat="1">
      <alignment horizontal="center" shrinkToFit="0" vertical="center" wrapText="1"/>
    </xf>
    <xf borderId="15" fillId="15" fontId="29" numFmtId="3" xfId="0" applyAlignment="1" applyBorder="1" applyFill="1" applyFont="1" applyNumberFormat="1">
      <alignment horizontal="center" shrinkToFit="0" vertical="bottom" wrapText="1"/>
    </xf>
    <xf borderId="15" fillId="16" fontId="29" numFmtId="3" xfId="0" applyAlignment="1" applyBorder="1" applyFill="1" applyFont="1" applyNumberFormat="1">
      <alignment horizontal="center" shrinkToFit="0" vertical="bottom" wrapText="1"/>
    </xf>
    <xf borderId="14" fillId="7" fontId="25" numFmtId="3" xfId="0" applyAlignment="1" applyBorder="1" applyFill="1" applyFont="1" applyNumberFormat="1">
      <alignment horizontal="center" readingOrder="0" shrinkToFit="0" vertical="center" wrapText="1"/>
    </xf>
    <xf borderId="14" fillId="0" fontId="52" numFmtId="0" xfId="0" applyAlignment="1" applyBorder="1" applyFont="1">
      <alignment horizontal="left" shrinkToFit="0" vertical="bottom" wrapText="1"/>
    </xf>
    <xf borderId="14" fillId="0" fontId="52" numFmtId="0" xfId="0" applyAlignment="1" applyBorder="1" applyFont="1">
      <alignment horizontal="center" shrinkToFit="0" vertical="bottom" wrapText="1"/>
    </xf>
    <xf borderId="14" fillId="11" fontId="60" numFmtId="3" xfId="0" applyAlignment="1" applyBorder="1" applyFill="1" applyFont="1" applyNumberFormat="1">
      <alignment horizontal="center" shrinkToFit="0" vertical="center" wrapText="0"/>
    </xf>
    <xf borderId="14" fillId="3" fontId="61" numFmtId="3" xfId="0" applyAlignment="1" applyBorder="1" applyFill="1" applyFont="1" applyNumberFormat="1">
      <alignment horizontal="center" vertical="center"/>
    </xf>
    <xf borderId="12" fillId="0" fontId="31" numFmtId="3" xfId="0" applyAlignment="1" applyBorder="1" applyFont="1" applyNumberFormat="1">
      <alignment vertical="bottom"/>
    </xf>
    <xf borderId="2" fillId="7" fontId="27" numFmtId="0" xfId="0" applyAlignment="1" applyBorder="1" applyFill="1" applyFont="1">
      <alignment horizontal="left" shrinkToFit="0" vertical="center" wrapText="1"/>
    </xf>
    <xf borderId="14" fillId="7" fontId="25" numFmtId="3" xfId="0" applyAlignment="1" applyBorder="1" applyFill="1" applyFont="1" applyNumberFormat="1">
      <alignment horizontal="center" shrinkToFit="0" vertical="center" wrapText="0"/>
    </xf>
    <xf borderId="14" fillId="4" fontId="26" numFmtId="3" xfId="0" applyAlignment="1" applyBorder="1" applyFill="1" applyFont="1" applyNumberFormat="1">
      <alignment horizontal="center" shrinkToFit="0" vertical="center" wrapText="0"/>
    </xf>
    <xf borderId="0" fillId="0" fontId="21" numFmtId="0" xfId="0" applyAlignment="1" applyFont="1">
      <alignment horizontal="left"/>
    </xf>
    <xf borderId="14" fillId="3" fontId="13" numFmtId="11" xfId="0" applyAlignment="1" applyBorder="1" applyFill="1" applyFont="1" applyNumberFormat="1">
      <alignment horizontal="center" readingOrder="0" shrinkToFit="0" vertical="center" wrapText="1"/>
    </xf>
    <xf borderId="14" fillId="3" fontId="54" numFmtId="0" xfId="0" applyAlignment="1" applyBorder="1" applyFill="1" applyFont="1">
      <alignment horizontal="center" shrinkToFit="0" vertical="center" wrapText="1"/>
    </xf>
    <xf borderId="14" fillId="3" fontId="62" numFmtId="0" xfId="0" applyAlignment="1" applyBorder="1" applyFill="1" applyFont="1">
      <alignment horizontal="center" shrinkToFit="0" vertical="center" wrapText="1"/>
    </xf>
    <xf borderId="14" fillId="3" fontId="32" numFmtId="0" xfId="0" applyAlignment="1" applyBorder="1" applyFill="1" applyFont="1">
      <alignment horizontal="center" shrinkToFit="0" wrapText="1"/>
    </xf>
    <xf borderId="14" fillId="3" fontId="63" numFmtId="0" xfId="0" applyAlignment="1" applyBorder="1" applyFill="1" applyFont="1">
      <alignment horizontal="center" shrinkToFit="0" wrapText="1"/>
    </xf>
    <xf borderId="1" fillId="3" fontId="64" numFmtId="0" xfId="0" applyAlignment="1" applyBorder="1" applyFill="1" applyFont="1">
      <alignment horizontal="center" shrinkToFit="0" vertical="center" wrapText="1"/>
    </xf>
    <xf borderId="8" fillId="3" fontId="64" numFmtId="0" xfId="0" applyAlignment="1" applyBorder="1" applyFill="1" applyFont="1">
      <alignment horizontal="center" shrinkToFit="0" vertical="center" wrapText="1"/>
    </xf>
    <xf borderId="0" fillId="3" fontId="15" numFmtId="0" xfId="0" applyAlignment="1" applyFill="1" applyFont="1">
      <alignment shrinkToFit="0" vertical="center" wrapText="1"/>
    </xf>
    <xf borderId="0" fillId="0" fontId="65" numFmtId="0" xfId="0" applyAlignment="1" applyFont="1">
      <alignment horizontal="center" shrinkToFit="0" vertical="center" wrapText="1"/>
    </xf>
    <xf borderId="0" fillId="0" fontId="31" numFmtId="0" xfId="0" applyAlignment="1" applyFont="1">
      <alignment shrinkToFit="0" wrapText="1"/>
    </xf>
    <xf borderId="0" fillId="0" fontId="66" numFmtId="0" xfId="0" applyAlignment="1" applyFont="1">
      <alignment shrinkToFit="0" wrapText="1"/>
    </xf>
    <xf borderId="0" fillId="0" fontId="66" numFmtId="0" xfId="0" applyFont="1"/>
    <xf borderId="0" fillId="0" fontId="31" numFmtId="0" xfId="0" applyAlignment="1" applyFont="1">
      <alignment readingOrder="0" shrinkToFit="0" wrapText="1"/>
    </xf>
    <xf borderId="0" fillId="3" fontId="67" numFmtId="0" xfId="0" applyAlignment="1" applyFill="1" applyFont="1">
      <alignment horizontal="center" shrinkToFit="0" wrapText="1"/>
    </xf>
    <xf borderId="0" fillId="0" fontId="68" numFmtId="0" xfId="0" applyAlignment="1" applyFont="1">
      <alignment horizontal="center" shrinkToFit="0" wrapText="1"/>
    </xf>
    <xf borderId="13" fillId="0" fontId="52" numFmtId="0" xfId="0" applyAlignment="1" applyBorder="1" applyFont="1">
      <alignment horizontal="center" shrinkToFit="0" vertical="bottom" wrapText="1"/>
    </xf>
    <xf borderId="12" fillId="0" fontId="52" numFmtId="0" xfId="0" applyAlignment="1" applyBorder="1" applyFont="1">
      <alignment horizontal="center" shrinkToFit="0" vertical="bottom" wrapText="1"/>
    </xf>
    <xf borderId="0" fillId="0" fontId="69" numFmtId="0" xfId="0" applyAlignment="1" applyFont="1">
      <alignment shrinkToFit="0" vertical="bottom" wrapText="0"/>
    </xf>
    <xf borderId="0" fillId="0" fontId="68" numFmtId="0" xfId="0" applyAlignment="1" applyFont="1">
      <alignment horizontal="center" vertical="bottom"/>
    </xf>
    <xf borderId="0" fillId="0" fontId="69" numFmtId="0" xfId="0" applyAlignment="1" applyFont="1">
      <alignment shrinkToFit="0" vertical="bottom" wrapText="1"/>
    </xf>
    <xf borderId="0" fillId="0" fontId="69" numFmtId="0" xfId="0" applyAlignment="1" applyFont="1">
      <alignment readingOrder="0" shrinkToFit="0" vertical="bottom" wrapText="0"/>
    </xf>
    <xf borderId="0" fillId="0" fontId="68" numFmtId="0" xfId="0" applyAlignment="1" applyFont="1">
      <alignment horizontal="center" readingOrder="0" vertical="bottom"/>
    </xf>
    <xf borderId="14" fillId="3" fontId="70" numFmtId="167" xfId="0" applyAlignment="1" applyBorder="1" applyFill="1" applyFont="1" applyNumberFormat="1">
      <alignment horizontal="center" shrinkToFit="0" vertical="center" wrapText="1"/>
    </xf>
    <xf borderId="14" fillId="3" fontId="71" numFmtId="164" xfId="0" applyAlignment="1" applyBorder="1" applyFill="1" applyFont="1" applyNumberFormat="1">
      <alignment horizontal="center" shrinkToFit="0" vertical="center" wrapText="1"/>
    </xf>
    <xf borderId="14" fillId="3" fontId="13" numFmtId="0" xfId="0" applyAlignment="1" applyBorder="1" applyFill="1" applyFont="1">
      <alignment horizontal="center" shrinkToFit="0" vertical="center" wrapText="1"/>
    </xf>
    <xf borderId="14" fillId="3" fontId="72" numFmtId="0" xfId="0" applyAlignment="1" applyBorder="1" applyFill="1" applyFont="1">
      <alignment horizontal="center" shrinkToFit="0" vertical="center" wrapText="1"/>
    </xf>
    <xf borderId="16" fillId="2" fontId="68" numFmtId="0" xfId="0" applyBorder="1" applyFill="1" applyFont="1"/>
    <xf borderId="17" fillId="0" fontId="4" numFmtId="0" xfId="0" applyBorder="1" applyFont="1"/>
    <xf borderId="18" fillId="0" fontId="4" numFmtId="0" xfId="0" applyBorder="1" applyFont="1"/>
    <xf borderId="19" fillId="2" fontId="73" numFmtId="0" xfId="0" applyAlignment="1" applyBorder="1" applyFill="1" applyFont="1">
      <alignment horizontal="center"/>
    </xf>
    <xf borderId="19" fillId="2" fontId="74" numFmtId="0" xfId="0" applyBorder="1" applyFill="1" applyFont="1"/>
    <xf borderId="19" fillId="2" fontId="75" numFmtId="0" xfId="0" applyAlignment="1" applyBorder="1" applyFill="1" applyFont="1">
      <alignment shrinkToFit="0" wrapText="1"/>
    </xf>
    <xf borderId="19" fillId="2" fontId="75" numFmtId="0" xfId="0" applyBorder="1" applyFill="1" applyFont="1"/>
    <xf borderId="19" fillId="2" fontId="76" numFmtId="0" xfId="0" applyBorder="1" applyFill="1" applyFont="1"/>
    <xf borderId="19" fillId="2" fontId="77" numFmtId="0" xfId="0" applyBorder="1" applyFill="1" applyFont="1"/>
    <xf borderId="19" fillId="2" fontId="68" numFmtId="0" xfId="0" applyBorder="1" applyFill="1" applyFont="1"/>
    <xf borderId="0" fillId="0" fontId="69" numFmtId="0" xfId="0" applyAlignment="1" applyFont="1">
      <alignment horizontal="center" readingOrder="0" shrinkToFit="0" vertical="bottom" wrapText="0"/>
    </xf>
    <xf borderId="0" fillId="0" fontId="69" numFmtId="0" xfId="0" applyAlignment="1" applyFont="1">
      <alignment horizontal="center" readingOrder="0" shrinkToFit="0" vertical="bottom" wrapText="1"/>
    </xf>
    <xf borderId="0" fillId="3" fontId="78" numFmtId="0" xfId="0" applyAlignment="1" applyFill="1" applyFont="1">
      <alignment horizontal="center" readingOrder="0"/>
    </xf>
    <xf borderId="0" fillId="0" fontId="69" numFmtId="0" xfId="0" applyAlignment="1" applyFont="1">
      <alignment horizontal="center" shrinkToFit="0" vertical="bottom" wrapText="1"/>
    </xf>
    <xf borderId="14" fillId="13" fontId="25" numFmtId="0" xfId="0" applyAlignment="1" applyBorder="1" applyFill="1" applyFont="1">
      <alignment horizontal="left"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E6B8AF"/>
          <bgColor rgb="FFE6B8AF"/>
        </patternFill>
      </fill>
      <border/>
    </dxf>
  </dxfs>
  <tableStyles count="28">
    <tableStyle count="2" pivot="0" name="Private-style">
      <tableStyleElement dxfId="1" type="firstRowStripe"/>
      <tableStyleElement dxfId="2" type="secondRowStripe"/>
    </tableStyle>
    <tableStyle count="2" pivot="0" name="Government-style">
      <tableStyleElement dxfId="1" type="firstRowStripe"/>
      <tableStyleElement dxfId="2" type="secondRowStripe"/>
    </tableStyle>
    <tableStyle count="2" pivot="0" name="Government-style 2">
      <tableStyleElement dxfId="1" type="firstRowStripe"/>
      <tableStyleElement dxfId="2" type="secondRowStripe"/>
    </tableStyle>
    <tableStyle count="2" pivot="0" name="Government-style 3">
      <tableStyleElement dxfId="1" type="firstRowStripe"/>
      <tableStyleElement dxfId="2" type="secondRowStripe"/>
    </tableStyle>
    <tableStyle count="2" pivot="0" name="Government-style 4">
      <tableStyleElement dxfId="1" type="firstRowStripe"/>
      <tableStyleElement dxfId="2" type="secondRowStripe"/>
    </tableStyle>
    <tableStyle count="2" pivot="0" name="Government-style 5">
      <tableStyleElement dxfId="1" type="firstRowStripe"/>
      <tableStyleElement dxfId="2" type="secondRowStripe"/>
    </tableStyle>
    <tableStyle count="2" pivot="0" name="Government-style 6">
      <tableStyleElement dxfId="1" type="firstRowStripe"/>
      <tableStyleElement dxfId="2" type="secondRowStripe"/>
    </tableStyle>
    <tableStyle count="2" pivot="0" name="Government-style 7">
      <tableStyleElement dxfId="1" type="firstRowStripe"/>
      <tableStyleElement dxfId="2" type="secondRowStripe"/>
    </tableStyle>
    <tableStyle count="2" pivot="0" name="Government-style 8">
      <tableStyleElement dxfId="1" type="firstRowStripe"/>
      <tableStyleElement dxfId="2" type="secondRowStripe"/>
    </tableStyle>
    <tableStyle count="2" pivot="0" name="Government-style 9">
      <tableStyleElement dxfId="1" type="firstRowStripe"/>
      <tableStyleElement dxfId="2" type="secondRowStripe"/>
    </tableStyle>
    <tableStyle count="2" pivot="0" name="Government-style 10">
      <tableStyleElement dxfId="1" type="firstRowStripe"/>
      <tableStyleElement dxfId="2" type="secondRowStripe"/>
    </tableStyle>
    <tableStyle count="2" pivot="0" name="Government-style 11">
      <tableStyleElement dxfId="1" type="firstRowStripe"/>
      <tableStyleElement dxfId="2" type="secondRowStripe"/>
    </tableStyle>
    <tableStyle count="2" pivot="0" name="Government-style 12">
      <tableStyleElement dxfId="1" type="firstRowStripe"/>
      <tableStyleElement dxfId="2" type="secondRowStripe"/>
    </tableStyle>
    <tableStyle count="2" pivot="0" name="Government-style 13">
      <tableStyleElement dxfId="1" type="firstRowStripe"/>
      <tableStyleElement dxfId="2" type="secondRowStripe"/>
    </tableStyle>
    <tableStyle count="2" pivot="0" name="Government-style 14">
      <tableStyleElement dxfId="1" type="firstRowStripe"/>
      <tableStyleElement dxfId="2" type="secondRowStripe"/>
    </tableStyle>
    <tableStyle count="2" pivot="0" name="Government-style 15">
      <tableStyleElement dxfId="1" type="firstRowStripe"/>
      <tableStyleElement dxfId="2" type="secondRowStripe"/>
    </tableStyle>
    <tableStyle count="2" pivot="0" name="Government-style 16">
      <tableStyleElement dxfId="1" type="firstRowStripe"/>
      <tableStyleElement dxfId="2" type="secondRowStripe"/>
    </tableStyle>
    <tableStyle count="2" pivot="0" name="Government-style 17">
      <tableStyleElement dxfId="1" type="firstRowStripe"/>
      <tableStyleElement dxfId="2" type="secondRowStripe"/>
    </tableStyle>
    <tableStyle count="2" pivot="0" name="Government-style 18">
      <tableStyleElement dxfId="1" type="firstRowStripe"/>
      <tableStyleElement dxfId="2" type="secondRowStripe"/>
    </tableStyle>
    <tableStyle count="2" pivot="0" name="Government-style 19">
      <tableStyleElement dxfId="1" type="firstRowStripe"/>
      <tableStyleElement dxfId="2" type="secondRowStripe"/>
    </tableStyle>
    <tableStyle count="2" pivot="0" name="Government-style 20">
      <tableStyleElement dxfId="1" type="firstRowStripe"/>
      <tableStyleElement dxfId="2" type="secondRowStripe"/>
    </tableStyle>
    <tableStyle count="2" pivot="0" name="Government-style 21">
      <tableStyleElement dxfId="1" type="firstRowStripe"/>
      <tableStyleElement dxfId="2" type="secondRowStripe"/>
    </tableStyle>
    <tableStyle count="2" pivot="0" name="Government-style 22">
      <tableStyleElement dxfId="1" type="firstRowStripe"/>
      <tableStyleElement dxfId="2" type="secondRowStripe"/>
    </tableStyle>
    <tableStyle count="2" pivot="0" name="Government-style 23">
      <tableStyleElement dxfId="2" type="firstRowStripe"/>
      <tableStyleElement dxfId="1" type="secondRowStripe"/>
    </tableStyle>
    <tableStyle count="2" pivot="0" name="Government-style 24">
      <tableStyleElement dxfId="2" type="firstRowStripe"/>
      <tableStyleElement dxfId="1" type="secondRowStripe"/>
    </tableStyle>
    <tableStyle count="2" pivot="0" name="Government-style 25">
      <tableStyleElement dxfId="1" type="firstRowStripe"/>
      <tableStyleElement dxfId="2" type="secondRowStripe"/>
    </tableStyle>
    <tableStyle count="2" pivot="0" name="Government-style 26">
      <tableStyleElement dxfId="1" type="firstRowStripe"/>
      <tableStyleElement dxfId="2" type="secondRowStripe"/>
    </tableStyle>
    <tableStyle count="2" pivot="0" name="Sheet13-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1.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95250</xdr:rowOff>
    </xdr:from>
    <xdr:ext cx="5829300" cy="38004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0</xdr:row>
      <xdr:rowOff>95250</xdr:rowOff>
    </xdr:from>
    <xdr:ext cx="5905500" cy="44291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95250</xdr:colOff>
      <xdr:row>20</xdr:row>
      <xdr:rowOff>180975</xdr:rowOff>
    </xdr:from>
    <xdr:ext cx="5829300" cy="66008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95250</xdr:colOff>
      <xdr:row>52</xdr:row>
      <xdr:rowOff>200025</xdr:rowOff>
    </xdr:from>
    <xdr:ext cx="5829300" cy="43053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95250</xdr:colOff>
      <xdr:row>76</xdr:row>
      <xdr:rowOff>28575</xdr:rowOff>
    </xdr:from>
    <xdr:ext cx="5829300" cy="4029075"/>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38100</xdr:colOff>
      <xdr:row>24</xdr:row>
      <xdr:rowOff>66675</xdr:rowOff>
    </xdr:from>
    <xdr:ext cx="5905500" cy="3295650"/>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8"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showColumnStripes="0" showFirstColumn="1" showLastColumn="1" showRowStripes="1"/>
</table>
</file>

<file path=xl/tables/table2.xml><?xml version="1.0" encoding="utf-8"?>
<table xmlns="http://schemas.openxmlformats.org/spreadsheetml/2006/main" headerRowCount="0" ref="A19:AH41" displayName="Table_3" name="Table_3" id="3">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2" showColumnStripes="0" showFirstColumn="1" showLastColumn="1" showRowStripes="1"/>
</table>
</file>

<file path=xl/tables/table3.xml><?xml version="1.0" encoding="utf-8"?>
<table xmlns="http://schemas.openxmlformats.org/spreadsheetml/2006/main" headerRowCount="0" ref="A42:AH157" displayName="Table_4" name="Table_4" id="4">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3" showColumnStripes="0" showFirstColumn="1" showLastColumn="1" showRowStripes="1"/>
</table>
</file>

<file path=xl/tables/table4.xml><?xml version="1.0" encoding="utf-8"?>
<table xmlns="http://schemas.openxmlformats.org/spreadsheetml/2006/main" headerRowCount="0" ref="A167:AH189" displayName="Table_5" name="Table_5" id="5">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4" showColumnStripes="0" showFirstColumn="1" showLastColumn="1" showRowStripes="1"/>
</table>
</file>

<file path=xl/tables/table5.xml><?xml version="1.0" encoding="utf-8"?>
<table xmlns="http://schemas.openxmlformats.org/spreadsheetml/2006/main" headerRowCount="0" ref="A190:AH202" displayName="Table_6" name="Table_6" id="6">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5" showColumnStripes="0" showFirstColumn="1" showLastColumn="1" showRowStripes="1"/>
</table>
</file>

<file path=xl/tables/table6.xml><?xml version="1.0" encoding="utf-8"?>
<table xmlns="http://schemas.openxmlformats.org/spreadsheetml/2006/main" headerRowCount="0" ref="A235:AH290" displayName="Table_7" name="Table_7" id="7">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6" showColumnStripes="0" showFirstColumn="1" showLastColumn="1" showRowStripes="1"/>
</table>
</file>

<file path=xl/tables/table7.xml><?xml version="1.0" encoding="utf-8"?>
<table xmlns="http://schemas.openxmlformats.org/spreadsheetml/2006/main" headerRowCount="0" ref="A375:AH378" displayName="Table_8" name="Table_8" id="8">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7" showColumnStripes="0" showFirstColumn="1" showLastColumn="1" showRowStripes="1"/>
</table>
</file>

<file path=xl/tables/table8.xml><?xml version="1.0" encoding="utf-8"?>
<table xmlns="http://schemas.openxmlformats.org/spreadsheetml/2006/main" headerRowCount="0" ref="A379:AH396" displayName="Table_9" name="Table_9" id="9">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8" showColumnStripes="0" showFirstColumn="1" showLastColumn="1" showRowStripes="1"/>
</table>
</file>

<file path=xl/tables/table9.xml><?xml version="1.0" encoding="utf-8"?>
<table xmlns="http://schemas.openxmlformats.org/spreadsheetml/2006/main" headerRowCount="0" ref="A397:AH409" displayName="Table_10" name="Table_10" id="10">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9" showColumnStripes="0" showFirstColumn="1" showLastColumn="1" showRowStripes="1"/>
</table>
</file>

<file path=xl/tables/table10.xml><?xml version="1.0" encoding="utf-8"?>
<table xmlns="http://schemas.openxmlformats.org/spreadsheetml/2006/main" headerRowCount="0" ref="B410:B426" displayName="Table_11" name="Table_11" id="11">
  <tableColumns count="1">
    <tableColumn name="Column1" id="1"/>
  </tableColumns>
  <tableStyleInfo name="Government-style 10" showColumnStripes="0" showFirstColumn="1" showLastColumn="1" showRowStripes="1"/>
</table>
</file>

<file path=xl/tables/table11.xml><?xml version="1.0" encoding="utf-8"?>
<table xmlns="http://schemas.openxmlformats.org/spreadsheetml/2006/main" headerRowCount="0" ref="C410:C426" displayName="Table_12" name="Table_12" id="12">
  <tableColumns count="1">
    <tableColumn name="Column1" id="1"/>
  </tableColumns>
  <tableStyleInfo name="Government-style 11" showColumnStripes="0" showFirstColumn="1" showLastColumn="1" showRowStripes="1"/>
</table>
</file>

<file path=xl/tables/table12.xml><?xml version="1.0" encoding="utf-8"?>
<table xmlns="http://schemas.openxmlformats.org/spreadsheetml/2006/main" headerRowCount="0" ref="G410:G426" displayName="Table_13" name="Table_13" id="13">
  <tableColumns count="1">
    <tableColumn name="Column1" id="1"/>
  </tableColumns>
  <tableStyleInfo name="Government-style 12" showColumnStripes="0" showFirstColumn="1" showLastColumn="1" showRowStripes="1"/>
</table>
</file>

<file path=xl/tables/table13.xml><?xml version="1.0" encoding="utf-8"?>
<table xmlns="http://schemas.openxmlformats.org/spreadsheetml/2006/main" headerRowCount="0" ref="J410:J426" displayName="Table_14" name="Table_14" id="14">
  <tableColumns count="1">
    <tableColumn name="Column1" id="1"/>
  </tableColumns>
  <tableStyleInfo name="Government-style 13" showColumnStripes="0" showFirstColumn="1" showLastColumn="1" showRowStripes="1"/>
</table>
</file>

<file path=xl/tables/table14.xml><?xml version="1.0" encoding="utf-8"?>
<table xmlns="http://schemas.openxmlformats.org/spreadsheetml/2006/main" headerRowCount="0" ref="K410:K426" displayName="Table_15" name="Table_15" id="15">
  <tableColumns count="1">
    <tableColumn name="Column1" id="1"/>
  </tableColumns>
  <tableStyleInfo name="Government-style 14" showColumnStripes="0" showFirstColumn="1" showLastColumn="1" showRowStripes="1"/>
</table>
</file>

<file path=xl/tables/table15.xml><?xml version="1.0" encoding="utf-8"?>
<table xmlns="http://schemas.openxmlformats.org/spreadsheetml/2006/main" headerRowCount="0" ref="L410:L426" displayName="Table_16" name="Table_16" id="16">
  <tableColumns count="1">
    <tableColumn name="Column1" id="1"/>
  </tableColumns>
  <tableStyleInfo name="Government-style 15" showColumnStripes="0" showFirstColumn="1" showLastColumn="1" showRowStripes="1"/>
</table>
</file>

<file path=xl/tables/table16.xml><?xml version="1.0" encoding="utf-8"?>
<table xmlns="http://schemas.openxmlformats.org/spreadsheetml/2006/main" headerRowCount="0" ref="M410:M426" displayName="Table_17" name="Table_17" id="17">
  <tableColumns count="1">
    <tableColumn name="Column1" id="1"/>
  </tableColumns>
  <tableStyleInfo name="Government-style 16" showColumnStripes="0" showFirstColumn="1" showLastColumn="1" showRowStripes="1"/>
</table>
</file>

<file path=xl/tables/table17.xml><?xml version="1.0" encoding="utf-8"?>
<table xmlns="http://schemas.openxmlformats.org/spreadsheetml/2006/main" headerRowCount="0" ref="O410:O426" displayName="Table_18" name="Table_18" id="18">
  <tableColumns count="1">
    <tableColumn name="Column1" id="1"/>
  </tableColumns>
  <tableStyleInfo name="Government-style 17" showColumnStripes="0" showFirstColumn="1" showLastColumn="1" showRowStripes="1"/>
</table>
</file>

<file path=xl/tables/table18.xml><?xml version="1.0" encoding="utf-8"?>
<table xmlns="http://schemas.openxmlformats.org/spreadsheetml/2006/main" headerRowCount="0" ref="W410:W426" displayName="Table_19" name="Table_19" id="19">
  <tableColumns count="1">
    <tableColumn name="Column1" id="1"/>
  </tableColumns>
  <tableStyleInfo name="Government-style 18" showColumnStripes="0" showFirstColumn="1" showLastColumn="1" showRowStripes="1"/>
</table>
</file>

<file path=xl/tables/table19.xml><?xml version="1.0" encoding="utf-8"?>
<table xmlns="http://schemas.openxmlformats.org/spreadsheetml/2006/main" headerRowCount="0" ref="AC410:AC416" displayName="Table_20" name="Table_20" id="20">
  <tableColumns count="1">
    <tableColumn name="Column1" id="1"/>
  </tableColumns>
  <tableStyleInfo name="Government-style 19" showColumnStripes="0" showFirstColumn="1" showLastColumn="1" showRowStripes="1"/>
</table>
</file>

<file path=xl/tables/table20.xml><?xml version="1.0" encoding="utf-8"?>
<table xmlns="http://schemas.openxmlformats.org/spreadsheetml/2006/main" headerRowCount="0" ref="AD410:AD416" displayName="Table_21" name="Table_21" id="21">
  <tableColumns count="1">
    <tableColumn name="Column1" id="1"/>
  </tableColumns>
  <tableStyleInfo name="Government-style 20" showColumnStripes="0" showFirstColumn="1" showLastColumn="1" showRowStripes="1"/>
</table>
</file>

<file path=xl/tables/table21.xml><?xml version="1.0" encoding="utf-8"?>
<table xmlns="http://schemas.openxmlformats.org/spreadsheetml/2006/main" headerRowCount="0" ref="AE410:AE416" displayName="Table_22" name="Table_22" id="22">
  <tableColumns count="1">
    <tableColumn name="Column1" id="1"/>
  </tableColumns>
  <tableStyleInfo name="Government-style 21" showColumnStripes="0" showFirstColumn="1" showLastColumn="1" showRowStripes="1"/>
</table>
</file>

<file path=xl/tables/table22.xml><?xml version="1.0" encoding="utf-8"?>
<table xmlns="http://schemas.openxmlformats.org/spreadsheetml/2006/main" headerRowCount="0" ref="X411:AB412" displayName="Table_23" name="Table_23" id="23">
  <tableColumns count="5">
    <tableColumn name="Column1" id="1"/>
    <tableColumn name="Column2" id="2"/>
    <tableColumn name="Column3" id="3"/>
    <tableColumn name="Column4" id="4"/>
    <tableColumn name="Column5" id="5"/>
  </tableColumns>
  <tableStyleInfo name="Government-style 22" showColumnStripes="0" showFirstColumn="1" showLastColumn="1" showRowStripes="1"/>
</table>
</file>

<file path=xl/tables/table23.xml><?xml version="1.0" encoding="utf-8"?>
<table xmlns="http://schemas.openxmlformats.org/spreadsheetml/2006/main" headerRowCount="0" ref="AC426:AH426" displayName="Table_24" name="Table_24" id="24">
  <tableColumns count="6">
    <tableColumn name="Column1" id="1"/>
    <tableColumn name="Column2" id="2"/>
    <tableColumn name="Column3" id="3"/>
    <tableColumn name="Column4" id="4"/>
    <tableColumn name="Column5" id="5"/>
    <tableColumn name="Column6" id="6"/>
  </tableColumns>
  <tableStyleInfo name="Government-style 23" showColumnStripes="0" showFirstColumn="1" showLastColumn="1" showRowStripes="1"/>
</table>
</file>

<file path=xl/tables/table24.xml><?xml version="1.0" encoding="utf-8"?>
<table xmlns="http://schemas.openxmlformats.org/spreadsheetml/2006/main" headerRowCount="0" ref="AB430:AE433" displayName="Table_25" name="Table_25" id="25">
  <tableColumns count="4">
    <tableColumn name="Column1" id="1"/>
    <tableColumn name="Column2" id="2"/>
    <tableColumn name="Column3" id="3"/>
    <tableColumn name="Column4" id="4"/>
  </tableColumns>
  <tableStyleInfo name="Government-style 24" showColumnStripes="0" showFirstColumn="1" showLastColumn="1" showRowStripes="1"/>
</table>
</file>

<file path=xl/tables/table25.xml><?xml version="1.0" encoding="utf-8"?>
<table xmlns="http://schemas.openxmlformats.org/spreadsheetml/2006/main" headerRowCount="0" ref="A459:AH469" displayName="Table_26" name="Table_26" id="26">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25" showColumnStripes="0" showFirstColumn="1" showLastColumn="1" showRowStripes="1"/>
</table>
</file>

<file path=xl/tables/table26.xml><?xml version="1.0" encoding="utf-8"?>
<table xmlns="http://schemas.openxmlformats.org/spreadsheetml/2006/main" headerRowCount="0" ref="A470:AH472" displayName="Table_27" name="Table_27" id="27">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Government-style 26" showColumnStripes="0" showFirstColumn="1" showLastColumn="1" showRowStripes="1"/>
</table>
</file>

<file path=xl/tables/table27.xml><?xml version="1.0" encoding="utf-8"?>
<table xmlns="http://schemas.openxmlformats.org/spreadsheetml/2006/main" headerRowCount="0" ref="A2:AG855" displayName="Table_1" name="Table_1" id="1">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Private-style" showColumnStripes="0" showFirstColumn="1" showLastColumn="1" showRowStripes="1"/>
</table>
</file>

<file path=xl/tables/table28.xml><?xml version="1.0" encoding="utf-8"?>
<table xmlns="http://schemas.openxmlformats.org/spreadsheetml/2006/main" headerRowCount="0" ref="A1:B249" displayName="Table_28" name="Table_28" id="28">
  <tableColumns count="2">
    <tableColumn name="Column1" id="1"/>
    <tableColumn name="Column2" id="2"/>
  </tableColumns>
  <tableStyleInfo name="Sheet1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0.xml"/><Relationship Id="rId42" Type="http://schemas.openxmlformats.org/officeDocument/2006/relationships/table" Target="../tables/table12.xml"/><Relationship Id="rId41" Type="http://schemas.openxmlformats.org/officeDocument/2006/relationships/table" Target="../tables/table11.xml"/><Relationship Id="rId44" Type="http://schemas.openxmlformats.org/officeDocument/2006/relationships/table" Target="../tables/table14.xml"/><Relationship Id="rId43" Type="http://schemas.openxmlformats.org/officeDocument/2006/relationships/table" Target="../tables/table13.xml"/><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comments" Target="../comments1.xml"/><Relationship Id="rId2" Type="http://schemas.openxmlformats.org/officeDocument/2006/relationships/hyperlink" Target="http://pdhnagmamahal2gmail.com" TargetMode="External"/><Relationship Id="rId3" Type="http://schemas.openxmlformats.org/officeDocument/2006/relationships/drawing" Target="../drawings/drawing2.xml"/><Relationship Id="rId4" Type="http://schemas.openxmlformats.org/officeDocument/2006/relationships/vmlDrawing" Target="../drawings/vmlDrawing1.vm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1" Type="http://schemas.openxmlformats.org/officeDocument/2006/relationships/table" Target="../tables/table21.xml"/><Relationship Id="rId50" Type="http://schemas.openxmlformats.org/officeDocument/2006/relationships/table" Target="../tables/table20.xml"/><Relationship Id="rId31" Type="http://schemas.openxmlformats.org/officeDocument/2006/relationships/table" Target="../tables/table1.xml"/><Relationship Id="rId53" Type="http://schemas.openxmlformats.org/officeDocument/2006/relationships/table" Target="../tables/table23.xml"/><Relationship Id="rId52" Type="http://schemas.openxmlformats.org/officeDocument/2006/relationships/table" Target="../tables/table22.xml"/><Relationship Id="rId33" Type="http://schemas.openxmlformats.org/officeDocument/2006/relationships/table" Target="../tables/table3.xml"/><Relationship Id="rId55" Type="http://schemas.openxmlformats.org/officeDocument/2006/relationships/table" Target="../tables/table25.xml"/><Relationship Id="rId32" Type="http://schemas.openxmlformats.org/officeDocument/2006/relationships/table" Target="../tables/table2.xml"/><Relationship Id="rId54" Type="http://schemas.openxmlformats.org/officeDocument/2006/relationships/table" Target="../tables/table24.xml"/><Relationship Id="rId35" Type="http://schemas.openxmlformats.org/officeDocument/2006/relationships/table" Target="../tables/table5.xml"/><Relationship Id="rId34" Type="http://schemas.openxmlformats.org/officeDocument/2006/relationships/table" Target="../tables/table4.xml"/><Relationship Id="rId56" Type="http://schemas.openxmlformats.org/officeDocument/2006/relationships/table" Target="../tables/table26.xml"/><Relationship Id="rId37" Type="http://schemas.openxmlformats.org/officeDocument/2006/relationships/table" Target="../tables/table7.xml"/><Relationship Id="rId36" Type="http://schemas.openxmlformats.org/officeDocument/2006/relationships/table" Target="../tables/table6.xml"/><Relationship Id="rId39" Type="http://schemas.openxmlformats.org/officeDocument/2006/relationships/table" Target="../tables/table9.xml"/><Relationship Id="rId38" Type="http://schemas.openxmlformats.org/officeDocument/2006/relationships/table" Target="../tables/table8.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marcelohospitalofbaliwaginc.com" TargetMode="External"/><Relationship Id="rId3" Type="http://schemas.openxmlformats.org/officeDocument/2006/relationships/hyperlink" Target="http://marymounthospital.2020.gmail.com" TargetMode="External"/><Relationship Id="rId4" Type="http://schemas.openxmlformats.org/officeDocument/2006/relationships/drawing" Target="../drawings/drawing3.xml"/><Relationship Id="rId5" Type="http://schemas.openxmlformats.org/officeDocument/2006/relationships/vmlDrawing" Target="../drawings/vmlDrawing2.vml"/><Relationship Id="rId7" Type="http://schemas.openxmlformats.org/officeDocument/2006/relationships/table" Target="../tables/table27.xml"/></Relationships>
</file>

<file path=xl/worksheets/_rels/sheet4.xml.rels><?xml version="1.0" encoding="UTF-8" standalone="yes"?><Relationships xmlns="http://schemas.openxmlformats.org/package/2006/relationships"><Relationship Id="rId20" Type="http://schemas.openxmlformats.org/officeDocument/2006/relationships/hyperlink" Target="mailto:simc.mcc0421@gmail.com" TargetMode="External"/><Relationship Id="rId22" Type="http://schemas.openxmlformats.org/officeDocument/2006/relationships/hyperlink" Target="mailto:baliuagdistrict@yahoo.com" TargetMode="External"/><Relationship Id="rId21" Type="http://schemas.openxmlformats.org/officeDocument/2006/relationships/hyperlink" Target="mailto:r2tmc@doh.gov.ph" TargetMode="External"/><Relationship Id="rId24" Type="http://schemas.openxmlformats.org/officeDocument/2006/relationships/hyperlink" Target="mailto:CDHtarlac.city@gmail.com" TargetMode="External"/><Relationship Id="rId23" Type="http://schemas.openxmlformats.org/officeDocument/2006/relationships/hyperlink" Target="mailto:teh_talavera@yahoo.com" TargetMode="External"/><Relationship Id="rId1" Type="http://schemas.openxmlformats.org/officeDocument/2006/relationships/comments" Target="../comments3.xml"/><Relationship Id="rId2" Type="http://schemas.openxmlformats.org/officeDocument/2006/relationships/hyperlink" Target="mailto:cvmcr2@gmail.com" TargetMode="External"/><Relationship Id="rId3" Type="http://schemas.openxmlformats.org/officeDocument/2006/relationships/hyperlink" Target="mailto:simc.mcc0421@gmail.com" TargetMode="External"/><Relationship Id="rId4" Type="http://schemas.openxmlformats.org/officeDocument/2006/relationships/hyperlink" Target="mailto:r2tmc@doh.gov.ph" TargetMode="External"/><Relationship Id="rId9" Type="http://schemas.openxmlformats.org/officeDocument/2006/relationships/hyperlink" Target="mailto:teh_talavera@yahoo.com" TargetMode="External"/><Relationship Id="rId26" Type="http://schemas.openxmlformats.org/officeDocument/2006/relationships/vmlDrawing" Target="../drawings/vmlDrawing3.vml"/><Relationship Id="rId25" Type="http://schemas.openxmlformats.org/officeDocument/2006/relationships/drawing" Target="../drawings/drawing4.xml"/><Relationship Id="rId5" Type="http://schemas.openxmlformats.org/officeDocument/2006/relationships/hyperlink" Target="mailto:ospitalgto@gmail.com" TargetMode="External"/><Relationship Id="rId6" Type="http://schemas.openxmlformats.org/officeDocument/2006/relationships/hyperlink" Target="mailto:ospitalgto@gmail.com" TargetMode="External"/><Relationship Id="rId7" Type="http://schemas.openxmlformats.org/officeDocument/2006/relationships/hyperlink" Target="mailto:teh_talavera@yahoo.com" TargetMode="External"/><Relationship Id="rId8" Type="http://schemas.openxmlformats.org/officeDocument/2006/relationships/hyperlink" Target="mailto:teh_talavera@yahoo.com" TargetMode="External"/><Relationship Id="rId11" Type="http://schemas.openxmlformats.org/officeDocument/2006/relationships/hyperlink" Target="mailto:ona_rlmmc@yahoo.com" TargetMode="External"/><Relationship Id="rId10" Type="http://schemas.openxmlformats.org/officeDocument/2006/relationships/hyperlink" Target="mailto:teh_talavera@yahoo.com" TargetMode="External"/><Relationship Id="rId13" Type="http://schemas.openxmlformats.org/officeDocument/2006/relationships/hyperlink" Target="mailto:bdh_62@yahoo.com" TargetMode="External"/><Relationship Id="rId12" Type="http://schemas.openxmlformats.org/officeDocument/2006/relationships/hyperlink" Target="mailto:ona_rlmmc@yahoo.com" TargetMode="External"/><Relationship Id="rId15" Type="http://schemas.openxmlformats.org/officeDocument/2006/relationships/hyperlink" Target="mailto:mcc.sec@samch.doh.gov.ph" TargetMode="External"/><Relationship Id="rId14" Type="http://schemas.openxmlformats.org/officeDocument/2006/relationships/hyperlink" Target="mailto:bdh_62@yahoo.com" TargetMode="External"/><Relationship Id="rId17" Type="http://schemas.openxmlformats.org/officeDocument/2006/relationships/hyperlink" Target="mailto:gbtrghsc.mcc@gmail.com" TargetMode="External"/><Relationship Id="rId16" Type="http://schemas.openxmlformats.org/officeDocument/2006/relationships/hyperlink" Target="mailto:mcc.sec@samch.doh.gov.ph" TargetMode="External"/><Relationship Id="rId19" Type="http://schemas.openxmlformats.org/officeDocument/2006/relationships/hyperlink" Target="mailto:cvmcr2@gmail.com" TargetMode="External"/><Relationship Id="rId18" Type="http://schemas.openxmlformats.org/officeDocument/2006/relationships/hyperlink" Target="mailto:gbtrghsc.mcc@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2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hfsrb.doh.gov.ph/wp-content/uploads/2021/05/AO-2012-0012.pdf" TargetMode="External"/><Relationship Id="rId2" Type="http://schemas.openxmlformats.org/officeDocument/2006/relationships/hyperlink" Target="https://hfsrb.doh.gov.ph/wp-content/uploads/2021/05/AO-2012-0012-A.pdf" TargetMode="External"/><Relationship Id="rId3" Type="http://schemas.openxmlformats.org/officeDocument/2006/relationships/hyperlink" Target="https://hfsrb.doh.gov.ph/wp-content/uploads/2021/05/AO-2012-0012-B.pdf" TargetMode="External"/><Relationship Id="rId4" Type="http://schemas.openxmlformats.org/officeDocument/2006/relationships/hyperlink" Target="https://hfsrb.doh.gov.ph/wp-content/uploads/2021/05/AO-2007-0041.pdf" TargetMode="External"/><Relationship Id="rId5" Type="http://schemas.openxmlformats.org/officeDocument/2006/relationships/hyperlink" Target="https://hfsrb.doh.gov.ph/hospital/" TargetMode="External"/><Relationship Id="rId6"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34.88"/>
    <col customWidth="1" min="3" max="14" width="13.5"/>
    <col customWidth="1" hidden="1" min="15" max="15" width="13.5"/>
  </cols>
  <sheetData>
    <row r="1" ht="61.5" customHeight="1">
      <c r="A1" s="1" t="s">
        <v>0</v>
      </c>
      <c r="B1" s="2" t="s">
        <v>1</v>
      </c>
      <c r="C1" s="3" t="s">
        <v>2</v>
      </c>
      <c r="D1" s="4"/>
      <c r="E1" s="4"/>
      <c r="F1" s="4"/>
      <c r="G1" s="4"/>
      <c r="H1" s="4"/>
      <c r="I1" s="4"/>
      <c r="J1" s="4"/>
      <c r="K1" s="4"/>
      <c r="L1" s="4"/>
      <c r="M1" s="4"/>
      <c r="N1" s="5"/>
      <c r="O1" s="6"/>
    </row>
    <row r="2">
      <c r="A2" s="7"/>
      <c r="B2" s="7"/>
      <c r="C2" s="8" t="s">
        <v>3</v>
      </c>
      <c r="D2" s="9"/>
      <c r="E2" s="10"/>
      <c r="F2" s="11" t="s">
        <v>4</v>
      </c>
      <c r="G2" s="12" t="s">
        <v>5</v>
      </c>
      <c r="H2" s="9"/>
      <c r="I2" s="10"/>
      <c r="J2" s="13" t="s">
        <v>4</v>
      </c>
      <c r="K2" s="14" t="s">
        <v>6</v>
      </c>
      <c r="N2" s="15" t="s">
        <v>7</v>
      </c>
      <c r="O2" s="16"/>
    </row>
    <row r="3">
      <c r="A3" s="7"/>
      <c r="B3" s="7"/>
      <c r="C3" s="17"/>
      <c r="D3" s="18"/>
      <c r="E3" s="19"/>
      <c r="F3" s="7"/>
      <c r="G3" s="17"/>
      <c r="H3" s="18"/>
      <c r="I3" s="19"/>
      <c r="J3" s="7"/>
      <c r="K3" s="17"/>
      <c r="L3" s="18"/>
      <c r="M3" s="18"/>
      <c r="N3" s="7"/>
      <c r="O3" s="16"/>
    </row>
    <row r="4">
      <c r="A4" s="20"/>
      <c r="B4" s="20"/>
      <c r="C4" s="21" t="s">
        <v>8</v>
      </c>
      <c r="D4" s="21" t="s">
        <v>9</v>
      </c>
      <c r="E4" s="21" t="s">
        <v>10</v>
      </c>
      <c r="F4" s="20"/>
      <c r="G4" s="22" t="s">
        <v>8</v>
      </c>
      <c r="H4" s="22" t="s">
        <v>9</v>
      </c>
      <c r="I4" s="22" t="s">
        <v>10</v>
      </c>
      <c r="J4" s="20"/>
      <c r="K4" s="23" t="s">
        <v>8</v>
      </c>
      <c r="L4" s="23" t="s">
        <v>9</v>
      </c>
      <c r="M4" s="23" t="s">
        <v>10</v>
      </c>
      <c r="N4" s="20"/>
      <c r="O4" s="16"/>
    </row>
    <row r="5">
      <c r="A5" s="24" t="s">
        <v>11</v>
      </c>
      <c r="B5" s="25" t="s">
        <v>12</v>
      </c>
      <c r="C5" s="30">
        <f>COUNTIFS(Government!C:C, "NCR", Government!H:H, "Government", Government!K:K, "Level 1")</f>
        <v>14</v>
      </c>
      <c r="D5" s="30">
        <f>COUNTIFS(Government!C:C, "NCR", Government!H:H, "Government", Government!K:K, "Level 2")</f>
        <v>8</v>
      </c>
      <c r="E5" s="30">
        <f>COUNTIFS(Government!C:C, "NCR", Government!H:H, "Government", Government!K:K, "Level 3")</f>
        <v>29</v>
      </c>
      <c r="F5" s="33">
        <f t="shared" ref="F5:F22" si="2">sum(C5:E5)</f>
        <v>51</v>
      </c>
      <c r="G5" s="30">
        <f>COUNTIFS(Private!C:C, "NCR", Private!H:H, "Private", Private!K:K, "Level 1")</f>
        <v>32</v>
      </c>
      <c r="H5" s="30">
        <f>COUNTIFS(Private!C:C, "NCR", Private!H:H, "Private", Private!K:K, "Level 2")</f>
        <v>41</v>
      </c>
      <c r="I5" s="30">
        <f>COUNTIFS(Private!C:C, "NCR", Private!H:H, "Private", Private!K:K, "Level 3")</f>
        <v>29</v>
      </c>
      <c r="J5" s="44">
        <f t="shared" ref="J5:J22" si="3">SUM(G5:I5)</f>
        <v>102</v>
      </c>
      <c r="K5" s="30">
        <f t="shared" ref="K5:M5" si="1">SUM(C5,G5)</f>
        <v>46</v>
      </c>
      <c r="L5" s="30">
        <f t="shared" si="1"/>
        <v>49</v>
      </c>
      <c r="M5" s="30">
        <f t="shared" si="1"/>
        <v>58</v>
      </c>
      <c r="N5" s="47">
        <f t="shared" ref="N5:N22" si="5">SUM(K5:M5)</f>
        <v>153</v>
      </c>
      <c r="O5" s="48"/>
    </row>
    <row r="6">
      <c r="A6" s="24" t="s">
        <v>52</v>
      </c>
      <c r="B6" s="25" t="s">
        <v>89</v>
      </c>
      <c r="C6" s="30">
        <f>COUNTIFS(Government!C:C, "REGION 1", Government!H:H, "Government", Government!K:K, "Level 1")</f>
        <v>25</v>
      </c>
      <c r="D6" s="30">
        <f>COUNTIFS(Government!C:C, "REGION 1", Government!H:H, "Government", Government!K:K, "Level 2")</f>
        <v>8</v>
      </c>
      <c r="E6" s="30">
        <f>COUNTIFS(Government!C:C, "REGION 1", Government!H:H, "Government", Government!K:K, "Level 3")</f>
        <v>3</v>
      </c>
      <c r="F6" s="33">
        <f t="shared" si="2"/>
        <v>36</v>
      </c>
      <c r="G6" s="30">
        <f>COUNTIFS(Private!C:C, "REGION 1", Private!H:H, "Private", Private!K:K, "Level 1")</f>
        <v>26</v>
      </c>
      <c r="H6" s="30">
        <f>COUNTIFS(Private!C:C, "REGION 1", Private!H:H, "Private", Private!K:K, "Level 2")</f>
        <v>21</v>
      </c>
      <c r="I6" s="30">
        <f>COUNTIFS(Private!C:C, "REGION 1", Private!H:H, "Private", Private!K:K, "Level 3")</f>
        <v>1</v>
      </c>
      <c r="J6" s="44">
        <f t="shared" si="3"/>
        <v>48</v>
      </c>
      <c r="K6" s="30">
        <f t="shared" ref="K6:M6" si="4">SUM(C6,G6)</f>
        <v>51</v>
      </c>
      <c r="L6" s="30">
        <f t="shared" si="4"/>
        <v>29</v>
      </c>
      <c r="M6" s="30">
        <f t="shared" si="4"/>
        <v>4</v>
      </c>
      <c r="N6" s="47">
        <f t="shared" si="5"/>
        <v>84</v>
      </c>
      <c r="O6" s="48"/>
    </row>
    <row r="7">
      <c r="A7" s="24" t="s">
        <v>188</v>
      </c>
      <c r="B7" s="25" t="s">
        <v>189</v>
      </c>
      <c r="C7" s="30">
        <f>COUNTIFS(Government!C:C, "REGION 2", Government!H:H, "Government", Government!K:K, "Level 1")</f>
        <v>19</v>
      </c>
      <c r="D7" s="30">
        <f>COUNTIFS(Government!C:C, "REGION 2", Government!H:H, "Government", Government!K:K, "Level 2")</f>
        <v>2</v>
      </c>
      <c r="E7" s="30">
        <f>COUNTIFS(Government!C:C, "REGION 2", Government!H:H, "Government", Government!K:K, "Level 3")</f>
        <v>3</v>
      </c>
      <c r="F7" s="33">
        <f t="shared" si="2"/>
        <v>24</v>
      </c>
      <c r="G7" s="30">
        <f>COUNTIFS(Private!C:C, "REGION 2", Private!H:H, "Private", Private!K:K, "Level 1")</f>
        <v>26</v>
      </c>
      <c r="H7" s="30">
        <f>COUNTIFS(Private!C:C, "REGION 2", Private!H:H, "Private", Private!K:K, "Level 2")</f>
        <v>16</v>
      </c>
      <c r="I7" s="30">
        <f>COUNTIFS(Private!C:C, "REGION 2", Private!H:H, "Private", Private!K:K, "Level 3")</f>
        <v>0</v>
      </c>
      <c r="J7" s="44">
        <f t="shared" si="3"/>
        <v>42</v>
      </c>
      <c r="K7" s="30">
        <f t="shared" ref="K7:M7" si="6">SUM(C7,G7)</f>
        <v>45</v>
      </c>
      <c r="L7" s="30">
        <f t="shared" si="6"/>
        <v>18</v>
      </c>
      <c r="M7" s="30">
        <f t="shared" si="6"/>
        <v>3</v>
      </c>
      <c r="N7" s="47">
        <f t="shared" si="5"/>
        <v>66</v>
      </c>
      <c r="O7" s="48"/>
    </row>
    <row r="8">
      <c r="A8" s="24" t="s">
        <v>265</v>
      </c>
      <c r="B8" s="25" t="s">
        <v>268</v>
      </c>
      <c r="C8" s="30">
        <f>COUNTIFS(Government!C:C, "REGION 3", Government!H:H, "Government", Government!K:K, "Level 1")</f>
        <v>47</v>
      </c>
      <c r="D8" s="30">
        <f>COUNTIFS(Government!C:C, "REGION 3", Government!H:H, "Government", Government!K:K, "Level 2")</f>
        <v>5</v>
      </c>
      <c r="E8" s="30">
        <f>COUNTIFS(Government!C:C, "REGION 3", Government!H:H, "Government", Government!K:K, "Level 3")</f>
        <v>6</v>
      </c>
      <c r="F8" s="33">
        <f t="shared" si="2"/>
        <v>58</v>
      </c>
      <c r="G8" s="30">
        <f>COUNTIFS(Private!C:C, "REGION 3", Private!H:H, "Private", Private!K:K, "Level 1")</f>
        <v>70</v>
      </c>
      <c r="H8" s="30">
        <f>COUNTIFS(Private!C:C, "REGION 3", Private!H:H, "Private", Private!K:K, "Level 2")</f>
        <v>51</v>
      </c>
      <c r="I8" s="30">
        <f>COUNTIFS(Private!C:C, "REGION 3", Private!H:H, "Private", Private!K:K, "Level 3")</f>
        <v>4</v>
      </c>
      <c r="J8" s="44">
        <f t="shared" si="3"/>
        <v>125</v>
      </c>
      <c r="K8" s="30">
        <f t="shared" ref="K8:M8" si="7">SUM(C8,G8)</f>
        <v>117</v>
      </c>
      <c r="L8" s="30">
        <f t="shared" si="7"/>
        <v>56</v>
      </c>
      <c r="M8" s="30">
        <f t="shared" si="7"/>
        <v>10</v>
      </c>
      <c r="N8" s="47">
        <f t="shared" si="5"/>
        <v>183</v>
      </c>
      <c r="O8" s="48"/>
    </row>
    <row r="9">
      <c r="A9" s="24" t="s">
        <v>351</v>
      </c>
      <c r="B9" s="25" t="s">
        <v>353</v>
      </c>
      <c r="C9" s="30">
        <f>COUNTIFS(Government!C:C, "REGION 4-A", Government!H:H, "Government", Government!K:K, "Level 1")</f>
        <v>52</v>
      </c>
      <c r="D9" s="30">
        <f>COUNTIFS(Government!C:C, "REGION 4-A", Government!H:H, "Government", Government!K:K, "Level 2")</f>
        <v>3</v>
      </c>
      <c r="E9" s="30">
        <f>COUNTIFS(Government!C:C, "REGION 4-A", Government!H:H, "Government", Government!K:K, "Level 3")</f>
        <v>3</v>
      </c>
      <c r="F9" s="33">
        <f t="shared" si="2"/>
        <v>58</v>
      </c>
      <c r="G9" s="30">
        <f>COUNTIFS(Private!C:C, "REGION 4-A", Private!H:H, "Private", Private!K:K, "Level 1")</f>
        <v>81</v>
      </c>
      <c r="H9" s="30">
        <f>COUNTIFS(Private!C:C, "REGION 4-A", Private!H:H, "Private", Private!K:K, "Level 2")</f>
        <v>86</v>
      </c>
      <c r="I9" s="30">
        <f>COUNTIFS(Private!C:C, "REGION 4-A", Private!H:H, "Private", Private!K:K, "Level 3")</f>
        <v>3</v>
      </c>
      <c r="J9" s="44">
        <f t="shared" si="3"/>
        <v>170</v>
      </c>
      <c r="K9" s="30">
        <f t="shared" ref="K9:M9" si="8">SUM(C9,G9)</f>
        <v>133</v>
      </c>
      <c r="L9" s="30">
        <f t="shared" si="8"/>
        <v>89</v>
      </c>
      <c r="M9" s="30">
        <f t="shared" si="8"/>
        <v>6</v>
      </c>
      <c r="N9" s="47">
        <f t="shared" si="5"/>
        <v>228</v>
      </c>
      <c r="O9" s="48"/>
    </row>
    <row r="10">
      <c r="A10" s="24" t="s">
        <v>422</v>
      </c>
      <c r="B10" s="25" t="s">
        <v>423</v>
      </c>
      <c r="C10" s="30">
        <f>COUNTIFS(Government!C:C, "REGION 4-B", Government!H:H, "Government", Government!K:K, "Level 1")</f>
        <v>15</v>
      </c>
      <c r="D10" s="30">
        <f>COUNTIFS(Government!C:C, "REGION 4-B", Government!H:H, "Government", Government!K:K, "Level 2")</f>
        <v>3</v>
      </c>
      <c r="E10" s="30">
        <f>COUNTIFS(Government!C:C, "REGION 4-B", Government!H:H, "Government", Government!K:K, "Level 3")</f>
        <v>0</v>
      </c>
      <c r="F10" s="33">
        <f t="shared" si="2"/>
        <v>18</v>
      </c>
      <c r="G10" s="30">
        <f>COUNTIFS(Private!C:C, "REGION 4-B", Private!H:H, "Private", Private!K:K, "Level 1")</f>
        <v>9</v>
      </c>
      <c r="H10" s="30">
        <f>COUNTIFS(Private!C:C, "REGION 4-B", Private!H:H, "Private", Private!K:K, "Level 2")</f>
        <v>7</v>
      </c>
      <c r="I10" s="30">
        <f>COUNTIFS(Private!C:C, "REGION 4-B", Private!H:H, "Private", Private!K:K, "Level 3")</f>
        <v>0</v>
      </c>
      <c r="J10" s="44">
        <f t="shared" si="3"/>
        <v>16</v>
      </c>
      <c r="K10" s="30">
        <f t="shared" ref="K10:M10" si="9">SUM(C10,G10)</f>
        <v>24</v>
      </c>
      <c r="L10" s="30">
        <f t="shared" si="9"/>
        <v>10</v>
      </c>
      <c r="M10" s="30">
        <f t="shared" si="9"/>
        <v>0</v>
      </c>
      <c r="N10" s="47">
        <f t="shared" si="5"/>
        <v>34</v>
      </c>
      <c r="O10" s="48"/>
    </row>
    <row r="11">
      <c r="A11" s="24" t="s">
        <v>509</v>
      </c>
      <c r="B11" s="25" t="s">
        <v>511</v>
      </c>
      <c r="C11" s="30">
        <f>COUNTIFS(Government!C:C, "REGION 5", Government!H:H, "Government", Government!K:K, "Level 1")</f>
        <v>16</v>
      </c>
      <c r="D11" s="30">
        <f>COUNTIFS(Government!C:C, "REGION 5", Government!H:H, "Government", Government!K:K, "Level 2")</f>
        <v>3</v>
      </c>
      <c r="E11" s="30">
        <f>COUNTIFS(Government!C:C, "REGION 5", Government!H:H, "Government", Government!K:K, "Level 3")</f>
        <v>3</v>
      </c>
      <c r="F11" s="33">
        <f t="shared" si="2"/>
        <v>22</v>
      </c>
      <c r="G11" s="30">
        <f>COUNTIFS(Private!C:C, "REGION 5", Private!H:H, "Private", Private!K:K, "Level 1")</f>
        <v>19</v>
      </c>
      <c r="H11" s="30">
        <f>COUNTIFS(Private!C:C, "REGION 5", Private!H:H, "Private", Private!K:K, "Level 2")</f>
        <v>14</v>
      </c>
      <c r="I11" s="30">
        <f>COUNTIFS(Private!C:C, "REGION 5", Private!H:H, "Private", Private!K:K, "Level 3")</f>
        <v>1</v>
      </c>
      <c r="J11" s="44">
        <f t="shared" si="3"/>
        <v>34</v>
      </c>
      <c r="K11" s="30">
        <f t="shared" ref="K11:M11" si="10">SUM(C11,G11)</f>
        <v>35</v>
      </c>
      <c r="L11" s="30">
        <f t="shared" si="10"/>
        <v>17</v>
      </c>
      <c r="M11" s="30">
        <f t="shared" si="10"/>
        <v>4</v>
      </c>
      <c r="N11" s="47">
        <f t="shared" si="5"/>
        <v>56</v>
      </c>
      <c r="O11" s="48"/>
    </row>
    <row r="12">
      <c r="A12" s="24" t="s">
        <v>581</v>
      </c>
      <c r="B12" s="25" t="s">
        <v>587</v>
      </c>
      <c r="C12" s="30">
        <f>COUNTIFS(Government!C:C, "REGION 6", Government!H:H, "Government", Government!K:K, "Level 1")</f>
        <v>18</v>
      </c>
      <c r="D12" s="30">
        <f>COUNTIFS(Government!C:C, "REGION 6", Government!H:H, "Government", Government!K:K, "Level 2")</f>
        <v>6</v>
      </c>
      <c r="E12" s="30">
        <f>COUNTIFS(Government!C:C, "REGION 6", Government!H:H, "Government", Government!K:K, "Level 3")</f>
        <v>2</v>
      </c>
      <c r="F12" s="33">
        <f t="shared" si="2"/>
        <v>26</v>
      </c>
      <c r="G12" s="30">
        <f>COUNTIFS(Private!C:C, "REGION 6", Private!H:H, "Private", Private!K:K, "Level 1")</f>
        <v>2</v>
      </c>
      <c r="H12" s="30">
        <f>COUNTIFS(Private!C:C, "REGION 6", Private!H:H, "Private", Private!K:K, "Level 2")</f>
        <v>15</v>
      </c>
      <c r="I12" s="30">
        <f>COUNTIFS(Private!C:C, "REGION 6", Private!H:H, "Private", Private!K:K, "Level 3")</f>
        <v>3</v>
      </c>
      <c r="J12" s="44">
        <f t="shared" si="3"/>
        <v>20</v>
      </c>
      <c r="K12" s="30">
        <f t="shared" ref="K12:M12" si="11">SUM(C12,G12)</f>
        <v>20</v>
      </c>
      <c r="L12" s="30">
        <f t="shared" si="11"/>
        <v>21</v>
      </c>
      <c r="M12" s="30">
        <f t="shared" si="11"/>
        <v>5</v>
      </c>
      <c r="N12" s="47">
        <f t="shared" si="5"/>
        <v>46</v>
      </c>
      <c r="O12" s="48"/>
    </row>
    <row r="13">
      <c r="A13" s="24" t="s">
        <v>682</v>
      </c>
      <c r="B13" s="25" t="s">
        <v>684</v>
      </c>
      <c r="C13" s="30">
        <f>COUNTIFS(Government!C:C, "REGION 7", Government!H:H, "Government", Government!K:K, "Level 1")</f>
        <v>12</v>
      </c>
      <c r="D13" s="30">
        <f>COUNTIFS(Government!C:C, "REGION 7", Government!H:H, "Government", Government!K:K, "Level 2")</f>
        <v>8</v>
      </c>
      <c r="E13" s="30">
        <f>COUNTIFS(Government!C:C, "REGION 7", Government!H:H, "Government", Government!K:K, "Level 3")</f>
        <v>3</v>
      </c>
      <c r="F13" s="33">
        <f t="shared" si="2"/>
        <v>23</v>
      </c>
      <c r="G13" s="30">
        <f>COUNTIFS(Private!C:C, "REGION 7", Private!H:H, "Private", Private!K:K, "Level 1")</f>
        <v>8</v>
      </c>
      <c r="H13" s="30">
        <f>COUNTIFS(Private!C:C, "REGION 7", Private!H:H, "Private", Private!K:K, "Level 2")</f>
        <v>15</v>
      </c>
      <c r="I13" s="30">
        <f>COUNTIFS(Private!C:C, "REGION 7", Private!H:H, "Private", Private!K:K, "Level 3")</f>
        <v>8</v>
      </c>
      <c r="J13" s="44">
        <f t="shared" si="3"/>
        <v>31</v>
      </c>
      <c r="K13" s="30">
        <f t="shared" ref="K13:M13" si="12">SUM(C13,G13)</f>
        <v>20</v>
      </c>
      <c r="L13" s="30">
        <f t="shared" si="12"/>
        <v>23</v>
      </c>
      <c r="M13" s="30">
        <f t="shared" si="12"/>
        <v>11</v>
      </c>
      <c r="N13" s="47">
        <f t="shared" si="5"/>
        <v>54</v>
      </c>
      <c r="O13" s="48"/>
    </row>
    <row r="14">
      <c r="A14" s="24" t="s">
        <v>764</v>
      </c>
      <c r="B14" s="25" t="s">
        <v>765</v>
      </c>
      <c r="C14" s="30">
        <f>COUNTIFS(Government!C:C, "REGION 8", Government!H:H, "Government", Government!K:K, "Level 1")</f>
        <v>19</v>
      </c>
      <c r="D14" s="30">
        <f>COUNTIFS(Government!C:C, "REGION 8", Government!H:H, "Government", Government!K:K, "Level 2")</f>
        <v>1</v>
      </c>
      <c r="E14" s="30">
        <f>COUNTIFS(Government!C:C, "REGION 8", Government!H:H, "Government", Government!K:K, "Level 3")</f>
        <v>1</v>
      </c>
      <c r="F14" s="33">
        <f t="shared" si="2"/>
        <v>21</v>
      </c>
      <c r="G14" s="30">
        <f>COUNTIFS(Private!C:C, "REGION 8", Private!H:H, "Private", Private!K:K, "Level 1")</f>
        <v>24</v>
      </c>
      <c r="H14" s="30">
        <f>COUNTIFS(Private!C:C, "REGION 8", Private!H:H, "Private", Private!K:K, "Level 2")</f>
        <v>5</v>
      </c>
      <c r="I14" s="30">
        <f>COUNTIFS(Private!C:C, "REGION 8", Private!H:H, "Private", Private!K:K, "Level 3")</f>
        <v>1</v>
      </c>
      <c r="J14" s="44">
        <f t="shared" si="3"/>
        <v>30</v>
      </c>
      <c r="K14" s="30">
        <f t="shared" ref="K14:M14" si="13">SUM(C14,G14)</f>
        <v>43</v>
      </c>
      <c r="L14" s="30">
        <f t="shared" si="13"/>
        <v>6</v>
      </c>
      <c r="M14" s="30">
        <f t="shared" si="13"/>
        <v>2</v>
      </c>
      <c r="N14" s="47">
        <f t="shared" si="5"/>
        <v>51</v>
      </c>
      <c r="O14" s="48"/>
    </row>
    <row r="15">
      <c r="A15" s="24" t="s">
        <v>808</v>
      </c>
      <c r="B15" s="25" t="s">
        <v>809</v>
      </c>
      <c r="C15" s="30">
        <f>COUNTIFS(Government!C:C, "REGION 9", Government!H:H, "Government", Government!K:K, "Level 1")</f>
        <v>8</v>
      </c>
      <c r="D15" s="30">
        <f>COUNTIFS(Government!C:C, "REGION 9", Government!H:H, "Government", Government!K:K, "Level 2")</f>
        <v>7</v>
      </c>
      <c r="E15" s="30">
        <f>COUNTIFS(Government!C:C, "REGION 9", Government!H:H, "Government", Government!K:K, "Level 3")</f>
        <v>1</v>
      </c>
      <c r="F15" s="33">
        <f t="shared" si="2"/>
        <v>16</v>
      </c>
      <c r="G15" s="30">
        <f>COUNTIFS(Private!C:C, "REGION 9", Private!H:H, "Private", Private!K:K, "Level 1")</f>
        <v>21</v>
      </c>
      <c r="H15" s="30">
        <f>COUNTIFS(Private!C:C, "REGION 9", Private!H:H, "Private", Private!K:K, "Level 2")</f>
        <v>8</v>
      </c>
      <c r="I15" s="30">
        <f>COUNTIFS(Private!C:C, "REGION 9", Private!H:H, "Private", Private!K:K, "Level 3")</f>
        <v>0</v>
      </c>
      <c r="J15" s="44">
        <f t="shared" si="3"/>
        <v>29</v>
      </c>
      <c r="K15" s="30">
        <f t="shared" ref="K15:M15" si="14">SUM(C15,G15)</f>
        <v>29</v>
      </c>
      <c r="L15" s="30">
        <f t="shared" si="14"/>
        <v>15</v>
      </c>
      <c r="M15" s="30">
        <f t="shared" si="14"/>
        <v>1</v>
      </c>
      <c r="N15" s="47">
        <f t="shared" si="5"/>
        <v>45</v>
      </c>
      <c r="O15" s="48"/>
    </row>
    <row r="16">
      <c r="A16" s="24" t="s">
        <v>887</v>
      </c>
      <c r="B16" s="25" t="s">
        <v>890</v>
      </c>
      <c r="C16" s="30">
        <f>COUNTIFS(Government!C:C, "REGION 10", Government!H:H, "Government", Government!K:K, "Level 1")</f>
        <v>16</v>
      </c>
      <c r="D16" s="30">
        <f>COUNTIFS(Government!C:C, "REGION 10", Government!H:H, "Government", Government!K:K, "Level 2")</f>
        <v>4</v>
      </c>
      <c r="E16" s="30">
        <f>COUNTIFS(Government!C:C, "REGION 10", Government!H:H, "Government", Government!K:K, "Level 3")</f>
        <v>3</v>
      </c>
      <c r="F16" s="33">
        <f t="shared" si="2"/>
        <v>23</v>
      </c>
      <c r="G16" s="30">
        <f>COUNTIFS(Private!C:C, "REGION 10", Private!H:H, "Private", Private!K:K, "Level 1")</f>
        <v>36</v>
      </c>
      <c r="H16" s="30">
        <f>COUNTIFS(Private!C:C, "REGION 10", Private!H:H, "Private", Private!K:K, "Level 2")</f>
        <v>16</v>
      </c>
      <c r="I16" s="30">
        <f>COUNTIFS(Private!C:C, "REGION 10", Private!H:H, "Private", Private!K:K, "Level 3")</f>
        <v>1</v>
      </c>
      <c r="J16" s="44">
        <f t="shared" si="3"/>
        <v>53</v>
      </c>
      <c r="K16" s="30">
        <f t="shared" ref="K16:M16" si="15">SUM(C16,G16)</f>
        <v>52</v>
      </c>
      <c r="L16" s="30">
        <f t="shared" si="15"/>
        <v>20</v>
      </c>
      <c r="M16" s="30">
        <f t="shared" si="15"/>
        <v>4</v>
      </c>
      <c r="N16" s="47">
        <f t="shared" si="5"/>
        <v>76</v>
      </c>
      <c r="O16" s="48"/>
    </row>
    <row r="17">
      <c r="A17" s="24" t="s">
        <v>949</v>
      </c>
      <c r="B17" s="25" t="s">
        <v>951</v>
      </c>
      <c r="C17" s="30">
        <f>COUNTIFS(Government!C:C, "REGION 11", Government!H:H, "Government", Government!K:K, "Level 1")</f>
        <v>9</v>
      </c>
      <c r="D17" s="30">
        <f>COUNTIFS(Government!C:C, "REGION 11", Government!H:H, "Government", Government!K:K, "Level 2")</f>
        <v>2</v>
      </c>
      <c r="E17" s="30">
        <f>COUNTIFS(Government!C:C, "REGION 11", Government!H:H, "Government", Government!K:K, "Level 3")</f>
        <v>2</v>
      </c>
      <c r="F17" s="33">
        <f t="shared" si="2"/>
        <v>13</v>
      </c>
      <c r="G17" s="30">
        <f>COUNTIFS(Private!C:C, "REGION 11", Private!H:H, "Private", Private!K:K, "Level 1")</f>
        <v>24</v>
      </c>
      <c r="H17" s="30">
        <f>COUNTIFS(Private!C:C, "REGION 11", Private!H:H, "Private", Private!K:K, "Level 2")</f>
        <v>20</v>
      </c>
      <c r="I17" s="30">
        <f>COUNTIFS(Private!C:C, "REGION 11", Private!H:H, "Private", Private!K:K, "Level 3")</f>
        <v>3</v>
      </c>
      <c r="J17" s="44">
        <f t="shared" si="3"/>
        <v>47</v>
      </c>
      <c r="K17" s="30">
        <f t="shared" ref="K17:M17" si="16">SUM(C17,G17)</f>
        <v>33</v>
      </c>
      <c r="L17" s="30">
        <f t="shared" si="16"/>
        <v>22</v>
      </c>
      <c r="M17" s="30">
        <f t="shared" si="16"/>
        <v>5</v>
      </c>
      <c r="N17" s="47">
        <f t="shared" si="5"/>
        <v>60</v>
      </c>
      <c r="O17" s="48"/>
    </row>
    <row r="18">
      <c r="A18" s="24" t="s">
        <v>1026</v>
      </c>
      <c r="B18" s="25" t="s">
        <v>1028</v>
      </c>
      <c r="C18" s="30">
        <f>COUNTIFS(Government!C:C, "REGION 12", Government!H:H, "Government", Government!K:K, "Level 1")</f>
        <v>11</v>
      </c>
      <c r="D18" s="30">
        <f>COUNTIFS(Government!C:C, "REGION 12", Government!H:H, "Government", Government!K:K, "Level 2")</f>
        <v>7</v>
      </c>
      <c r="E18" s="30">
        <f>COUNTIFS(Government!C:C, "REGION 12", Government!H:H, "Government", Government!K:K, "Level 3")</f>
        <v>1</v>
      </c>
      <c r="F18" s="33">
        <f t="shared" si="2"/>
        <v>19</v>
      </c>
      <c r="G18" s="30">
        <f>COUNTIFS(Private!C:C, "REGION 12", Private!H:H, "Private", Private!K:K, "Level 1")</f>
        <v>43</v>
      </c>
      <c r="H18" s="30">
        <f>COUNTIFS(Private!C:C, "REGION 12", Private!H:H, "Private", Private!K:K, "Level 2")</f>
        <v>18</v>
      </c>
      <c r="I18" s="30">
        <f>COUNTIFS(Private!C:C, "REGION 12", Private!H:H, "Private", Private!K:K, "Level 3")</f>
        <v>2</v>
      </c>
      <c r="J18" s="44">
        <f t="shared" si="3"/>
        <v>63</v>
      </c>
      <c r="K18" s="30">
        <f t="shared" ref="K18:M18" si="17">SUM(C18,G18)</f>
        <v>54</v>
      </c>
      <c r="L18" s="30">
        <f t="shared" si="17"/>
        <v>25</v>
      </c>
      <c r="M18" s="30">
        <f t="shared" si="17"/>
        <v>3</v>
      </c>
      <c r="N18" s="47">
        <f t="shared" si="5"/>
        <v>82</v>
      </c>
      <c r="O18" s="48"/>
    </row>
    <row r="19">
      <c r="A19" s="24" t="s">
        <v>1098</v>
      </c>
      <c r="B19" s="25" t="s">
        <v>1099</v>
      </c>
      <c r="C19" s="30">
        <f>COUNTIFS(Government!C:C, "REGION 13", Government!H:H, "Government", Government!K:K, "Level 1")</f>
        <v>10</v>
      </c>
      <c r="D19" s="30">
        <f>COUNTIFS(Government!C:C, "REGION 13", Government!H:H, "Government", Government!K:K, "Level 2")</f>
        <v>3</v>
      </c>
      <c r="E19" s="30">
        <f>COUNTIFS(Government!C:C, "REGION 13", Government!H:H, "Government", Government!K:K, "Level 3")</f>
        <v>1</v>
      </c>
      <c r="F19" s="33">
        <f t="shared" si="2"/>
        <v>14</v>
      </c>
      <c r="G19" s="30">
        <f>COUNTIFS(Private!C:C, "REGION 13", Private!H:H, "Private", Private!K:K, "Level 1")</f>
        <v>5</v>
      </c>
      <c r="H19" s="30">
        <f>COUNTIFS(Private!C:C, "REGION 13", Private!H:H, "Private", Private!K:K, "Level 2")</f>
        <v>7</v>
      </c>
      <c r="I19" s="30">
        <f>COUNTIFS(Private!C:C, "REGION 13", Private!H:H, "Private", Private!K:K, "Level 3")</f>
        <v>0</v>
      </c>
      <c r="J19" s="44">
        <f t="shared" si="3"/>
        <v>12</v>
      </c>
      <c r="K19" s="30">
        <f t="shared" ref="K19:M19" si="18">SUM(C19,G19)</f>
        <v>15</v>
      </c>
      <c r="L19" s="30">
        <f t="shared" si="18"/>
        <v>10</v>
      </c>
      <c r="M19" s="30">
        <f t="shared" si="18"/>
        <v>1</v>
      </c>
      <c r="N19" s="47">
        <f t="shared" si="5"/>
        <v>26</v>
      </c>
      <c r="O19" s="48"/>
    </row>
    <row r="20">
      <c r="A20" s="71" t="s">
        <v>1215</v>
      </c>
      <c r="B20" s="72" t="s">
        <v>1229</v>
      </c>
      <c r="C20" s="30">
        <f>COUNTIFS(Government!C:C, "NIR", Government!H:H, "Government", Government!K:K, "Level 1")</f>
        <v>16</v>
      </c>
      <c r="D20" s="30">
        <f>COUNTIFS(Government!C:C, "NIR", Government!H:H, "Government", Government!K:K, "Level 2")</f>
        <v>2</v>
      </c>
      <c r="E20" s="30">
        <f>COUNTIFS(Government!C:C, "NIR", Government!H:H, "Government", Government!K:K, "Level 3")</f>
        <v>1</v>
      </c>
      <c r="F20" s="33">
        <f t="shared" si="2"/>
        <v>19</v>
      </c>
      <c r="G20" s="30">
        <f>COUNTIFS(Private!C:C, "NIR", Private!H:H, "Private", Private!K:K, "Level 1")</f>
        <v>5</v>
      </c>
      <c r="H20" s="30">
        <f>COUNTIFS(Private!C:C, "NIR", Private!H:H, "Private", Private!K:K, "Level 2")</f>
        <v>8</v>
      </c>
      <c r="I20" s="30">
        <f>COUNTIFS(Private!C:C, "NIR", Private!H:H, "Private", Private!K:K, "Level 3")</f>
        <v>4</v>
      </c>
      <c r="J20" s="44">
        <f t="shared" si="3"/>
        <v>17</v>
      </c>
      <c r="K20" s="30">
        <f t="shared" ref="K20:M20" si="19">SUM(C20,G20)</f>
        <v>21</v>
      </c>
      <c r="L20" s="30">
        <f t="shared" si="19"/>
        <v>10</v>
      </c>
      <c r="M20" s="30">
        <f t="shared" si="19"/>
        <v>5</v>
      </c>
      <c r="N20" s="47">
        <f t="shared" si="5"/>
        <v>36</v>
      </c>
      <c r="O20" s="48"/>
    </row>
    <row r="21">
      <c r="A21" s="71" t="s">
        <v>1320</v>
      </c>
      <c r="B21" s="72" t="s">
        <v>1323</v>
      </c>
      <c r="C21" s="30">
        <f>COUNTIFS(Government!C:C, "CORDILLERA", Government!H:H, "Government", Government!K:K, "Level 1")</f>
        <v>11</v>
      </c>
      <c r="D21" s="30">
        <f>COUNTIFS(Government!C:C, "CORDILLERA", Government!H:H, "Government", Government!K:K, "Level 2")</f>
        <v>4</v>
      </c>
      <c r="E21" s="30">
        <f>COUNTIFS(Government!C:C, "CORDILLERA", Government!H:H, "Government", Government!K:K, "Level 3")</f>
        <v>1</v>
      </c>
      <c r="F21" s="33">
        <f t="shared" si="2"/>
        <v>16</v>
      </c>
      <c r="G21" s="30">
        <f>COUNTIFS(Private!C:C, "CORDILLERA", Private!H:H, "Private", Private!K:K, "Level 1")</f>
        <v>10</v>
      </c>
      <c r="H21" s="30">
        <f>COUNTIFS(Private!C:C, "CORDILLERA", Private!H:H, "Private", Private!K:K, "Level 2")</f>
        <v>3</v>
      </c>
      <c r="I21" s="30">
        <f>COUNTIFS(Private!C:C, "CORDILLERA", Private!H:H, "Private", Private!K:K, "Level 3")</f>
        <v>1</v>
      </c>
      <c r="J21" s="44">
        <f t="shared" si="3"/>
        <v>14</v>
      </c>
      <c r="K21" s="30">
        <f t="shared" ref="K21:M21" si="20">SUM(C21,G21)</f>
        <v>21</v>
      </c>
      <c r="L21" s="30">
        <f t="shared" si="20"/>
        <v>7</v>
      </c>
      <c r="M21" s="30">
        <f t="shared" si="20"/>
        <v>2</v>
      </c>
      <c r="N21" s="47">
        <f t="shared" si="5"/>
        <v>30</v>
      </c>
      <c r="O21" s="48"/>
    </row>
    <row r="22">
      <c r="A22" s="24" t="s">
        <v>1418</v>
      </c>
      <c r="B22" s="25" t="s">
        <v>1420</v>
      </c>
      <c r="C22" s="30">
        <f>COUNTIFS(Government!C:C, "BARMM", Government!H:H, "Government", Government!K:K, "Level 1")</f>
        <v>13</v>
      </c>
      <c r="D22" s="30">
        <f>COUNTIFS(Government!C:C, "BARMM", Government!H:H, "Government", Government!K:K, "Level 2")</f>
        <v>1</v>
      </c>
      <c r="E22" s="30">
        <f>COUNTIFS(Government!C:C, "BARMM", Government!H:H, "Government", Government!K:K, "Level 3")</f>
        <v>0</v>
      </c>
      <c r="F22" s="33">
        <f t="shared" si="2"/>
        <v>14</v>
      </c>
      <c r="G22" s="30">
        <f>COUNTIFS(Private!C:C, "BARMM", Private!H:H, "Private", Private!K:K, "Level 1")</f>
        <v>12</v>
      </c>
      <c r="H22" s="30">
        <f>COUNTIFS(Private!C:C, "BARMM", Private!H:H, "Private", Private!K:K, "Level 2")</f>
        <v>0</v>
      </c>
      <c r="I22" s="30">
        <f>COUNTIFS(Private!C:C, "BARMM", Private!H:H, "Private", Private!K:K, "Level 3")</f>
        <v>0</v>
      </c>
      <c r="J22" s="44">
        <f t="shared" si="3"/>
        <v>12</v>
      </c>
      <c r="K22" s="30">
        <f t="shared" ref="K22:M22" si="21">SUM(C22,G22)</f>
        <v>25</v>
      </c>
      <c r="L22" s="30">
        <f t="shared" si="21"/>
        <v>1</v>
      </c>
      <c r="M22" s="30">
        <f t="shared" si="21"/>
        <v>0</v>
      </c>
      <c r="N22" s="47">
        <f t="shared" si="5"/>
        <v>26</v>
      </c>
      <c r="O22" s="48"/>
    </row>
    <row r="23">
      <c r="A23" s="75" t="s">
        <v>1504</v>
      </c>
      <c r="B23" s="5"/>
      <c r="C23" s="76">
        <f t="shared" ref="C23:F23" si="22">sum(C5:C22)</f>
        <v>331</v>
      </c>
      <c r="D23" s="76">
        <f t="shared" si="22"/>
        <v>77</v>
      </c>
      <c r="E23" s="76">
        <f t="shared" si="22"/>
        <v>63</v>
      </c>
      <c r="F23" s="33">
        <f t="shared" si="22"/>
        <v>471</v>
      </c>
      <c r="G23" s="78">
        <f t="shared" ref="G23:I23" si="23">SUM(G5:G22)</f>
        <v>453</v>
      </c>
      <c r="H23" s="78">
        <f t="shared" si="23"/>
        <v>351</v>
      </c>
      <c r="I23" s="78">
        <f t="shared" si="23"/>
        <v>61</v>
      </c>
      <c r="J23" s="44">
        <f>sum(G23:I23)</f>
        <v>865</v>
      </c>
      <c r="K23" s="79">
        <f t="shared" ref="K23:M23" si="24">SUM(K5:K22)</f>
        <v>784</v>
      </c>
      <c r="L23" s="79">
        <f t="shared" si="24"/>
        <v>428</v>
      </c>
      <c r="M23" s="79">
        <f t="shared" si="24"/>
        <v>124</v>
      </c>
      <c r="N23" s="47">
        <f>SUM(F23,J23)</f>
        <v>1336</v>
      </c>
      <c r="O23" s="80"/>
    </row>
    <row r="24" ht="33.75" hidden="1" customHeight="1">
      <c r="A24" s="81"/>
      <c r="B24" s="81"/>
      <c r="C24" s="82"/>
      <c r="D24" s="82"/>
      <c r="E24" s="82"/>
      <c r="F24" s="83"/>
      <c r="G24" s="84"/>
      <c r="H24" s="84"/>
      <c r="I24" s="84"/>
      <c r="J24" s="85"/>
      <c r="K24" s="86"/>
      <c r="L24" s="86"/>
      <c r="M24" s="86"/>
      <c r="N24" s="87"/>
      <c r="O24" s="88"/>
    </row>
    <row r="25" ht="15.75" hidden="1" customHeight="1">
      <c r="A25" s="89"/>
      <c r="B25" s="89"/>
      <c r="N25" s="90"/>
      <c r="O25" s="91"/>
    </row>
    <row r="26" ht="15.75" hidden="1" customHeight="1">
      <c r="A26" s="89"/>
      <c r="B26" s="89"/>
      <c r="O26" s="92"/>
    </row>
    <row r="27" ht="15.75" hidden="1" customHeight="1">
      <c r="A27" s="89"/>
      <c r="B27" s="89"/>
      <c r="O27" s="92"/>
    </row>
    <row r="28" ht="15.75" hidden="1" customHeight="1">
      <c r="A28" s="93" t="s">
        <v>15</v>
      </c>
      <c r="B28" s="94" t="s">
        <v>3</v>
      </c>
      <c r="C28" s="5"/>
      <c r="D28" s="95" t="s">
        <v>5</v>
      </c>
      <c r="E28" s="5"/>
      <c r="O28" s="92"/>
    </row>
    <row r="29" ht="15.75" hidden="1" customHeight="1">
      <c r="A29" s="7"/>
      <c r="B29" s="96" t="s">
        <v>1598</v>
      </c>
      <c r="C29" s="96" t="s">
        <v>1607</v>
      </c>
      <c r="D29" s="97" t="s">
        <v>1598</v>
      </c>
      <c r="E29" s="97" t="s">
        <v>1607</v>
      </c>
      <c r="G29" s="98" t="s">
        <v>1614</v>
      </c>
      <c r="H29" s="99">
        <f>C23+G23</f>
        <v>784</v>
      </c>
      <c r="O29" s="92"/>
    </row>
    <row r="30" ht="15.75" hidden="1" customHeight="1">
      <c r="A30" s="20"/>
      <c r="B30" s="19"/>
      <c r="C30" s="19"/>
      <c r="D30" s="19"/>
      <c r="E30" s="19"/>
      <c r="G30" s="98" t="s">
        <v>1625</v>
      </c>
      <c r="H30" s="99">
        <f>D23+H23</f>
        <v>428</v>
      </c>
      <c r="O30" s="92"/>
    </row>
    <row r="31" ht="15.75" hidden="1" customHeight="1">
      <c r="A31" s="100" t="s">
        <v>11</v>
      </c>
      <c r="B31" s="101"/>
      <c r="C31" s="101"/>
      <c r="D31" s="101"/>
      <c r="E31" s="101"/>
      <c r="G31" s="98" t="s">
        <v>1642</v>
      </c>
      <c r="H31" s="99">
        <f>E23+I23</f>
        <v>124</v>
      </c>
      <c r="O31" s="92"/>
    </row>
    <row r="32" ht="15.75" hidden="1" customHeight="1">
      <c r="A32" s="100" t="s">
        <v>52</v>
      </c>
      <c r="B32" s="101"/>
      <c r="C32" s="101"/>
      <c r="D32" s="101"/>
      <c r="E32" s="101"/>
      <c r="H32" s="99">
        <f>sum(H29:H31)</f>
        <v>1336</v>
      </c>
      <c r="O32" s="92"/>
    </row>
    <row r="33" ht="15.75" hidden="1" customHeight="1">
      <c r="A33" s="100" t="s">
        <v>188</v>
      </c>
      <c r="B33" s="101"/>
      <c r="C33" s="101"/>
      <c r="D33" s="101"/>
      <c r="E33" s="101"/>
      <c r="O33" s="92"/>
    </row>
    <row r="34" ht="15.75" hidden="1" customHeight="1">
      <c r="A34" s="100" t="s">
        <v>265</v>
      </c>
      <c r="B34" s="101"/>
      <c r="C34" s="101"/>
      <c r="D34" s="101"/>
      <c r="E34" s="101"/>
      <c r="O34" s="92"/>
    </row>
    <row r="35" ht="15.75" hidden="1" customHeight="1">
      <c r="A35" s="100" t="s">
        <v>351</v>
      </c>
      <c r="B35" s="101"/>
      <c r="C35" s="101"/>
      <c r="D35" s="101"/>
      <c r="E35" s="101"/>
      <c r="O35" s="92"/>
    </row>
    <row r="36" ht="15.75" hidden="1" customHeight="1">
      <c r="A36" s="100" t="s">
        <v>422</v>
      </c>
      <c r="B36" s="101"/>
      <c r="C36" s="101"/>
      <c r="D36" s="101"/>
      <c r="E36" s="101"/>
      <c r="O36" s="92"/>
    </row>
    <row r="37" ht="15.75" hidden="1" customHeight="1">
      <c r="A37" s="100" t="s">
        <v>509</v>
      </c>
      <c r="B37" s="101"/>
      <c r="C37" s="101"/>
      <c r="D37" s="101"/>
      <c r="E37" s="101"/>
      <c r="O37" s="92"/>
    </row>
    <row r="38" ht="15.75" hidden="1" customHeight="1">
      <c r="A38" s="100" t="s">
        <v>581</v>
      </c>
      <c r="B38" s="101"/>
      <c r="C38" s="101"/>
      <c r="D38" s="101"/>
      <c r="E38" s="101"/>
      <c r="O38" s="92"/>
    </row>
    <row r="39" ht="15.75" hidden="1" customHeight="1">
      <c r="A39" s="100" t="s">
        <v>682</v>
      </c>
      <c r="B39" s="101"/>
      <c r="C39" s="101"/>
      <c r="D39" s="101"/>
      <c r="E39" s="101"/>
      <c r="O39" s="92"/>
    </row>
    <row r="40" ht="15.75" hidden="1" customHeight="1">
      <c r="A40" s="100" t="s">
        <v>764</v>
      </c>
      <c r="B40" s="101"/>
      <c r="C40" s="101"/>
      <c r="D40" s="101"/>
      <c r="E40" s="101"/>
      <c r="I40" s="98" t="s">
        <v>1668</v>
      </c>
      <c r="O40" s="92"/>
    </row>
    <row r="41" ht="15.75" hidden="1" customHeight="1">
      <c r="A41" s="100" t="s">
        <v>808</v>
      </c>
      <c r="B41" s="101"/>
      <c r="C41" s="101"/>
      <c r="D41" s="101"/>
      <c r="E41" s="101"/>
      <c r="O41" s="92"/>
    </row>
    <row r="42" ht="15.75" hidden="1" customHeight="1">
      <c r="A42" s="100" t="s">
        <v>887</v>
      </c>
      <c r="B42" s="101"/>
      <c r="C42" s="101"/>
      <c r="D42" s="101"/>
      <c r="E42" s="101"/>
      <c r="O42" s="92"/>
    </row>
    <row r="43" ht="15.75" hidden="1" customHeight="1">
      <c r="A43" s="100" t="s">
        <v>949</v>
      </c>
      <c r="B43" s="101"/>
      <c r="C43" s="101"/>
      <c r="D43" s="101"/>
      <c r="E43" s="101"/>
      <c r="O43" s="92"/>
    </row>
    <row r="44" ht="15.75" hidden="1" customHeight="1">
      <c r="A44" s="100" t="s">
        <v>1026</v>
      </c>
      <c r="B44" s="101"/>
      <c r="C44" s="101"/>
      <c r="D44" s="101"/>
      <c r="E44" s="101"/>
      <c r="O44" s="92"/>
    </row>
    <row r="45" ht="15.75" hidden="1" customHeight="1">
      <c r="A45" s="100" t="s">
        <v>1098</v>
      </c>
      <c r="B45" s="101"/>
      <c r="C45" s="101"/>
      <c r="D45" s="101"/>
      <c r="E45" s="101"/>
      <c r="O45" s="92"/>
    </row>
    <row r="46" ht="15.75" hidden="1" customHeight="1">
      <c r="A46" s="100" t="s">
        <v>1323</v>
      </c>
      <c r="B46" s="101"/>
      <c r="C46" s="101"/>
      <c r="D46" s="101"/>
      <c r="E46" s="101"/>
      <c r="O46" s="92"/>
    </row>
    <row r="47" ht="15.75" hidden="1" customHeight="1">
      <c r="A47" s="100" t="s">
        <v>1418</v>
      </c>
      <c r="B47" s="101"/>
      <c r="C47" s="101"/>
      <c r="D47" s="101"/>
      <c r="E47" s="101"/>
      <c r="O47" s="92"/>
    </row>
    <row r="48" ht="15.75" hidden="1" customHeight="1">
      <c r="A48" s="100" t="s">
        <v>1683</v>
      </c>
      <c r="B48" s="101"/>
      <c r="C48" s="101"/>
      <c r="D48" s="101"/>
      <c r="E48" s="101"/>
      <c r="O48" s="92"/>
    </row>
    <row r="49" ht="15.75" hidden="1" customHeight="1">
      <c r="A49" s="89"/>
      <c r="B49" s="89"/>
      <c r="O49" s="92"/>
    </row>
    <row r="50" ht="15.75" hidden="1" customHeight="1">
      <c r="A50" s="89"/>
      <c r="B50" s="89"/>
      <c r="O50" s="92"/>
    </row>
    <row r="51" ht="15.75" hidden="1" customHeight="1">
      <c r="A51" s="89"/>
      <c r="B51" s="89"/>
      <c r="O51" s="92"/>
    </row>
    <row r="52" ht="15.75" hidden="1" customHeight="1">
      <c r="A52" s="89"/>
      <c r="B52" s="89"/>
      <c r="O52" s="92"/>
    </row>
    <row r="53" ht="15.75" hidden="1" customHeight="1">
      <c r="A53" s="89"/>
      <c r="B53" s="89"/>
      <c r="O53" s="92"/>
    </row>
    <row r="54" ht="15.75" hidden="1" customHeight="1">
      <c r="A54" s="89"/>
      <c r="B54" s="89"/>
      <c r="O54" s="92"/>
    </row>
    <row r="55" ht="15.75" hidden="1" customHeight="1">
      <c r="A55" s="89"/>
      <c r="B55" s="89"/>
      <c r="O55" s="92"/>
    </row>
    <row r="56" ht="15.75" hidden="1" customHeight="1">
      <c r="A56" s="89"/>
      <c r="B56" s="89"/>
      <c r="O56" s="92"/>
    </row>
    <row r="57" ht="15.75" hidden="1" customHeight="1">
      <c r="A57" s="89"/>
      <c r="B57" s="89"/>
      <c r="O57" s="92"/>
    </row>
    <row r="58" ht="15.75" hidden="1" customHeight="1">
      <c r="A58" s="89"/>
      <c r="B58" s="89"/>
      <c r="O58" s="92"/>
    </row>
    <row r="59" ht="15.75" hidden="1" customHeight="1">
      <c r="A59" s="89"/>
      <c r="B59" s="89"/>
      <c r="O59" s="92"/>
    </row>
    <row r="60" ht="15.75" hidden="1" customHeight="1">
      <c r="A60" s="89"/>
      <c r="B60" s="89"/>
      <c r="O60" s="92"/>
    </row>
    <row r="61" ht="15.75" hidden="1" customHeight="1">
      <c r="A61" s="89"/>
      <c r="B61" s="89"/>
      <c r="O61" s="92"/>
    </row>
    <row r="62" ht="15.75" hidden="1" customHeight="1">
      <c r="A62" s="89"/>
      <c r="B62" s="89"/>
      <c r="O62" s="92"/>
    </row>
    <row r="63" ht="15.75" hidden="1" customHeight="1">
      <c r="A63" s="89"/>
      <c r="B63" s="89"/>
      <c r="O63" s="92"/>
    </row>
    <row r="64" ht="15.75" hidden="1" customHeight="1">
      <c r="A64" s="89"/>
      <c r="B64" s="89"/>
      <c r="O64" s="92"/>
    </row>
    <row r="65" ht="15.75" hidden="1" customHeight="1">
      <c r="A65" s="89"/>
      <c r="B65" s="89"/>
      <c r="O65" s="92"/>
    </row>
    <row r="66" ht="15.75" hidden="1" customHeight="1">
      <c r="A66" s="89"/>
      <c r="B66" s="89"/>
      <c r="O66" s="92"/>
    </row>
    <row r="67" ht="15.75" hidden="1" customHeight="1">
      <c r="A67" s="89"/>
      <c r="B67" s="89"/>
      <c r="O67" s="92"/>
    </row>
    <row r="68" ht="15.75" hidden="1" customHeight="1">
      <c r="A68" s="89"/>
      <c r="B68" s="89"/>
      <c r="O68" s="92"/>
    </row>
    <row r="69" ht="15.75" hidden="1" customHeight="1">
      <c r="A69" s="89"/>
      <c r="B69" s="89"/>
      <c r="O69" s="92"/>
    </row>
    <row r="70" ht="15.75" hidden="1" customHeight="1">
      <c r="A70" s="89"/>
      <c r="B70" s="89"/>
      <c r="O70" s="92"/>
    </row>
    <row r="71" ht="15.75" hidden="1" customHeight="1">
      <c r="A71" s="89"/>
      <c r="B71" s="89"/>
      <c r="O71" s="92"/>
    </row>
    <row r="72" ht="15.75" hidden="1" customHeight="1">
      <c r="A72" s="89"/>
      <c r="B72" s="89"/>
      <c r="O72" s="92"/>
    </row>
    <row r="73" ht="15.75" hidden="1" customHeight="1">
      <c r="A73" s="89"/>
      <c r="B73" s="89"/>
      <c r="O73" s="92"/>
    </row>
    <row r="74" ht="15.75" hidden="1" customHeight="1">
      <c r="A74" s="89"/>
      <c r="B74" s="89"/>
      <c r="O74" s="92"/>
    </row>
    <row r="75" ht="15.75" hidden="1" customHeight="1">
      <c r="A75" s="89"/>
      <c r="B75" s="89"/>
      <c r="O75" s="92"/>
    </row>
    <row r="76" ht="15.75" hidden="1" customHeight="1">
      <c r="A76" s="89"/>
      <c r="B76" s="89"/>
      <c r="O76" s="92"/>
    </row>
    <row r="77" ht="15.75" hidden="1" customHeight="1">
      <c r="A77" s="89"/>
      <c r="B77" s="89"/>
      <c r="O77" s="92"/>
    </row>
    <row r="78" ht="15.75" hidden="1" customHeight="1">
      <c r="A78" s="89"/>
      <c r="B78" s="89"/>
      <c r="O78" s="92"/>
    </row>
    <row r="79" ht="15.75" hidden="1" customHeight="1">
      <c r="A79" s="89"/>
      <c r="B79" s="89"/>
      <c r="O79" s="92"/>
    </row>
    <row r="80" ht="15.75" hidden="1" customHeight="1">
      <c r="A80" s="89"/>
      <c r="B80" s="89"/>
      <c r="O80" s="92"/>
    </row>
    <row r="81" ht="15.75" hidden="1" customHeight="1">
      <c r="A81" s="89"/>
      <c r="B81" s="89"/>
      <c r="O81" s="92"/>
    </row>
    <row r="82" ht="15.75" hidden="1" customHeight="1">
      <c r="A82" s="89"/>
      <c r="B82" s="89"/>
      <c r="O82" s="92"/>
    </row>
    <row r="83" ht="15.75" hidden="1" customHeight="1">
      <c r="A83" s="89"/>
      <c r="B83" s="89"/>
      <c r="O83" s="92"/>
    </row>
    <row r="84" ht="15.75" hidden="1" customHeight="1">
      <c r="A84" s="89"/>
      <c r="B84" s="89"/>
      <c r="O84" s="92"/>
    </row>
    <row r="85" ht="15.75" hidden="1" customHeight="1">
      <c r="A85" s="89"/>
      <c r="B85" s="89"/>
      <c r="O85" s="92"/>
    </row>
    <row r="86" ht="15.75" hidden="1" customHeight="1">
      <c r="A86" s="89"/>
      <c r="B86" s="89"/>
      <c r="O86" s="92"/>
    </row>
    <row r="87" ht="15.75" hidden="1" customHeight="1">
      <c r="A87" s="89"/>
      <c r="B87" s="89"/>
      <c r="O87" s="92"/>
    </row>
    <row r="88" ht="15.75" hidden="1" customHeight="1">
      <c r="A88" s="89"/>
      <c r="B88" s="89"/>
      <c r="O88" s="92"/>
    </row>
    <row r="89" ht="15.75" hidden="1" customHeight="1">
      <c r="A89" s="89"/>
      <c r="B89" s="89"/>
      <c r="O89" s="92"/>
    </row>
    <row r="90" ht="15.75" hidden="1" customHeight="1">
      <c r="A90" s="89"/>
      <c r="B90" s="89"/>
      <c r="O90" s="92"/>
    </row>
    <row r="91" ht="15.75" hidden="1" customHeight="1">
      <c r="A91" s="89"/>
      <c r="B91" s="89"/>
      <c r="O91" s="92"/>
    </row>
    <row r="92" ht="15.75" hidden="1" customHeight="1">
      <c r="A92" s="89"/>
      <c r="B92" s="89"/>
      <c r="O92" s="92"/>
    </row>
    <row r="93" ht="15.75" hidden="1" customHeight="1">
      <c r="A93" s="89"/>
      <c r="B93" s="89"/>
      <c r="O93" s="92"/>
    </row>
    <row r="94" ht="15.75" hidden="1" customHeight="1">
      <c r="A94" s="89"/>
      <c r="B94" s="89"/>
      <c r="O94" s="92"/>
    </row>
    <row r="95" ht="15.75" hidden="1" customHeight="1">
      <c r="A95" s="89"/>
      <c r="B95" s="89"/>
      <c r="O95" s="92"/>
    </row>
    <row r="96" ht="15.75" hidden="1" customHeight="1">
      <c r="A96" s="89"/>
      <c r="B96" s="89"/>
      <c r="O96" s="92"/>
    </row>
    <row r="97" ht="15.75" hidden="1" customHeight="1">
      <c r="A97" s="89"/>
      <c r="B97" s="89"/>
      <c r="O97" s="92"/>
    </row>
    <row r="98" ht="15.75" hidden="1" customHeight="1">
      <c r="A98" s="89"/>
      <c r="B98" s="89"/>
      <c r="O98" s="92"/>
    </row>
    <row r="99" ht="15.75" hidden="1" customHeight="1">
      <c r="A99" s="89"/>
      <c r="B99" s="89"/>
      <c r="O99" s="92"/>
    </row>
    <row r="100" ht="15.75" hidden="1" customHeight="1">
      <c r="A100" s="89"/>
      <c r="B100" s="89"/>
      <c r="O100" s="92"/>
    </row>
    <row r="101" ht="15.75" hidden="1" customHeight="1">
      <c r="A101" s="89"/>
      <c r="B101" s="89"/>
      <c r="O101" s="92"/>
    </row>
    <row r="102" ht="15.75" hidden="1" customHeight="1">
      <c r="A102" s="89"/>
      <c r="B102" s="89"/>
      <c r="O102" s="92"/>
    </row>
    <row r="103" ht="15.75" hidden="1" customHeight="1">
      <c r="A103" s="89"/>
      <c r="B103" s="89"/>
      <c r="O103" s="92"/>
    </row>
    <row r="104" ht="15.75" hidden="1" customHeight="1">
      <c r="A104" s="89"/>
      <c r="B104" s="89"/>
      <c r="O104" s="92"/>
    </row>
    <row r="105" ht="15.75" hidden="1" customHeight="1">
      <c r="A105" s="89"/>
      <c r="B105" s="89"/>
      <c r="O105" s="92"/>
    </row>
    <row r="106" ht="15.75" hidden="1" customHeight="1">
      <c r="A106" s="89"/>
      <c r="B106" s="89"/>
      <c r="O106" s="92"/>
    </row>
    <row r="107" ht="15.75" hidden="1" customHeight="1">
      <c r="A107" s="89"/>
      <c r="B107" s="89"/>
      <c r="O107" s="92"/>
    </row>
    <row r="108" ht="15.75" hidden="1" customHeight="1">
      <c r="A108" s="89"/>
      <c r="B108" s="89"/>
      <c r="O108" s="92"/>
    </row>
    <row r="109" ht="15.75" hidden="1" customHeight="1">
      <c r="A109" s="89"/>
      <c r="B109" s="89"/>
      <c r="O109" s="92"/>
    </row>
    <row r="110" ht="15.75" hidden="1" customHeight="1">
      <c r="A110" s="89"/>
      <c r="B110" s="89"/>
      <c r="O110" s="92"/>
    </row>
    <row r="111" ht="15.75" hidden="1" customHeight="1">
      <c r="A111" s="89"/>
      <c r="B111" s="89"/>
      <c r="O111" s="92"/>
    </row>
    <row r="112" ht="15.75" hidden="1" customHeight="1">
      <c r="A112" s="89"/>
      <c r="B112" s="89"/>
      <c r="O112" s="92"/>
    </row>
    <row r="113" ht="15.75" hidden="1" customHeight="1">
      <c r="A113" s="89"/>
      <c r="B113" s="89"/>
      <c r="O113" s="92"/>
    </row>
    <row r="114" ht="15.75" hidden="1" customHeight="1">
      <c r="A114" s="89"/>
      <c r="B114" s="89"/>
      <c r="O114" s="92"/>
    </row>
    <row r="115" ht="15.75" hidden="1" customHeight="1">
      <c r="A115" s="89"/>
      <c r="B115" s="89"/>
      <c r="O115" s="92"/>
    </row>
    <row r="116" ht="15.75" hidden="1" customHeight="1">
      <c r="A116" s="89"/>
      <c r="B116" s="89"/>
      <c r="O116" s="92"/>
    </row>
    <row r="117" ht="15.75" hidden="1" customHeight="1">
      <c r="A117" s="89"/>
      <c r="B117" s="89"/>
      <c r="O117" s="92"/>
    </row>
    <row r="118" ht="15.75" hidden="1" customHeight="1">
      <c r="A118" s="89"/>
      <c r="B118" s="89"/>
      <c r="O118" s="92"/>
    </row>
    <row r="119" ht="15.75" hidden="1" customHeight="1">
      <c r="A119" s="89"/>
      <c r="B119" s="89"/>
      <c r="O119" s="92"/>
    </row>
    <row r="120" ht="15.75" hidden="1" customHeight="1">
      <c r="A120" s="89"/>
      <c r="B120" s="89"/>
      <c r="O120" s="92"/>
    </row>
    <row r="121" ht="15.75" hidden="1" customHeight="1">
      <c r="A121" s="89"/>
      <c r="B121" s="89"/>
      <c r="O121" s="92"/>
    </row>
    <row r="122" ht="15.75" hidden="1" customHeight="1">
      <c r="A122" s="89"/>
      <c r="B122" s="89"/>
      <c r="O122" s="92"/>
    </row>
    <row r="123" ht="15.75" hidden="1" customHeight="1">
      <c r="A123" s="89"/>
      <c r="B123" s="89"/>
      <c r="O123" s="92"/>
    </row>
    <row r="124" ht="15.75" hidden="1" customHeight="1">
      <c r="A124" s="89"/>
      <c r="B124" s="89"/>
      <c r="O124" s="92"/>
    </row>
    <row r="125" ht="15.75" hidden="1" customHeight="1">
      <c r="A125" s="89"/>
      <c r="B125" s="89"/>
      <c r="O125" s="92"/>
    </row>
    <row r="126" ht="15.75" hidden="1" customHeight="1">
      <c r="A126" s="89"/>
      <c r="B126" s="89"/>
      <c r="O126" s="92"/>
    </row>
    <row r="127" ht="15.75" hidden="1" customHeight="1">
      <c r="A127" s="89"/>
      <c r="B127" s="89"/>
      <c r="O127" s="92"/>
    </row>
    <row r="128" ht="15.75" hidden="1" customHeight="1">
      <c r="A128" s="89"/>
      <c r="B128" s="89"/>
      <c r="O128" s="92"/>
    </row>
    <row r="129" ht="15.75" hidden="1" customHeight="1">
      <c r="A129" s="89"/>
      <c r="B129" s="89"/>
      <c r="O129" s="92"/>
    </row>
    <row r="130" ht="15.75" hidden="1" customHeight="1">
      <c r="A130" s="89"/>
      <c r="B130" s="89"/>
      <c r="O130" s="92"/>
    </row>
    <row r="131" ht="15.75" hidden="1" customHeight="1">
      <c r="A131" s="89"/>
      <c r="B131" s="89"/>
      <c r="O131" s="92"/>
    </row>
    <row r="132" ht="15.75" hidden="1" customHeight="1">
      <c r="A132" s="89"/>
      <c r="B132" s="89"/>
      <c r="O132" s="92"/>
    </row>
    <row r="133" ht="15.75" hidden="1" customHeight="1">
      <c r="A133" s="89"/>
      <c r="B133" s="89"/>
      <c r="O133" s="92"/>
    </row>
    <row r="134" ht="15.75" hidden="1" customHeight="1">
      <c r="A134" s="89"/>
      <c r="B134" s="89"/>
      <c r="O134" s="92"/>
    </row>
    <row r="135" ht="15.75" hidden="1" customHeight="1">
      <c r="A135" s="89"/>
      <c r="B135" s="89"/>
      <c r="O135" s="92"/>
    </row>
    <row r="136" ht="15.75" hidden="1" customHeight="1">
      <c r="A136" s="89"/>
      <c r="B136" s="89"/>
      <c r="O136" s="92"/>
    </row>
    <row r="137" ht="15.75" hidden="1" customHeight="1">
      <c r="A137" s="89"/>
      <c r="B137" s="89"/>
      <c r="O137" s="92"/>
    </row>
    <row r="138" ht="15.75" hidden="1" customHeight="1">
      <c r="A138" s="89"/>
      <c r="B138" s="89"/>
      <c r="O138" s="92"/>
    </row>
    <row r="139" ht="15.75" hidden="1" customHeight="1">
      <c r="A139" s="89"/>
      <c r="B139" s="89"/>
      <c r="O139" s="92"/>
    </row>
    <row r="140" ht="15.75" hidden="1" customHeight="1">
      <c r="A140" s="89"/>
      <c r="B140" s="89"/>
      <c r="O140" s="92"/>
    </row>
    <row r="141" ht="15.75" hidden="1" customHeight="1">
      <c r="A141" s="89"/>
      <c r="B141" s="89"/>
      <c r="O141" s="92"/>
    </row>
    <row r="142" ht="15.75" hidden="1" customHeight="1">
      <c r="A142" s="89"/>
      <c r="B142" s="89"/>
      <c r="O142" s="92"/>
    </row>
    <row r="143" ht="15.75" hidden="1" customHeight="1">
      <c r="A143" s="89"/>
      <c r="B143" s="89"/>
      <c r="O143" s="92"/>
    </row>
    <row r="144" ht="15.75" hidden="1" customHeight="1">
      <c r="A144" s="89"/>
      <c r="B144" s="89"/>
      <c r="O144" s="92"/>
    </row>
    <row r="145" ht="15.75" hidden="1" customHeight="1">
      <c r="A145" s="89"/>
      <c r="B145" s="89"/>
      <c r="O145" s="92"/>
    </row>
    <row r="146" ht="15.75" hidden="1" customHeight="1">
      <c r="A146" s="89"/>
      <c r="B146" s="89"/>
      <c r="O146" s="92"/>
    </row>
    <row r="147" ht="15.75" hidden="1" customHeight="1">
      <c r="A147" s="89"/>
      <c r="B147" s="89"/>
      <c r="O147" s="92"/>
    </row>
    <row r="148" ht="15.75" hidden="1" customHeight="1">
      <c r="A148" s="89"/>
      <c r="B148" s="89"/>
      <c r="O148" s="92"/>
    </row>
    <row r="149" ht="15.75" hidden="1" customHeight="1">
      <c r="A149" s="89"/>
      <c r="B149" s="89"/>
      <c r="O149" s="92"/>
    </row>
    <row r="150" ht="15.75" hidden="1" customHeight="1">
      <c r="A150" s="89"/>
      <c r="B150" s="89"/>
      <c r="O150" s="92"/>
    </row>
    <row r="151" ht="15.75" hidden="1" customHeight="1">
      <c r="A151" s="89"/>
      <c r="B151" s="89"/>
      <c r="O151" s="92"/>
    </row>
    <row r="152" ht="15.75" hidden="1" customHeight="1">
      <c r="A152" s="89"/>
      <c r="B152" s="89"/>
      <c r="O152" s="92"/>
    </row>
    <row r="153" ht="15.75" hidden="1" customHeight="1">
      <c r="A153" s="89"/>
      <c r="B153" s="89"/>
      <c r="O153" s="92"/>
    </row>
    <row r="154" ht="15.75" hidden="1" customHeight="1">
      <c r="A154" s="89"/>
      <c r="B154" s="89"/>
      <c r="O154" s="92"/>
    </row>
    <row r="155" ht="15.75" hidden="1" customHeight="1">
      <c r="A155" s="89"/>
      <c r="B155" s="89"/>
      <c r="O155" s="92"/>
    </row>
    <row r="156" ht="15.75" hidden="1" customHeight="1">
      <c r="A156" s="89"/>
      <c r="B156" s="89"/>
      <c r="O156" s="92"/>
    </row>
    <row r="157" ht="15.75" hidden="1" customHeight="1">
      <c r="A157" s="89"/>
      <c r="B157" s="89"/>
      <c r="O157" s="92"/>
    </row>
    <row r="158" ht="15.75" hidden="1" customHeight="1">
      <c r="A158" s="89"/>
      <c r="B158" s="89"/>
      <c r="O158" s="92"/>
    </row>
    <row r="159" ht="15.75" hidden="1" customHeight="1">
      <c r="A159" s="89"/>
      <c r="B159" s="89"/>
      <c r="O159" s="92"/>
    </row>
    <row r="160" ht="15.75" hidden="1" customHeight="1">
      <c r="A160" s="89"/>
      <c r="B160" s="89"/>
      <c r="O160" s="92"/>
    </row>
    <row r="161" ht="15.75" hidden="1" customHeight="1">
      <c r="A161" s="89"/>
      <c r="B161" s="89"/>
      <c r="O161" s="92"/>
    </row>
    <row r="162" ht="15.75" hidden="1" customHeight="1">
      <c r="A162" s="89"/>
      <c r="B162" s="89"/>
      <c r="O162" s="92"/>
    </row>
    <row r="163" ht="15.75" hidden="1" customHeight="1">
      <c r="A163" s="89"/>
      <c r="B163" s="89"/>
      <c r="O163" s="92"/>
    </row>
    <row r="164" ht="15.75" hidden="1" customHeight="1">
      <c r="A164" s="89"/>
      <c r="B164" s="89"/>
      <c r="O164" s="92"/>
    </row>
    <row r="165" ht="15.75" hidden="1" customHeight="1">
      <c r="A165" s="89"/>
      <c r="B165" s="89"/>
      <c r="O165" s="92"/>
    </row>
    <row r="166" ht="15.75" hidden="1" customHeight="1">
      <c r="A166" s="89"/>
      <c r="B166" s="89"/>
      <c r="O166" s="92"/>
    </row>
    <row r="167" ht="15.75" hidden="1" customHeight="1">
      <c r="A167" s="89"/>
      <c r="B167" s="89"/>
      <c r="O167" s="92"/>
    </row>
    <row r="168" ht="15.75" hidden="1" customHeight="1">
      <c r="A168" s="89"/>
      <c r="B168" s="89"/>
      <c r="O168" s="92"/>
    </row>
    <row r="169" ht="15.75" hidden="1" customHeight="1">
      <c r="A169" s="89"/>
      <c r="B169" s="89"/>
      <c r="O169" s="92"/>
    </row>
    <row r="170" ht="15.75" hidden="1" customHeight="1">
      <c r="A170" s="89"/>
      <c r="B170" s="89"/>
      <c r="O170" s="92"/>
    </row>
    <row r="171" ht="15.75" hidden="1" customHeight="1">
      <c r="A171" s="89"/>
      <c r="B171" s="89"/>
      <c r="O171" s="92"/>
    </row>
    <row r="172" ht="15.75" hidden="1" customHeight="1">
      <c r="A172" s="89"/>
      <c r="B172" s="89"/>
      <c r="O172" s="92"/>
    </row>
    <row r="173" ht="15.75" hidden="1" customHeight="1">
      <c r="A173" s="89"/>
      <c r="B173" s="89"/>
      <c r="O173" s="92"/>
    </row>
    <row r="174" ht="15.75" hidden="1" customHeight="1">
      <c r="A174" s="89"/>
      <c r="B174" s="89"/>
      <c r="O174" s="92"/>
    </row>
    <row r="175" ht="15.75" hidden="1" customHeight="1">
      <c r="A175" s="89"/>
      <c r="B175" s="89"/>
      <c r="O175" s="92"/>
    </row>
    <row r="176" ht="15.75" hidden="1" customHeight="1">
      <c r="A176" s="89"/>
      <c r="B176" s="89"/>
      <c r="O176" s="92"/>
    </row>
    <row r="177" ht="15.75" hidden="1" customHeight="1">
      <c r="A177" s="89"/>
      <c r="B177" s="89"/>
      <c r="O177" s="92"/>
    </row>
    <row r="178" ht="15.75" hidden="1" customHeight="1">
      <c r="A178" s="89"/>
      <c r="B178" s="89"/>
      <c r="O178" s="92"/>
    </row>
    <row r="179" ht="15.75" hidden="1" customHeight="1">
      <c r="A179" s="89"/>
      <c r="B179" s="89"/>
      <c r="O179" s="92"/>
    </row>
    <row r="180" ht="15.75" hidden="1" customHeight="1">
      <c r="A180" s="89"/>
      <c r="B180" s="89"/>
      <c r="O180" s="92"/>
    </row>
    <row r="181" ht="15.75" hidden="1" customHeight="1">
      <c r="A181" s="89"/>
      <c r="B181" s="89"/>
      <c r="O181" s="92"/>
    </row>
    <row r="182" ht="15.75" hidden="1" customHeight="1">
      <c r="A182" s="89"/>
      <c r="B182" s="89"/>
      <c r="O182" s="92"/>
    </row>
    <row r="183" ht="15.75" hidden="1" customHeight="1">
      <c r="A183" s="89"/>
      <c r="B183" s="89"/>
      <c r="O183" s="92"/>
    </row>
    <row r="184" ht="15.75" hidden="1" customHeight="1">
      <c r="A184" s="89"/>
      <c r="B184" s="89"/>
      <c r="O184" s="92"/>
    </row>
    <row r="185" ht="15.75" hidden="1" customHeight="1">
      <c r="A185" s="89"/>
      <c r="B185" s="89"/>
      <c r="O185" s="92"/>
    </row>
    <row r="186" ht="15.75" hidden="1" customHeight="1">
      <c r="A186" s="89"/>
      <c r="B186" s="89"/>
      <c r="O186" s="92"/>
    </row>
    <row r="187" ht="15.75" hidden="1" customHeight="1">
      <c r="A187" s="89"/>
      <c r="B187" s="89"/>
      <c r="O187" s="92"/>
    </row>
    <row r="188" ht="15.75" hidden="1" customHeight="1">
      <c r="A188" s="89"/>
      <c r="B188" s="89"/>
      <c r="O188" s="92"/>
    </row>
    <row r="189" ht="15.75" hidden="1" customHeight="1">
      <c r="A189" s="89"/>
      <c r="B189" s="89"/>
      <c r="O189" s="92"/>
    </row>
    <row r="190" ht="15.75" hidden="1" customHeight="1">
      <c r="A190" s="89"/>
      <c r="B190" s="89"/>
      <c r="O190" s="92"/>
    </row>
    <row r="191" ht="15.75" hidden="1" customHeight="1">
      <c r="A191" s="89"/>
      <c r="B191" s="89"/>
      <c r="O191" s="92"/>
    </row>
    <row r="192" ht="15.75" hidden="1" customHeight="1">
      <c r="A192" s="89"/>
      <c r="B192" s="89"/>
      <c r="O192" s="92"/>
    </row>
    <row r="193" ht="15.75" hidden="1" customHeight="1">
      <c r="A193" s="89"/>
      <c r="B193" s="89"/>
      <c r="O193" s="92"/>
    </row>
    <row r="194" ht="15.75" hidden="1" customHeight="1">
      <c r="A194" s="89"/>
      <c r="B194" s="89"/>
      <c r="O194" s="92"/>
    </row>
    <row r="195" ht="15.75" hidden="1" customHeight="1">
      <c r="A195" s="89"/>
      <c r="B195" s="89"/>
      <c r="O195" s="92"/>
    </row>
    <row r="196" ht="15.75" hidden="1" customHeight="1">
      <c r="A196" s="89"/>
      <c r="B196" s="89"/>
      <c r="O196" s="92"/>
    </row>
    <row r="197" ht="15.75" hidden="1" customHeight="1">
      <c r="A197" s="89"/>
      <c r="B197" s="89"/>
      <c r="O197" s="92"/>
    </row>
    <row r="198" ht="15.75" hidden="1" customHeight="1">
      <c r="A198" s="89"/>
      <c r="B198" s="89"/>
      <c r="O198" s="92"/>
    </row>
    <row r="199" ht="15.75" hidden="1" customHeight="1">
      <c r="A199" s="89"/>
      <c r="B199" s="89"/>
      <c r="O199" s="92"/>
    </row>
    <row r="200" ht="15.75" hidden="1" customHeight="1">
      <c r="A200" s="89"/>
      <c r="B200" s="89"/>
      <c r="O200" s="92"/>
    </row>
    <row r="201" ht="15.75" hidden="1" customHeight="1">
      <c r="A201" s="89"/>
      <c r="B201" s="89"/>
      <c r="O201" s="92"/>
    </row>
    <row r="202" ht="15.75" hidden="1" customHeight="1">
      <c r="A202" s="89"/>
      <c r="B202" s="89"/>
      <c r="O202" s="92"/>
    </row>
    <row r="203" ht="15.75" hidden="1" customHeight="1">
      <c r="A203" s="89"/>
      <c r="B203" s="89"/>
      <c r="O203" s="92"/>
    </row>
    <row r="204" ht="15.75" hidden="1" customHeight="1">
      <c r="A204" s="89"/>
      <c r="B204" s="89"/>
      <c r="O204" s="92"/>
    </row>
    <row r="205" ht="15.75" hidden="1" customHeight="1">
      <c r="A205" s="89"/>
      <c r="B205" s="89"/>
      <c r="O205" s="92"/>
    </row>
    <row r="206" ht="15.75" hidden="1" customHeight="1">
      <c r="A206" s="89"/>
      <c r="B206" s="89"/>
      <c r="O206" s="92"/>
    </row>
    <row r="207" ht="15.75" hidden="1" customHeight="1">
      <c r="A207" s="89"/>
      <c r="B207" s="89"/>
      <c r="O207" s="92"/>
    </row>
    <row r="208" ht="15.75" hidden="1" customHeight="1">
      <c r="A208" s="89"/>
      <c r="B208" s="89"/>
      <c r="O208" s="92"/>
    </row>
    <row r="209" ht="15.75" hidden="1" customHeight="1">
      <c r="A209" s="89"/>
      <c r="B209" s="89"/>
      <c r="O209" s="92"/>
    </row>
    <row r="210" ht="15.75" hidden="1" customHeight="1">
      <c r="A210" s="89"/>
      <c r="B210" s="89"/>
      <c r="O210" s="92"/>
    </row>
    <row r="211" ht="15.75" hidden="1" customHeight="1">
      <c r="A211" s="89"/>
      <c r="B211" s="89"/>
      <c r="O211" s="92"/>
    </row>
    <row r="212" ht="15.75" hidden="1" customHeight="1">
      <c r="A212" s="89"/>
      <c r="B212" s="89"/>
      <c r="O212" s="92"/>
    </row>
    <row r="213" ht="15.75" hidden="1" customHeight="1">
      <c r="A213" s="89"/>
      <c r="B213" s="89"/>
      <c r="O213" s="92"/>
    </row>
    <row r="214" ht="15.75" hidden="1" customHeight="1">
      <c r="A214" s="89"/>
      <c r="B214" s="89"/>
      <c r="O214" s="92"/>
    </row>
    <row r="215" ht="15.75" hidden="1" customHeight="1">
      <c r="A215" s="89"/>
      <c r="B215" s="89"/>
      <c r="O215" s="92"/>
    </row>
    <row r="216" ht="15.75" hidden="1" customHeight="1">
      <c r="A216" s="89"/>
      <c r="B216" s="89"/>
      <c r="O216" s="92"/>
    </row>
    <row r="217" ht="15.75" hidden="1" customHeight="1">
      <c r="A217" s="89"/>
      <c r="B217" s="89"/>
      <c r="O217" s="92"/>
    </row>
    <row r="218" ht="15.75" hidden="1" customHeight="1">
      <c r="A218" s="89"/>
      <c r="B218" s="89"/>
      <c r="O218" s="92"/>
    </row>
    <row r="219" ht="15.75" hidden="1" customHeight="1">
      <c r="A219" s="89"/>
      <c r="B219" s="89"/>
      <c r="O219" s="92"/>
    </row>
    <row r="220" ht="15.75" hidden="1" customHeight="1">
      <c r="A220" s="89"/>
      <c r="B220" s="89"/>
      <c r="O220" s="92"/>
    </row>
    <row r="221" ht="15.75" hidden="1" customHeight="1">
      <c r="A221" s="89"/>
      <c r="B221" s="89"/>
      <c r="O221" s="92"/>
    </row>
    <row r="222" ht="15.75" hidden="1" customHeight="1">
      <c r="A222" s="89"/>
      <c r="B222" s="89"/>
      <c r="O222" s="92"/>
    </row>
    <row r="223" ht="15.75" hidden="1" customHeight="1">
      <c r="A223" s="89"/>
      <c r="B223" s="89"/>
      <c r="O223" s="92"/>
    </row>
    <row r="224" ht="15.75" hidden="1" customHeight="1">
      <c r="A224" s="89"/>
      <c r="B224" s="89"/>
      <c r="O224" s="92"/>
    </row>
    <row r="225" ht="15.75" hidden="1" customHeight="1">
      <c r="A225" s="89"/>
      <c r="B225" s="89"/>
      <c r="O225" s="92"/>
    </row>
    <row r="226" ht="15.75" hidden="1" customHeight="1">
      <c r="A226" s="89"/>
      <c r="B226" s="89"/>
      <c r="O226" s="92"/>
    </row>
    <row r="227" ht="15.75" hidden="1" customHeight="1">
      <c r="A227" s="89"/>
      <c r="B227" s="89"/>
      <c r="O227" s="92"/>
    </row>
    <row r="228" ht="15.75" hidden="1" customHeight="1">
      <c r="A228" s="89"/>
      <c r="B228" s="89"/>
      <c r="O228" s="92"/>
    </row>
    <row r="229" ht="15.75" hidden="1" customHeight="1">
      <c r="A229" s="89"/>
      <c r="B229" s="89"/>
      <c r="O229" s="92"/>
    </row>
    <row r="230" ht="15.75" hidden="1" customHeight="1">
      <c r="A230" s="89"/>
      <c r="B230" s="89"/>
      <c r="O230" s="92"/>
    </row>
    <row r="231" ht="15.75" hidden="1" customHeight="1">
      <c r="A231" s="89"/>
      <c r="B231" s="89"/>
      <c r="O231" s="92"/>
    </row>
    <row r="232" ht="15.75" hidden="1" customHeight="1">
      <c r="A232" s="89"/>
      <c r="B232" s="89"/>
      <c r="O232" s="92"/>
    </row>
    <row r="233" ht="15.75" hidden="1" customHeight="1">
      <c r="A233" s="89"/>
      <c r="B233" s="89"/>
      <c r="O233" s="92"/>
    </row>
    <row r="234" ht="15.75" hidden="1" customHeight="1">
      <c r="A234" s="89"/>
      <c r="B234" s="89"/>
      <c r="O234" s="92"/>
    </row>
    <row r="235" ht="15.75" hidden="1" customHeight="1">
      <c r="A235" s="89"/>
      <c r="B235" s="89"/>
      <c r="O235" s="92"/>
    </row>
    <row r="236" ht="15.75" hidden="1" customHeight="1">
      <c r="A236" s="89"/>
      <c r="B236" s="89"/>
      <c r="O236" s="92"/>
    </row>
    <row r="237" ht="15.75" hidden="1" customHeight="1">
      <c r="A237" s="89"/>
      <c r="B237" s="89"/>
      <c r="O237" s="92"/>
    </row>
    <row r="238" ht="15.75" hidden="1" customHeight="1">
      <c r="A238" s="89"/>
      <c r="B238" s="89"/>
      <c r="O238" s="92"/>
    </row>
    <row r="239" ht="15.75" hidden="1" customHeight="1">
      <c r="A239" s="89"/>
      <c r="B239" s="89"/>
      <c r="O239" s="92"/>
    </row>
    <row r="240" ht="15.75" hidden="1" customHeight="1">
      <c r="A240" s="89"/>
      <c r="B240" s="89"/>
      <c r="O240" s="92"/>
    </row>
    <row r="241" ht="15.75" hidden="1" customHeight="1">
      <c r="A241" s="89"/>
      <c r="B241" s="89"/>
      <c r="O241" s="92"/>
    </row>
    <row r="242" ht="15.75" hidden="1" customHeight="1">
      <c r="A242" s="89"/>
      <c r="B242" s="89"/>
      <c r="O242" s="92"/>
    </row>
    <row r="243" ht="15.75" hidden="1" customHeight="1">
      <c r="A243" s="89"/>
      <c r="B243" s="89"/>
      <c r="O243" s="92"/>
    </row>
    <row r="244" ht="15.75" hidden="1" customHeight="1">
      <c r="A244" s="89"/>
      <c r="B244" s="89"/>
      <c r="O244" s="92"/>
    </row>
    <row r="245" ht="15.75" hidden="1" customHeight="1">
      <c r="A245" s="89"/>
      <c r="B245" s="89"/>
      <c r="O245" s="92"/>
    </row>
    <row r="246" ht="15.75" hidden="1" customHeight="1">
      <c r="A246" s="89"/>
      <c r="B246" s="89"/>
      <c r="O246" s="92"/>
    </row>
    <row r="247" ht="15.75" hidden="1" customHeight="1">
      <c r="A247" s="89"/>
      <c r="B247" s="89"/>
      <c r="O247" s="92"/>
    </row>
    <row r="248" ht="15.75" hidden="1" customHeight="1">
      <c r="A248" s="89"/>
      <c r="B248" s="89"/>
      <c r="O248" s="92"/>
    </row>
    <row r="249" ht="15.75" hidden="1" customHeight="1">
      <c r="A249" s="89"/>
      <c r="B249" s="89"/>
      <c r="O249" s="92"/>
    </row>
    <row r="250" ht="15.75" hidden="1" customHeight="1">
      <c r="A250" s="89"/>
      <c r="B250" s="89"/>
      <c r="O250" s="92"/>
    </row>
    <row r="251" ht="15.75" hidden="1" customHeight="1">
      <c r="A251" s="89"/>
      <c r="B251" s="89"/>
      <c r="O251" s="92"/>
    </row>
    <row r="252" ht="15.75" hidden="1" customHeight="1">
      <c r="A252" s="89"/>
      <c r="B252" s="89"/>
      <c r="O252" s="92"/>
    </row>
    <row r="253" ht="15.75" hidden="1" customHeight="1">
      <c r="A253" s="89"/>
      <c r="B253" s="89"/>
      <c r="O253" s="92"/>
    </row>
    <row r="254" ht="15.75" hidden="1" customHeight="1">
      <c r="A254" s="89"/>
      <c r="B254" s="89"/>
      <c r="O254" s="92"/>
    </row>
    <row r="255" ht="15.75" hidden="1" customHeight="1">
      <c r="A255" s="89"/>
      <c r="B255" s="89"/>
      <c r="O255" s="92"/>
    </row>
    <row r="256" ht="15.75" hidden="1" customHeight="1">
      <c r="A256" s="89"/>
      <c r="B256" s="89"/>
      <c r="O256" s="92"/>
    </row>
    <row r="257" ht="15.75" hidden="1" customHeight="1">
      <c r="A257" s="89"/>
      <c r="B257" s="89"/>
      <c r="O257" s="92"/>
    </row>
    <row r="258" ht="15.75" hidden="1" customHeight="1">
      <c r="A258" s="89"/>
      <c r="B258" s="89"/>
      <c r="O258" s="92"/>
    </row>
    <row r="259" ht="15.75" hidden="1" customHeight="1">
      <c r="A259" s="89"/>
      <c r="B259" s="89"/>
      <c r="O259" s="92"/>
    </row>
    <row r="260" ht="15.75" hidden="1" customHeight="1">
      <c r="A260" s="89"/>
      <c r="B260" s="89"/>
      <c r="O260" s="92"/>
    </row>
    <row r="261" ht="15.75" hidden="1" customHeight="1">
      <c r="A261" s="89"/>
      <c r="B261" s="89"/>
      <c r="O261" s="92"/>
    </row>
    <row r="262" ht="15.75" hidden="1" customHeight="1">
      <c r="A262" s="89"/>
      <c r="B262" s="89"/>
      <c r="O262" s="92"/>
    </row>
    <row r="263" ht="15.75" hidden="1" customHeight="1">
      <c r="A263" s="89"/>
      <c r="B263" s="89"/>
      <c r="O263" s="92"/>
    </row>
    <row r="264" ht="15.75" hidden="1" customHeight="1">
      <c r="A264" s="89"/>
      <c r="B264" s="89"/>
      <c r="O264" s="92"/>
    </row>
    <row r="265" ht="15.75" hidden="1" customHeight="1">
      <c r="A265" s="89"/>
      <c r="B265" s="89"/>
      <c r="O265" s="92"/>
    </row>
    <row r="266" ht="15.75" hidden="1" customHeight="1">
      <c r="A266" s="89"/>
      <c r="B266" s="89"/>
      <c r="O266" s="92"/>
    </row>
    <row r="267" ht="15.75" hidden="1" customHeight="1">
      <c r="A267" s="89"/>
      <c r="B267" s="89"/>
      <c r="O267" s="92"/>
    </row>
    <row r="268" ht="15.75" hidden="1" customHeight="1">
      <c r="A268" s="89"/>
      <c r="B268" s="89"/>
      <c r="O268" s="92"/>
    </row>
    <row r="269" ht="15.75" hidden="1" customHeight="1">
      <c r="A269" s="89"/>
      <c r="B269" s="89"/>
      <c r="O269" s="92"/>
    </row>
    <row r="270" ht="15.75" hidden="1" customHeight="1">
      <c r="A270" s="89"/>
      <c r="B270" s="89"/>
      <c r="O270" s="92"/>
    </row>
    <row r="271" ht="15.75" hidden="1" customHeight="1">
      <c r="A271" s="89"/>
      <c r="B271" s="89"/>
      <c r="O271" s="92"/>
    </row>
    <row r="272" ht="15.75" hidden="1" customHeight="1">
      <c r="A272" s="89"/>
      <c r="B272" s="89"/>
      <c r="O272" s="92"/>
    </row>
    <row r="273" ht="15.75" hidden="1" customHeight="1">
      <c r="A273" s="89"/>
      <c r="B273" s="89"/>
      <c r="O273" s="92"/>
    </row>
    <row r="274" ht="15.75" hidden="1" customHeight="1">
      <c r="A274" s="89"/>
      <c r="B274" s="89"/>
      <c r="O274" s="92"/>
    </row>
    <row r="275" ht="15.75" hidden="1" customHeight="1">
      <c r="A275" s="89"/>
      <c r="B275" s="89"/>
      <c r="O275" s="92"/>
    </row>
    <row r="276" ht="15.75" hidden="1" customHeight="1">
      <c r="A276" s="89"/>
      <c r="B276" s="89"/>
      <c r="O276" s="92"/>
    </row>
    <row r="277" ht="15.75" hidden="1" customHeight="1">
      <c r="A277" s="89"/>
      <c r="B277" s="89"/>
      <c r="O277" s="92"/>
    </row>
    <row r="278" ht="15.75" hidden="1" customHeight="1">
      <c r="A278" s="89"/>
      <c r="B278" s="89"/>
      <c r="O278" s="92"/>
    </row>
    <row r="279" ht="15.75" hidden="1" customHeight="1">
      <c r="A279" s="89"/>
      <c r="B279" s="89"/>
      <c r="O279" s="92"/>
    </row>
    <row r="280" ht="15.75" hidden="1" customHeight="1">
      <c r="A280" s="89"/>
      <c r="B280" s="89"/>
      <c r="O280" s="92"/>
    </row>
    <row r="281" ht="15.75" hidden="1" customHeight="1">
      <c r="A281" s="89"/>
      <c r="B281" s="89"/>
      <c r="O281" s="92"/>
    </row>
    <row r="282" ht="15.75" hidden="1" customHeight="1">
      <c r="A282" s="89"/>
      <c r="B282" s="89"/>
      <c r="O282" s="92"/>
    </row>
    <row r="283" ht="15.75" hidden="1" customHeight="1">
      <c r="A283" s="89"/>
      <c r="B283" s="89"/>
      <c r="O283" s="92"/>
    </row>
    <row r="284" ht="15.75" hidden="1" customHeight="1">
      <c r="A284" s="89"/>
      <c r="B284" s="89"/>
      <c r="O284" s="92"/>
    </row>
    <row r="285" ht="15.75" hidden="1" customHeight="1">
      <c r="A285" s="89"/>
      <c r="B285" s="89"/>
      <c r="O285" s="92"/>
    </row>
    <row r="286" ht="15.75" hidden="1" customHeight="1">
      <c r="A286" s="89"/>
      <c r="B286" s="89"/>
      <c r="O286" s="92"/>
    </row>
    <row r="287" ht="15.75" hidden="1" customHeight="1">
      <c r="A287" s="89"/>
      <c r="B287" s="89"/>
      <c r="O287" s="92"/>
    </row>
    <row r="288" ht="15.75" hidden="1" customHeight="1">
      <c r="A288" s="89"/>
      <c r="B288" s="89"/>
      <c r="O288" s="92"/>
    </row>
    <row r="289" ht="15.75" hidden="1" customHeight="1">
      <c r="A289" s="89"/>
      <c r="B289" s="89"/>
      <c r="O289" s="92"/>
    </row>
    <row r="290" ht="15.75" hidden="1" customHeight="1">
      <c r="A290" s="89"/>
      <c r="B290" s="89"/>
      <c r="O290" s="92"/>
    </row>
    <row r="291" ht="15.75" hidden="1" customHeight="1">
      <c r="A291" s="89"/>
      <c r="B291" s="89"/>
      <c r="O291" s="92"/>
    </row>
    <row r="292" ht="15.75" hidden="1" customHeight="1">
      <c r="A292" s="89"/>
      <c r="B292" s="89"/>
      <c r="O292" s="92"/>
    </row>
    <row r="293" ht="15.75" hidden="1" customHeight="1">
      <c r="A293" s="89"/>
      <c r="B293" s="89"/>
      <c r="O293" s="92"/>
    </row>
    <row r="294" ht="15.75" hidden="1" customHeight="1">
      <c r="A294" s="89"/>
      <c r="B294" s="89"/>
      <c r="O294" s="92"/>
    </row>
    <row r="295" ht="15.75" hidden="1" customHeight="1">
      <c r="A295" s="89"/>
      <c r="B295" s="89"/>
      <c r="O295" s="92"/>
    </row>
    <row r="296" ht="15.75" hidden="1" customHeight="1">
      <c r="A296" s="89"/>
      <c r="B296" s="89"/>
      <c r="O296" s="92"/>
    </row>
    <row r="297" ht="15.75" hidden="1" customHeight="1">
      <c r="A297" s="89"/>
      <c r="B297" s="89"/>
      <c r="O297" s="92"/>
    </row>
    <row r="298" ht="15.75" hidden="1" customHeight="1">
      <c r="A298" s="89"/>
      <c r="B298" s="89"/>
      <c r="O298" s="92"/>
    </row>
    <row r="299" ht="15.75" hidden="1" customHeight="1">
      <c r="A299" s="89"/>
      <c r="B299" s="89"/>
      <c r="O299" s="92"/>
    </row>
    <row r="300" ht="15.75" hidden="1" customHeight="1">
      <c r="A300" s="89"/>
      <c r="B300" s="89"/>
      <c r="O300" s="92"/>
    </row>
    <row r="301" ht="15.75" hidden="1" customHeight="1">
      <c r="A301" s="89"/>
      <c r="B301" s="89"/>
      <c r="O301" s="92"/>
    </row>
    <row r="302" ht="15.75" hidden="1" customHeight="1">
      <c r="A302" s="89"/>
      <c r="B302" s="89"/>
      <c r="O302" s="92"/>
    </row>
    <row r="303" ht="15.75" hidden="1" customHeight="1">
      <c r="A303" s="89"/>
      <c r="B303" s="89"/>
      <c r="O303" s="92"/>
    </row>
    <row r="304" ht="15.75" hidden="1" customHeight="1">
      <c r="A304" s="89"/>
      <c r="B304" s="89"/>
      <c r="O304" s="92"/>
    </row>
    <row r="305" ht="15.75" hidden="1" customHeight="1">
      <c r="A305" s="89"/>
      <c r="B305" s="89"/>
      <c r="O305" s="92"/>
    </row>
    <row r="306" ht="15.75" hidden="1" customHeight="1">
      <c r="A306" s="89"/>
      <c r="B306" s="89"/>
      <c r="O306" s="92"/>
    </row>
    <row r="307" ht="15.75" hidden="1" customHeight="1">
      <c r="A307" s="89"/>
      <c r="B307" s="89"/>
      <c r="O307" s="92"/>
    </row>
    <row r="308" ht="15.75" hidden="1" customHeight="1">
      <c r="A308" s="89"/>
      <c r="B308" s="89"/>
      <c r="O308" s="92"/>
    </row>
    <row r="309" ht="15.75" hidden="1" customHeight="1">
      <c r="A309" s="89"/>
      <c r="B309" s="89"/>
      <c r="O309" s="92"/>
    </row>
    <row r="310" ht="15.75" hidden="1" customHeight="1">
      <c r="A310" s="89"/>
      <c r="B310" s="89"/>
      <c r="O310" s="92"/>
    </row>
    <row r="311" ht="15.75" hidden="1" customHeight="1">
      <c r="A311" s="89"/>
      <c r="B311" s="89"/>
      <c r="O311" s="92"/>
    </row>
    <row r="312" ht="15.75" hidden="1" customHeight="1">
      <c r="A312" s="89"/>
      <c r="B312" s="89"/>
      <c r="O312" s="92"/>
    </row>
    <row r="313" ht="15.75" hidden="1" customHeight="1">
      <c r="A313" s="89"/>
      <c r="B313" s="89"/>
      <c r="O313" s="92"/>
    </row>
    <row r="314" ht="15.75" hidden="1" customHeight="1">
      <c r="A314" s="89"/>
      <c r="B314" s="89"/>
      <c r="O314" s="92"/>
    </row>
    <row r="315" ht="15.75" hidden="1" customHeight="1">
      <c r="A315" s="89"/>
      <c r="B315" s="89"/>
      <c r="O315" s="92"/>
    </row>
    <row r="316" ht="15.75" hidden="1" customHeight="1">
      <c r="A316" s="89"/>
      <c r="B316" s="89"/>
      <c r="O316" s="92"/>
    </row>
    <row r="317" ht="15.75" hidden="1" customHeight="1">
      <c r="A317" s="89"/>
      <c r="B317" s="89"/>
      <c r="O317" s="92"/>
    </row>
    <row r="318" ht="15.75" hidden="1" customHeight="1">
      <c r="A318" s="89"/>
      <c r="B318" s="89"/>
      <c r="O318" s="92"/>
    </row>
    <row r="319" ht="15.75" hidden="1" customHeight="1">
      <c r="A319" s="89"/>
      <c r="B319" s="89"/>
      <c r="O319" s="92"/>
    </row>
    <row r="320" ht="15.75" hidden="1" customHeight="1">
      <c r="A320" s="89"/>
      <c r="B320" s="89"/>
      <c r="O320" s="92"/>
    </row>
    <row r="321" ht="15.75" hidden="1" customHeight="1">
      <c r="A321" s="89"/>
      <c r="B321" s="89"/>
      <c r="O321" s="92"/>
    </row>
    <row r="322" ht="15.75" hidden="1" customHeight="1">
      <c r="A322" s="89"/>
      <c r="B322" s="89"/>
      <c r="O322" s="92"/>
    </row>
    <row r="323" ht="15.75" hidden="1" customHeight="1">
      <c r="A323" s="89"/>
      <c r="B323" s="89"/>
      <c r="O323" s="92"/>
    </row>
    <row r="324" ht="15.75" hidden="1" customHeight="1">
      <c r="A324" s="89"/>
      <c r="B324" s="89"/>
      <c r="O324" s="92"/>
    </row>
    <row r="325" ht="15.75" hidden="1" customHeight="1">
      <c r="A325" s="89"/>
      <c r="B325" s="89"/>
      <c r="O325" s="92"/>
    </row>
    <row r="326" ht="15.75" hidden="1" customHeight="1">
      <c r="A326" s="89"/>
      <c r="B326" s="89"/>
      <c r="O326" s="92"/>
    </row>
    <row r="327" ht="15.75" hidden="1" customHeight="1">
      <c r="A327" s="89"/>
      <c r="B327" s="89"/>
      <c r="O327" s="92"/>
    </row>
    <row r="328" ht="15.75" hidden="1" customHeight="1">
      <c r="A328" s="89"/>
      <c r="B328" s="89"/>
      <c r="O328" s="92"/>
    </row>
    <row r="329" ht="15.75" hidden="1" customHeight="1">
      <c r="A329" s="89"/>
      <c r="B329" s="89"/>
      <c r="O329" s="92"/>
    </row>
    <row r="330" ht="15.75" hidden="1" customHeight="1">
      <c r="A330" s="89"/>
      <c r="B330" s="89"/>
      <c r="O330" s="92"/>
    </row>
    <row r="331" ht="15.75" hidden="1" customHeight="1">
      <c r="A331" s="89"/>
      <c r="B331" s="89"/>
      <c r="O331" s="92"/>
    </row>
    <row r="332" ht="15.75" hidden="1" customHeight="1">
      <c r="A332" s="89"/>
      <c r="B332" s="89"/>
      <c r="O332" s="92"/>
    </row>
    <row r="333" ht="15.75" hidden="1" customHeight="1">
      <c r="A333" s="89"/>
      <c r="B333" s="89"/>
      <c r="O333" s="92"/>
    </row>
    <row r="334" ht="15.75" hidden="1" customHeight="1">
      <c r="A334" s="89"/>
      <c r="B334" s="89"/>
      <c r="O334" s="92"/>
    </row>
    <row r="335" ht="15.75" hidden="1" customHeight="1">
      <c r="A335" s="89"/>
      <c r="B335" s="89"/>
      <c r="O335" s="92"/>
    </row>
    <row r="336" ht="15.75" hidden="1" customHeight="1">
      <c r="A336" s="89"/>
      <c r="B336" s="89"/>
      <c r="O336" s="92"/>
    </row>
    <row r="337" ht="15.75" hidden="1" customHeight="1">
      <c r="A337" s="89"/>
      <c r="B337" s="89"/>
      <c r="O337" s="92"/>
    </row>
    <row r="338" ht="15.75" hidden="1" customHeight="1">
      <c r="A338" s="89"/>
      <c r="B338" s="89"/>
      <c r="O338" s="92"/>
    </row>
    <row r="339" ht="15.75" hidden="1" customHeight="1">
      <c r="A339" s="89"/>
      <c r="B339" s="89"/>
      <c r="O339" s="92"/>
    </row>
    <row r="340" ht="15.75" hidden="1" customHeight="1">
      <c r="A340" s="89"/>
      <c r="B340" s="89"/>
      <c r="O340" s="92"/>
    </row>
    <row r="341" ht="15.75" hidden="1" customHeight="1">
      <c r="A341" s="89"/>
      <c r="B341" s="89"/>
      <c r="O341" s="92"/>
    </row>
    <row r="342" ht="15.75" hidden="1" customHeight="1">
      <c r="A342" s="89"/>
      <c r="B342" s="89"/>
      <c r="O342" s="92"/>
    </row>
    <row r="343" ht="15.75" hidden="1" customHeight="1">
      <c r="A343" s="89"/>
      <c r="B343" s="89"/>
      <c r="O343" s="92"/>
    </row>
    <row r="344" ht="15.75" hidden="1" customHeight="1">
      <c r="A344" s="89"/>
      <c r="B344" s="89"/>
      <c r="O344" s="92"/>
    </row>
    <row r="345" ht="15.75" hidden="1" customHeight="1">
      <c r="A345" s="89"/>
      <c r="B345" s="89"/>
      <c r="O345" s="92"/>
    </row>
    <row r="346" ht="15.75" hidden="1" customHeight="1">
      <c r="A346" s="89"/>
      <c r="B346" s="89"/>
      <c r="O346" s="92"/>
    </row>
    <row r="347" ht="15.75" hidden="1" customHeight="1">
      <c r="A347" s="89"/>
      <c r="B347" s="89"/>
      <c r="O347" s="92"/>
    </row>
    <row r="348" ht="15.75" hidden="1" customHeight="1">
      <c r="A348" s="89"/>
      <c r="B348" s="89"/>
      <c r="O348" s="92"/>
    </row>
    <row r="349" ht="15.75" hidden="1" customHeight="1">
      <c r="A349" s="89"/>
      <c r="B349" s="89"/>
      <c r="O349" s="92"/>
    </row>
    <row r="350" ht="15.75" hidden="1" customHeight="1">
      <c r="A350" s="89"/>
      <c r="B350" s="89"/>
      <c r="O350" s="92"/>
    </row>
    <row r="351" ht="15.75" hidden="1" customHeight="1">
      <c r="A351" s="89"/>
      <c r="B351" s="89"/>
      <c r="O351" s="92"/>
    </row>
    <row r="352" ht="15.75" hidden="1" customHeight="1">
      <c r="A352" s="89"/>
      <c r="B352" s="89"/>
      <c r="O352" s="92"/>
    </row>
    <row r="353" ht="15.75" hidden="1" customHeight="1">
      <c r="A353" s="89"/>
      <c r="B353" s="89"/>
      <c r="O353" s="92"/>
    </row>
    <row r="354" ht="15.75" hidden="1" customHeight="1">
      <c r="A354" s="89"/>
      <c r="B354" s="89"/>
      <c r="O354" s="92"/>
    </row>
    <row r="355" ht="15.75" hidden="1" customHeight="1">
      <c r="A355" s="89"/>
      <c r="B355" s="89"/>
      <c r="O355" s="92"/>
    </row>
    <row r="356" ht="15.75" hidden="1" customHeight="1">
      <c r="A356" s="89"/>
      <c r="B356" s="89"/>
      <c r="O356" s="92"/>
    </row>
    <row r="357" ht="15.75" hidden="1" customHeight="1">
      <c r="A357" s="89"/>
      <c r="B357" s="89"/>
      <c r="O357" s="92"/>
    </row>
    <row r="358" ht="15.75" hidden="1" customHeight="1">
      <c r="A358" s="89"/>
      <c r="B358" s="89"/>
      <c r="O358" s="92"/>
    </row>
    <row r="359" ht="15.75" hidden="1" customHeight="1">
      <c r="A359" s="89"/>
      <c r="B359" s="89"/>
      <c r="O359" s="92"/>
    </row>
    <row r="360" ht="15.75" hidden="1" customHeight="1">
      <c r="A360" s="89"/>
      <c r="B360" s="89"/>
      <c r="O360" s="92"/>
    </row>
    <row r="361" ht="15.75" hidden="1" customHeight="1">
      <c r="A361" s="89"/>
      <c r="B361" s="89"/>
      <c r="O361" s="92"/>
    </row>
    <row r="362" ht="15.75" hidden="1" customHeight="1">
      <c r="A362" s="89"/>
      <c r="B362" s="89"/>
      <c r="O362" s="92"/>
    </row>
    <row r="363" ht="15.75" hidden="1" customHeight="1">
      <c r="A363" s="89"/>
      <c r="B363" s="89"/>
      <c r="O363" s="92"/>
    </row>
    <row r="364" ht="15.75" hidden="1" customHeight="1">
      <c r="A364" s="89"/>
      <c r="B364" s="89"/>
      <c r="O364" s="92"/>
    </row>
    <row r="365" ht="15.75" hidden="1" customHeight="1">
      <c r="A365" s="89"/>
      <c r="B365" s="89"/>
      <c r="O365" s="92"/>
    </row>
    <row r="366" ht="15.75" hidden="1" customHeight="1">
      <c r="A366" s="89"/>
      <c r="B366" s="89"/>
      <c r="O366" s="92"/>
    </row>
    <row r="367" ht="15.75" hidden="1" customHeight="1">
      <c r="A367" s="89"/>
      <c r="B367" s="89"/>
      <c r="O367" s="92"/>
    </row>
    <row r="368" ht="15.75" hidden="1" customHeight="1">
      <c r="A368" s="89"/>
      <c r="B368" s="89"/>
      <c r="O368" s="92"/>
    </row>
    <row r="369" ht="15.75" hidden="1" customHeight="1">
      <c r="A369" s="89"/>
      <c r="B369" s="89"/>
      <c r="O369" s="92"/>
    </row>
    <row r="370" ht="15.75" hidden="1" customHeight="1">
      <c r="A370" s="89"/>
      <c r="B370" s="89"/>
      <c r="O370" s="92"/>
    </row>
    <row r="371" ht="15.75" hidden="1" customHeight="1">
      <c r="A371" s="89"/>
      <c r="B371" s="89"/>
      <c r="O371" s="92"/>
    </row>
    <row r="372" ht="15.75" hidden="1" customHeight="1">
      <c r="A372" s="89"/>
      <c r="B372" s="89"/>
      <c r="O372" s="92"/>
    </row>
    <row r="373" ht="15.75" hidden="1" customHeight="1">
      <c r="A373" s="89"/>
      <c r="B373" s="89"/>
      <c r="O373" s="92"/>
    </row>
    <row r="374" ht="15.75" hidden="1" customHeight="1">
      <c r="A374" s="89"/>
      <c r="B374" s="89"/>
      <c r="O374" s="92"/>
    </row>
    <row r="375" ht="15.75" hidden="1" customHeight="1">
      <c r="A375" s="89"/>
      <c r="B375" s="89"/>
      <c r="O375" s="92"/>
    </row>
    <row r="376" ht="15.75" hidden="1" customHeight="1">
      <c r="A376" s="89"/>
      <c r="B376" s="89"/>
      <c r="O376" s="92"/>
    </row>
    <row r="377" ht="15.75" hidden="1" customHeight="1">
      <c r="A377" s="89"/>
      <c r="B377" s="89"/>
      <c r="O377" s="92"/>
    </row>
    <row r="378" ht="15.75" hidden="1" customHeight="1">
      <c r="A378" s="89"/>
      <c r="B378" s="89"/>
      <c r="O378" s="92"/>
    </row>
    <row r="379" ht="15.75" hidden="1" customHeight="1">
      <c r="A379" s="89"/>
      <c r="B379" s="89"/>
      <c r="O379" s="92"/>
    </row>
    <row r="380" ht="15.75" hidden="1" customHeight="1">
      <c r="A380" s="89"/>
      <c r="B380" s="89"/>
      <c r="O380" s="92"/>
    </row>
    <row r="381" ht="15.75" hidden="1" customHeight="1">
      <c r="A381" s="89"/>
      <c r="B381" s="89"/>
      <c r="O381" s="92"/>
    </row>
    <row r="382" ht="15.75" hidden="1" customHeight="1">
      <c r="A382" s="89"/>
      <c r="B382" s="89"/>
      <c r="O382" s="92"/>
    </row>
    <row r="383" ht="15.75" hidden="1" customHeight="1">
      <c r="A383" s="89"/>
      <c r="B383" s="89"/>
      <c r="O383" s="92"/>
    </row>
    <row r="384" ht="15.75" hidden="1" customHeight="1">
      <c r="A384" s="89"/>
      <c r="B384" s="89"/>
      <c r="O384" s="92"/>
    </row>
    <row r="385" ht="15.75" hidden="1" customHeight="1">
      <c r="A385" s="89"/>
      <c r="B385" s="89"/>
      <c r="O385" s="92"/>
    </row>
    <row r="386" ht="15.75" hidden="1" customHeight="1">
      <c r="A386" s="89"/>
      <c r="B386" s="89"/>
      <c r="O386" s="92"/>
    </row>
    <row r="387" ht="15.75" hidden="1" customHeight="1">
      <c r="A387" s="89"/>
      <c r="B387" s="89"/>
      <c r="O387" s="92"/>
    </row>
    <row r="388" ht="15.75" hidden="1" customHeight="1">
      <c r="A388" s="89"/>
      <c r="B388" s="89"/>
      <c r="O388" s="92"/>
    </row>
    <row r="389" ht="15.75" hidden="1" customHeight="1">
      <c r="A389" s="89"/>
      <c r="B389" s="89"/>
      <c r="O389" s="92"/>
    </row>
    <row r="390" ht="15.75" hidden="1" customHeight="1">
      <c r="A390" s="89"/>
      <c r="B390" s="89"/>
      <c r="O390" s="92"/>
    </row>
    <row r="391" ht="15.75" hidden="1" customHeight="1">
      <c r="A391" s="89"/>
      <c r="B391" s="89"/>
      <c r="O391" s="92"/>
    </row>
    <row r="392" ht="15.75" hidden="1" customHeight="1">
      <c r="A392" s="89"/>
      <c r="B392" s="89"/>
      <c r="O392" s="92"/>
    </row>
    <row r="393" ht="15.75" hidden="1" customHeight="1">
      <c r="A393" s="89"/>
      <c r="B393" s="89"/>
      <c r="O393" s="92"/>
    </row>
    <row r="394" ht="15.75" hidden="1" customHeight="1">
      <c r="A394" s="89"/>
      <c r="B394" s="89"/>
      <c r="O394" s="92"/>
    </row>
    <row r="395" ht="15.75" hidden="1" customHeight="1">
      <c r="A395" s="89"/>
      <c r="B395" s="89"/>
      <c r="O395" s="92"/>
    </row>
    <row r="396" ht="15.75" hidden="1" customHeight="1">
      <c r="A396" s="89"/>
      <c r="B396" s="89"/>
      <c r="O396" s="92"/>
    </row>
    <row r="397" ht="15.75" hidden="1" customHeight="1">
      <c r="A397" s="89"/>
      <c r="B397" s="89"/>
      <c r="O397" s="92"/>
    </row>
    <row r="398" ht="15.75" hidden="1" customHeight="1">
      <c r="A398" s="89"/>
      <c r="B398" s="89"/>
      <c r="O398" s="92"/>
    </row>
    <row r="399" ht="15.75" hidden="1" customHeight="1">
      <c r="A399" s="89"/>
      <c r="B399" s="89"/>
      <c r="O399" s="92"/>
    </row>
    <row r="400" ht="15.75" hidden="1" customHeight="1">
      <c r="A400" s="89"/>
      <c r="B400" s="89"/>
      <c r="O400" s="92"/>
    </row>
    <row r="401" ht="15.75" hidden="1" customHeight="1">
      <c r="A401" s="89"/>
      <c r="B401" s="89"/>
      <c r="O401" s="92"/>
    </row>
    <row r="402" ht="15.75" hidden="1" customHeight="1">
      <c r="A402" s="89"/>
      <c r="B402" s="89"/>
      <c r="O402" s="92"/>
    </row>
    <row r="403" ht="15.75" hidden="1" customHeight="1">
      <c r="A403" s="89"/>
      <c r="B403" s="89"/>
      <c r="O403" s="92"/>
    </row>
    <row r="404" ht="15.75" hidden="1" customHeight="1">
      <c r="A404" s="89"/>
      <c r="B404" s="89"/>
      <c r="O404" s="92"/>
    </row>
    <row r="405" ht="15.75" hidden="1" customHeight="1">
      <c r="A405" s="89"/>
      <c r="B405" s="89"/>
      <c r="O405" s="92"/>
    </row>
    <row r="406" ht="15.75" hidden="1" customHeight="1">
      <c r="A406" s="89"/>
      <c r="B406" s="89"/>
      <c r="O406" s="92"/>
    </row>
    <row r="407" ht="15.75" hidden="1" customHeight="1">
      <c r="A407" s="89"/>
      <c r="B407" s="89"/>
      <c r="O407" s="92"/>
    </row>
    <row r="408" ht="15.75" hidden="1" customHeight="1">
      <c r="A408" s="89"/>
      <c r="B408" s="89"/>
      <c r="O408" s="92"/>
    </row>
    <row r="409" ht="15.75" hidden="1" customHeight="1">
      <c r="A409" s="89"/>
      <c r="B409" s="89"/>
      <c r="O409" s="92"/>
    </row>
    <row r="410" ht="15.75" hidden="1" customHeight="1">
      <c r="A410" s="89"/>
      <c r="B410" s="89"/>
      <c r="O410" s="92"/>
    </row>
    <row r="411" ht="15.75" hidden="1" customHeight="1">
      <c r="A411" s="89"/>
      <c r="B411" s="89"/>
      <c r="O411" s="92"/>
    </row>
    <row r="412" ht="15.75" hidden="1" customHeight="1">
      <c r="A412" s="89"/>
      <c r="B412" s="89"/>
      <c r="O412" s="92"/>
    </row>
    <row r="413" ht="15.75" hidden="1" customHeight="1">
      <c r="A413" s="89"/>
      <c r="B413" s="89"/>
      <c r="O413" s="92"/>
    </row>
    <row r="414" ht="15.75" hidden="1" customHeight="1">
      <c r="A414" s="89"/>
      <c r="B414" s="89"/>
      <c r="O414" s="92"/>
    </row>
    <row r="415" ht="15.75" hidden="1" customHeight="1">
      <c r="A415" s="89"/>
      <c r="B415" s="89"/>
      <c r="O415" s="92"/>
    </row>
    <row r="416" ht="15.75" hidden="1" customHeight="1">
      <c r="A416" s="89"/>
      <c r="B416" s="89"/>
      <c r="O416" s="92"/>
    </row>
    <row r="417" ht="15.75" hidden="1" customHeight="1">
      <c r="A417" s="89"/>
      <c r="B417" s="89"/>
      <c r="O417" s="92"/>
    </row>
    <row r="418" ht="15.75" hidden="1" customHeight="1">
      <c r="A418" s="89"/>
      <c r="B418" s="89"/>
      <c r="O418" s="92"/>
    </row>
    <row r="419" ht="15.75" hidden="1" customHeight="1">
      <c r="A419" s="89"/>
      <c r="B419" s="89"/>
      <c r="O419" s="92"/>
    </row>
    <row r="420" ht="15.75" hidden="1" customHeight="1">
      <c r="A420" s="89"/>
      <c r="B420" s="89"/>
      <c r="O420" s="92"/>
    </row>
    <row r="421" ht="15.75" hidden="1" customHeight="1">
      <c r="A421" s="89"/>
      <c r="B421" s="89"/>
      <c r="O421" s="92"/>
    </row>
    <row r="422" ht="15.75" hidden="1" customHeight="1">
      <c r="A422" s="89"/>
      <c r="B422" s="89"/>
      <c r="O422" s="92"/>
    </row>
    <row r="423" ht="15.75" hidden="1" customHeight="1">
      <c r="A423" s="89"/>
      <c r="B423" s="89"/>
      <c r="O423" s="92"/>
    </row>
    <row r="424" ht="15.75" hidden="1" customHeight="1">
      <c r="A424" s="89"/>
      <c r="B424" s="89"/>
      <c r="O424" s="92"/>
    </row>
    <row r="425" ht="15.75" hidden="1" customHeight="1">
      <c r="A425" s="89"/>
      <c r="B425" s="89"/>
      <c r="O425" s="92"/>
    </row>
    <row r="426" ht="15.75" hidden="1" customHeight="1">
      <c r="A426" s="89"/>
      <c r="B426" s="89"/>
      <c r="O426" s="92"/>
    </row>
    <row r="427" ht="15.75" hidden="1" customHeight="1">
      <c r="A427" s="89"/>
      <c r="B427" s="89"/>
      <c r="O427" s="92"/>
    </row>
    <row r="428" ht="15.75" hidden="1" customHeight="1">
      <c r="A428" s="89"/>
      <c r="B428" s="89"/>
      <c r="O428" s="92"/>
    </row>
    <row r="429" ht="15.75" hidden="1" customHeight="1">
      <c r="A429" s="89"/>
      <c r="B429" s="89"/>
      <c r="O429" s="92"/>
    </row>
    <row r="430" ht="15.75" hidden="1" customHeight="1">
      <c r="A430" s="89"/>
      <c r="B430" s="89"/>
      <c r="O430" s="92"/>
    </row>
    <row r="431" ht="15.75" hidden="1" customHeight="1">
      <c r="A431" s="89"/>
      <c r="B431" s="89"/>
      <c r="O431" s="92"/>
    </row>
    <row r="432" ht="15.75" hidden="1" customHeight="1">
      <c r="A432" s="89"/>
      <c r="B432" s="89"/>
      <c r="O432" s="92"/>
    </row>
    <row r="433" ht="15.75" hidden="1" customHeight="1">
      <c r="A433" s="89"/>
      <c r="B433" s="89"/>
      <c r="O433" s="92"/>
    </row>
    <row r="434" ht="15.75" hidden="1" customHeight="1">
      <c r="A434" s="89"/>
      <c r="B434" s="89"/>
      <c r="O434" s="92"/>
    </row>
    <row r="435" ht="15.75" hidden="1" customHeight="1">
      <c r="A435" s="89"/>
      <c r="B435" s="89"/>
      <c r="O435" s="92"/>
    </row>
    <row r="436" ht="15.75" hidden="1" customHeight="1">
      <c r="A436" s="89"/>
      <c r="B436" s="89"/>
      <c r="O436" s="92"/>
    </row>
    <row r="437" ht="15.75" hidden="1" customHeight="1">
      <c r="A437" s="89"/>
      <c r="B437" s="89"/>
      <c r="O437" s="92"/>
    </row>
    <row r="438" ht="15.75" hidden="1" customHeight="1">
      <c r="A438" s="89"/>
      <c r="B438" s="89"/>
      <c r="O438" s="92"/>
    </row>
    <row r="439" ht="15.75" hidden="1" customHeight="1">
      <c r="A439" s="89"/>
      <c r="B439" s="89"/>
      <c r="O439" s="92"/>
    </row>
    <row r="440" ht="15.75" hidden="1" customHeight="1">
      <c r="A440" s="89"/>
      <c r="B440" s="89"/>
      <c r="O440" s="92"/>
    </row>
    <row r="441" ht="15.75" hidden="1" customHeight="1">
      <c r="A441" s="89"/>
      <c r="B441" s="89"/>
      <c r="O441" s="92"/>
    </row>
    <row r="442" ht="15.75" hidden="1" customHeight="1">
      <c r="A442" s="89"/>
      <c r="B442" s="89"/>
      <c r="O442" s="92"/>
    </row>
    <row r="443" ht="15.75" hidden="1" customHeight="1">
      <c r="A443" s="89"/>
      <c r="B443" s="89"/>
      <c r="O443" s="92"/>
    </row>
    <row r="444" ht="15.75" hidden="1" customHeight="1">
      <c r="A444" s="89"/>
      <c r="B444" s="89"/>
      <c r="O444" s="92"/>
    </row>
    <row r="445" ht="15.75" hidden="1" customHeight="1">
      <c r="A445" s="89"/>
      <c r="B445" s="89"/>
      <c r="O445" s="92"/>
    </row>
    <row r="446" ht="15.75" hidden="1" customHeight="1">
      <c r="A446" s="89"/>
      <c r="B446" s="89"/>
      <c r="O446" s="92"/>
    </row>
    <row r="447" ht="15.75" hidden="1" customHeight="1">
      <c r="A447" s="89"/>
      <c r="B447" s="89"/>
      <c r="O447" s="92"/>
    </row>
    <row r="448" ht="15.75" hidden="1" customHeight="1">
      <c r="A448" s="89"/>
      <c r="B448" s="89"/>
      <c r="O448" s="92"/>
    </row>
    <row r="449" ht="15.75" hidden="1" customHeight="1">
      <c r="A449" s="89"/>
      <c r="B449" s="89"/>
      <c r="O449" s="92"/>
    </row>
    <row r="450" ht="15.75" hidden="1" customHeight="1">
      <c r="A450" s="89"/>
      <c r="B450" s="89"/>
      <c r="O450" s="92"/>
    </row>
    <row r="451" ht="15.75" hidden="1" customHeight="1">
      <c r="A451" s="89"/>
      <c r="B451" s="89"/>
      <c r="O451" s="92"/>
    </row>
    <row r="452" ht="15.75" hidden="1" customHeight="1">
      <c r="A452" s="89"/>
      <c r="B452" s="89"/>
      <c r="O452" s="92"/>
    </row>
    <row r="453" ht="15.75" hidden="1" customHeight="1">
      <c r="A453" s="89"/>
      <c r="B453" s="89"/>
      <c r="O453" s="92"/>
    </row>
    <row r="454" ht="15.75" hidden="1" customHeight="1">
      <c r="A454" s="89"/>
      <c r="B454" s="89"/>
      <c r="O454" s="92"/>
    </row>
    <row r="455" ht="15.75" hidden="1" customHeight="1">
      <c r="A455" s="89"/>
      <c r="B455" s="89"/>
      <c r="O455" s="92"/>
    </row>
    <row r="456" ht="15.75" hidden="1" customHeight="1">
      <c r="A456" s="89"/>
      <c r="B456" s="89"/>
      <c r="O456" s="92"/>
    </row>
    <row r="457" ht="15.75" hidden="1" customHeight="1">
      <c r="A457" s="89"/>
      <c r="B457" s="89"/>
      <c r="O457" s="92"/>
    </row>
    <row r="458" ht="15.75" hidden="1" customHeight="1">
      <c r="A458" s="89"/>
      <c r="B458" s="89"/>
      <c r="O458" s="92"/>
    </row>
    <row r="459" ht="15.75" hidden="1" customHeight="1">
      <c r="A459" s="89"/>
      <c r="B459" s="89"/>
      <c r="O459" s="92"/>
    </row>
    <row r="460" ht="15.75" hidden="1" customHeight="1">
      <c r="A460" s="89"/>
      <c r="B460" s="89"/>
      <c r="O460" s="92"/>
    </row>
    <row r="461" ht="15.75" hidden="1" customHeight="1">
      <c r="A461" s="89"/>
      <c r="B461" s="89"/>
      <c r="O461" s="92"/>
    </row>
    <row r="462" ht="15.75" hidden="1" customHeight="1">
      <c r="A462" s="89"/>
      <c r="B462" s="89"/>
      <c r="O462" s="92"/>
    </row>
    <row r="463" ht="15.75" hidden="1" customHeight="1">
      <c r="A463" s="89"/>
      <c r="B463" s="89"/>
      <c r="O463" s="92"/>
    </row>
    <row r="464" ht="15.75" hidden="1" customHeight="1">
      <c r="A464" s="89"/>
      <c r="B464" s="89"/>
      <c r="O464" s="92"/>
    </row>
    <row r="465" ht="15.75" hidden="1" customHeight="1">
      <c r="A465" s="89"/>
      <c r="B465" s="89"/>
      <c r="O465" s="92"/>
    </row>
    <row r="466" ht="15.75" hidden="1" customHeight="1">
      <c r="A466" s="89"/>
      <c r="B466" s="89"/>
      <c r="O466" s="92"/>
    </row>
    <row r="467" ht="15.75" hidden="1" customHeight="1">
      <c r="A467" s="89"/>
      <c r="B467" s="89"/>
      <c r="O467" s="92"/>
    </row>
    <row r="468" ht="15.75" hidden="1" customHeight="1">
      <c r="A468" s="89"/>
      <c r="B468" s="89"/>
      <c r="O468" s="92"/>
    </row>
    <row r="469" ht="15.75" hidden="1" customHeight="1">
      <c r="A469" s="89"/>
      <c r="B469" s="89"/>
      <c r="O469" s="92"/>
    </row>
    <row r="470" ht="15.75" hidden="1" customHeight="1">
      <c r="A470" s="89"/>
      <c r="B470" s="89"/>
      <c r="O470" s="92"/>
    </row>
    <row r="471" ht="15.75" hidden="1" customHeight="1">
      <c r="A471" s="89"/>
      <c r="B471" s="89"/>
      <c r="O471" s="92"/>
    </row>
    <row r="472" ht="15.75" hidden="1" customHeight="1">
      <c r="A472" s="89"/>
      <c r="B472" s="89"/>
      <c r="O472" s="92"/>
    </row>
    <row r="473" ht="15.75" hidden="1" customHeight="1">
      <c r="A473" s="89"/>
      <c r="B473" s="89"/>
      <c r="O473" s="92"/>
    </row>
    <row r="474" ht="15.75" hidden="1" customHeight="1">
      <c r="A474" s="89"/>
      <c r="B474" s="89"/>
      <c r="O474" s="92"/>
    </row>
    <row r="475" ht="15.75" hidden="1" customHeight="1">
      <c r="A475" s="89"/>
      <c r="B475" s="89"/>
      <c r="O475" s="92"/>
    </row>
    <row r="476" ht="15.75" hidden="1" customHeight="1">
      <c r="A476" s="89"/>
      <c r="B476" s="89"/>
      <c r="O476" s="92"/>
    </row>
    <row r="477" ht="15.75" hidden="1" customHeight="1">
      <c r="A477" s="89"/>
      <c r="B477" s="89"/>
      <c r="O477" s="92"/>
    </row>
    <row r="478" ht="15.75" hidden="1" customHeight="1">
      <c r="A478" s="89"/>
      <c r="B478" s="89"/>
      <c r="O478" s="92"/>
    </row>
    <row r="479" ht="15.75" hidden="1" customHeight="1">
      <c r="A479" s="89"/>
      <c r="B479" s="89"/>
      <c r="O479" s="92"/>
    </row>
    <row r="480" ht="15.75" hidden="1" customHeight="1">
      <c r="A480" s="89"/>
      <c r="B480" s="89"/>
      <c r="O480" s="92"/>
    </row>
    <row r="481" ht="15.75" hidden="1" customHeight="1">
      <c r="A481" s="89"/>
      <c r="B481" s="89"/>
      <c r="O481" s="92"/>
    </row>
    <row r="482" ht="15.75" hidden="1" customHeight="1">
      <c r="A482" s="89"/>
      <c r="B482" s="89"/>
      <c r="O482" s="92"/>
    </row>
    <row r="483" ht="15.75" hidden="1" customHeight="1">
      <c r="A483" s="89"/>
      <c r="B483" s="89"/>
      <c r="O483" s="92"/>
    </row>
    <row r="484" ht="15.75" hidden="1" customHeight="1">
      <c r="A484" s="89"/>
      <c r="B484" s="89"/>
      <c r="O484" s="92"/>
    </row>
    <row r="485" ht="15.75" hidden="1" customHeight="1">
      <c r="A485" s="89"/>
      <c r="B485" s="89"/>
      <c r="O485" s="92"/>
    </row>
    <row r="486" ht="15.75" hidden="1" customHeight="1">
      <c r="A486" s="89"/>
      <c r="B486" s="89"/>
      <c r="O486" s="92"/>
    </row>
    <row r="487" ht="15.75" hidden="1" customHeight="1">
      <c r="A487" s="89"/>
      <c r="B487" s="89"/>
      <c r="O487" s="92"/>
    </row>
    <row r="488" ht="15.75" hidden="1" customHeight="1">
      <c r="A488" s="89"/>
      <c r="B488" s="89"/>
      <c r="O488" s="92"/>
    </row>
    <row r="489" ht="15.75" hidden="1" customHeight="1">
      <c r="A489" s="89"/>
      <c r="B489" s="89"/>
      <c r="O489" s="92"/>
    </row>
    <row r="490" ht="15.75" hidden="1" customHeight="1">
      <c r="A490" s="89"/>
      <c r="B490" s="89"/>
      <c r="O490" s="92"/>
    </row>
    <row r="491" ht="15.75" hidden="1" customHeight="1">
      <c r="A491" s="89"/>
      <c r="B491" s="89"/>
      <c r="O491" s="92"/>
    </row>
    <row r="492" ht="15.75" hidden="1" customHeight="1">
      <c r="A492" s="89"/>
      <c r="B492" s="89"/>
      <c r="O492" s="92"/>
    </row>
    <row r="493" ht="15.75" hidden="1" customHeight="1">
      <c r="A493" s="89"/>
      <c r="B493" s="89"/>
      <c r="O493" s="92"/>
    </row>
    <row r="494" ht="15.75" hidden="1" customHeight="1">
      <c r="A494" s="89"/>
      <c r="B494" s="89"/>
      <c r="O494" s="92"/>
    </row>
    <row r="495" ht="15.75" hidden="1" customHeight="1">
      <c r="A495" s="89"/>
      <c r="B495" s="89"/>
      <c r="O495" s="92"/>
    </row>
    <row r="496" ht="15.75" hidden="1" customHeight="1">
      <c r="A496" s="89"/>
      <c r="B496" s="89"/>
      <c r="O496" s="92"/>
    </row>
    <row r="497" ht="15.75" hidden="1" customHeight="1">
      <c r="A497" s="89"/>
      <c r="B497" s="89"/>
      <c r="O497" s="92"/>
    </row>
    <row r="498" ht="15.75" hidden="1" customHeight="1">
      <c r="A498" s="89"/>
      <c r="B498" s="89"/>
      <c r="O498" s="92"/>
    </row>
    <row r="499" ht="15.75" hidden="1" customHeight="1">
      <c r="A499" s="89"/>
      <c r="B499" s="89"/>
      <c r="O499" s="92"/>
    </row>
    <row r="500" ht="15.75" hidden="1" customHeight="1">
      <c r="A500" s="89"/>
      <c r="B500" s="89"/>
      <c r="O500" s="92"/>
    </row>
    <row r="501" ht="15.75" hidden="1" customHeight="1">
      <c r="A501" s="89"/>
      <c r="B501" s="89"/>
      <c r="O501" s="92"/>
    </row>
    <row r="502" ht="15.75" hidden="1" customHeight="1">
      <c r="A502" s="89"/>
      <c r="B502" s="89"/>
      <c r="O502" s="92"/>
    </row>
    <row r="503" ht="15.75" hidden="1" customHeight="1">
      <c r="A503" s="89"/>
      <c r="B503" s="89"/>
      <c r="O503" s="92"/>
    </row>
    <row r="504" ht="15.75" hidden="1" customHeight="1">
      <c r="A504" s="89"/>
      <c r="B504" s="89"/>
      <c r="O504" s="92"/>
    </row>
    <row r="505" ht="15.75" hidden="1" customHeight="1">
      <c r="A505" s="89"/>
      <c r="B505" s="89"/>
      <c r="O505" s="92"/>
    </row>
    <row r="506" ht="15.75" hidden="1" customHeight="1">
      <c r="A506" s="89"/>
      <c r="B506" s="89"/>
      <c r="O506" s="92"/>
    </row>
    <row r="507" ht="15.75" hidden="1" customHeight="1">
      <c r="A507" s="89"/>
      <c r="B507" s="89"/>
      <c r="O507" s="92"/>
    </row>
    <row r="508" ht="15.75" hidden="1" customHeight="1">
      <c r="A508" s="89"/>
      <c r="B508" s="89"/>
      <c r="O508" s="92"/>
    </row>
    <row r="509" ht="15.75" hidden="1" customHeight="1">
      <c r="A509" s="89"/>
      <c r="B509" s="89"/>
      <c r="O509" s="92"/>
    </row>
    <row r="510" ht="15.75" hidden="1" customHeight="1">
      <c r="A510" s="89"/>
      <c r="B510" s="89"/>
      <c r="O510" s="92"/>
    </row>
    <row r="511" ht="15.75" hidden="1" customHeight="1">
      <c r="A511" s="89"/>
      <c r="B511" s="89"/>
      <c r="O511" s="92"/>
    </row>
    <row r="512" ht="15.75" hidden="1" customHeight="1">
      <c r="A512" s="89"/>
      <c r="B512" s="89"/>
      <c r="O512" s="92"/>
    </row>
    <row r="513" ht="15.75" hidden="1" customHeight="1">
      <c r="A513" s="89"/>
      <c r="B513" s="89"/>
      <c r="O513" s="92"/>
    </row>
    <row r="514" ht="15.75" hidden="1" customHeight="1">
      <c r="A514" s="89"/>
      <c r="B514" s="89"/>
      <c r="O514" s="92"/>
    </row>
    <row r="515" ht="15.75" hidden="1" customHeight="1">
      <c r="A515" s="89"/>
      <c r="B515" s="89"/>
      <c r="O515" s="92"/>
    </row>
    <row r="516" ht="15.75" hidden="1" customHeight="1">
      <c r="A516" s="89"/>
      <c r="B516" s="89"/>
      <c r="O516" s="92"/>
    </row>
    <row r="517" ht="15.75" hidden="1" customHeight="1">
      <c r="A517" s="89"/>
      <c r="B517" s="89"/>
      <c r="O517" s="92"/>
    </row>
    <row r="518" ht="15.75" hidden="1" customHeight="1">
      <c r="A518" s="89"/>
      <c r="B518" s="89"/>
      <c r="O518" s="92"/>
    </row>
    <row r="519" ht="15.75" hidden="1" customHeight="1">
      <c r="A519" s="89"/>
      <c r="B519" s="89"/>
      <c r="O519" s="92"/>
    </row>
    <row r="520" ht="15.75" hidden="1" customHeight="1">
      <c r="A520" s="89"/>
      <c r="B520" s="89"/>
      <c r="O520" s="92"/>
    </row>
    <row r="521" ht="15.75" hidden="1" customHeight="1">
      <c r="A521" s="89"/>
      <c r="B521" s="89"/>
      <c r="O521" s="92"/>
    </row>
    <row r="522" ht="15.75" hidden="1" customHeight="1">
      <c r="A522" s="89"/>
      <c r="B522" s="89"/>
      <c r="O522" s="92"/>
    </row>
    <row r="523" ht="15.75" hidden="1" customHeight="1">
      <c r="A523" s="89"/>
      <c r="B523" s="89"/>
      <c r="O523" s="92"/>
    </row>
    <row r="524" ht="15.75" hidden="1" customHeight="1">
      <c r="A524" s="89"/>
      <c r="B524" s="89"/>
      <c r="O524" s="92"/>
    </row>
    <row r="525" ht="15.75" hidden="1" customHeight="1">
      <c r="A525" s="89"/>
      <c r="B525" s="89"/>
      <c r="O525" s="92"/>
    </row>
    <row r="526" ht="15.75" hidden="1" customHeight="1">
      <c r="A526" s="89"/>
      <c r="B526" s="89"/>
      <c r="O526" s="92"/>
    </row>
    <row r="527" ht="15.75" hidden="1" customHeight="1">
      <c r="A527" s="89"/>
      <c r="B527" s="89"/>
      <c r="O527" s="92"/>
    </row>
    <row r="528" ht="15.75" hidden="1" customHeight="1">
      <c r="A528" s="89"/>
      <c r="B528" s="89"/>
      <c r="O528" s="92"/>
    </row>
    <row r="529" ht="15.75" hidden="1" customHeight="1">
      <c r="A529" s="89"/>
      <c r="B529" s="89"/>
      <c r="O529" s="92"/>
    </row>
    <row r="530" ht="15.75" hidden="1" customHeight="1">
      <c r="A530" s="89"/>
      <c r="B530" s="89"/>
      <c r="O530" s="92"/>
    </row>
    <row r="531" ht="15.75" hidden="1" customHeight="1">
      <c r="A531" s="89"/>
      <c r="B531" s="89"/>
      <c r="O531" s="92"/>
    </row>
    <row r="532" ht="15.75" hidden="1" customHeight="1">
      <c r="A532" s="89"/>
      <c r="B532" s="89"/>
      <c r="O532" s="92"/>
    </row>
    <row r="533" ht="15.75" hidden="1" customHeight="1">
      <c r="A533" s="89"/>
      <c r="B533" s="89"/>
      <c r="O533" s="92"/>
    </row>
    <row r="534" ht="15.75" hidden="1" customHeight="1">
      <c r="A534" s="89"/>
      <c r="B534" s="89"/>
      <c r="O534" s="92"/>
    </row>
    <row r="535" ht="15.75" hidden="1" customHeight="1">
      <c r="A535" s="89"/>
      <c r="B535" s="89"/>
      <c r="O535" s="92"/>
    </row>
    <row r="536" ht="15.75" hidden="1" customHeight="1">
      <c r="A536" s="89"/>
      <c r="B536" s="89"/>
      <c r="O536" s="92"/>
    </row>
    <row r="537" ht="15.75" hidden="1" customHeight="1">
      <c r="A537" s="89"/>
      <c r="B537" s="89"/>
      <c r="O537" s="92"/>
    </row>
    <row r="538" ht="15.75" hidden="1" customHeight="1">
      <c r="A538" s="89"/>
      <c r="B538" s="89"/>
      <c r="O538" s="92"/>
    </row>
    <row r="539" ht="15.75" hidden="1" customHeight="1">
      <c r="A539" s="89"/>
      <c r="B539" s="89"/>
      <c r="O539" s="92"/>
    </row>
    <row r="540" ht="15.75" hidden="1" customHeight="1">
      <c r="A540" s="89"/>
      <c r="B540" s="89"/>
      <c r="O540" s="92"/>
    </row>
    <row r="541" ht="15.75" hidden="1" customHeight="1">
      <c r="A541" s="89"/>
      <c r="B541" s="89"/>
      <c r="O541" s="92"/>
    </row>
    <row r="542" ht="15.75" hidden="1" customHeight="1">
      <c r="A542" s="89"/>
      <c r="B542" s="89"/>
      <c r="O542" s="92"/>
    </row>
    <row r="543" ht="15.75" hidden="1" customHeight="1">
      <c r="A543" s="89"/>
      <c r="B543" s="89"/>
      <c r="O543" s="92"/>
    </row>
    <row r="544" ht="15.75" hidden="1" customHeight="1">
      <c r="A544" s="89"/>
      <c r="B544" s="89"/>
      <c r="O544" s="92"/>
    </row>
    <row r="545" ht="15.75" hidden="1" customHeight="1">
      <c r="A545" s="89"/>
      <c r="B545" s="89"/>
      <c r="O545" s="92"/>
    </row>
    <row r="546" ht="15.75" hidden="1" customHeight="1">
      <c r="A546" s="89"/>
      <c r="B546" s="89"/>
      <c r="O546" s="92"/>
    </row>
    <row r="547" ht="15.75" hidden="1" customHeight="1">
      <c r="A547" s="89"/>
      <c r="B547" s="89"/>
      <c r="O547" s="92"/>
    </row>
    <row r="548" ht="15.75" hidden="1" customHeight="1">
      <c r="A548" s="89"/>
      <c r="B548" s="89"/>
      <c r="O548" s="92"/>
    </row>
    <row r="549" ht="15.75" hidden="1" customHeight="1">
      <c r="A549" s="89"/>
      <c r="B549" s="89"/>
      <c r="O549" s="92"/>
    </row>
    <row r="550" ht="15.75" hidden="1" customHeight="1">
      <c r="A550" s="89"/>
      <c r="B550" s="89"/>
      <c r="O550" s="92"/>
    </row>
    <row r="551" ht="15.75" hidden="1" customHeight="1">
      <c r="A551" s="89"/>
      <c r="B551" s="89"/>
      <c r="O551" s="92"/>
    </row>
    <row r="552" ht="15.75" hidden="1" customHeight="1">
      <c r="A552" s="89"/>
      <c r="B552" s="89"/>
      <c r="O552" s="92"/>
    </row>
    <row r="553" ht="15.75" hidden="1" customHeight="1">
      <c r="A553" s="89"/>
      <c r="B553" s="89"/>
      <c r="O553" s="92"/>
    </row>
    <row r="554" ht="15.75" hidden="1" customHeight="1">
      <c r="A554" s="89"/>
      <c r="B554" s="89"/>
      <c r="O554" s="92"/>
    </row>
    <row r="555" ht="15.75" hidden="1" customHeight="1">
      <c r="A555" s="89"/>
      <c r="B555" s="89"/>
      <c r="O555" s="92"/>
    </row>
    <row r="556" ht="15.75" hidden="1" customHeight="1">
      <c r="A556" s="89"/>
      <c r="B556" s="89"/>
      <c r="O556" s="92"/>
    </row>
    <row r="557" ht="15.75" hidden="1" customHeight="1">
      <c r="A557" s="89"/>
      <c r="B557" s="89"/>
      <c r="O557" s="92"/>
    </row>
    <row r="558" ht="15.75" hidden="1" customHeight="1">
      <c r="A558" s="89"/>
      <c r="B558" s="89"/>
      <c r="O558" s="92"/>
    </row>
    <row r="559" ht="15.75" hidden="1" customHeight="1">
      <c r="A559" s="89"/>
      <c r="B559" s="89"/>
      <c r="O559" s="92"/>
    </row>
    <row r="560" ht="15.75" hidden="1" customHeight="1">
      <c r="A560" s="89"/>
      <c r="B560" s="89"/>
      <c r="O560" s="92"/>
    </row>
    <row r="561" ht="15.75" hidden="1" customHeight="1">
      <c r="A561" s="89"/>
      <c r="B561" s="89"/>
      <c r="O561" s="92"/>
    </row>
    <row r="562" ht="15.75" hidden="1" customHeight="1">
      <c r="A562" s="89"/>
      <c r="B562" s="89"/>
      <c r="O562" s="92"/>
    </row>
    <row r="563" ht="15.75" hidden="1" customHeight="1">
      <c r="A563" s="89"/>
      <c r="B563" s="89"/>
      <c r="O563" s="92"/>
    </row>
    <row r="564" ht="15.75" hidden="1" customHeight="1">
      <c r="A564" s="89"/>
      <c r="B564" s="89"/>
      <c r="O564" s="92"/>
    </row>
    <row r="565" ht="15.75" hidden="1" customHeight="1">
      <c r="A565" s="89"/>
      <c r="B565" s="89"/>
      <c r="O565" s="92"/>
    </row>
    <row r="566" ht="15.75" hidden="1" customHeight="1">
      <c r="A566" s="89"/>
      <c r="B566" s="89"/>
      <c r="O566" s="92"/>
    </row>
    <row r="567" ht="15.75" hidden="1" customHeight="1">
      <c r="A567" s="89"/>
      <c r="B567" s="89"/>
      <c r="O567" s="92"/>
    </row>
    <row r="568" ht="15.75" hidden="1" customHeight="1">
      <c r="A568" s="89"/>
      <c r="B568" s="89"/>
      <c r="O568" s="92"/>
    </row>
    <row r="569" ht="15.75" hidden="1" customHeight="1">
      <c r="A569" s="89"/>
      <c r="B569" s="89"/>
      <c r="O569" s="92"/>
    </row>
    <row r="570" ht="15.75" hidden="1" customHeight="1">
      <c r="A570" s="89"/>
      <c r="B570" s="89"/>
      <c r="O570" s="92"/>
    </row>
    <row r="571" ht="15.75" hidden="1" customHeight="1">
      <c r="A571" s="89"/>
      <c r="B571" s="89"/>
      <c r="O571" s="92"/>
    </row>
    <row r="572" ht="15.75" hidden="1" customHeight="1">
      <c r="A572" s="89"/>
      <c r="B572" s="89"/>
      <c r="O572" s="92"/>
    </row>
    <row r="573" ht="15.75" hidden="1" customHeight="1">
      <c r="A573" s="89"/>
      <c r="B573" s="89"/>
      <c r="O573" s="92"/>
    </row>
    <row r="574" ht="15.75" hidden="1" customHeight="1">
      <c r="A574" s="89"/>
      <c r="B574" s="89"/>
      <c r="O574" s="92"/>
    </row>
    <row r="575" ht="15.75" hidden="1" customHeight="1">
      <c r="A575" s="89"/>
      <c r="B575" s="89"/>
      <c r="O575" s="92"/>
    </row>
    <row r="576" ht="15.75" hidden="1" customHeight="1">
      <c r="A576" s="89"/>
      <c r="B576" s="89"/>
      <c r="O576" s="92"/>
    </row>
    <row r="577" ht="15.75" hidden="1" customHeight="1">
      <c r="A577" s="89"/>
      <c r="B577" s="89"/>
      <c r="O577" s="92"/>
    </row>
    <row r="578" ht="15.75" hidden="1" customHeight="1">
      <c r="A578" s="89"/>
      <c r="B578" s="89"/>
      <c r="O578" s="92"/>
    </row>
    <row r="579" ht="15.75" hidden="1" customHeight="1">
      <c r="A579" s="89"/>
      <c r="B579" s="89"/>
      <c r="O579" s="92"/>
    </row>
    <row r="580" ht="15.75" hidden="1" customHeight="1">
      <c r="A580" s="89"/>
      <c r="B580" s="89"/>
      <c r="O580" s="92"/>
    </row>
    <row r="581" ht="15.75" hidden="1" customHeight="1">
      <c r="A581" s="89"/>
      <c r="B581" s="89"/>
      <c r="O581" s="92"/>
    </row>
    <row r="582" ht="15.75" hidden="1" customHeight="1">
      <c r="A582" s="89"/>
      <c r="B582" s="89"/>
      <c r="O582" s="92"/>
    </row>
    <row r="583" ht="15.75" hidden="1" customHeight="1">
      <c r="A583" s="89"/>
      <c r="B583" s="89"/>
      <c r="O583" s="92"/>
    </row>
    <row r="584" ht="15.75" hidden="1" customHeight="1">
      <c r="A584" s="89"/>
      <c r="B584" s="89"/>
      <c r="O584" s="92"/>
    </row>
    <row r="585" ht="15.75" hidden="1" customHeight="1">
      <c r="A585" s="89"/>
      <c r="B585" s="89"/>
      <c r="O585" s="92"/>
    </row>
    <row r="586" ht="15.75" hidden="1" customHeight="1">
      <c r="A586" s="89"/>
      <c r="B586" s="89"/>
      <c r="O586" s="92"/>
    </row>
    <row r="587" ht="15.75" hidden="1" customHeight="1">
      <c r="A587" s="89"/>
      <c r="B587" s="89"/>
      <c r="O587" s="92"/>
    </row>
    <row r="588" ht="15.75" hidden="1" customHeight="1">
      <c r="A588" s="89"/>
      <c r="B588" s="89"/>
      <c r="O588" s="92"/>
    </row>
    <row r="589" ht="15.75" hidden="1" customHeight="1">
      <c r="A589" s="89"/>
      <c r="B589" s="89"/>
      <c r="O589" s="92"/>
    </row>
    <row r="590" ht="15.75" hidden="1" customHeight="1">
      <c r="A590" s="89"/>
      <c r="B590" s="89"/>
      <c r="O590" s="92"/>
    </row>
    <row r="591" ht="15.75" hidden="1" customHeight="1">
      <c r="A591" s="89"/>
      <c r="B591" s="89"/>
      <c r="O591" s="92"/>
    </row>
    <row r="592" ht="15.75" hidden="1" customHeight="1">
      <c r="A592" s="89"/>
      <c r="B592" s="89"/>
      <c r="O592" s="92"/>
    </row>
    <row r="593" ht="15.75" hidden="1" customHeight="1">
      <c r="A593" s="89"/>
      <c r="B593" s="89"/>
      <c r="O593" s="92"/>
    </row>
    <row r="594" ht="15.75" hidden="1" customHeight="1">
      <c r="A594" s="89"/>
      <c r="B594" s="89"/>
      <c r="O594" s="92"/>
    </row>
    <row r="595" ht="15.75" hidden="1" customHeight="1">
      <c r="A595" s="89"/>
      <c r="B595" s="89"/>
      <c r="O595" s="92"/>
    </row>
    <row r="596" ht="15.75" hidden="1" customHeight="1">
      <c r="A596" s="89"/>
      <c r="B596" s="89"/>
      <c r="O596" s="92"/>
    </row>
    <row r="597" ht="15.75" hidden="1" customHeight="1">
      <c r="A597" s="89"/>
      <c r="B597" s="89"/>
      <c r="O597" s="92"/>
    </row>
    <row r="598" ht="15.75" hidden="1" customHeight="1">
      <c r="A598" s="89"/>
      <c r="B598" s="89"/>
      <c r="O598" s="92"/>
    </row>
    <row r="599" ht="15.75" hidden="1" customHeight="1">
      <c r="A599" s="89"/>
      <c r="B599" s="89"/>
      <c r="O599" s="92"/>
    </row>
    <row r="600" ht="15.75" hidden="1" customHeight="1">
      <c r="A600" s="89"/>
      <c r="B600" s="89"/>
      <c r="O600" s="92"/>
    </row>
    <row r="601" ht="15.75" hidden="1" customHeight="1">
      <c r="A601" s="89"/>
      <c r="B601" s="89"/>
      <c r="O601" s="92"/>
    </row>
    <row r="602" ht="15.75" hidden="1" customHeight="1">
      <c r="A602" s="89"/>
      <c r="B602" s="89"/>
      <c r="O602" s="92"/>
    </row>
    <row r="603" ht="15.75" hidden="1" customHeight="1">
      <c r="A603" s="89"/>
      <c r="B603" s="89"/>
      <c r="O603" s="92"/>
    </row>
    <row r="604" ht="15.75" hidden="1" customHeight="1">
      <c r="A604" s="89"/>
      <c r="B604" s="89"/>
      <c r="O604" s="92"/>
    </row>
    <row r="605" ht="15.75" hidden="1" customHeight="1">
      <c r="A605" s="89"/>
      <c r="B605" s="89"/>
      <c r="O605" s="92"/>
    </row>
    <row r="606" ht="15.75" hidden="1" customHeight="1">
      <c r="A606" s="89"/>
      <c r="B606" s="89"/>
      <c r="O606" s="92"/>
    </row>
    <row r="607" ht="15.75" hidden="1" customHeight="1">
      <c r="A607" s="89"/>
      <c r="B607" s="89"/>
      <c r="O607" s="92"/>
    </row>
    <row r="608" ht="15.75" hidden="1" customHeight="1">
      <c r="A608" s="89"/>
      <c r="B608" s="89"/>
      <c r="O608" s="92"/>
    </row>
    <row r="609" ht="15.75" hidden="1" customHeight="1">
      <c r="A609" s="89"/>
      <c r="B609" s="89"/>
      <c r="O609" s="92"/>
    </row>
    <row r="610" ht="15.75" hidden="1" customHeight="1">
      <c r="A610" s="89"/>
      <c r="B610" s="89"/>
      <c r="O610" s="92"/>
    </row>
    <row r="611" ht="15.75" hidden="1" customHeight="1">
      <c r="A611" s="89"/>
      <c r="B611" s="89"/>
      <c r="O611" s="92"/>
    </row>
    <row r="612" ht="15.75" hidden="1" customHeight="1">
      <c r="A612" s="89"/>
      <c r="B612" s="89"/>
      <c r="O612" s="92"/>
    </row>
    <row r="613" ht="15.75" hidden="1" customHeight="1">
      <c r="A613" s="89"/>
      <c r="B613" s="89"/>
      <c r="O613" s="92"/>
    </row>
    <row r="614" ht="15.75" hidden="1" customHeight="1">
      <c r="A614" s="89"/>
      <c r="B614" s="89"/>
      <c r="O614" s="92"/>
    </row>
    <row r="615" ht="15.75" hidden="1" customHeight="1">
      <c r="A615" s="89"/>
      <c r="B615" s="89"/>
      <c r="O615" s="92"/>
    </row>
    <row r="616" ht="15.75" hidden="1" customHeight="1">
      <c r="A616" s="89"/>
      <c r="B616" s="89"/>
      <c r="O616" s="92"/>
    </row>
    <row r="617" ht="15.75" hidden="1" customHeight="1">
      <c r="A617" s="89"/>
      <c r="B617" s="89"/>
      <c r="O617" s="92"/>
    </row>
    <row r="618" ht="15.75" hidden="1" customHeight="1">
      <c r="A618" s="89"/>
      <c r="B618" s="89"/>
      <c r="O618" s="92"/>
    </row>
    <row r="619" ht="15.75" hidden="1" customHeight="1">
      <c r="A619" s="89"/>
      <c r="B619" s="89"/>
      <c r="O619" s="92"/>
    </row>
    <row r="620" ht="15.75" hidden="1" customHeight="1">
      <c r="A620" s="89"/>
      <c r="B620" s="89"/>
      <c r="O620" s="92"/>
    </row>
    <row r="621" ht="15.75" hidden="1" customHeight="1">
      <c r="A621" s="89"/>
      <c r="B621" s="89"/>
      <c r="O621" s="92"/>
    </row>
    <row r="622" ht="15.75" hidden="1" customHeight="1">
      <c r="A622" s="89"/>
      <c r="B622" s="89"/>
      <c r="O622" s="92"/>
    </row>
    <row r="623" ht="15.75" hidden="1" customHeight="1">
      <c r="A623" s="89"/>
      <c r="B623" s="89"/>
      <c r="O623" s="92"/>
    </row>
    <row r="624" ht="15.75" hidden="1" customHeight="1">
      <c r="A624" s="89"/>
      <c r="B624" s="89"/>
      <c r="O624" s="92"/>
    </row>
    <row r="625" ht="15.75" hidden="1" customHeight="1">
      <c r="A625" s="89"/>
      <c r="B625" s="89"/>
      <c r="O625" s="92"/>
    </row>
    <row r="626" ht="15.75" hidden="1" customHeight="1">
      <c r="A626" s="89"/>
      <c r="B626" s="89"/>
      <c r="O626" s="92"/>
    </row>
    <row r="627" ht="15.75" hidden="1" customHeight="1">
      <c r="A627" s="89"/>
      <c r="B627" s="89"/>
      <c r="O627" s="92"/>
    </row>
    <row r="628" ht="15.75" hidden="1" customHeight="1">
      <c r="A628" s="89"/>
      <c r="B628" s="89"/>
      <c r="O628" s="92"/>
    </row>
    <row r="629" ht="15.75" hidden="1" customHeight="1">
      <c r="A629" s="89"/>
      <c r="B629" s="89"/>
      <c r="O629" s="92"/>
    </row>
    <row r="630" ht="15.75" hidden="1" customHeight="1">
      <c r="A630" s="89"/>
      <c r="B630" s="89"/>
      <c r="O630" s="92"/>
    </row>
    <row r="631" ht="15.75" hidden="1" customHeight="1">
      <c r="A631" s="89"/>
      <c r="B631" s="89"/>
      <c r="O631" s="92"/>
    </row>
    <row r="632" ht="15.75" hidden="1" customHeight="1">
      <c r="A632" s="89"/>
      <c r="B632" s="89"/>
      <c r="O632" s="92"/>
    </row>
    <row r="633" ht="15.75" hidden="1" customHeight="1">
      <c r="A633" s="89"/>
      <c r="B633" s="89"/>
      <c r="O633" s="92"/>
    </row>
    <row r="634" ht="15.75" hidden="1" customHeight="1">
      <c r="A634" s="89"/>
      <c r="B634" s="89"/>
      <c r="O634" s="92"/>
    </row>
    <row r="635" ht="15.75" hidden="1" customHeight="1">
      <c r="A635" s="89"/>
      <c r="B635" s="89"/>
      <c r="O635" s="92"/>
    </row>
    <row r="636" ht="15.75" hidden="1" customHeight="1">
      <c r="A636" s="89"/>
      <c r="B636" s="89"/>
      <c r="O636" s="92"/>
    </row>
    <row r="637" ht="15.75" hidden="1" customHeight="1">
      <c r="A637" s="89"/>
      <c r="B637" s="89"/>
      <c r="O637" s="92"/>
    </row>
    <row r="638" ht="15.75" hidden="1" customHeight="1">
      <c r="A638" s="89"/>
      <c r="B638" s="89"/>
      <c r="O638" s="92"/>
    </row>
    <row r="639" ht="15.75" hidden="1" customHeight="1">
      <c r="A639" s="89"/>
      <c r="B639" s="89"/>
      <c r="O639" s="92"/>
    </row>
    <row r="640" ht="15.75" hidden="1" customHeight="1">
      <c r="A640" s="89"/>
      <c r="B640" s="89"/>
      <c r="O640" s="92"/>
    </row>
    <row r="641" ht="15.75" hidden="1" customHeight="1">
      <c r="A641" s="89"/>
      <c r="B641" s="89"/>
      <c r="O641" s="92"/>
    </row>
    <row r="642" ht="15.75" hidden="1" customHeight="1">
      <c r="A642" s="89"/>
      <c r="B642" s="89"/>
      <c r="O642" s="92"/>
    </row>
    <row r="643" ht="15.75" hidden="1" customHeight="1">
      <c r="A643" s="89"/>
      <c r="B643" s="89"/>
      <c r="O643" s="92"/>
    </row>
    <row r="644" ht="15.75" hidden="1" customHeight="1">
      <c r="A644" s="89"/>
      <c r="B644" s="89"/>
      <c r="O644" s="92"/>
    </row>
    <row r="645" ht="15.75" hidden="1" customHeight="1">
      <c r="A645" s="89"/>
      <c r="B645" s="89"/>
      <c r="O645" s="92"/>
    </row>
    <row r="646" ht="15.75" hidden="1" customHeight="1">
      <c r="A646" s="89"/>
      <c r="B646" s="89"/>
      <c r="O646" s="92"/>
    </row>
    <row r="647" ht="15.75" hidden="1" customHeight="1">
      <c r="A647" s="89"/>
      <c r="B647" s="89"/>
      <c r="O647" s="92"/>
    </row>
    <row r="648" ht="15.75" hidden="1" customHeight="1">
      <c r="A648" s="89"/>
      <c r="B648" s="89"/>
      <c r="O648" s="92"/>
    </row>
    <row r="649" ht="15.75" hidden="1" customHeight="1">
      <c r="A649" s="89"/>
      <c r="B649" s="89"/>
      <c r="O649" s="92"/>
    </row>
    <row r="650" ht="15.75" hidden="1" customHeight="1">
      <c r="A650" s="89"/>
      <c r="B650" s="89"/>
      <c r="O650" s="92"/>
    </row>
    <row r="651" ht="15.75" hidden="1" customHeight="1">
      <c r="A651" s="89"/>
      <c r="B651" s="89"/>
      <c r="O651" s="92"/>
    </row>
    <row r="652" ht="15.75" hidden="1" customHeight="1">
      <c r="A652" s="89"/>
      <c r="B652" s="89"/>
      <c r="O652" s="92"/>
    </row>
    <row r="653" ht="15.75" hidden="1" customHeight="1">
      <c r="A653" s="89"/>
      <c r="B653" s="89"/>
      <c r="O653" s="92"/>
    </row>
    <row r="654" ht="15.75" hidden="1" customHeight="1">
      <c r="A654" s="89"/>
      <c r="B654" s="89"/>
      <c r="O654" s="92"/>
    </row>
    <row r="655" ht="15.75" hidden="1" customHeight="1">
      <c r="A655" s="89"/>
      <c r="B655" s="89"/>
      <c r="O655" s="92"/>
    </row>
    <row r="656" ht="15.75" hidden="1" customHeight="1">
      <c r="A656" s="89"/>
      <c r="B656" s="89"/>
      <c r="O656" s="92"/>
    </row>
    <row r="657" ht="15.75" hidden="1" customHeight="1">
      <c r="A657" s="89"/>
      <c r="B657" s="89"/>
      <c r="O657" s="92"/>
    </row>
    <row r="658" ht="15.75" hidden="1" customHeight="1">
      <c r="A658" s="89"/>
      <c r="B658" s="89"/>
      <c r="O658" s="92"/>
    </row>
    <row r="659" ht="15.75" hidden="1" customHeight="1">
      <c r="A659" s="89"/>
      <c r="B659" s="89"/>
      <c r="O659" s="92"/>
    </row>
    <row r="660" ht="15.75" hidden="1" customHeight="1">
      <c r="A660" s="89"/>
      <c r="B660" s="89"/>
      <c r="O660" s="92"/>
    </row>
    <row r="661" ht="15.75" hidden="1" customHeight="1">
      <c r="A661" s="89"/>
      <c r="B661" s="89"/>
      <c r="O661" s="92"/>
    </row>
    <row r="662" ht="15.75" hidden="1" customHeight="1">
      <c r="A662" s="89"/>
      <c r="B662" s="89"/>
      <c r="O662" s="92"/>
    </row>
    <row r="663" ht="15.75" hidden="1" customHeight="1">
      <c r="A663" s="89"/>
      <c r="B663" s="89"/>
      <c r="O663" s="92"/>
    </row>
    <row r="664" ht="15.75" hidden="1" customHeight="1">
      <c r="A664" s="89"/>
      <c r="B664" s="89"/>
      <c r="O664" s="92"/>
    </row>
    <row r="665" ht="15.75" hidden="1" customHeight="1">
      <c r="A665" s="89"/>
      <c r="B665" s="89"/>
      <c r="O665" s="92"/>
    </row>
    <row r="666" ht="15.75" hidden="1" customHeight="1">
      <c r="A666" s="89"/>
      <c r="B666" s="89"/>
      <c r="O666" s="92"/>
    </row>
    <row r="667" ht="15.75" hidden="1" customHeight="1">
      <c r="A667" s="89"/>
      <c r="B667" s="89"/>
      <c r="O667" s="92"/>
    </row>
    <row r="668" ht="15.75" hidden="1" customHeight="1">
      <c r="A668" s="89"/>
      <c r="B668" s="89"/>
      <c r="O668" s="92"/>
    </row>
    <row r="669" ht="15.75" hidden="1" customHeight="1">
      <c r="A669" s="89"/>
      <c r="B669" s="89"/>
      <c r="O669" s="92"/>
    </row>
    <row r="670" ht="15.75" hidden="1" customHeight="1">
      <c r="A670" s="89"/>
      <c r="B670" s="89"/>
      <c r="O670" s="92"/>
    </row>
    <row r="671" ht="15.75" hidden="1" customHeight="1">
      <c r="A671" s="89"/>
      <c r="B671" s="89"/>
      <c r="O671" s="92"/>
    </row>
    <row r="672" ht="15.75" hidden="1" customHeight="1">
      <c r="A672" s="89"/>
      <c r="B672" s="89"/>
      <c r="O672" s="92"/>
    </row>
    <row r="673" ht="15.75" hidden="1" customHeight="1">
      <c r="A673" s="89"/>
      <c r="B673" s="89"/>
      <c r="O673" s="92"/>
    </row>
    <row r="674" ht="15.75" hidden="1" customHeight="1">
      <c r="A674" s="89"/>
      <c r="B674" s="89"/>
      <c r="O674" s="92"/>
    </row>
    <row r="675" ht="15.75" hidden="1" customHeight="1">
      <c r="A675" s="89"/>
      <c r="B675" s="89"/>
      <c r="O675" s="92"/>
    </row>
    <row r="676" ht="15.75" hidden="1" customHeight="1">
      <c r="A676" s="89"/>
      <c r="B676" s="89"/>
      <c r="O676" s="92"/>
    </row>
    <row r="677" ht="15.75" hidden="1" customHeight="1">
      <c r="A677" s="89"/>
      <c r="B677" s="89"/>
      <c r="O677" s="92"/>
    </row>
    <row r="678" ht="15.75" hidden="1" customHeight="1">
      <c r="A678" s="89"/>
      <c r="B678" s="89"/>
      <c r="O678" s="92"/>
    </row>
    <row r="679" ht="15.75" hidden="1" customHeight="1">
      <c r="A679" s="89"/>
      <c r="B679" s="89"/>
      <c r="O679" s="92"/>
    </row>
    <row r="680" ht="15.75" hidden="1" customHeight="1">
      <c r="A680" s="89"/>
      <c r="B680" s="89"/>
      <c r="O680" s="92"/>
    </row>
    <row r="681" ht="15.75" hidden="1" customHeight="1">
      <c r="A681" s="89"/>
      <c r="B681" s="89"/>
      <c r="O681" s="92"/>
    </row>
    <row r="682" ht="15.75" hidden="1" customHeight="1">
      <c r="A682" s="89"/>
      <c r="B682" s="89"/>
      <c r="O682" s="92"/>
    </row>
    <row r="683" ht="15.75" hidden="1" customHeight="1">
      <c r="A683" s="89"/>
      <c r="B683" s="89"/>
      <c r="O683" s="92"/>
    </row>
    <row r="684" ht="15.75" hidden="1" customHeight="1">
      <c r="A684" s="89"/>
      <c r="B684" s="89"/>
      <c r="O684" s="92"/>
    </row>
    <row r="685" ht="15.75" hidden="1" customHeight="1">
      <c r="A685" s="89"/>
      <c r="B685" s="89"/>
      <c r="O685" s="92"/>
    </row>
    <row r="686" ht="15.75" hidden="1" customHeight="1">
      <c r="A686" s="89"/>
      <c r="B686" s="89"/>
      <c r="O686" s="92"/>
    </row>
    <row r="687" ht="15.75" hidden="1" customHeight="1">
      <c r="A687" s="89"/>
      <c r="B687" s="89"/>
      <c r="O687" s="92"/>
    </row>
    <row r="688" ht="15.75" hidden="1" customHeight="1">
      <c r="A688" s="89"/>
      <c r="B688" s="89"/>
      <c r="O688" s="92"/>
    </row>
    <row r="689" ht="15.75" hidden="1" customHeight="1">
      <c r="A689" s="89"/>
      <c r="B689" s="89"/>
      <c r="O689" s="92"/>
    </row>
    <row r="690" ht="15.75" hidden="1" customHeight="1">
      <c r="A690" s="89"/>
      <c r="B690" s="89"/>
      <c r="O690" s="92"/>
    </row>
    <row r="691" ht="15.75" hidden="1" customHeight="1">
      <c r="A691" s="89"/>
      <c r="B691" s="89"/>
      <c r="O691" s="92"/>
    </row>
    <row r="692" ht="15.75" hidden="1" customHeight="1">
      <c r="A692" s="89"/>
      <c r="B692" s="89"/>
      <c r="O692" s="92"/>
    </row>
    <row r="693" ht="15.75" hidden="1" customHeight="1">
      <c r="A693" s="89"/>
      <c r="B693" s="89"/>
      <c r="O693" s="92"/>
    </row>
    <row r="694" ht="15.75" hidden="1" customHeight="1">
      <c r="A694" s="89"/>
      <c r="B694" s="89"/>
      <c r="O694" s="92"/>
    </row>
    <row r="695" ht="15.75" hidden="1" customHeight="1">
      <c r="A695" s="89"/>
      <c r="B695" s="89"/>
      <c r="O695" s="92"/>
    </row>
    <row r="696" ht="15.75" hidden="1" customHeight="1">
      <c r="A696" s="89"/>
      <c r="B696" s="89"/>
      <c r="O696" s="92"/>
    </row>
    <row r="697" ht="15.75" hidden="1" customHeight="1">
      <c r="A697" s="89"/>
      <c r="B697" s="89"/>
      <c r="O697" s="92"/>
    </row>
    <row r="698" ht="15.75" hidden="1" customHeight="1">
      <c r="A698" s="89"/>
      <c r="B698" s="89"/>
      <c r="O698" s="92"/>
    </row>
    <row r="699" ht="15.75" hidden="1" customHeight="1">
      <c r="A699" s="89"/>
      <c r="B699" s="89"/>
      <c r="O699" s="92"/>
    </row>
    <row r="700" ht="15.75" hidden="1" customHeight="1">
      <c r="A700" s="89"/>
      <c r="B700" s="89"/>
      <c r="O700" s="92"/>
    </row>
    <row r="701" ht="15.75" hidden="1" customHeight="1">
      <c r="A701" s="89"/>
      <c r="B701" s="89"/>
      <c r="O701" s="92"/>
    </row>
    <row r="702" ht="15.75" hidden="1" customHeight="1">
      <c r="A702" s="89"/>
      <c r="B702" s="89"/>
      <c r="O702" s="92"/>
    </row>
    <row r="703" ht="15.75" hidden="1" customHeight="1">
      <c r="A703" s="89"/>
      <c r="B703" s="89"/>
      <c r="O703" s="92"/>
    </row>
    <row r="704" ht="15.75" hidden="1" customHeight="1">
      <c r="A704" s="89"/>
      <c r="B704" s="89"/>
      <c r="O704" s="92"/>
    </row>
    <row r="705" ht="15.75" hidden="1" customHeight="1">
      <c r="A705" s="89"/>
      <c r="B705" s="89"/>
      <c r="O705" s="92"/>
    </row>
    <row r="706" ht="15.75" hidden="1" customHeight="1">
      <c r="A706" s="89"/>
      <c r="B706" s="89"/>
      <c r="O706" s="92"/>
    </row>
    <row r="707" ht="15.75" hidden="1" customHeight="1">
      <c r="A707" s="89"/>
      <c r="B707" s="89"/>
      <c r="O707" s="92"/>
    </row>
    <row r="708" ht="15.75" hidden="1" customHeight="1">
      <c r="A708" s="89"/>
      <c r="B708" s="89"/>
      <c r="O708" s="92"/>
    </row>
    <row r="709" ht="15.75" hidden="1" customHeight="1">
      <c r="A709" s="89"/>
      <c r="B709" s="89"/>
      <c r="O709" s="92"/>
    </row>
    <row r="710" ht="15.75" hidden="1" customHeight="1">
      <c r="A710" s="89"/>
      <c r="B710" s="89"/>
      <c r="O710" s="92"/>
    </row>
    <row r="711" ht="15.75" hidden="1" customHeight="1">
      <c r="A711" s="89"/>
      <c r="B711" s="89"/>
      <c r="O711" s="92"/>
    </row>
    <row r="712" ht="15.75" hidden="1" customHeight="1">
      <c r="A712" s="89"/>
      <c r="B712" s="89"/>
      <c r="O712" s="92"/>
    </row>
    <row r="713" ht="15.75" hidden="1" customHeight="1">
      <c r="A713" s="89"/>
      <c r="B713" s="89"/>
      <c r="O713" s="92"/>
    </row>
    <row r="714" ht="15.75" hidden="1" customHeight="1">
      <c r="A714" s="89"/>
      <c r="B714" s="89"/>
      <c r="O714" s="92"/>
    </row>
    <row r="715" ht="15.75" hidden="1" customHeight="1">
      <c r="A715" s="89"/>
      <c r="B715" s="89"/>
      <c r="O715" s="92"/>
    </row>
    <row r="716" ht="15.75" hidden="1" customHeight="1">
      <c r="A716" s="89"/>
      <c r="B716" s="89"/>
      <c r="O716" s="92"/>
    </row>
    <row r="717" ht="15.75" hidden="1" customHeight="1">
      <c r="A717" s="89"/>
      <c r="B717" s="89"/>
      <c r="O717" s="92"/>
    </row>
    <row r="718" ht="15.75" hidden="1" customHeight="1">
      <c r="A718" s="89"/>
      <c r="B718" s="89"/>
      <c r="O718" s="92"/>
    </row>
    <row r="719" ht="15.75" hidden="1" customHeight="1">
      <c r="A719" s="89"/>
      <c r="B719" s="89"/>
      <c r="O719" s="92"/>
    </row>
    <row r="720" ht="15.75" hidden="1" customHeight="1">
      <c r="A720" s="89"/>
      <c r="B720" s="89"/>
      <c r="O720" s="92"/>
    </row>
    <row r="721" ht="15.75" hidden="1" customHeight="1">
      <c r="A721" s="89"/>
      <c r="B721" s="89"/>
      <c r="O721" s="92"/>
    </row>
    <row r="722" ht="15.75" hidden="1" customHeight="1">
      <c r="A722" s="89"/>
      <c r="B722" s="89"/>
      <c r="O722" s="92"/>
    </row>
    <row r="723" ht="15.75" hidden="1" customHeight="1">
      <c r="A723" s="89"/>
      <c r="B723" s="89"/>
      <c r="O723" s="92"/>
    </row>
    <row r="724" ht="15.75" hidden="1" customHeight="1">
      <c r="A724" s="89"/>
      <c r="B724" s="89"/>
      <c r="O724" s="92"/>
    </row>
    <row r="725" ht="15.75" hidden="1" customHeight="1">
      <c r="A725" s="89"/>
      <c r="B725" s="89"/>
      <c r="O725" s="92"/>
    </row>
    <row r="726" ht="15.75" hidden="1" customHeight="1">
      <c r="A726" s="89"/>
      <c r="B726" s="89"/>
      <c r="O726" s="92"/>
    </row>
    <row r="727" ht="15.75" hidden="1" customHeight="1">
      <c r="A727" s="89"/>
      <c r="B727" s="89"/>
      <c r="O727" s="92"/>
    </row>
    <row r="728" ht="15.75" hidden="1" customHeight="1">
      <c r="A728" s="89"/>
      <c r="B728" s="89"/>
      <c r="O728" s="92"/>
    </row>
    <row r="729" ht="15.75" hidden="1" customHeight="1">
      <c r="A729" s="89"/>
      <c r="B729" s="89"/>
      <c r="O729" s="92"/>
    </row>
    <row r="730" ht="15.75" hidden="1" customHeight="1">
      <c r="A730" s="89"/>
      <c r="B730" s="89"/>
      <c r="O730" s="92"/>
    </row>
    <row r="731" ht="15.75" hidden="1" customHeight="1">
      <c r="A731" s="89"/>
      <c r="B731" s="89"/>
      <c r="O731" s="92"/>
    </row>
    <row r="732" ht="15.75" hidden="1" customHeight="1">
      <c r="A732" s="89"/>
      <c r="B732" s="89"/>
      <c r="O732" s="92"/>
    </row>
    <row r="733" ht="15.75" hidden="1" customHeight="1">
      <c r="A733" s="89"/>
      <c r="B733" s="89"/>
      <c r="O733" s="92"/>
    </row>
    <row r="734" ht="15.75" hidden="1" customHeight="1">
      <c r="A734" s="89"/>
      <c r="B734" s="89"/>
      <c r="O734" s="92"/>
    </row>
    <row r="735" ht="15.75" hidden="1" customHeight="1">
      <c r="A735" s="89"/>
      <c r="B735" s="89"/>
      <c r="O735" s="92"/>
    </row>
    <row r="736" ht="15.75" hidden="1" customHeight="1">
      <c r="A736" s="89"/>
      <c r="B736" s="89"/>
      <c r="O736" s="92"/>
    </row>
    <row r="737" ht="15.75" hidden="1" customHeight="1">
      <c r="A737" s="89"/>
      <c r="B737" s="89"/>
      <c r="O737" s="92"/>
    </row>
    <row r="738" ht="15.75" hidden="1" customHeight="1">
      <c r="A738" s="89"/>
      <c r="B738" s="89"/>
      <c r="O738" s="92"/>
    </row>
    <row r="739" ht="15.75" hidden="1" customHeight="1">
      <c r="A739" s="89"/>
      <c r="B739" s="89"/>
      <c r="O739" s="92"/>
    </row>
    <row r="740" ht="15.75" hidden="1" customHeight="1">
      <c r="A740" s="89"/>
      <c r="B740" s="89"/>
      <c r="O740" s="92"/>
    </row>
    <row r="741" ht="15.75" hidden="1" customHeight="1">
      <c r="A741" s="89"/>
      <c r="B741" s="89"/>
      <c r="O741" s="92"/>
    </row>
    <row r="742" ht="15.75" hidden="1" customHeight="1">
      <c r="A742" s="89"/>
      <c r="B742" s="89"/>
      <c r="O742" s="92"/>
    </row>
    <row r="743" ht="15.75" hidden="1" customHeight="1">
      <c r="A743" s="89"/>
      <c r="B743" s="89"/>
      <c r="O743" s="92"/>
    </row>
    <row r="744" ht="15.75" hidden="1" customHeight="1">
      <c r="A744" s="89"/>
      <c r="B744" s="89"/>
      <c r="O744" s="92"/>
    </row>
    <row r="745" ht="15.75" hidden="1" customHeight="1">
      <c r="A745" s="89"/>
      <c r="B745" s="89"/>
      <c r="O745" s="92"/>
    </row>
    <row r="746" ht="15.75" hidden="1" customHeight="1">
      <c r="A746" s="89"/>
      <c r="B746" s="89"/>
      <c r="O746" s="92"/>
    </row>
    <row r="747" ht="15.75" hidden="1" customHeight="1">
      <c r="A747" s="89"/>
      <c r="B747" s="89"/>
      <c r="O747" s="92"/>
    </row>
    <row r="748" ht="15.75" hidden="1" customHeight="1">
      <c r="A748" s="89"/>
      <c r="B748" s="89"/>
      <c r="O748" s="92"/>
    </row>
    <row r="749" ht="15.75" hidden="1" customHeight="1">
      <c r="A749" s="89"/>
      <c r="B749" s="89"/>
      <c r="O749" s="92"/>
    </row>
    <row r="750" ht="15.75" hidden="1" customHeight="1">
      <c r="A750" s="89"/>
      <c r="B750" s="89"/>
      <c r="O750" s="92"/>
    </row>
    <row r="751" ht="15.75" hidden="1" customHeight="1">
      <c r="A751" s="89"/>
      <c r="B751" s="89"/>
      <c r="O751" s="92"/>
    </row>
    <row r="752" ht="15.75" hidden="1" customHeight="1">
      <c r="A752" s="89"/>
      <c r="B752" s="89"/>
      <c r="O752" s="92"/>
    </row>
    <row r="753" ht="15.75" hidden="1" customHeight="1">
      <c r="A753" s="89"/>
      <c r="B753" s="89"/>
      <c r="O753" s="92"/>
    </row>
    <row r="754" ht="15.75" hidden="1" customHeight="1">
      <c r="A754" s="89"/>
      <c r="B754" s="89"/>
      <c r="O754" s="92"/>
    </row>
    <row r="755" ht="15.75" hidden="1" customHeight="1">
      <c r="A755" s="89"/>
      <c r="B755" s="89"/>
      <c r="O755" s="92"/>
    </row>
    <row r="756" ht="15.75" hidden="1" customHeight="1">
      <c r="A756" s="89"/>
      <c r="B756" s="89"/>
      <c r="O756" s="92"/>
    </row>
    <row r="757" ht="15.75" hidden="1" customHeight="1">
      <c r="A757" s="89"/>
      <c r="B757" s="89"/>
      <c r="O757" s="92"/>
    </row>
    <row r="758" ht="15.75" hidden="1" customHeight="1">
      <c r="A758" s="89"/>
      <c r="B758" s="89"/>
      <c r="O758" s="92"/>
    </row>
    <row r="759" ht="15.75" hidden="1" customHeight="1">
      <c r="A759" s="89"/>
      <c r="B759" s="89"/>
      <c r="O759" s="92"/>
    </row>
    <row r="760" ht="15.75" hidden="1" customHeight="1">
      <c r="A760" s="89"/>
      <c r="B760" s="89"/>
      <c r="O760" s="92"/>
    </row>
    <row r="761" ht="15.75" hidden="1" customHeight="1">
      <c r="A761" s="89"/>
      <c r="B761" s="89"/>
      <c r="O761" s="92"/>
    </row>
    <row r="762" ht="15.75" hidden="1" customHeight="1">
      <c r="A762" s="89"/>
      <c r="B762" s="89"/>
      <c r="O762" s="92"/>
    </row>
    <row r="763" ht="15.75" hidden="1" customHeight="1">
      <c r="A763" s="89"/>
      <c r="B763" s="89"/>
      <c r="O763" s="92"/>
    </row>
    <row r="764" ht="15.75" hidden="1" customHeight="1">
      <c r="A764" s="89"/>
      <c r="B764" s="89"/>
      <c r="O764" s="92"/>
    </row>
    <row r="765" ht="15.75" hidden="1" customHeight="1">
      <c r="A765" s="89"/>
      <c r="B765" s="89"/>
      <c r="O765" s="92"/>
    </row>
    <row r="766" ht="15.75" hidden="1" customHeight="1">
      <c r="A766" s="89"/>
      <c r="B766" s="89"/>
      <c r="O766" s="92"/>
    </row>
    <row r="767" ht="15.75" hidden="1" customHeight="1">
      <c r="A767" s="89"/>
      <c r="B767" s="89"/>
      <c r="O767" s="92"/>
    </row>
    <row r="768" ht="15.75" hidden="1" customHeight="1">
      <c r="A768" s="89"/>
      <c r="B768" s="89"/>
      <c r="O768" s="92"/>
    </row>
    <row r="769" ht="15.75" hidden="1" customHeight="1">
      <c r="A769" s="89"/>
      <c r="B769" s="89"/>
      <c r="O769" s="92"/>
    </row>
    <row r="770" ht="15.75" hidden="1" customHeight="1">
      <c r="A770" s="89"/>
      <c r="B770" s="89"/>
      <c r="O770" s="92"/>
    </row>
    <row r="771" ht="15.75" hidden="1" customHeight="1">
      <c r="A771" s="89"/>
      <c r="B771" s="89"/>
      <c r="O771" s="92"/>
    </row>
    <row r="772" ht="15.75" hidden="1" customHeight="1">
      <c r="A772" s="89"/>
      <c r="B772" s="89"/>
      <c r="O772" s="92"/>
    </row>
    <row r="773" ht="15.75" hidden="1" customHeight="1">
      <c r="A773" s="89"/>
      <c r="B773" s="89"/>
      <c r="O773" s="92"/>
    </row>
    <row r="774" ht="15.75" hidden="1" customHeight="1">
      <c r="A774" s="89"/>
      <c r="B774" s="89"/>
      <c r="O774" s="92"/>
    </row>
    <row r="775" ht="15.75" hidden="1" customHeight="1">
      <c r="A775" s="89"/>
      <c r="B775" s="89"/>
      <c r="O775" s="92"/>
    </row>
    <row r="776" ht="15.75" hidden="1" customHeight="1">
      <c r="A776" s="89"/>
      <c r="B776" s="89"/>
      <c r="O776" s="92"/>
    </row>
    <row r="777" ht="15.75" hidden="1" customHeight="1">
      <c r="A777" s="89"/>
      <c r="B777" s="89"/>
      <c r="O777" s="92"/>
    </row>
    <row r="778" ht="15.75" hidden="1" customHeight="1">
      <c r="A778" s="89"/>
      <c r="B778" s="89"/>
      <c r="O778" s="92"/>
    </row>
    <row r="779" ht="15.75" hidden="1" customHeight="1">
      <c r="A779" s="89"/>
      <c r="B779" s="89"/>
      <c r="O779" s="92"/>
    </row>
    <row r="780" ht="15.75" hidden="1" customHeight="1">
      <c r="A780" s="89"/>
      <c r="B780" s="89"/>
      <c r="O780" s="92"/>
    </row>
    <row r="781" ht="15.75" hidden="1" customHeight="1">
      <c r="A781" s="89"/>
      <c r="B781" s="89"/>
      <c r="O781" s="92"/>
    </row>
    <row r="782" ht="15.75" hidden="1" customHeight="1">
      <c r="A782" s="89"/>
      <c r="B782" s="89"/>
      <c r="O782" s="92"/>
    </row>
    <row r="783" ht="15.75" hidden="1" customHeight="1">
      <c r="A783" s="89"/>
      <c r="B783" s="89"/>
      <c r="O783" s="92"/>
    </row>
    <row r="784" ht="15.75" hidden="1" customHeight="1">
      <c r="A784" s="89"/>
      <c r="B784" s="89"/>
      <c r="O784" s="92"/>
    </row>
    <row r="785" ht="15.75" hidden="1" customHeight="1">
      <c r="A785" s="89"/>
      <c r="B785" s="89"/>
      <c r="O785" s="92"/>
    </row>
    <row r="786" ht="15.75" hidden="1" customHeight="1">
      <c r="A786" s="89"/>
      <c r="B786" s="89"/>
      <c r="O786" s="92"/>
    </row>
    <row r="787" ht="15.75" hidden="1" customHeight="1">
      <c r="A787" s="89"/>
      <c r="B787" s="89"/>
      <c r="O787" s="92"/>
    </row>
    <row r="788" ht="15.75" hidden="1" customHeight="1">
      <c r="A788" s="89"/>
      <c r="B788" s="89"/>
      <c r="O788" s="92"/>
    </row>
    <row r="789" ht="15.75" hidden="1" customHeight="1">
      <c r="A789" s="89"/>
      <c r="B789" s="89"/>
      <c r="O789" s="92"/>
    </row>
    <row r="790" ht="15.75" hidden="1" customHeight="1">
      <c r="A790" s="89"/>
      <c r="B790" s="89"/>
      <c r="O790" s="92"/>
    </row>
    <row r="791" ht="15.75" hidden="1" customHeight="1">
      <c r="A791" s="89"/>
      <c r="B791" s="89"/>
      <c r="O791" s="92"/>
    </row>
    <row r="792" ht="15.75" hidden="1" customHeight="1">
      <c r="A792" s="89"/>
      <c r="B792" s="89"/>
      <c r="O792" s="92"/>
    </row>
    <row r="793" ht="15.75" hidden="1" customHeight="1">
      <c r="A793" s="89"/>
      <c r="B793" s="89"/>
      <c r="O793" s="92"/>
    </row>
    <row r="794" ht="15.75" hidden="1" customHeight="1">
      <c r="A794" s="89"/>
      <c r="B794" s="89"/>
      <c r="O794" s="92"/>
    </row>
    <row r="795" ht="15.75" hidden="1" customHeight="1">
      <c r="A795" s="89"/>
      <c r="B795" s="89"/>
      <c r="O795" s="92"/>
    </row>
    <row r="796" ht="15.75" hidden="1" customHeight="1">
      <c r="A796" s="89"/>
      <c r="B796" s="89"/>
      <c r="O796" s="92"/>
    </row>
    <row r="797" ht="15.75" hidden="1" customHeight="1">
      <c r="A797" s="89"/>
      <c r="B797" s="89"/>
      <c r="O797" s="92"/>
    </row>
    <row r="798" ht="15.75" hidden="1" customHeight="1">
      <c r="A798" s="89"/>
      <c r="B798" s="89"/>
      <c r="O798" s="92"/>
    </row>
    <row r="799" ht="15.75" hidden="1" customHeight="1">
      <c r="A799" s="89"/>
      <c r="B799" s="89"/>
      <c r="O799" s="92"/>
    </row>
    <row r="800" ht="15.75" hidden="1" customHeight="1">
      <c r="A800" s="89"/>
      <c r="B800" s="89"/>
      <c r="O800" s="92"/>
    </row>
    <row r="801" ht="15.75" hidden="1" customHeight="1">
      <c r="A801" s="89"/>
      <c r="B801" s="89"/>
      <c r="O801" s="92"/>
    </row>
    <row r="802" ht="15.75" hidden="1" customHeight="1">
      <c r="A802" s="89"/>
      <c r="B802" s="89"/>
      <c r="O802" s="92"/>
    </row>
    <row r="803" ht="15.75" hidden="1" customHeight="1">
      <c r="A803" s="89"/>
      <c r="B803" s="89"/>
      <c r="O803" s="92"/>
    </row>
    <row r="804" ht="15.75" hidden="1" customHeight="1">
      <c r="A804" s="89"/>
      <c r="B804" s="89"/>
      <c r="O804" s="92"/>
    </row>
    <row r="805" ht="15.75" hidden="1" customHeight="1">
      <c r="A805" s="89"/>
      <c r="B805" s="89"/>
      <c r="O805" s="92"/>
    </row>
    <row r="806" ht="15.75" hidden="1" customHeight="1">
      <c r="A806" s="89"/>
      <c r="B806" s="89"/>
      <c r="O806" s="92"/>
    </row>
    <row r="807" ht="15.75" hidden="1" customHeight="1">
      <c r="A807" s="89"/>
      <c r="B807" s="89"/>
      <c r="O807" s="92"/>
    </row>
    <row r="808" ht="15.75" hidden="1" customHeight="1">
      <c r="A808" s="89"/>
      <c r="B808" s="89"/>
      <c r="O808" s="92"/>
    </row>
    <row r="809" ht="15.75" hidden="1" customHeight="1">
      <c r="A809" s="89"/>
      <c r="B809" s="89"/>
      <c r="O809" s="92"/>
    </row>
    <row r="810" ht="15.75" hidden="1" customHeight="1">
      <c r="A810" s="89"/>
      <c r="B810" s="89"/>
      <c r="O810" s="92"/>
    </row>
    <row r="811" ht="15.75" hidden="1" customHeight="1">
      <c r="A811" s="89"/>
      <c r="B811" s="89"/>
      <c r="O811" s="92"/>
    </row>
    <row r="812" ht="15.75" hidden="1" customHeight="1">
      <c r="A812" s="89"/>
      <c r="B812" s="89"/>
      <c r="O812" s="92"/>
    </row>
    <row r="813" ht="15.75" hidden="1" customHeight="1">
      <c r="A813" s="89"/>
      <c r="B813" s="89"/>
      <c r="O813" s="92"/>
    </row>
    <row r="814" ht="15.75" hidden="1" customHeight="1">
      <c r="A814" s="89"/>
      <c r="B814" s="89"/>
      <c r="O814" s="92"/>
    </row>
    <row r="815" ht="15.75" hidden="1" customHeight="1">
      <c r="A815" s="89"/>
      <c r="B815" s="89"/>
      <c r="O815" s="92"/>
    </row>
    <row r="816" ht="15.75" hidden="1" customHeight="1">
      <c r="A816" s="89"/>
      <c r="B816" s="89"/>
      <c r="O816" s="92"/>
    </row>
    <row r="817" ht="15.75" hidden="1" customHeight="1">
      <c r="A817" s="89"/>
      <c r="B817" s="89"/>
      <c r="O817" s="92"/>
    </row>
    <row r="818" ht="15.75" hidden="1" customHeight="1">
      <c r="A818" s="89"/>
      <c r="B818" s="89"/>
      <c r="O818" s="92"/>
    </row>
    <row r="819" ht="15.75" hidden="1" customHeight="1">
      <c r="A819" s="89"/>
      <c r="B819" s="89"/>
      <c r="O819" s="92"/>
    </row>
    <row r="820" ht="15.75" hidden="1" customHeight="1">
      <c r="A820" s="89"/>
      <c r="B820" s="89"/>
      <c r="O820" s="92"/>
    </row>
    <row r="821" ht="15.75" hidden="1" customHeight="1">
      <c r="A821" s="89"/>
      <c r="B821" s="89"/>
      <c r="O821" s="92"/>
    </row>
    <row r="822" ht="15.75" hidden="1" customHeight="1">
      <c r="A822" s="89"/>
      <c r="B822" s="89"/>
      <c r="O822" s="92"/>
    </row>
    <row r="823" ht="15.75" hidden="1" customHeight="1">
      <c r="A823" s="89"/>
      <c r="B823" s="89"/>
      <c r="O823" s="92"/>
    </row>
    <row r="824" ht="15.75" hidden="1" customHeight="1">
      <c r="A824" s="89"/>
      <c r="B824" s="89"/>
      <c r="O824" s="92"/>
    </row>
    <row r="825" ht="15.75" hidden="1" customHeight="1">
      <c r="A825" s="89"/>
      <c r="B825" s="89"/>
      <c r="O825" s="92"/>
    </row>
    <row r="826" ht="15.75" hidden="1" customHeight="1">
      <c r="A826" s="89"/>
      <c r="B826" s="89"/>
      <c r="O826" s="92"/>
    </row>
    <row r="827" ht="15.75" hidden="1" customHeight="1">
      <c r="A827" s="89"/>
      <c r="B827" s="89"/>
      <c r="O827" s="92"/>
    </row>
    <row r="828" ht="15.75" hidden="1" customHeight="1">
      <c r="A828" s="89"/>
      <c r="B828" s="89"/>
      <c r="O828" s="92"/>
    </row>
    <row r="829" ht="15.75" hidden="1" customHeight="1">
      <c r="A829" s="89"/>
      <c r="B829" s="89"/>
      <c r="O829" s="92"/>
    </row>
    <row r="830" ht="15.75" hidden="1" customHeight="1">
      <c r="A830" s="89"/>
      <c r="B830" s="89"/>
      <c r="O830" s="92"/>
    </row>
    <row r="831" ht="15.75" hidden="1" customHeight="1">
      <c r="A831" s="89"/>
      <c r="B831" s="89"/>
      <c r="O831" s="92"/>
    </row>
    <row r="832" ht="15.75" hidden="1" customHeight="1">
      <c r="A832" s="89"/>
      <c r="B832" s="89"/>
      <c r="O832" s="92"/>
    </row>
    <row r="833" ht="15.75" hidden="1" customHeight="1">
      <c r="A833" s="89"/>
      <c r="B833" s="89"/>
      <c r="O833" s="92"/>
    </row>
    <row r="834" ht="15.75" hidden="1" customHeight="1">
      <c r="A834" s="89"/>
      <c r="B834" s="89"/>
      <c r="O834" s="92"/>
    </row>
    <row r="835" ht="15.75" hidden="1" customHeight="1">
      <c r="A835" s="89"/>
      <c r="B835" s="89"/>
      <c r="O835" s="92"/>
    </row>
    <row r="836" ht="15.75" hidden="1" customHeight="1">
      <c r="A836" s="89"/>
      <c r="B836" s="89"/>
      <c r="O836" s="92"/>
    </row>
    <row r="837" ht="15.75" hidden="1" customHeight="1">
      <c r="A837" s="89"/>
      <c r="B837" s="89"/>
      <c r="O837" s="92"/>
    </row>
    <row r="838" ht="15.75" hidden="1" customHeight="1">
      <c r="A838" s="89"/>
      <c r="B838" s="89"/>
      <c r="O838" s="92"/>
    </row>
    <row r="839" ht="15.75" hidden="1" customHeight="1">
      <c r="A839" s="89"/>
      <c r="B839" s="89"/>
      <c r="O839" s="92"/>
    </row>
    <row r="840" ht="15.75" hidden="1" customHeight="1">
      <c r="A840" s="89"/>
      <c r="B840" s="89"/>
      <c r="O840" s="92"/>
    </row>
    <row r="841" ht="15.75" hidden="1" customHeight="1">
      <c r="A841" s="89"/>
      <c r="B841" s="89"/>
      <c r="O841" s="92"/>
    </row>
    <row r="842" ht="15.75" hidden="1" customHeight="1">
      <c r="A842" s="89"/>
      <c r="B842" s="89"/>
      <c r="O842" s="92"/>
    </row>
    <row r="843" ht="15.75" hidden="1" customHeight="1">
      <c r="A843" s="89"/>
      <c r="B843" s="89"/>
      <c r="O843" s="92"/>
    </row>
    <row r="844" ht="15.75" hidden="1" customHeight="1">
      <c r="A844" s="89"/>
      <c r="B844" s="89"/>
      <c r="O844" s="92"/>
    </row>
    <row r="845" ht="15.75" hidden="1" customHeight="1">
      <c r="A845" s="89"/>
      <c r="B845" s="89"/>
      <c r="O845" s="92"/>
    </row>
    <row r="846" ht="15.75" hidden="1" customHeight="1">
      <c r="A846" s="89"/>
      <c r="B846" s="89"/>
      <c r="O846" s="92"/>
    </row>
    <row r="847" ht="15.75" hidden="1" customHeight="1">
      <c r="A847" s="89"/>
      <c r="B847" s="89"/>
      <c r="O847" s="92"/>
    </row>
    <row r="848" ht="15.75" hidden="1" customHeight="1">
      <c r="A848" s="89"/>
      <c r="B848" s="89"/>
      <c r="O848" s="92"/>
    </row>
    <row r="849" ht="15.75" hidden="1" customHeight="1">
      <c r="A849" s="89"/>
      <c r="B849" s="89"/>
      <c r="O849" s="92"/>
    </row>
    <row r="850" ht="15.75" hidden="1" customHeight="1">
      <c r="A850" s="89"/>
      <c r="B850" s="89"/>
      <c r="O850" s="92"/>
    </row>
    <row r="851" ht="15.75" hidden="1" customHeight="1">
      <c r="A851" s="89"/>
      <c r="B851" s="89"/>
      <c r="O851" s="92"/>
    </row>
    <row r="852" ht="15.75" hidden="1" customHeight="1">
      <c r="A852" s="89"/>
      <c r="B852" s="89"/>
      <c r="O852" s="92"/>
    </row>
    <row r="853" ht="15.75" hidden="1" customHeight="1">
      <c r="A853" s="89"/>
      <c r="B853" s="89"/>
      <c r="O853" s="92"/>
    </row>
    <row r="854" ht="15.75" hidden="1" customHeight="1">
      <c r="A854" s="89"/>
      <c r="B854" s="89"/>
      <c r="O854" s="92"/>
    </row>
    <row r="855" ht="15.75" hidden="1" customHeight="1">
      <c r="A855" s="89"/>
      <c r="B855" s="89"/>
      <c r="O855" s="92"/>
    </row>
    <row r="856" ht="15.75" hidden="1" customHeight="1">
      <c r="A856" s="89"/>
      <c r="B856" s="89"/>
      <c r="O856" s="92"/>
    </row>
    <row r="857" ht="15.75" hidden="1" customHeight="1">
      <c r="A857" s="89"/>
      <c r="B857" s="89"/>
      <c r="O857" s="92"/>
    </row>
    <row r="858" ht="15.75" hidden="1" customHeight="1">
      <c r="A858" s="89"/>
      <c r="B858" s="89"/>
      <c r="O858" s="92"/>
    </row>
    <row r="859" ht="15.75" hidden="1" customHeight="1">
      <c r="A859" s="89"/>
      <c r="B859" s="89"/>
      <c r="O859" s="92"/>
    </row>
    <row r="860" ht="15.75" hidden="1" customHeight="1">
      <c r="A860" s="89"/>
      <c r="B860" s="89"/>
      <c r="O860" s="92"/>
    </row>
    <row r="861" ht="15.75" hidden="1" customHeight="1">
      <c r="A861" s="89"/>
      <c r="B861" s="89"/>
      <c r="O861" s="92"/>
    </row>
    <row r="862" ht="15.75" hidden="1" customHeight="1">
      <c r="A862" s="89"/>
      <c r="B862" s="89"/>
      <c r="O862" s="92"/>
    </row>
    <row r="863" ht="15.75" hidden="1" customHeight="1">
      <c r="A863" s="89"/>
      <c r="B863" s="89"/>
      <c r="O863" s="92"/>
    </row>
    <row r="864" ht="15.75" hidden="1" customHeight="1">
      <c r="A864" s="89"/>
      <c r="B864" s="89"/>
      <c r="O864" s="92"/>
    </row>
    <row r="865" ht="15.75" hidden="1" customHeight="1">
      <c r="A865" s="89"/>
      <c r="B865" s="89"/>
      <c r="O865" s="92"/>
    </row>
    <row r="866" ht="15.75" hidden="1" customHeight="1">
      <c r="A866" s="89"/>
      <c r="B866" s="89"/>
      <c r="O866" s="92"/>
    </row>
    <row r="867" ht="15.75" hidden="1" customHeight="1">
      <c r="A867" s="89"/>
      <c r="B867" s="89"/>
      <c r="O867" s="92"/>
    </row>
    <row r="868" ht="15.75" hidden="1" customHeight="1">
      <c r="A868" s="89"/>
      <c r="B868" s="89"/>
      <c r="O868" s="92"/>
    </row>
    <row r="869" ht="15.75" hidden="1" customHeight="1">
      <c r="A869" s="89"/>
      <c r="B869" s="89"/>
      <c r="O869" s="92"/>
    </row>
    <row r="870" ht="15.75" hidden="1" customHeight="1">
      <c r="A870" s="89"/>
      <c r="B870" s="89"/>
      <c r="O870" s="92"/>
    </row>
    <row r="871" ht="15.75" hidden="1" customHeight="1">
      <c r="A871" s="89"/>
      <c r="B871" s="89"/>
      <c r="O871" s="92"/>
    </row>
    <row r="872" ht="15.75" hidden="1" customHeight="1">
      <c r="A872" s="89"/>
      <c r="B872" s="89"/>
      <c r="O872" s="92"/>
    </row>
    <row r="873" ht="15.75" hidden="1" customHeight="1">
      <c r="A873" s="89"/>
      <c r="B873" s="89"/>
      <c r="O873" s="92"/>
    </row>
    <row r="874" ht="15.75" hidden="1" customHeight="1">
      <c r="A874" s="89"/>
      <c r="B874" s="89"/>
      <c r="O874" s="92"/>
    </row>
    <row r="875" ht="15.75" hidden="1" customHeight="1">
      <c r="A875" s="89"/>
      <c r="B875" s="89"/>
      <c r="O875" s="92"/>
    </row>
    <row r="876" ht="15.75" hidden="1" customHeight="1">
      <c r="A876" s="89"/>
      <c r="B876" s="89"/>
      <c r="O876" s="92"/>
    </row>
    <row r="877" ht="15.75" hidden="1" customHeight="1">
      <c r="A877" s="89"/>
      <c r="B877" s="89"/>
      <c r="O877" s="92"/>
    </row>
    <row r="878" ht="15.75" hidden="1" customHeight="1">
      <c r="A878" s="89"/>
      <c r="B878" s="89"/>
      <c r="O878" s="92"/>
    </row>
    <row r="879" ht="15.75" hidden="1" customHeight="1">
      <c r="A879" s="89"/>
      <c r="B879" s="89"/>
      <c r="O879" s="92"/>
    </row>
    <row r="880" ht="15.75" hidden="1" customHeight="1">
      <c r="A880" s="89"/>
      <c r="B880" s="89"/>
      <c r="O880" s="92"/>
    </row>
    <row r="881" ht="15.75" hidden="1" customHeight="1">
      <c r="A881" s="89"/>
      <c r="B881" s="89"/>
      <c r="O881" s="92"/>
    </row>
    <row r="882" ht="15.75" hidden="1" customHeight="1">
      <c r="A882" s="89"/>
      <c r="B882" s="89"/>
      <c r="O882" s="92"/>
    </row>
    <row r="883" ht="15.75" hidden="1" customHeight="1">
      <c r="A883" s="89"/>
      <c r="B883" s="89"/>
      <c r="O883" s="92"/>
    </row>
    <row r="884" ht="15.75" hidden="1" customHeight="1">
      <c r="A884" s="89"/>
      <c r="B884" s="89"/>
      <c r="O884" s="92"/>
    </row>
    <row r="885" ht="15.75" hidden="1" customHeight="1">
      <c r="A885" s="89"/>
      <c r="B885" s="89"/>
      <c r="O885" s="92"/>
    </row>
    <row r="886" ht="15.75" hidden="1" customHeight="1">
      <c r="A886" s="89"/>
      <c r="B886" s="89"/>
      <c r="O886" s="92"/>
    </row>
    <row r="887" ht="15.75" hidden="1" customHeight="1">
      <c r="A887" s="89"/>
      <c r="B887" s="89"/>
      <c r="O887" s="92"/>
    </row>
    <row r="888" ht="15.75" hidden="1" customHeight="1">
      <c r="A888" s="89"/>
      <c r="B888" s="89"/>
      <c r="O888" s="92"/>
    </row>
    <row r="889" ht="15.75" hidden="1" customHeight="1">
      <c r="A889" s="89"/>
      <c r="B889" s="89"/>
      <c r="O889" s="92"/>
    </row>
    <row r="890" ht="15.75" hidden="1" customHeight="1">
      <c r="A890" s="89"/>
      <c r="B890" s="89"/>
      <c r="O890" s="92"/>
    </row>
    <row r="891" ht="15.75" hidden="1" customHeight="1">
      <c r="A891" s="89"/>
      <c r="B891" s="89"/>
      <c r="O891" s="92"/>
    </row>
    <row r="892" ht="15.75" hidden="1" customHeight="1">
      <c r="A892" s="89"/>
      <c r="B892" s="89"/>
      <c r="O892" s="92"/>
    </row>
    <row r="893" ht="15.75" hidden="1" customHeight="1">
      <c r="A893" s="89"/>
      <c r="B893" s="89"/>
      <c r="O893" s="92"/>
    </row>
    <row r="894" ht="15.75" hidden="1" customHeight="1">
      <c r="A894" s="89"/>
      <c r="B894" s="89"/>
      <c r="O894" s="92"/>
    </row>
    <row r="895" ht="15.75" hidden="1" customHeight="1">
      <c r="A895" s="89"/>
      <c r="B895" s="89"/>
      <c r="O895" s="92"/>
    </row>
    <row r="896" ht="15.75" hidden="1" customHeight="1">
      <c r="A896" s="89"/>
      <c r="B896" s="89"/>
      <c r="O896" s="92"/>
    </row>
    <row r="897" ht="15.75" hidden="1" customHeight="1">
      <c r="A897" s="89"/>
      <c r="B897" s="89"/>
      <c r="O897" s="92"/>
    </row>
    <row r="898" ht="15.75" hidden="1" customHeight="1">
      <c r="A898" s="89"/>
      <c r="B898" s="89"/>
      <c r="O898" s="92"/>
    </row>
    <row r="899" ht="15.75" hidden="1" customHeight="1">
      <c r="A899" s="89"/>
      <c r="B899" s="89"/>
      <c r="O899" s="92"/>
    </row>
    <row r="900" ht="15.75" hidden="1" customHeight="1">
      <c r="A900" s="89"/>
      <c r="B900" s="89"/>
      <c r="O900" s="92"/>
    </row>
    <row r="901" ht="15.75" hidden="1" customHeight="1">
      <c r="A901" s="89"/>
      <c r="B901" s="89"/>
      <c r="O901" s="92"/>
    </row>
    <row r="902" ht="15.75" hidden="1" customHeight="1">
      <c r="A902" s="89"/>
      <c r="B902" s="89"/>
      <c r="O902" s="92"/>
    </row>
    <row r="903" ht="15.75" hidden="1" customHeight="1">
      <c r="A903" s="89"/>
      <c r="B903" s="89"/>
      <c r="O903" s="92"/>
    </row>
    <row r="904" ht="15.75" hidden="1" customHeight="1">
      <c r="A904" s="89"/>
      <c r="B904" s="89"/>
      <c r="O904" s="92"/>
    </row>
    <row r="905" ht="15.75" hidden="1" customHeight="1">
      <c r="A905" s="89"/>
      <c r="B905" s="89"/>
      <c r="O905" s="92"/>
    </row>
    <row r="906" ht="15.75" hidden="1" customHeight="1">
      <c r="A906" s="89"/>
      <c r="B906" s="89"/>
      <c r="O906" s="92"/>
    </row>
    <row r="907" ht="15.75" hidden="1" customHeight="1">
      <c r="A907" s="89"/>
      <c r="B907" s="89"/>
      <c r="O907" s="92"/>
    </row>
    <row r="908" ht="15.75" hidden="1" customHeight="1">
      <c r="A908" s="89"/>
      <c r="B908" s="89"/>
      <c r="O908" s="92"/>
    </row>
    <row r="909" ht="15.75" hidden="1" customHeight="1">
      <c r="A909" s="89"/>
      <c r="B909" s="89"/>
      <c r="O909" s="92"/>
    </row>
    <row r="910" ht="15.75" hidden="1" customHeight="1">
      <c r="A910" s="89"/>
      <c r="B910" s="89"/>
      <c r="O910" s="92"/>
    </row>
    <row r="911" ht="15.75" hidden="1" customHeight="1">
      <c r="A911" s="89"/>
      <c r="B911" s="89"/>
      <c r="O911" s="92"/>
    </row>
    <row r="912" ht="15.75" hidden="1" customHeight="1">
      <c r="A912" s="89"/>
      <c r="B912" s="89"/>
      <c r="O912" s="92"/>
    </row>
    <row r="913" ht="15.75" hidden="1" customHeight="1">
      <c r="A913" s="89"/>
      <c r="B913" s="89"/>
      <c r="O913" s="92"/>
    </row>
    <row r="914" ht="15.75" hidden="1" customHeight="1">
      <c r="A914" s="89"/>
      <c r="B914" s="89"/>
      <c r="O914" s="92"/>
    </row>
    <row r="915" ht="15.75" hidden="1" customHeight="1">
      <c r="A915" s="89"/>
      <c r="B915" s="89"/>
      <c r="O915" s="92"/>
    </row>
    <row r="916" ht="15.75" hidden="1" customHeight="1">
      <c r="A916" s="89"/>
      <c r="B916" s="89"/>
      <c r="O916" s="92"/>
    </row>
    <row r="917" ht="15.75" hidden="1" customHeight="1">
      <c r="A917" s="89"/>
      <c r="B917" s="89"/>
      <c r="O917" s="92"/>
    </row>
    <row r="918" ht="15.75" hidden="1" customHeight="1">
      <c r="A918" s="89"/>
      <c r="B918" s="89"/>
      <c r="O918" s="92"/>
    </row>
    <row r="919" ht="15.75" hidden="1" customHeight="1">
      <c r="A919" s="89"/>
      <c r="B919" s="89"/>
      <c r="O919" s="92"/>
    </row>
    <row r="920" ht="15.75" hidden="1" customHeight="1">
      <c r="A920" s="89"/>
      <c r="B920" s="89"/>
      <c r="O920" s="92"/>
    </row>
    <row r="921" ht="15.75" hidden="1" customHeight="1">
      <c r="A921" s="89"/>
      <c r="B921" s="89"/>
      <c r="O921" s="92"/>
    </row>
    <row r="922" ht="15.75" hidden="1" customHeight="1">
      <c r="A922" s="89"/>
      <c r="B922" s="89"/>
      <c r="O922" s="92"/>
    </row>
    <row r="923" ht="15.75" hidden="1" customHeight="1">
      <c r="A923" s="89"/>
      <c r="B923" s="89"/>
      <c r="O923" s="92"/>
    </row>
    <row r="924" ht="15.75" hidden="1" customHeight="1">
      <c r="A924" s="89"/>
      <c r="B924" s="89"/>
      <c r="O924" s="92"/>
    </row>
    <row r="925" ht="15.75" hidden="1" customHeight="1">
      <c r="A925" s="89"/>
      <c r="B925" s="89"/>
      <c r="O925" s="92"/>
    </row>
    <row r="926" ht="15.75" hidden="1" customHeight="1">
      <c r="A926" s="89"/>
      <c r="B926" s="89"/>
      <c r="O926" s="92"/>
    </row>
    <row r="927" ht="15.75" hidden="1" customHeight="1">
      <c r="A927" s="89"/>
      <c r="B927" s="89"/>
      <c r="O927" s="92"/>
    </row>
    <row r="928" ht="15.75" hidden="1" customHeight="1">
      <c r="A928" s="89"/>
      <c r="B928" s="89"/>
      <c r="O928" s="92"/>
    </row>
    <row r="929" ht="15.75" hidden="1" customHeight="1">
      <c r="A929" s="89"/>
      <c r="B929" s="89"/>
      <c r="O929" s="92"/>
    </row>
    <row r="930" ht="15.75" hidden="1" customHeight="1">
      <c r="A930" s="89"/>
      <c r="B930" s="89"/>
      <c r="O930" s="92"/>
    </row>
    <row r="931" ht="15.75" hidden="1" customHeight="1">
      <c r="A931" s="89"/>
      <c r="B931" s="89"/>
      <c r="O931" s="92"/>
    </row>
    <row r="932" ht="15.75" hidden="1" customHeight="1">
      <c r="A932" s="89"/>
      <c r="B932" s="89"/>
      <c r="O932" s="92"/>
    </row>
    <row r="933" ht="15.75" hidden="1" customHeight="1">
      <c r="A933" s="89"/>
      <c r="B933" s="89"/>
      <c r="O933" s="92"/>
    </row>
    <row r="934" ht="15.75" hidden="1" customHeight="1">
      <c r="A934" s="89"/>
      <c r="B934" s="89"/>
      <c r="O934" s="92"/>
    </row>
    <row r="935" ht="15.75" hidden="1" customHeight="1">
      <c r="A935" s="89"/>
      <c r="B935" s="89"/>
      <c r="O935" s="92"/>
    </row>
    <row r="936" ht="15.75" hidden="1" customHeight="1">
      <c r="A936" s="89"/>
      <c r="B936" s="89"/>
      <c r="O936" s="92"/>
    </row>
    <row r="937" ht="15.75" hidden="1" customHeight="1">
      <c r="A937" s="89"/>
      <c r="B937" s="89"/>
      <c r="O937" s="92"/>
    </row>
    <row r="938" ht="15.75" hidden="1" customHeight="1">
      <c r="A938" s="89"/>
      <c r="B938" s="89"/>
      <c r="O938" s="92"/>
    </row>
    <row r="939" ht="15.75" hidden="1" customHeight="1">
      <c r="A939" s="89"/>
      <c r="B939" s="89"/>
      <c r="O939" s="92"/>
    </row>
    <row r="940" ht="15.75" hidden="1" customHeight="1">
      <c r="A940" s="89"/>
      <c r="B940" s="89"/>
      <c r="O940" s="92"/>
    </row>
    <row r="941" ht="15.75" hidden="1" customHeight="1">
      <c r="A941" s="89"/>
      <c r="B941" s="89"/>
      <c r="O941" s="92"/>
    </row>
    <row r="942" ht="15.75" hidden="1" customHeight="1">
      <c r="A942" s="89"/>
      <c r="B942" s="89"/>
      <c r="O942" s="92"/>
    </row>
    <row r="943" ht="15.75" hidden="1" customHeight="1">
      <c r="A943" s="89"/>
      <c r="B943" s="89"/>
      <c r="O943" s="92"/>
    </row>
    <row r="944" ht="15.75" hidden="1" customHeight="1">
      <c r="A944" s="89"/>
      <c r="B944" s="89"/>
      <c r="O944" s="92"/>
    </row>
    <row r="945" ht="15.75" hidden="1" customHeight="1">
      <c r="A945" s="89"/>
      <c r="B945" s="89"/>
      <c r="O945" s="92"/>
    </row>
    <row r="946" ht="15.75" hidden="1" customHeight="1">
      <c r="A946" s="89"/>
      <c r="B946" s="89"/>
      <c r="O946" s="92"/>
    </row>
    <row r="947" ht="15.75" hidden="1" customHeight="1">
      <c r="A947" s="89"/>
      <c r="B947" s="89"/>
      <c r="O947" s="92"/>
    </row>
    <row r="948" ht="15.75" hidden="1" customHeight="1">
      <c r="A948" s="89"/>
      <c r="B948" s="89"/>
      <c r="O948" s="92"/>
    </row>
    <row r="949" ht="15.75" hidden="1" customHeight="1">
      <c r="A949" s="89"/>
      <c r="B949" s="89"/>
      <c r="O949" s="92"/>
    </row>
    <row r="950" ht="15.75" hidden="1" customHeight="1">
      <c r="A950" s="89"/>
      <c r="B950" s="89"/>
      <c r="O950" s="92"/>
    </row>
    <row r="951" ht="15.75" hidden="1" customHeight="1">
      <c r="A951" s="89"/>
      <c r="B951" s="89"/>
      <c r="O951" s="92"/>
    </row>
    <row r="952" ht="15.75" hidden="1" customHeight="1">
      <c r="A952" s="89"/>
      <c r="B952" s="89"/>
      <c r="O952" s="92"/>
    </row>
    <row r="953" ht="15.75" hidden="1" customHeight="1">
      <c r="A953" s="89"/>
      <c r="B953" s="89"/>
      <c r="O953" s="92"/>
    </row>
    <row r="954" ht="15.75" hidden="1" customHeight="1">
      <c r="A954" s="89"/>
      <c r="B954" s="89"/>
      <c r="O954" s="92"/>
    </row>
    <row r="955" ht="15.75" hidden="1" customHeight="1">
      <c r="A955" s="89"/>
      <c r="B955" s="89"/>
      <c r="O955" s="92"/>
    </row>
    <row r="956" ht="15.75" hidden="1" customHeight="1">
      <c r="A956" s="89"/>
      <c r="B956" s="89"/>
      <c r="O956" s="92"/>
    </row>
    <row r="957" ht="15.75" hidden="1" customHeight="1">
      <c r="A957" s="89"/>
      <c r="B957" s="89"/>
      <c r="O957" s="92"/>
    </row>
    <row r="958" ht="15.75" hidden="1" customHeight="1">
      <c r="A958" s="89"/>
      <c r="B958" s="89"/>
      <c r="O958" s="92"/>
    </row>
    <row r="959" ht="15.75" hidden="1" customHeight="1">
      <c r="A959" s="89"/>
      <c r="B959" s="89"/>
      <c r="O959" s="92"/>
    </row>
    <row r="960" ht="15.75" hidden="1" customHeight="1">
      <c r="A960" s="89"/>
      <c r="B960" s="89"/>
      <c r="O960" s="92"/>
    </row>
    <row r="961" ht="15.75" hidden="1" customHeight="1">
      <c r="A961" s="89"/>
      <c r="B961" s="89"/>
      <c r="O961" s="92"/>
    </row>
    <row r="962" ht="15.75" hidden="1" customHeight="1">
      <c r="A962" s="89"/>
      <c r="B962" s="89"/>
      <c r="O962" s="92"/>
    </row>
    <row r="963" ht="15.75" hidden="1" customHeight="1">
      <c r="A963" s="89"/>
      <c r="B963" s="89"/>
      <c r="O963" s="92"/>
    </row>
    <row r="964" ht="15.75" hidden="1" customHeight="1">
      <c r="A964" s="89"/>
      <c r="B964" s="89"/>
      <c r="O964" s="92"/>
    </row>
    <row r="965" ht="15.75" hidden="1" customHeight="1">
      <c r="A965" s="89"/>
      <c r="B965" s="89"/>
      <c r="O965" s="92"/>
    </row>
    <row r="966" ht="15.75" hidden="1" customHeight="1">
      <c r="A966" s="89"/>
      <c r="B966" s="89"/>
      <c r="O966" s="92"/>
    </row>
    <row r="967" ht="15.75" hidden="1" customHeight="1">
      <c r="A967" s="89"/>
      <c r="B967" s="89"/>
      <c r="O967" s="92"/>
    </row>
    <row r="968" ht="15.75" hidden="1" customHeight="1">
      <c r="A968" s="89"/>
      <c r="B968" s="89"/>
      <c r="O968" s="92"/>
    </row>
    <row r="969" ht="15.75" hidden="1" customHeight="1">
      <c r="A969" s="89"/>
      <c r="B969" s="89"/>
      <c r="O969" s="92"/>
    </row>
    <row r="970" ht="15.75" hidden="1" customHeight="1">
      <c r="A970" s="89"/>
      <c r="B970" s="89"/>
      <c r="O970" s="92"/>
    </row>
    <row r="971" ht="15.75" hidden="1" customHeight="1">
      <c r="A971" s="89"/>
      <c r="B971" s="89"/>
      <c r="O971" s="92"/>
    </row>
    <row r="972" ht="15.75" hidden="1" customHeight="1">
      <c r="A972" s="89"/>
      <c r="B972" s="89"/>
      <c r="O972" s="92"/>
    </row>
    <row r="973" ht="15.75" hidden="1" customHeight="1">
      <c r="A973" s="89"/>
      <c r="B973" s="89"/>
      <c r="O973" s="92"/>
    </row>
    <row r="974" ht="15.75" hidden="1" customHeight="1">
      <c r="A974" s="89"/>
      <c r="B974" s="89"/>
      <c r="O974" s="92"/>
    </row>
    <row r="975" ht="15.75" hidden="1" customHeight="1">
      <c r="A975" s="89"/>
      <c r="B975" s="89"/>
      <c r="O975" s="92"/>
    </row>
    <row r="976" ht="15.75" hidden="1" customHeight="1">
      <c r="A976" s="89"/>
      <c r="B976" s="89"/>
      <c r="O976" s="92"/>
    </row>
    <row r="977" ht="15.75" hidden="1" customHeight="1">
      <c r="A977" s="89"/>
      <c r="B977" s="89"/>
      <c r="O977" s="92"/>
    </row>
    <row r="978" ht="15.75" hidden="1" customHeight="1">
      <c r="A978" s="89"/>
      <c r="B978" s="89"/>
      <c r="O978" s="92"/>
    </row>
    <row r="979" ht="15.75" hidden="1" customHeight="1">
      <c r="A979" s="89"/>
      <c r="B979" s="89"/>
      <c r="O979" s="92"/>
    </row>
    <row r="980" ht="15.75" hidden="1" customHeight="1">
      <c r="A980" s="89"/>
      <c r="B980" s="89"/>
      <c r="O980" s="92"/>
    </row>
    <row r="981" ht="15.75" hidden="1" customHeight="1">
      <c r="A981" s="89"/>
      <c r="B981" s="89"/>
      <c r="O981" s="92"/>
    </row>
    <row r="982" ht="15.75" hidden="1" customHeight="1">
      <c r="A982" s="89"/>
      <c r="B982" s="89"/>
      <c r="O982" s="92"/>
    </row>
    <row r="983" ht="15.75" hidden="1" customHeight="1">
      <c r="A983" s="89"/>
      <c r="B983" s="89"/>
      <c r="O983" s="92"/>
    </row>
    <row r="984" ht="15.75" hidden="1" customHeight="1">
      <c r="A984" s="89"/>
      <c r="B984" s="89"/>
      <c r="O984" s="92"/>
    </row>
    <row r="985" ht="15.75" hidden="1" customHeight="1">
      <c r="A985" s="89"/>
      <c r="B985" s="89"/>
      <c r="O985" s="92"/>
    </row>
    <row r="986" ht="15.75" hidden="1" customHeight="1">
      <c r="A986" s="89"/>
      <c r="B986" s="89"/>
      <c r="O986" s="92"/>
    </row>
    <row r="987" ht="15.75" hidden="1" customHeight="1">
      <c r="A987" s="89"/>
      <c r="B987" s="89"/>
      <c r="O987" s="92"/>
    </row>
    <row r="988" ht="15.75" hidden="1" customHeight="1">
      <c r="A988" s="89"/>
      <c r="B988" s="89"/>
      <c r="O988" s="92"/>
    </row>
    <row r="989" ht="15.75" hidden="1" customHeight="1">
      <c r="A989" s="89"/>
      <c r="B989" s="89"/>
      <c r="O989" s="92"/>
    </row>
    <row r="990" ht="15.75" hidden="1" customHeight="1">
      <c r="A990" s="89"/>
      <c r="B990" s="89"/>
      <c r="O990" s="92"/>
    </row>
    <row r="991" ht="15.75" hidden="1" customHeight="1">
      <c r="A991" s="89"/>
      <c r="B991" s="89"/>
      <c r="O991" s="92"/>
    </row>
    <row r="992" ht="15.75" hidden="1" customHeight="1">
      <c r="A992" s="89"/>
      <c r="B992" s="89"/>
      <c r="O992" s="92"/>
    </row>
    <row r="993" ht="15.75" hidden="1" customHeight="1">
      <c r="A993" s="89"/>
      <c r="B993" s="89"/>
      <c r="O993" s="92"/>
    </row>
    <row r="994" ht="15.75" hidden="1" customHeight="1">
      <c r="A994" s="89"/>
      <c r="B994" s="89"/>
      <c r="O994" s="92"/>
    </row>
    <row r="995" ht="15.75" hidden="1" customHeight="1">
      <c r="A995" s="89"/>
      <c r="B995" s="89"/>
      <c r="O995" s="92"/>
    </row>
    <row r="996" ht="15.75" hidden="1" customHeight="1">
      <c r="A996" s="89"/>
      <c r="B996" s="89"/>
      <c r="O996" s="92"/>
    </row>
    <row r="997" ht="15.75" hidden="1" customHeight="1">
      <c r="A997" s="89"/>
      <c r="B997" s="89"/>
      <c r="O997" s="92"/>
    </row>
    <row r="998" ht="15.75" hidden="1" customHeight="1">
      <c r="A998" s="89"/>
      <c r="B998" s="89"/>
      <c r="O998" s="92"/>
    </row>
    <row r="999" ht="15.75" hidden="1" customHeight="1">
      <c r="A999" s="89"/>
      <c r="B999" s="89"/>
      <c r="O999" s="92"/>
    </row>
    <row r="1000" ht="15.75" hidden="1" customHeight="1">
      <c r="A1000" s="89"/>
      <c r="B1000" s="89"/>
      <c r="O1000" s="92"/>
    </row>
    <row r="1001" ht="15.75" hidden="1" customHeight="1">
      <c r="A1001" s="89"/>
      <c r="B1001" s="89"/>
      <c r="O1001" s="92"/>
    </row>
    <row r="1002" ht="15.75" hidden="1" customHeight="1">
      <c r="A1002" s="89"/>
      <c r="B1002" s="89"/>
      <c r="O1002" s="92"/>
    </row>
    <row r="1003" ht="15.75" hidden="1" customHeight="1">
      <c r="A1003" s="89"/>
      <c r="B1003" s="89"/>
      <c r="O1003" s="92"/>
    </row>
    <row r="1004" ht="15.75" customHeight="1">
      <c r="A1004" s="89"/>
      <c r="B1004" s="89"/>
      <c r="O1004" s="92"/>
    </row>
  </sheetData>
  <mergeCells count="17">
    <mergeCell ref="K2:M3"/>
    <mergeCell ref="N2:N4"/>
    <mergeCell ref="A23:B23"/>
    <mergeCell ref="A28:A30"/>
    <mergeCell ref="B28:C28"/>
    <mergeCell ref="D28:E28"/>
    <mergeCell ref="B29:B30"/>
    <mergeCell ref="C29:C30"/>
    <mergeCell ref="D29:D30"/>
    <mergeCell ref="E29:E30"/>
    <mergeCell ref="A1:A4"/>
    <mergeCell ref="B1:B4"/>
    <mergeCell ref="C1:N1"/>
    <mergeCell ref="C2:E3"/>
    <mergeCell ref="F2:F4"/>
    <mergeCell ref="G2:I3"/>
    <mergeCell ref="J2:J4"/>
  </mergeCells>
  <printOptions/>
  <pageMargins bottom="0.75" footer="0.0" header="0.0" left="0.7" right="0.7" top="0.75"/>
  <pageSetup paperSize="9" orientation="landscape"/>
  <headerFooter>
    <oddHeader>&amp;LNumber of Regulated Hospitals as of June. 30, 2024</oddHeader>
  </headerFooter>
  <colBreaks count="2" manualBreakCount="2">
    <brk man="1"/>
    <brk id="14"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8"/>
    <col customWidth="1" hidden="1" min="2" max="2" width="9.75"/>
    <col customWidth="1" min="3" max="5" width="16.38"/>
    <col customWidth="1" min="6" max="7" width="37.63"/>
    <col customWidth="1" min="8" max="8" width="16.38"/>
    <col customWidth="1" hidden="1" min="9" max="9" width="16.38"/>
    <col customWidth="1" min="10" max="12" width="16.38"/>
    <col customWidth="1" hidden="1" min="13" max="27" width="16.38"/>
    <col customWidth="1" min="28" max="29" width="16.38"/>
    <col customWidth="1" hidden="1" min="30" max="30" width="15.13"/>
    <col customWidth="1" hidden="1" min="31" max="31" width="16.38"/>
    <col hidden="1" min="32" max="34" width="12.63"/>
  </cols>
  <sheetData>
    <row r="1" ht="75.75" customHeight="1">
      <c r="A1" s="26" t="s">
        <v>13</v>
      </c>
      <c r="B1" s="28" t="s">
        <v>14</v>
      </c>
      <c r="C1" s="28" t="s">
        <v>15</v>
      </c>
      <c r="D1" s="28" t="s">
        <v>16</v>
      </c>
      <c r="E1" s="28" t="s">
        <v>17</v>
      </c>
      <c r="F1" s="28" t="s">
        <v>18</v>
      </c>
      <c r="G1" s="26" t="s">
        <v>19</v>
      </c>
      <c r="H1" s="28" t="s">
        <v>20</v>
      </c>
      <c r="I1" s="28" t="s">
        <v>22</v>
      </c>
      <c r="J1" s="28" t="s">
        <v>23</v>
      </c>
      <c r="K1" s="28" t="s">
        <v>24</v>
      </c>
      <c r="L1" s="28" t="s">
        <v>25</v>
      </c>
      <c r="M1" s="28" t="s">
        <v>26</v>
      </c>
      <c r="N1" s="28" t="s">
        <v>27</v>
      </c>
      <c r="O1" s="26" t="s">
        <v>30</v>
      </c>
      <c r="P1" s="28" t="s">
        <v>29</v>
      </c>
      <c r="Q1" s="26" t="s">
        <v>31</v>
      </c>
      <c r="R1" s="26" t="s">
        <v>32</v>
      </c>
      <c r="S1" s="26" t="s">
        <v>33</v>
      </c>
      <c r="T1" s="28" t="s">
        <v>34</v>
      </c>
      <c r="U1" s="28" t="s">
        <v>110</v>
      </c>
      <c r="V1" s="26" t="s">
        <v>39</v>
      </c>
      <c r="W1" s="26" t="s">
        <v>41</v>
      </c>
      <c r="X1" s="26" t="s">
        <v>43</v>
      </c>
      <c r="Y1" s="28" t="s">
        <v>40</v>
      </c>
      <c r="Z1" s="28" t="s">
        <v>42</v>
      </c>
      <c r="AA1" s="28" t="s">
        <v>44</v>
      </c>
      <c r="AB1" s="34" t="s">
        <v>45</v>
      </c>
      <c r="AC1" s="34" t="s">
        <v>46</v>
      </c>
      <c r="AD1" s="28" t="s">
        <v>47</v>
      </c>
      <c r="AE1" s="28" t="s">
        <v>48</v>
      </c>
      <c r="AF1" s="26" t="s">
        <v>121</v>
      </c>
      <c r="AG1" s="26" t="s">
        <v>49</v>
      </c>
      <c r="AH1" s="28"/>
    </row>
    <row r="2" ht="45.75" customHeight="1">
      <c r="A2" s="36">
        <v>1.0</v>
      </c>
      <c r="B2" s="53" t="s">
        <v>131</v>
      </c>
      <c r="C2" s="36" t="s">
        <v>52</v>
      </c>
      <c r="D2" s="36" t="s">
        <v>53</v>
      </c>
      <c r="E2" s="36" t="s">
        <v>146</v>
      </c>
      <c r="F2" s="36" t="s">
        <v>148</v>
      </c>
      <c r="G2" s="42" t="s">
        <v>152</v>
      </c>
      <c r="H2" s="36" t="s">
        <v>64</v>
      </c>
      <c r="I2" s="36" t="s">
        <v>155</v>
      </c>
      <c r="J2" s="36" t="s">
        <v>62</v>
      </c>
      <c r="K2" s="36" t="s">
        <v>63</v>
      </c>
      <c r="L2" s="36">
        <v>25.0</v>
      </c>
      <c r="M2" s="36"/>
      <c r="N2" s="36" t="s">
        <v>66</v>
      </c>
      <c r="O2" s="36" t="s">
        <v>67</v>
      </c>
      <c r="P2" s="36" t="s">
        <v>159</v>
      </c>
      <c r="Q2" s="56">
        <v>2.0</v>
      </c>
      <c r="R2" s="57" t="s">
        <v>61</v>
      </c>
      <c r="S2" s="57">
        <v>2.0</v>
      </c>
      <c r="T2" s="36" t="s">
        <v>61</v>
      </c>
      <c r="U2" s="36" t="s">
        <v>61</v>
      </c>
      <c r="V2" s="36" t="s">
        <v>61</v>
      </c>
      <c r="W2" s="36" t="s">
        <v>61</v>
      </c>
      <c r="X2" s="57" t="s">
        <v>74</v>
      </c>
      <c r="Y2" s="36" t="s">
        <v>175</v>
      </c>
      <c r="Z2" s="36">
        <v>9.204689353E9</v>
      </c>
      <c r="AA2" s="36" t="s">
        <v>178</v>
      </c>
      <c r="AB2" s="58">
        <v>46023.0</v>
      </c>
      <c r="AC2" s="59">
        <v>46387.0</v>
      </c>
      <c r="AD2" s="36" t="s">
        <v>186</v>
      </c>
      <c r="AE2" s="36" t="s">
        <v>79</v>
      </c>
      <c r="AF2" s="36" t="s">
        <v>61</v>
      </c>
      <c r="AG2" s="36"/>
      <c r="AH2" s="50"/>
    </row>
    <row r="3" ht="45.75" customHeight="1">
      <c r="A3" s="36">
        <v>2.0</v>
      </c>
      <c r="B3" s="53" t="s">
        <v>51</v>
      </c>
      <c r="C3" s="36" t="s">
        <v>52</v>
      </c>
      <c r="D3" s="36" t="s">
        <v>53</v>
      </c>
      <c r="E3" s="36" t="s">
        <v>57</v>
      </c>
      <c r="F3" s="36" t="s">
        <v>58</v>
      </c>
      <c r="G3" s="42" t="s">
        <v>60</v>
      </c>
      <c r="H3" s="36" t="s">
        <v>64</v>
      </c>
      <c r="I3" s="36" t="s">
        <v>65</v>
      </c>
      <c r="J3" s="36" t="s">
        <v>62</v>
      </c>
      <c r="K3" s="36" t="s">
        <v>68</v>
      </c>
      <c r="L3" s="36">
        <v>400.0</v>
      </c>
      <c r="M3" s="36" t="s">
        <v>70</v>
      </c>
      <c r="N3" s="36" t="s">
        <v>71</v>
      </c>
      <c r="O3" s="36" t="s">
        <v>72</v>
      </c>
      <c r="P3" s="36" t="s">
        <v>203</v>
      </c>
      <c r="Q3" s="56"/>
      <c r="R3" s="57">
        <v>4.0</v>
      </c>
      <c r="S3" s="57">
        <v>4.0</v>
      </c>
      <c r="T3" s="36"/>
      <c r="U3" s="36">
        <v>18.0</v>
      </c>
      <c r="V3" s="36" t="s">
        <v>61</v>
      </c>
      <c r="W3" s="36"/>
      <c r="X3" s="57" t="s">
        <v>93</v>
      </c>
      <c r="Y3" s="36" t="s">
        <v>214</v>
      </c>
      <c r="Z3" s="36" t="s">
        <v>216</v>
      </c>
      <c r="AA3" s="36" t="s">
        <v>217</v>
      </c>
      <c r="AB3" s="58">
        <v>46023.0</v>
      </c>
      <c r="AC3" s="59">
        <v>46387.0</v>
      </c>
      <c r="AD3" s="36" t="s">
        <v>220</v>
      </c>
      <c r="AE3" s="36" t="s">
        <v>79</v>
      </c>
      <c r="AF3" s="36" t="s">
        <v>61</v>
      </c>
      <c r="AG3" s="36" t="s">
        <v>103</v>
      </c>
      <c r="AH3" s="50"/>
    </row>
    <row r="4" ht="45.75" customHeight="1">
      <c r="A4" s="36">
        <v>3.0</v>
      </c>
      <c r="B4" s="53" t="s">
        <v>225</v>
      </c>
      <c r="C4" s="36" t="s">
        <v>52</v>
      </c>
      <c r="D4" s="36" t="s">
        <v>53</v>
      </c>
      <c r="E4" s="36" t="s">
        <v>90</v>
      </c>
      <c r="F4" s="36" t="s">
        <v>226</v>
      </c>
      <c r="G4" s="42" t="s">
        <v>227</v>
      </c>
      <c r="H4" s="36" t="s">
        <v>64</v>
      </c>
      <c r="I4" s="36" t="s">
        <v>155</v>
      </c>
      <c r="J4" s="36" t="s">
        <v>62</v>
      </c>
      <c r="K4" s="36" t="s">
        <v>111</v>
      </c>
      <c r="L4" s="36">
        <v>100.0</v>
      </c>
      <c r="M4" s="36" t="s">
        <v>232</v>
      </c>
      <c r="N4" s="36" t="s">
        <v>66</v>
      </c>
      <c r="O4" s="36"/>
      <c r="P4" s="36" t="s">
        <v>234</v>
      </c>
      <c r="Q4" s="56"/>
      <c r="R4" s="57">
        <v>1.0</v>
      </c>
      <c r="S4" s="57">
        <v>1.0</v>
      </c>
      <c r="T4" s="36"/>
      <c r="U4" s="36">
        <v>6.0</v>
      </c>
      <c r="V4" s="36" t="s">
        <v>61</v>
      </c>
      <c r="W4" s="36"/>
      <c r="X4" s="57" t="s">
        <v>93</v>
      </c>
      <c r="Y4" s="36" t="s">
        <v>238</v>
      </c>
      <c r="Z4" s="36" t="s">
        <v>240</v>
      </c>
      <c r="AA4" s="36" t="s">
        <v>242</v>
      </c>
      <c r="AB4" s="58">
        <v>46023.0</v>
      </c>
      <c r="AC4" s="59">
        <v>46387.0</v>
      </c>
      <c r="AD4" s="36" t="s">
        <v>244</v>
      </c>
      <c r="AE4" s="36" t="s">
        <v>79</v>
      </c>
      <c r="AF4" s="36" t="s">
        <v>165</v>
      </c>
      <c r="AG4" s="36" t="s">
        <v>247</v>
      </c>
      <c r="AH4" s="50"/>
    </row>
    <row r="5" ht="45.75" customHeight="1">
      <c r="A5" s="36">
        <v>4.0</v>
      </c>
      <c r="B5" s="53" t="s">
        <v>251</v>
      </c>
      <c r="C5" s="36" t="s">
        <v>52</v>
      </c>
      <c r="D5" s="36" t="s">
        <v>53</v>
      </c>
      <c r="E5" s="36" t="s">
        <v>90</v>
      </c>
      <c r="F5" s="36" t="s">
        <v>254</v>
      </c>
      <c r="G5" s="42" t="s">
        <v>255</v>
      </c>
      <c r="H5" s="36" t="s">
        <v>64</v>
      </c>
      <c r="I5" s="36" t="s">
        <v>155</v>
      </c>
      <c r="J5" s="36" t="s">
        <v>62</v>
      </c>
      <c r="K5" s="36" t="s">
        <v>63</v>
      </c>
      <c r="L5" s="36">
        <v>50.0</v>
      </c>
      <c r="M5" s="36" t="s">
        <v>258</v>
      </c>
      <c r="N5" s="36" t="s">
        <v>66</v>
      </c>
      <c r="O5" s="36" t="s">
        <v>67</v>
      </c>
      <c r="P5" s="36" t="s">
        <v>261</v>
      </c>
      <c r="Q5" s="56">
        <v>1.0</v>
      </c>
      <c r="R5" s="57" t="s">
        <v>61</v>
      </c>
      <c r="S5" s="57">
        <v>1.0</v>
      </c>
      <c r="T5" s="36" t="s">
        <v>61</v>
      </c>
      <c r="U5" s="36">
        <v>4.0</v>
      </c>
      <c r="V5" s="36" t="s">
        <v>61</v>
      </c>
      <c r="W5" s="36" t="s">
        <v>61</v>
      </c>
      <c r="X5" s="57" t="s">
        <v>74</v>
      </c>
      <c r="Y5" s="36" t="s">
        <v>264</v>
      </c>
      <c r="Z5" s="36" t="s">
        <v>267</v>
      </c>
      <c r="AA5" s="36" t="s">
        <v>269</v>
      </c>
      <c r="AB5" s="58">
        <v>46023.0</v>
      </c>
      <c r="AC5" s="59">
        <v>46387.0</v>
      </c>
      <c r="AD5" s="36" t="s">
        <v>271</v>
      </c>
      <c r="AE5" s="36" t="s">
        <v>164</v>
      </c>
      <c r="AF5" s="36" t="s">
        <v>165</v>
      </c>
      <c r="AG5" s="36" t="s">
        <v>272</v>
      </c>
      <c r="AH5" s="50"/>
    </row>
    <row r="6" ht="45.75" customHeight="1">
      <c r="A6" s="36">
        <v>5.0</v>
      </c>
      <c r="B6" s="53" t="s">
        <v>273</v>
      </c>
      <c r="C6" s="36" t="s">
        <v>52</v>
      </c>
      <c r="D6" s="36" t="s">
        <v>109</v>
      </c>
      <c r="E6" s="36" t="s">
        <v>112</v>
      </c>
      <c r="F6" s="36" t="s">
        <v>276</v>
      </c>
      <c r="G6" s="42" t="s">
        <v>278</v>
      </c>
      <c r="H6" s="36" t="s">
        <v>64</v>
      </c>
      <c r="I6" s="36" t="s">
        <v>155</v>
      </c>
      <c r="J6" s="36" t="s">
        <v>62</v>
      </c>
      <c r="K6" s="36" t="s">
        <v>111</v>
      </c>
      <c r="L6" s="36">
        <v>25.0</v>
      </c>
      <c r="M6" s="36" t="s">
        <v>288</v>
      </c>
      <c r="N6" s="36" t="s">
        <v>66</v>
      </c>
      <c r="O6" s="36"/>
      <c r="P6" s="36" t="s">
        <v>289</v>
      </c>
      <c r="Q6" s="56"/>
      <c r="R6" s="57">
        <v>1.0</v>
      </c>
      <c r="S6" s="57">
        <v>1.0</v>
      </c>
      <c r="T6" s="36"/>
      <c r="U6" s="36">
        <v>12.0</v>
      </c>
      <c r="V6" s="36" t="s">
        <v>61</v>
      </c>
      <c r="W6" s="36"/>
      <c r="X6" s="57" t="s">
        <v>93</v>
      </c>
      <c r="Y6" s="36" t="s">
        <v>293</v>
      </c>
      <c r="Z6" s="36" t="s">
        <v>295</v>
      </c>
      <c r="AA6" s="36" t="s">
        <v>296</v>
      </c>
      <c r="AB6" s="58">
        <v>46023.0</v>
      </c>
      <c r="AC6" s="59">
        <v>46387.0</v>
      </c>
      <c r="AD6" s="36" t="s">
        <v>299</v>
      </c>
      <c r="AE6" s="36" t="s">
        <v>79</v>
      </c>
      <c r="AF6" s="36" t="s">
        <v>165</v>
      </c>
      <c r="AG6" s="36"/>
      <c r="AH6" s="50"/>
    </row>
    <row r="7" ht="45.75" customHeight="1">
      <c r="A7" s="36">
        <v>6.0</v>
      </c>
      <c r="B7" s="53" t="s">
        <v>107</v>
      </c>
      <c r="C7" s="36" t="s">
        <v>52</v>
      </c>
      <c r="D7" s="36" t="s">
        <v>109</v>
      </c>
      <c r="E7" s="36" t="s">
        <v>112</v>
      </c>
      <c r="F7" s="36" t="s">
        <v>114</v>
      </c>
      <c r="G7" s="42" t="s">
        <v>115</v>
      </c>
      <c r="H7" s="36" t="s">
        <v>64</v>
      </c>
      <c r="I7" s="36" t="s">
        <v>65</v>
      </c>
      <c r="J7" s="36" t="s">
        <v>62</v>
      </c>
      <c r="K7" s="36" t="s">
        <v>111</v>
      </c>
      <c r="L7" s="36">
        <v>200.0</v>
      </c>
      <c r="M7" s="36" t="s">
        <v>310</v>
      </c>
      <c r="N7" s="36" t="s">
        <v>71</v>
      </c>
      <c r="O7" s="36" t="s">
        <v>72</v>
      </c>
      <c r="P7" s="36" t="s">
        <v>312</v>
      </c>
      <c r="Q7" s="56"/>
      <c r="R7" s="57">
        <v>1.0</v>
      </c>
      <c r="S7" s="57">
        <v>1.0</v>
      </c>
      <c r="T7" s="36" t="s">
        <v>134</v>
      </c>
      <c r="U7" s="36">
        <v>12.0</v>
      </c>
      <c r="V7" s="36" t="s">
        <v>61</v>
      </c>
      <c r="W7" s="36"/>
      <c r="X7" s="57" t="s">
        <v>93</v>
      </c>
      <c r="Y7" s="36" t="s">
        <v>137</v>
      </c>
      <c r="Z7" s="36">
        <v>9.164976615E9</v>
      </c>
      <c r="AA7" s="36" t="s">
        <v>320</v>
      </c>
      <c r="AB7" s="58">
        <v>46023.0</v>
      </c>
      <c r="AC7" s="59">
        <v>46387.0</v>
      </c>
      <c r="AD7" s="36" t="s">
        <v>322</v>
      </c>
      <c r="AE7" s="36" t="s">
        <v>79</v>
      </c>
      <c r="AF7" s="36" t="s">
        <v>61</v>
      </c>
      <c r="AG7" s="36"/>
      <c r="AH7" s="50"/>
    </row>
    <row r="8" ht="45.75" customHeight="1">
      <c r="A8" s="36">
        <v>7.0</v>
      </c>
      <c r="B8" s="53" t="s">
        <v>325</v>
      </c>
      <c r="C8" s="36" t="s">
        <v>52</v>
      </c>
      <c r="D8" s="36" t="s">
        <v>109</v>
      </c>
      <c r="E8" s="36" t="s">
        <v>327</v>
      </c>
      <c r="F8" s="36" t="s">
        <v>328</v>
      </c>
      <c r="G8" s="42" t="s">
        <v>330</v>
      </c>
      <c r="H8" s="36" t="s">
        <v>64</v>
      </c>
      <c r="I8" s="36" t="s">
        <v>155</v>
      </c>
      <c r="J8" s="36" t="s">
        <v>62</v>
      </c>
      <c r="K8" s="36" t="s">
        <v>63</v>
      </c>
      <c r="L8" s="36">
        <v>25.0</v>
      </c>
      <c r="M8" s="36"/>
      <c r="N8" s="36" t="s">
        <v>66</v>
      </c>
      <c r="O8" s="36" t="s">
        <v>67</v>
      </c>
      <c r="P8" s="36" t="s">
        <v>61</v>
      </c>
      <c r="Q8" s="56" t="s">
        <v>61</v>
      </c>
      <c r="R8" s="57" t="s">
        <v>61</v>
      </c>
      <c r="S8" s="57">
        <v>0.0</v>
      </c>
      <c r="T8" s="36" t="s">
        <v>338</v>
      </c>
      <c r="U8" s="36" t="s">
        <v>61</v>
      </c>
      <c r="V8" s="36" t="s">
        <v>61</v>
      </c>
      <c r="W8" s="36" t="s">
        <v>61</v>
      </c>
      <c r="X8" s="57" t="s">
        <v>74</v>
      </c>
      <c r="Y8" s="36" t="s">
        <v>341</v>
      </c>
      <c r="Z8" s="36">
        <v>9.090775565E9</v>
      </c>
      <c r="AA8" s="36" t="s">
        <v>343</v>
      </c>
      <c r="AB8" s="58">
        <v>46023.0</v>
      </c>
      <c r="AC8" s="59">
        <v>46387.0</v>
      </c>
      <c r="AD8" s="36" t="s">
        <v>344</v>
      </c>
      <c r="AE8" s="36" t="s">
        <v>79</v>
      </c>
      <c r="AF8" s="36" t="s">
        <v>61</v>
      </c>
      <c r="AG8" s="36"/>
      <c r="AH8" s="50"/>
    </row>
    <row r="9" ht="45.75" customHeight="1">
      <c r="A9" s="36">
        <v>8.0</v>
      </c>
      <c r="B9" s="53" t="s">
        <v>348</v>
      </c>
      <c r="C9" s="36" t="s">
        <v>52</v>
      </c>
      <c r="D9" s="36" t="s">
        <v>109</v>
      </c>
      <c r="E9" s="36" t="s">
        <v>356</v>
      </c>
      <c r="F9" s="36" t="s">
        <v>357</v>
      </c>
      <c r="G9" s="42" t="s">
        <v>358</v>
      </c>
      <c r="H9" s="36" t="s">
        <v>64</v>
      </c>
      <c r="I9" s="36" t="s">
        <v>155</v>
      </c>
      <c r="J9" s="36" t="s">
        <v>62</v>
      </c>
      <c r="K9" s="36" t="s">
        <v>63</v>
      </c>
      <c r="L9" s="36">
        <v>25.0</v>
      </c>
      <c r="M9" s="36" t="s">
        <v>361</v>
      </c>
      <c r="N9" s="36" t="s">
        <v>66</v>
      </c>
      <c r="O9" s="36" t="s">
        <v>67</v>
      </c>
      <c r="P9" s="36" t="s">
        <v>365</v>
      </c>
      <c r="Q9" s="56">
        <v>1.0</v>
      </c>
      <c r="R9" s="57" t="s">
        <v>61</v>
      </c>
      <c r="S9" s="57">
        <v>1.0</v>
      </c>
      <c r="T9" s="36" t="s">
        <v>61</v>
      </c>
      <c r="U9" s="36" t="s">
        <v>61</v>
      </c>
      <c r="V9" s="36" t="s">
        <v>61</v>
      </c>
      <c r="W9" s="36" t="s">
        <v>61</v>
      </c>
      <c r="X9" s="57" t="s">
        <v>74</v>
      </c>
      <c r="Y9" s="36" t="s">
        <v>372</v>
      </c>
      <c r="Z9" s="36" t="s">
        <v>375</v>
      </c>
      <c r="AA9" s="36" t="s">
        <v>376</v>
      </c>
      <c r="AB9" s="58">
        <v>46023.0</v>
      </c>
      <c r="AC9" s="59">
        <v>46387.0</v>
      </c>
      <c r="AD9" s="36" t="s">
        <v>377</v>
      </c>
      <c r="AE9" s="36" t="s">
        <v>164</v>
      </c>
      <c r="AF9" s="36" t="s">
        <v>165</v>
      </c>
      <c r="AG9" s="36" t="s">
        <v>380</v>
      </c>
      <c r="AH9" s="50"/>
    </row>
    <row r="10" ht="45.75" customHeight="1">
      <c r="A10" s="36">
        <v>9.0</v>
      </c>
      <c r="B10" s="53" t="s">
        <v>382</v>
      </c>
      <c r="C10" s="36" t="s">
        <v>52</v>
      </c>
      <c r="D10" s="36" t="s">
        <v>109</v>
      </c>
      <c r="E10" s="36" t="s">
        <v>384</v>
      </c>
      <c r="F10" s="36" t="s">
        <v>386</v>
      </c>
      <c r="G10" s="42" t="s">
        <v>388</v>
      </c>
      <c r="H10" s="36" t="s">
        <v>64</v>
      </c>
      <c r="I10" s="36" t="s">
        <v>155</v>
      </c>
      <c r="J10" s="36" t="s">
        <v>62</v>
      </c>
      <c r="K10" s="36" t="s">
        <v>63</v>
      </c>
      <c r="L10" s="36">
        <v>50.0</v>
      </c>
      <c r="M10" s="36" t="s">
        <v>393</v>
      </c>
      <c r="N10" s="36" t="s">
        <v>66</v>
      </c>
      <c r="O10" s="36" t="s">
        <v>72</v>
      </c>
      <c r="P10" s="36" t="s">
        <v>396</v>
      </c>
      <c r="Q10" s="56">
        <v>2.0</v>
      </c>
      <c r="R10" s="57" t="s">
        <v>61</v>
      </c>
      <c r="S10" s="57">
        <v>2.0</v>
      </c>
      <c r="T10" s="36" t="s">
        <v>61</v>
      </c>
      <c r="U10" s="36" t="s">
        <v>61</v>
      </c>
      <c r="V10" s="36" t="s">
        <v>61</v>
      </c>
      <c r="W10" s="36" t="s">
        <v>61</v>
      </c>
      <c r="X10" s="57" t="s">
        <v>74</v>
      </c>
      <c r="Y10" s="36" t="s">
        <v>399</v>
      </c>
      <c r="Z10" s="36" t="s">
        <v>400</v>
      </c>
      <c r="AA10" s="36" t="s">
        <v>401</v>
      </c>
      <c r="AB10" s="58">
        <v>46023.0</v>
      </c>
      <c r="AC10" s="59">
        <v>46387.0</v>
      </c>
      <c r="AD10" s="36" t="s">
        <v>404</v>
      </c>
      <c r="AE10" s="36" t="s">
        <v>79</v>
      </c>
      <c r="AF10" s="36" t="s">
        <v>61</v>
      </c>
      <c r="AG10" s="36"/>
      <c r="AH10" s="50"/>
    </row>
    <row r="11" ht="45.75" customHeight="1">
      <c r="A11" s="36">
        <v>10.0</v>
      </c>
      <c r="B11" s="53" t="s">
        <v>407</v>
      </c>
      <c r="C11" s="36" t="s">
        <v>52</v>
      </c>
      <c r="D11" s="36" t="s">
        <v>109</v>
      </c>
      <c r="E11" s="36" t="s">
        <v>410</v>
      </c>
      <c r="F11" s="36" t="s">
        <v>412</v>
      </c>
      <c r="G11" s="42" t="s">
        <v>414</v>
      </c>
      <c r="H11" s="36" t="s">
        <v>64</v>
      </c>
      <c r="I11" s="36" t="s">
        <v>155</v>
      </c>
      <c r="J11" s="36" t="s">
        <v>62</v>
      </c>
      <c r="K11" s="36" t="s">
        <v>63</v>
      </c>
      <c r="L11" s="36">
        <v>25.0</v>
      </c>
      <c r="M11" s="36" t="s">
        <v>416</v>
      </c>
      <c r="N11" s="36" t="s">
        <v>66</v>
      </c>
      <c r="O11" s="36" t="s">
        <v>67</v>
      </c>
      <c r="P11" s="36" t="s">
        <v>61</v>
      </c>
      <c r="Q11" s="56" t="s">
        <v>61</v>
      </c>
      <c r="R11" s="57" t="s">
        <v>61</v>
      </c>
      <c r="S11" s="57">
        <v>0.0</v>
      </c>
      <c r="T11" s="36" t="s">
        <v>420</v>
      </c>
      <c r="U11" s="36" t="s">
        <v>61</v>
      </c>
      <c r="V11" s="36" t="s">
        <v>61</v>
      </c>
      <c r="W11" s="36" t="s">
        <v>61</v>
      </c>
      <c r="X11" s="57" t="s">
        <v>74</v>
      </c>
      <c r="Y11" s="36" t="s">
        <v>424</v>
      </c>
      <c r="Z11" s="36" t="s">
        <v>426</v>
      </c>
      <c r="AA11" s="36" t="s">
        <v>427</v>
      </c>
      <c r="AB11" s="58">
        <v>46023.0</v>
      </c>
      <c r="AC11" s="59">
        <v>46387.0</v>
      </c>
      <c r="AD11" s="36" t="s">
        <v>428</v>
      </c>
      <c r="AE11" s="36" t="s">
        <v>79</v>
      </c>
      <c r="AF11" s="36" t="s">
        <v>61</v>
      </c>
      <c r="AG11" s="36"/>
      <c r="AH11" s="50"/>
    </row>
    <row r="12" ht="45.75" customHeight="1">
      <c r="A12" s="36">
        <v>11.0</v>
      </c>
      <c r="B12" s="53" t="s">
        <v>433</v>
      </c>
      <c r="C12" s="36" t="s">
        <v>52</v>
      </c>
      <c r="D12" s="36" t="s">
        <v>109</v>
      </c>
      <c r="E12" s="36" t="s">
        <v>235</v>
      </c>
      <c r="F12" s="36" t="s">
        <v>434</v>
      </c>
      <c r="G12" s="42" t="s">
        <v>436</v>
      </c>
      <c r="H12" s="36" t="s">
        <v>64</v>
      </c>
      <c r="I12" s="36" t="s">
        <v>155</v>
      </c>
      <c r="J12" s="36" t="s">
        <v>62</v>
      </c>
      <c r="K12" s="36" t="s">
        <v>63</v>
      </c>
      <c r="L12" s="36">
        <v>25.0</v>
      </c>
      <c r="M12" s="36" t="s">
        <v>439</v>
      </c>
      <c r="N12" s="36" t="s">
        <v>66</v>
      </c>
      <c r="O12" s="36" t="s">
        <v>72</v>
      </c>
      <c r="P12" s="36" t="s">
        <v>61</v>
      </c>
      <c r="Q12" s="56" t="s">
        <v>61</v>
      </c>
      <c r="R12" s="57" t="s">
        <v>61</v>
      </c>
      <c r="S12" s="57">
        <v>0.0</v>
      </c>
      <c r="T12" s="36" t="s">
        <v>440</v>
      </c>
      <c r="U12" s="36" t="s">
        <v>61</v>
      </c>
      <c r="V12" s="36" t="s">
        <v>61</v>
      </c>
      <c r="W12" s="36" t="s">
        <v>61</v>
      </c>
      <c r="X12" s="57" t="s">
        <v>74</v>
      </c>
      <c r="Y12" s="36" t="s">
        <v>442</v>
      </c>
      <c r="Z12" s="36">
        <v>9.17570094E9</v>
      </c>
      <c r="AA12" s="36" t="s">
        <v>444</v>
      </c>
      <c r="AB12" s="58">
        <v>46023.0</v>
      </c>
      <c r="AC12" s="59">
        <v>46387.0</v>
      </c>
      <c r="AD12" s="36" t="s">
        <v>446</v>
      </c>
      <c r="AE12" s="36" t="s">
        <v>79</v>
      </c>
      <c r="AF12" s="36" t="s">
        <v>61</v>
      </c>
      <c r="AG12" s="36"/>
      <c r="AH12" s="50"/>
    </row>
    <row r="13" ht="45.75" customHeight="1">
      <c r="A13" s="36">
        <v>12.0</v>
      </c>
      <c r="B13" s="53" t="s">
        <v>449</v>
      </c>
      <c r="C13" s="36" t="s">
        <v>52</v>
      </c>
      <c r="D13" s="36" t="s">
        <v>109</v>
      </c>
      <c r="E13" s="36" t="s">
        <v>452</v>
      </c>
      <c r="F13" s="36" t="s">
        <v>453</v>
      </c>
      <c r="G13" s="42" t="s">
        <v>454</v>
      </c>
      <c r="H13" s="36" t="s">
        <v>64</v>
      </c>
      <c r="I13" s="36" t="s">
        <v>155</v>
      </c>
      <c r="J13" s="36" t="s">
        <v>62</v>
      </c>
      <c r="K13" s="36" t="s">
        <v>63</v>
      </c>
      <c r="L13" s="36">
        <v>50.0</v>
      </c>
      <c r="M13" s="36" t="s">
        <v>457</v>
      </c>
      <c r="N13" s="36" t="s">
        <v>66</v>
      </c>
      <c r="O13" s="36" t="s">
        <v>67</v>
      </c>
      <c r="P13" s="36" t="s">
        <v>61</v>
      </c>
      <c r="Q13" s="56" t="s">
        <v>61</v>
      </c>
      <c r="R13" s="57" t="s">
        <v>61</v>
      </c>
      <c r="S13" s="57">
        <v>0.0</v>
      </c>
      <c r="T13" s="36" t="s">
        <v>462</v>
      </c>
      <c r="U13" s="36" t="s">
        <v>61</v>
      </c>
      <c r="V13" s="36" t="s">
        <v>61</v>
      </c>
      <c r="W13" s="36" t="s">
        <v>61</v>
      </c>
      <c r="X13" s="57" t="s">
        <v>74</v>
      </c>
      <c r="Y13" s="36" t="s">
        <v>465</v>
      </c>
      <c r="Z13" s="36" t="s">
        <v>467</v>
      </c>
      <c r="AA13" s="36" t="s">
        <v>468</v>
      </c>
      <c r="AB13" s="58">
        <v>46023.0</v>
      </c>
      <c r="AC13" s="59">
        <v>46387.0</v>
      </c>
      <c r="AD13" s="36" t="s">
        <v>471</v>
      </c>
      <c r="AE13" s="36" t="s">
        <v>79</v>
      </c>
      <c r="AF13" s="36" t="s">
        <v>61</v>
      </c>
      <c r="AG13" s="36"/>
      <c r="AH13" s="50"/>
    </row>
    <row r="14" ht="45.75" customHeight="1">
      <c r="A14" s="36">
        <v>13.0</v>
      </c>
      <c r="B14" s="53" t="s">
        <v>477</v>
      </c>
      <c r="C14" s="36" t="s">
        <v>52</v>
      </c>
      <c r="D14" s="36" t="s">
        <v>109</v>
      </c>
      <c r="E14" s="36" t="s">
        <v>298</v>
      </c>
      <c r="F14" s="36" t="s">
        <v>482</v>
      </c>
      <c r="G14" s="42" t="s">
        <v>484</v>
      </c>
      <c r="H14" s="36" t="s">
        <v>64</v>
      </c>
      <c r="I14" s="36" t="s">
        <v>155</v>
      </c>
      <c r="J14" s="36" t="s">
        <v>62</v>
      </c>
      <c r="K14" s="36" t="s">
        <v>111</v>
      </c>
      <c r="L14" s="36">
        <v>100.0</v>
      </c>
      <c r="M14" s="36" t="s">
        <v>492</v>
      </c>
      <c r="N14" s="36" t="s">
        <v>71</v>
      </c>
      <c r="O14" s="36" t="s">
        <v>72</v>
      </c>
      <c r="P14" s="36" t="s">
        <v>496</v>
      </c>
      <c r="Q14" s="56"/>
      <c r="R14" s="57">
        <v>1.0</v>
      </c>
      <c r="S14" s="57">
        <v>1.0</v>
      </c>
      <c r="T14" s="36"/>
      <c r="U14" s="36">
        <v>3.0</v>
      </c>
      <c r="V14" s="36" t="s">
        <v>61</v>
      </c>
      <c r="W14" s="36"/>
      <c r="X14" s="57" t="s">
        <v>93</v>
      </c>
      <c r="Y14" s="36" t="s">
        <v>500</v>
      </c>
      <c r="Z14" s="36" t="s">
        <v>502</v>
      </c>
      <c r="AA14" s="36" t="s">
        <v>503</v>
      </c>
      <c r="AB14" s="58">
        <v>46023.0</v>
      </c>
      <c r="AC14" s="59">
        <v>46387.0</v>
      </c>
      <c r="AD14" s="36" t="s">
        <v>244</v>
      </c>
      <c r="AE14" s="36" t="s">
        <v>79</v>
      </c>
      <c r="AF14" s="36" t="s">
        <v>61</v>
      </c>
      <c r="AG14" s="36"/>
      <c r="AH14" s="50"/>
    </row>
    <row r="15" ht="45.75" customHeight="1">
      <c r="A15" s="36">
        <v>14.0</v>
      </c>
      <c r="B15" s="53" t="s">
        <v>508</v>
      </c>
      <c r="C15" s="36" t="s">
        <v>52</v>
      </c>
      <c r="D15" s="36" t="s">
        <v>166</v>
      </c>
      <c r="E15" s="36" t="s">
        <v>336</v>
      </c>
      <c r="F15" s="36" t="s">
        <v>535</v>
      </c>
      <c r="G15" s="42" t="s">
        <v>540</v>
      </c>
      <c r="H15" s="36" t="s">
        <v>64</v>
      </c>
      <c r="I15" s="36" t="s">
        <v>155</v>
      </c>
      <c r="J15" s="36" t="s">
        <v>62</v>
      </c>
      <c r="K15" s="36" t="s">
        <v>111</v>
      </c>
      <c r="L15" s="36">
        <v>100.0</v>
      </c>
      <c r="M15" s="36" t="s">
        <v>549</v>
      </c>
      <c r="N15" s="36" t="s">
        <v>71</v>
      </c>
      <c r="O15" s="36"/>
      <c r="P15" s="36" t="s">
        <v>552</v>
      </c>
      <c r="Q15" s="56"/>
      <c r="R15" s="57">
        <v>2.0</v>
      </c>
      <c r="S15" s="57">
        <v>2.0</v>
      </c>
      <c r="T15" s="36"/>
      <c r="U15" s="36"/>
      <c r="V15" s="36" t="s">
        <v>61</v>
      </c>
      <c r="W15" s="36"/>
      <c r="X15" s="57" t="s">
        <v>93</v>
      </c>
      <c r="Y15" s="36" t="s">
        <v>567</v>
      </c>
      <c r="Z15" s="36" t="s">
        <v>570</v>
      </c>
      <c r="AA15" s="36" t="s">
        <v>572</v>
      </c>
      <c r="AB15" s="58">
        <v>46023.0</v>
      </c>
      <c r="AC15" s="59">
        <v>46387.0</v>
      </c>
      <c r="AD15" s="36" t="s">
        <v>578</v>
      </c>
      <c r="AE15" s="36" t="s">
        <v>79</v>
      </c>
      <c r="AF15" s="36" t="s">
        <v>61</v>
      </c>
      <c r="AG15" s="36"/>
      <c r="AH15" s="50"/>
    </row>
    <row r="16" ht="45.75" customHeight="1">
      <c r="A16" s="36">
        <v>15.0</v>
      </c>
      <c r="B16" s="53" t="s">
        <v>589</v>
      </c>
      <c r="C16" s="36" t="s">
        <v>52</v>
      </c>
      <c r="D16" s="36" t="s">
        <v>166</v>
      </c>
      <c r="E16" s="36" t="s">
        <v>594</v>
      </c>
      <c r="F16" s="36" t="s">
        <v>596</v>
      </c>
      <c r="G16" s="42" t="s">
        <v>597</v>
      </c>
      <c r="H16" s="36" t="s">
        <v>64</v>
      </c>
      <c r="I16" s="36" t="s">
        <v>155</v>
      </c>
      <c r="J16" s="36" t="s">
        <v>62</v>
      </c>
      <c r="K16" s="36" t="s">
        <v>63</v>
      </c>
      <c r="L16" s="36">
        <v>25.0</v>
      </c>
      <c r="M16" s="36" t="s">
        <v>603</v>
      </c>
      <c r="N16" s="36" t="s">
        <v>66</v>
      </c>
      <c r="O16" s="36" t="s">
        <v>67</v>
      </c>
      <c r="P16" s="36" t="s">
        <v>607</v>
      </c>
      <c r="Q16" s="56">
        <v>2.0</v>
      </c>
      <c r="R16" s="57" t="s">
        <v>61</v>
      </c>
      <c r="S16" s="57">
        <v>2.0</v>
      </c>
      <c r="T16" s="36" t="s">
        <v>61</v>
      </c>
      <c r="U16" s="36" t="s">
        <v>61</v>
      </c>
      <c r="V16" s="36" t="s">
        <v>61</v>
      </c>
      <c r="W16" s="36" t="s">
        <v>61</v>
      </c>
      <c r="X16" s="57" t="s">
        <v>74</v>
      </c>
      <c r="Y16" s="36" t="s">
        <v>613</v>
      </c>
      <c r="Z16" s="36" t="s">
        <v>615</v>
      </c>
      <c r="AA16" s="36" t="s">
        <v>617</v>
      </c>
      <c r="AB16" s="58">
        <v>46023.0</v>
      </c>
      <c r="AC16" s="59">
        <v>46387.0</v>
      </c>
      <c r="AD16" s="36" t="s">
        <v>619</v>
      </c>
      <c r="AE16" s="36" t="s">
        <v>164</v>
      </c>
      <c r="AF16" s="36" t="s">
        <v>165</v>
      </c>
      <c r="AG16" s="36" t="s">
        <v>623</v>
      </c>
      <c r="AH16" s="51"/>
    </row>
    <row r="17" ht="45.75" customHeight="1">
      <c r="A17" s="36">
        <v>16.0</v>
      </c>
      <c r="B17" s="53" t="s">
        <v>634</v>
      </c>
      <c r="C17" s="36" t="s">
        <v>52</v>
      </c>
      <c r="D17" s="36" t="s">
        <v>166</v>
      </c>
      <c r="E17" s="36" t="s">
        <v>639</v>
      </c>
      <c r="F17" s="36" t="s">
        <v>641</v>
      </c>
      <c r="G17" s="42" t="s">
        <v>642</v>
      </c>
      <c r="H17" s="36" t="s">
        <v>64</v>
      </c>
      <c r="I17" s="36" t="s">
        <v>155</v>
      </c>
      <c r="J17" s="36" t="s">
        <v>62</v>
      </c>
      <c r="K17" s="36" t="s">
        <v>63</v>
      </c>
      <c r="L17" s="36">
        <v>25.0</v>
      </c>
      <c r="M17" s="36"/>
      <c r="N17" s="36" t="s">
        <v>66</v>
      </c>
      <c r="O17" s="36" t="s">
        <v>67</v>
      </c>
      <c r="P17" s="36" t="s">
        <v>648</v>
      </c>
      <c r="Q17" s="56">
        <v>2.0</v>
      </c>
      <c r="R17" s="57" t="s">
        <v>61</v>
      </c>
      <c r="S17" s="57">
        <v>2.0</v>
      </c>
      <c r="T17" s="36" t="s">
        <v>61</v>
      </c>
      <c r="U17" s="36" t="s">
        <v>61</v>
      </c>
      <c r="V17" s="36" t="s">
        <v>61</v>
      </c>
      <c r="W17" s="36" t="s">
        <v>61</v>
      </c>
      <c r="X17" s="57" t="s">
        <v>74</v>
      </c>
      <c r="Y17" s="36" t="s">
        <v>655</v>
      </c>
      <c r="Z17" s="36" t="s">
        <v>657</v>
      </c>
      <c r="AA17" s="36" t="s">
        <v>659</v>
      </c>
      <c r="AB17" s="58">
        <v>46023.0</v>
      </c>
      <c r="AC17" s="59">
        <v>46387.0</v>
      </c>
      <c r="AD17" s="36" t="s">
        <v>661</v>
      </c>
      <c r="AE17" s="36" t="s">
        <v>79</v>
      </c>
      <c r="AF17" s="36" t="s">
        <v>61</v>
      </c>
      <c r="AG17" s="36"/>
      <c r="AH17" s="51"/>
    </row>
    <row r="18" ht="45.75" customHeight="1">
      <c r="A18" s="36">
        <v>17.0</v>
      </c>
      <c r="B18" s="53" t="s">
        <v>667</v>
      </c>
      <c r="C18" s="36" t="s">
        <v>52</v>
      </c>
      <c r="D18" s="36" t="s">
        <v>166</v>
      </c>
      <c r="E18" s="36" t="s">
        <v>668</v>
      </c>
      <c r="F18" s="36" t="s">
        <v>669</v>
      </c>
      <c r="G18" s="42" t="s">
        <v>671</v>
      </c>
      <c r="H18" s="36" t="s">
        <v>64</v>
      </c>
      <c r="I18" s="36" t="s">
        <v>155</v>
      </c>
      <c r="J18" s="36" t="s">
        <v>62</v>
      </c>
      <c r="K18" s="36" t="s">
        <v>63</v>
      </c>
      <c r="L18" s="36">
        <v>15.0</v>
      </c>
      <c r="M18" s="36" t="s">
        <v>676</v>
      </c>
      <c r="N18" s="36" t="s">
        <v>66</v>
      </c>
      <c r="O18" s="36" t="s">
        <v>67</v>
      </c>
      <c r="P18" s="36" t="s">
        <v>679</v>
      </c>
      <c r="Q18" s="56">
        <v>2.0</v>
      </c>
      <c r="R18" s="57" t="s">
        <v>61</v>
      </c>
      <c r="S18" s="57">
        <v>2.0</v>
      </c>
      <c r="T18" s="36" t="s">
        <v>61</v>
      </c>
      <c r="U18" s="36" t="s">
        <v>61</v>
      </c>
      <c r="V18" s="36" t="s">
        <v>61</v>
      </c>
      <c r="W18" s="36" t="s">
        <v>61</v>
      </c>
      <c r="X18" s="57" t="s">
        <v>74</v>
      </c>
      <c r="Y18" s="36" t="s">
        <v>683</v>
      </c>
      <c r="Z18" s="36" t="s">
        <v>686</v>
      </c>
      <c r="AA18" s="36" t="s">
        <v>687</v>
      </c>
      <c r="AB18" s="58">
        <v>46023.0</v>
      </c>
      <c r="AC18" s="59">
        <v>46387.0</v>
      </c>
      <c r="AD18" s="36" t="s">
        <v>689</v>
      </c>
      <c r="AE18" s="36" t="s">
        <v>164</v>
      </c>
      <c r="AF18" s="36" t="s">
        <v>165</v>
      </c>
      <c r="AG18" s="36" t="s">
        <v>693</v>
      </c>
      <c r="AH18" s="51"/>
    </row>
    <row r="19" ht="45.75" customHeight="1">
      <c r="A19" s="36">
        <v>18.0</v>
      </c>
      <c r="B19" s="53" t="s">
        <v>700</v>
      </c>
      <c r="C19" s="36" t="s">
        <v>52</v>
      </c>
      <c r="D19" s="36" t="s">
        <v>166</v>
      </c>
      <c r="E19" s="36" t="s">
        <v>702</v>
      </c>
      <c r="F19" s="36" t="s">
        <v>704</v>
      </c>
      <c r="G19" s="42" t="s">
        <v>705</v>
      </c>
      <c r="H19" s="36" t="s">
        <v>64</v>
      </c>
      <c r="I19" s="36" t="s">
        <v>155</v>
      </c>
      <c r="J19" s="36" t="s">
        <v>62</v>
      </c>
      <c r="K19" s="36" t="s">
        <v>63</v>
      </c>
      <c r="L19" s="36">
        <v>25.0</v>
      </c>
      <c r="M19" s="36" t="s">
        <v>708</v>
      </c>
      <c r="N19" s="36" t="s">
        <v>66</v>
      </c>
      <c r="O19" s="36" t="s">
        <v>67</v>
      </c>
      <c r="P19" s="36" t="s">
        <v>711</v>
      </c>
      <c r="Q19" s="56">
        <v>2.0</v>
      </c>
      <c r="R19" s="57" t="s">
        <v>61</v>
      </c>
      <c r="S19" s="57">
        <v>2.0</v>
      </c>
      <c r="T19" s="36" t="s">
        <v>61</v>
      </c>
      <c r="U19" s="36" t="s">
        <v>61</v>
      </c>
      <c r="V19" s="36" t="s">
        <v>61</v>
      </c>
      <c r="W19" s="36" t="s">
        <v>61</v>
      </c>
      <c r="X19" s="57" t="s">
        <v>74</v>
      </c>
      <c r="Y19" s="36" t="s">
        <v>715</v>
      </c>
      <c r="Z19" s="36" t="s">
        <v>717</v>
      </c>
      <c r="AA19" s="36" t="s">
        <v>719</v>
      </c>
      <c r="AB19" s="58">
        <v>46023.0</v>
      </c>
      <c r="AC19" s="59">
        <v>46387.0</v>
      </c>
      <c r="AD19" s="36" t="s">
        <v>721</v>
      </c>
      <c r="AE19" s="36" t="s">
        <v>164</v>
      </c>
      <c r="AF19" s="36" t="s">
        <v>165</v>
      </c>
      <c r="AG19" s="36" t="s">
        <v>723</v>
      </c>
      <c r="AH19" s="51"/>
    </row>
    <row r="20" ht="45.75" customHeight="1">
      <c r="A20" s="36">
        <v>19.0</v>
      </c>
      <c r="B20" s="53" t="s">
        <v>726</v>
      </c>
      <c r="C20" s="36" t="s">
        <v>52</v>
      </c>
      <c r="D20" s="36" t="s">
        <v>166</v>
      </c>
      <c r="E20" s="36" t="s">
        <v>728</v>
      </c>
      <c r="F20" s="36" t="s">
        <v>729</v>
      </c>
      <c r="G20" s="42" t="s">
        <v>732</v>
      </c>
      <c r="H20" s="36" t="s">
        <v>64</v>
      </c>
      <c r="I20" s="36" t="s">
        <v>155</v>
      </c>
      <c r="J20" s="36" t="s">
        <v>62</v>
      </c>
      <c r="K20" s="36" t="s">
        <v>63</v>
      </c>
      <c r="L20" s="36">
        <v>25.0</v>
      </c>
      <c r="M20" s="36" t="s">
        <v>734</v>
      </c>
      <c r="N20" s="36" t="s">
        <v>66</v>
      </c>
      <c r="O20" s="36" t="s">
        <v>67</v>
      </c>
      <c r="P20" s="36" t="s">
        <v>736</v>
      </c>
      <c r="Q20" s="56">
        <v>1.0</v>
      </c>
      <c r="R20" s="57" t="s">
        <v>61</v>
      </c>
      <c r="S20" s="57">
        <v>1.0</v>
      </c>
      <c r="T20" s="36" t="s">
        <v>61</v>
      </c>
      <c r="U20" s="36" t="s">
        <v>61</v>
      </c>
      <c r="V20" s="36" t="s">
        <v>61</v>
      </c>
      <c r="W20" s="36" t="s">
        <v>61</v>
      </c>
      <c r="X20" s="57" t="s">
        <v>74</v>
      </c>
      <c r="Y20" s="36" t="s">
        <v>740</v>
      </c>
      <c r="Z20" s="36" t="s">
        <v>742</v>
      </c>
      <c r="AA20" s="36" t="s">
        <v>743</v>
      </c>
      <c r="AB20" s="58">
        <v>46023.0</v>
      </c>
      <c r="AC20" s="59">
        <v>46387.0</v>
      </c>
      <c r="AD20" s="36" t="s">
        <v>746</v>
      </c>
      <c r="AE20" s="36" t="s">
        <v>79</v>
      </c>
      <c r="AF20" s="36" t="s">
        <v>61</v>
      </c>
      <c r="AG20" s="36"/>
      <c r="AH20" s="51"/>
    </row>
    <row r="21" ht="45.75" customHeight="1">
      <c r="A21" s="36">
        <v>20.0</v>
      </c>
      <c r="B21" s="53" t="s">
        <v>162</v>
      </c>
      <c r="C21" s="36" t="s">
        <v>52</v>
      </c>
      <c r="D21" s="36" t="s">
        <v>166</v>
      </c>
      <c r="E21" s="36" t="s">
        <v>168</v>
      </c>
      <c r="F21" s="36" t="s">
        <v>170</v>
      </c>
      <c r="G21" s="42" t="s">
        <v>172</v>
      </c>
      <c r="H21" s="36" t="s">
        <v>64</v>
      </c>
      <c r="I21" s="36" t="s">
        <v>65</v>
      </c>
      <c r="J21" s="36" t="s">
        <v>62</v>
      </c>
      <c r="K21" s="36" t="s">
        <v>68</v>
      </c>
      <c r="L21" s="36">
        <v>306.0</v>
      </c>
      <c r="M21" s="36" t="s">
        <v>756</v>
      </c>
      <c r="N21" s="36" t="s">
        <v>71</v>
      </c>
      <c r="O21" s="36" t="s">
        <v>72</v>
      </c>
      <c r="P21" s="36" t="s">
        <v>760</v>
      </c>
      <c r="Q21" s="56">
        <v>0.0</v>
      </c>
      <c r="R21" s="57">
        <v>3.0</v>
      </c>
      <c r="S21" s="57">
        <v>3.0</v>
      </c>
      <c r="T21" s="36"/>
      <c r="U21" s="36">
        <v>13.0</v>
      </c>
      <c r="V21" s="36" t="s">
        <v>61</v>
      </c>
      <c r="W21" s="36"/>
      <c r="X21" s="57" t="s">
        <v>93</v>
      </c>
      <c r="Y21" s="36" t="s">
        <v>768</v>
      </c>
      <c r="Z21" s="36" t="s">
        <v>769</v>
      </c>
      <c r="AA21" s="36" t="s">
        <v>771</v>
      </c>
      <c r="AB21" s="58">
        <v>46023.0</v>
      </c>
      <c r="AC21" s="59">
        <v>46387.0</v>
      </c>
      <c r="AD21" s="36" t="s">
        <v>772</v>
      </c>
      <c r="AE21" s="36" t="s">
        <v>79</v>
      </c>
      <c r="AF21" s="36" t="s">
        <v>61</v>
      </c>
      <c r="AG21" s="36" t="s">
        <v>103</v>
      </c>
      <c r="AH21" s="51"/>
    </row>
    <row r="22" ht="45.75" customHeight="1">
      <c r="A22" s="36">
        <v>21.0</v>
      </c>
      <c r="B22" s="53" t="s">
        <v>779</v>
      </c>
      <c r="C22" s="36" t="s">
        <v>52</v>
      </c>
      <c r="D22" s="36" t="s">
        <v>206</v>
      </c>
      <c r="E22" s="36" t="s">
        <v>418</v>
      </c>
      <c r="F22" s="36" t="s">
        <v>781</v>
      </c>
      <c r="G22" s="42" t="s">
        <v>783</v>
      </c>
      <c r="H22" s="36" t="s">
        <v>64</v>
      </c>
      <c r="I22" s="36" t="s">
        <v>155</v>
      </c>
      <c r="J22" s="36" t="s">
        <v>62</v>
      </c>
      <c r="K22" s="36" t="s">
        <v>63</v>
      </c>
      <c r="L22" s="36">
        <v>75.0</v>
      </c>
      <c r="M22" s="36" t="s">
        <v>734</v>
      </c>
      <c r="N22" s="36" t="s">
        <v>66</v>
      </c>
      <c r="O22" s="36" t="s">
        <v>67</v>
      </c>
      <c r="P22" s="36" t="s">
        <v>788</v>
      </c>
      <c r="Q22" s="56">
        <v>2.0</v>
      </c>
      <c r="R22" s="57" t="s">
        <v>61</v>
      </c>
      <c r="S22" s="57">
        <v>2.0</v>
      </c>
      <c r="T22" s="36" t="s">
        <v>61</v>
      </c>
      <c r="U22" s="36">
        <v>10.0</v>
      </c>
      <c r="V22" s="36" t="s">
        <v>61</v>
      </c>
      <c r="W22" s="36" t="s">
        <v>61</v>
      </c>
      <c r="X22" s="57" t="s">
        <v>74</v>
      </c>
      <c r="Y22" s="36" t="s">
        <v>792</v>
      </c>
      <c r="Z22" s="36" t="s">
        <v>794</v>
      </c>
      <c r="AA22" s="36" t="s">
        <v>796</v>
      </c>
      <c r="AB22" s="58">
        <v>46023.0</v>
      </c>
      <c r="AC22" s="59">
        <v>46387.0</v>
      </c>
      <c r="AD22" s="36" t="s">
        <v>797</v>
      </c>
      <c r="AE22" s="36" t="s">
        <v>79</v>
      </c>
      <c r="AF22" s="36" t="s">
        <v>61</v>
      </c>
      <c r="AG22" s="36"/>
      <c r="AH22" s="51"/>
    </row>
    <row r="23" ht="45.75" customHeight="1">
      <c r="A23" s="36">
        <v>22.0</v>
      </c>
      <c r="B23" s="53" t="s">
        <v>800</v>
      </c>
      <c r="C23" s="36" t="s">
        <v>52</v>
      </c>
      <c r="D23" s="36" t="s">
        <v>206</v>
      </c>
      <c r="E23" s="36" t="s">
        <v>804</v>
      </c>
      <c r="F23" s="36" t="s">
        <v>805</v>
      </c>
      <c r="G23" s="42" t="s">
        <v>807</v>
      </c>
      <c r="H23" s="36" t="s">
        <v>64</v>
      </c>
      <c r="I23" s="36" t="s">
        <v>155</v>
      </c>
      <c r="J23" s="36" t="s">
        <v>62</v>
      </c>
      <c r="K23" s="36" t="s">
        <v>63</v>
      </c>
      <c r="L23" s="36">
        <v>24.0</v>
      </c>
      <c r="M23" s="36" t="s">
        <v>814</v>
      </c>
      <c r="N23" s="36" t="s">
        <v>66</v>
      </c>
      <c r="O23" s="36" t="s">
        <v>67</v>
      </c>
      <c r="P23" s="36" t="s">
        <v>816</v>
      </c>
      <c r="Q23" s="56">
        <v>1.0</v>
      </c>
      <c r="R23" s="57" t="s">
        <v>61</v>
      </c>
      <c r="S23" s="57">
        <v>1.0</v>
      </c>
      <c r="T23" s="36" t="s">
        <v>61</v>
      </c>
      <c r="U23" s="36" t="s">
        <v>61</v>
      </c>
      <c r="V23" s="36" t="s">
        <v>61</v>
      </c>
      <c r="W23" s="36" t="s">
        <v>61</v>
      </c>
      <c r="X23" s="57" t="s">
        <v>74</v>
      </c>
      <c r="Y23" s="36" t="s">
        <v>821</v>
      </c>
      <c r="Z23" s="36">
        <v>9.176256067E9</v>
      </c>
      <c r="AA23" s="36" t="s">
        <v>824</v>
      </c>
      <c r="AB23" s="58">
        <v>46023.0</v>
      </c>
      <c r="AC23" s="59">
        <v>46387.0</v>
      </c>
      <c r="AD23" s="36" t="s">
        <v>827</v>
      </c>
      <c r="AE23" s="36" t="s">
        <v>79</v>
      </c>
      <c r="AF23" s="36" t="s">
        <v>61</v>
      </c>
      <c r="AG23" s="36" t="s">
        <v>829</v>
      </c>
      <c r="AH23" s="51"/>
    </row>
    <row r="24" ht="45.75" customHeight="1">
      <c r="A24" s="36">
        <v>23.0</v>
      </c>
      <c r="B24" s="53" t="s">
        <v>834</v>
      </c>
      <c r="C24" s="36" t="s">
        <v>52</v>
      </c>
      <c r="D24" s="36" t="s">
        <v>206</v>
      </c>
      <c r="E24" s="36" t="s">
        <v>448</v>
      </c>
      <c r="F24" s="36" t="s">
        <v>840</v>
      </c>
      <c r="G24" s="42" t="s">
        <v>842</v>
      </c>
      <c r="H24" s="36" t="s">
        <v>64</v>
      </c>
      <c r="I24" s="36" t="s">
        <v>155</v>
      </c>
      <c r="J24" s="36" t="s">
        <v>62</v>
      </c>
      <c r="K24" s="36" t="s">
        <v>63</v>
      </c>
      <c r="L24" s="36">
        <v>89.0</v>
      </c>
      <c r="M24" s="36" t="s">
        <v>848</v>
      </c>
      <c r="N24" s="36" t="s">
        <v>66</v>
      </c>
      <c r="O24" s="36" t="s">
        <v>67</v>
      </c>
      <c r="P24" s="36" t="s">
        <v>852</v>
      </c>
      <c r="Q24" s="56">
        <v>1.0</v>
      </c>
      <c r="R24" s="57" t="s">
        <v>61</v>
      </c>
      <c r="S24" s="57">
        <v>1.0</v>
      </c>
      <c r="T24" s="36" t="s">
        <v>61</v>
      </c>
      <c r="U24" s="36" t="s">
        <v>61</v>
      </c>
      <c r="V24" s="36" t="s">
        <v>61</v>
      </c>
      <c r="W24" s="36" t="s">
        <v>61</v>
      </c>
      <c r="X24" s="57" t="s">
        <v>74</v>
      </c>
      <c r="Y24" s="36" t="s">
        <v>856</v>
      </c>
      <c r="Z24" s="36" t="s">
        <v>857</v>
      </c>
      <c r="AA24" s="36" t="s">
        <v>859</v>
      </c>
      <c r="AB24" s="58">
        <v>46023.0</v>
      </c>
      <c r="AC24" s="59">
        <v>46387.0</v>
      </c>
      <c r="AD24" s="36" t="s">
        <v>864</v>
      </c>
      <c r="AE24" s="36" t="s">
        <v>164</v>
      </c>
      <c r="AF24" s="36" t="s">
        <v>165</v>
      </c>
      <c r="AG24" s="36" t="s">
        <v>867</v>
      </c>
      <c r="AH24" s="51"/>
    </row>
    <row r="25" ht="45.75" customHeight="1">
      <c r="A25" s="36">
        <v>24.0</v>
      </c>
      <c r="B25" s="53" t="s">
        <v>869</v>
      </c>
      <c r="C25" s="36" t="s">
        <v>52</v>
      </c>
      <c r="D25" s="36" t="s">
        <v>206</v>
      </c>
      <c r="E25" s="36" t="s">
        <v>873</v>
      </c>
      <c r="F25" s="36" t="s">
        <v>874</v>
      </c>
      <c r="G25" s="42" t="s">
        <v>875</v>
      </c>
      <c r="H25" s="36" t="s">
        <v>64</v>
      </c>
      <c r="I25" s="36" t="s">
        <v>155</v>
      </c>
      <c r="J25" s="36" t="s">
        <v>62</v>
      </c>
      <c r="K25" s="36" t="s">
        <v>63</v>
      </c>
      <c r="L25" s="36">
        <v>25.0</v>
      </c>
      <c r="M25" s="36"/>
      <c r="N25" s="36" t="s">
        <v>66</v>
      </c>
      <c r="O25" s="36" t="s">
        <v>67</v>
      </c>
      <c r="P25" s="36" t="s">
        <v>882</v>
      </c>
      <c r="Q25" s="56">
        <v>2.0</v>
      </c>
      <c r="R25" s="57" t="s">
        <v>61</v>
      </c>
      <c r="S25" s="57">
        <v>2.0</v>
      </c>
      <c r="T25" s="36" t="s">
        <v>61</v>
      </c>
      <c r="U25" s="36" t="s">
        <v>61</v>
      </c>
      <c r="V25" s="36" t="s">
        <v>61</v>
      </c>
      <c r="W25" s="36" t="s">
        <v>61</v>
      </c>
      <c r="X25" s="57" t="s">
        <v>74</v>
      </c>
      <c r="Y25" s="36" t="s">
        <v>889</v>
      </c>
      <c r="Z25" s="36" t="s">
        <v>894</v>
      </c>
      <c r="AA25" s="36" t="s">
        <v>896</v>
      </c>
      <c r="AB25" s="58">
        <v>46023.0</v>
      </c>
      <c r="AC25" s="59">
        <v>46387.0</v>
      </c>
      <c r="AD25" s="36" t="s">
        <v>898</v>
      </c>
      <c r="AE25" s="36" t="s">
        <v>79</v>
      </c>
      <c r="AF25" s="36" t="s">
        <v>61</v>
      </c>
      <c r="AG25" s="36"/>
      <c r="AH25" s="51"/>
    </row>
    <row r="26" ht="45.75" customHeight="1">
      <c r="A26" s="36">
        <v>25.0</v>
      </c>
      <c r="B26" s="53" t="s">
        <v>202</v>
      </c>
      <c r="C26" s="36" t="s">
        <v>52</v>
      </c>
      <c r="D26" s="36" t="s">
        <v>206</v>
      </c>
      <c r="E26" s="36" t="s">
        <v>207</v>
      </c>
      <c r="F26" s="36" t="s">
        <v>208</v>
      </c>
      <c r="G26" s="42" t="s">
        <v>211</v>
      </c>
      <c r="H26" s="36" t="s">
        <v>64</v>
      </c>
      <c r="I26" s="36" t="s">
        <v>65</v>
      </c>
      <c r="J26" s="36" t="s">
        <v>62</v>
      </c>
      <c r="K26" s="36" t="s">
        <v>68</v>
      </c>
      <c r="L26" s="36">
        <v>300.0</v>
      </c>
      <c r="M26" s="36" t="s">
        <v>909</v>
      </c>
      <c r="N26" s="36" t="s">
        <v>221</v>
      </c>
      <c r="O26" s="36" t="s">
        <v>72</v>
      </c>
      <c r="P26" s="36" t="s">
        <v>911</v>
      </c>
      <c r="Q26" s="56">
        <v>0.0</v>
      </c>
      <c r="R26" s="57">
        <v>4.0</v>
      </c>
      <c r="S26" s="57">
        <v>4.0</v>
      </c>
      <c r="T26" s="36"/>
      <c r="U26" s="36">
        <v>6.0</v>
      </c>
      <c r="V26" s="36" t="s">
        <v>61</v>
      </c>
      <c r="W26" s="36"/>
      <c r="X26" s="57" t="s">
        <v>93</v>
      </c>
      <c r="Y26" s="36" t="s">
        <v>914</v>
      </c>
      <c r="Z26" s="36" t="s">
        <v>915</v>
      </c>
      <c r="AA26" s="36" t="s">
        <v>246</v>
      </c>
      <c r="AB26" s="58">
        <v>46023.0</v>
      </c>
      <c r="AC26" s="59">
        <v>46387.0</v>
      </c>
      <c r="AD26" s="36" t="s">
        <v>916</v>
      </c>
      <c r="AE26" s="36" t="s">
        <v>79</v>
      </c>
      <c r="AF26" s="36" t="s">
        <v>61</v>
      </c>
      <c r="AG26" s="36" t="s">
        <v>103</v>
      </c>
      <c r="AH26" s="51"/>
    </row>
    <row r="27" ht="45.75" customHeight="1">
      <c r="A27" s="36">
        <v>26.0</v>
      </c>
      <c r="B27" s="53" t="s">
        <v>917</v>
      </c>
      <c r="C27" s="36" t="s">
        <v>52</v>
      </c>
      <c r="D27" s="36" t="s">
        <v>206</v>
      </c>
      <c r="E27" s="36" t="s">
        <v>918</v>
      </c>
      <c r="F27" s="36" t="s">
        <v>919</v>
      </c>
      <c r="G27" s="42" t="s">
        <v>922</v>
      </c>
      <c r="H27" s="36" t="s">
        <v>64</v>
      </c>
      <c r="I27" s="36" t="s">
        <v>155</v>
      </c>
      <c r="J27" s="36" t="s">
        <v>62</v>
      </c>
      <c r="K27" s="36" t="s">
        <v>63</v>
      </c>
      <c r="L27" s="36">
        <v>20.0</v>
      </c>
      <c r="M27" s="36"/>
      <c r="N27" s="36" t="s">
        <v>66</v>
      </c>
      <c r="O27" s="36" t="s">
        <v>67</v>
      </c>
      <c r="P27" s="36" t="s">
        <v>928</v>
      </c>
      <c r="Q27" s="56">
        <v>1.0</v>
      </c>
      <c r="R27" s="57" t="s">
        <v>61</v>
      </c>
      <c r="S27" s="57">
        <v>1.0</v>
      </c>
      <c r="T27" s="36" t="s">
        <v>61</v>
      </c>
      <c r="U27" s="36" t="s">
        <v>61</v>
      </c>
      <c r="V27" s="36" t="s">
        <v>61</v>
      </c>
      <c r="W27" s="36" t="s">
        <v>61</v>
      </c>
      <c r="X27" s="57" t="s">
        <v>74</v>
      </c>
      <c r="Y27" s="36" t="s">
        <v>932</v>
      </c>
      <c r="Z27" s="36">
        <v>9.20968686E9</v>
      </c>
      <c r="AA27" s="36" t="s">
        <v>933</v>
      </c>
      <c r="AB27" s="58">
        <v>46023.0</v>
      </c>
      <c r="AC27" s="59">
        <v>46387.0</v>
      </c>
      <c r="AD27" s="36" t="s">
        <v>934</v>
      </c>
      <c r="AE27" s="36" t="s">
        <v>79</v>
      </c>
      <c r="AF27" s="36" t="s">
        <v>61</v>
      </c>
      <c r="AG27" s="36"/>
      <c r="AH27" s="51"/>
    </row>
    <row r="28" ht="45.75" customHeight="1">
      <c r="A28" s="36">
        <v>27.0</v>
      </c>
      <c r="B28" s="53" t="s">
        <v>937</v>
      </c>
      <c r="C28" s="36" t="s">
        <v>52</v>
      </c>
      <c r="D28" s="36" t="s">
        <v>206</v>
      </c>
      <c r="E28" s="36" t="s">
        <v>625</v>
      </c>
      <c r="F28" s="36" t="s">
        <v>941</v>
      </c>
      <c r="G28" s="42" t="s">
        <v>942</v>
      </c>
      <c r="H28" s="36" t="s">
        <v>64</v>
      </c>
      <c r="I28" s="36" t="s">
        <v>155</v>
      </c>
      <c r="J28" s="36" t="s">
        <v>62</v>
      </c>
      <c r="K28" s="36" t="s">
        <v>63</v>
      </c>
      <c r="L28" s="36">
        <v>40.0</v>
      </c>
      <c r="M28" s="36" t="s">
        <v>948</v>
      </c>
      <c r="N28" s="36" t="s">
        <v>66</v>
      </c>
      <c r="O28" s="36" t="s">
        <v>67</v>
      </c>
      <c r="P28" s="36" t="s">
        <v>957</v>
      </c>
      <c r="Q28" s="56">
        <v>2.0</v>
      </c>
      <c r="R28" s="57" t="s">
        <v>61</v>
      </c>
      <c r="S28" s="57">
        <v>2.0</v>
      </c>
      <c r="T28" s="36" t="s">
        <v>61</v>
      </c>
      <c r="U28" s="36">
        <v>13.0</v>
      </c>
      <c r="V28" s="36" t="s">
        <v>61</v>
      </c>
      <c r="W28" s="36" t="s">
        <v>61</v>
      </c>
      <c r="X28" s="57" t="s">
        <v>74</v>
      </c>
      <c r="Y28" s="36" t="s">
        <v>960</v>
      </c>
      <c r="Z28" s="36" t="s">
        <v>961</v>
      </c>
      <c r="AA28" s="36" t="s">
        <v>963</v>
      </c>
      <c r="AB28" s="58">
        <v>46023.0</v>
      </c>
      <c r="AC28" s="59">
        <v>46387.0</v>
      </c>
      <c r="AD28" s="36" t="s">
        <v>966</v>
      </c>
      <c r="AE28" s="36" t="s">
        <v>164</v>
      </c>
      <c r="AF28" s="36" t="s">
        <v>165</v>
      </c>
      <c r="AG28" s="36" t="s">
        <v>969</v>
      </c>
      <c r="AH28" s="51"/>
    </row>
    <row r="29" ht="45.75" customHeight="1">
      <c r="A29" s="36">
        <v>28.0</v>
      </c>
      <c r="B29" s="53" t="s">
        <v>972</v>
      </c>
      <c r="C29" s="36" t="s">
        <v>52</v>
      </c>
      <c r="D29" s="36" t="s">
        <v>206</v>
      </c>
      <c r="E29" s="36" t="s">
        <v>975</v>
      </c>
      <c r="F29" s="36" t="s">
        <v>977</v>
      </c>
      <c r="G29" s="42" t="s">
        <v>978</v>
      </c>
      <c r="H29" s="36" t="s">
        <v>64</v>
      </c>
      <c r="I29" s="36" t="s">
        <v>155</v>
      </c>
      <c r="J29" s="36" t="s">
        <v>62</v>
      </c>
      <c r="K29" s="36" t="s">
        <v>63</v>
      </c>
      <c r="L29" s="36">
        <v>25.0</v>
      </c>
      <c r="M29" s="36" t="s">
        <v>981</v>
      </c>
      <c r="N29" s="36" t="s">
        <v>66</v>
      </c>
      <c r="O29" s="36" t="s">
        <v>67</v>
      </c>
      <c r="P29" s="36" t="s">
        <v>983</v>
      </c>
      <c r="Q29" s="56">
        <v>1.0</v>
      </c>
      <c r="R29" s="57" t="s">
        <v>61</v>
      </c>
      <c r="S29" s="57">
        <v>1.0</v>
      </c>
      <c r="T29" s="36" t="s">
        <v>61</v>
      </c>
      <c r="U29" s="36" t="s">
        <v>61</v>
      </c>
      <c r="V29" s="36" t="s">
        <v>61</v>
      </c>
      <c r="W29" s="36" t="s">
        <v>61</v>
      </c>
      <c r="X29" s="57" t="s">
        <v>74</v>
      </c>
      <c r="Y29" s="36" t="s">
        <v>988</v>
      </c>
      <c r="Z29" s="36" t="s">
        <v>990</v>
      </c>
      <c r="AA29" s="36" t="s">
        <v>991</v>
      </c>
      <c r="AB29" s="58">
        <v>46023.0</v>
      </c>
      <c r="AC29" s="59">
        <v>46387.0</v>
      </c>
      <c r="AD29" s="36" t="s">
        <v>993</v>
      </c>
      <c r="AE29" s="36" t="s">
        <v>164</v>
      </c>
      <c r="AF29" s="36" t="s">
        <v>165</v>
      </c>
      <c r="AG29" s="36" t="s">
        <v>995</v>
      </c>
      <c r="AH29" s="51"/>
    </row>
    <row r="30" ht="45.75" customHeight="1">
      <c r="A30" s="36">
        <v>29.0</v>
      </c>
      <c r="B30" s="53" t="s">
        <v>999</v>
      </c>
      <c r="C30" s="36" t="s">
        <v>52</v>
      </c>
      <c r="D30" s="36" t="s">
        <v>206</v>
      </c>
      <c r="E30" s="36" t="s">
        <v>664</v>
      </c>
      <c r="F30" s="36" t="s">
        <v>1002</v>
      </c>
      <c r="G30" s="42" t="s">
        <v>1003</v>
      </c>
      <c r="H30" s="36" t="s">
        <v>64</v>
      </c>
      <c r="I30" s="36" t="s">
        <v>155</v>
      </c>
      <c r="J30" s="36" t="s">
        <v>62</v>
      </c>
      <c r="K30" s="36" t="s">
        <v>63</v>
      </c>
      <c r="L30" s="36">
        <v>25.0</v>
      </c>
      <c r="M30" s="36" t="s">
        <v>649</v>
      </c>
      <c r="N30" s="36" t="s">
        <v>66</v>
      </c>
      <c r="O30" s="36" t="s">
        <v>67</v>
      </c>
      <c r="P30" s="36" t="s">
        <v>1006</v>
      </c>
      <c r="Q30" s="56">
        <v>3.0</v>
      </c>
      <c r="R30" s="57" t="s">
        <v>61</v>
      </c>
      <c r="S30" s="57">
        <v>3.0</v>
      </c>
      <c r="T30" s="36" t="s">
        <v>61</v>
      </c>
      <c r="U30" s="36" t="s">
        <v>61</v>
      </c>
      <c r="V30" s="36" t="s">
        <v>61</v>
      </c>
      <c r="W30" s="36" t="s">
        <v>61</v>
      </c>
      <c r="X30" s="57" t="s">
        <v>74</v>
      </c>
      <c r="Y30" s="36" t="s">
        <v>1010</v>
      </c>
      <c r="Z30" s="36">
        <v>9.688703888E9</v>
      </c>
      <c r="AA30" s="36" t="s">
        <v>1012</v>
      </c>
      <c r="AB30" s="58">
        <v>46023.0</v>
      </c>
      <c r="AC30" s="59">
        <v>46387.0</v>
      </c>
      <c r="AD30" s="36" t="s">
        <v>1015</v>
      </c>
      <c r="AE30" s="36" t="s">
        <v>79</v>
      </c>
      <c r="AF30" s="36" t="s">
        <v>61</v>
      </c>
      <c r="AG30" s="36"/>
      <c r="AH30" s="51"/>
    </row>
    <row r="31" ht="45.75" customHeight="1">
      <c r="A31" s="36">
        <v>30.0</v>
      </c>
      <c r="B31" s="53" t="s">
        <v>1019</v>
      </c>
      <c r="C31" s="36" t="s">
        <v>52</v>
      </c>
      <c r="D31" s="36" t="s">
        <v>206</v>
      </c>
      <c r="E31" s="36" t="s">
        <v>1020</v>
      </c>
      <c r="F31" s="36" t="s">
        <v>1021</v>
      </c>
      <c r="G31" s="42" t="s">
        <v>1022</v>
      </c>
      <c r="H31" s="36" t="s">
        <v>64</v>
      </c>
      <c r="I31" s="36" t="s">
        <v>155</v>
      </c>
      <c r="J31" s="36" t="s">
        <v>62</v>
      </c>
      <c r="K31" s="36" t="s">
        <v>63</v>
      </c>
      <c r="L31" s="36">
        <v>20.0</v>
      </c>
      <c r="M31" s="36" t="s">
        <v>1025</v>
      </c>
      <c r="N31" s="36" t="s">
        <v>66</v>
      </c>
      <c r="O31" s="36" t="s">
        <v>67</v>
      </c>
      <c r="P31" s="36" t="s">
        <v>1027</v>
      </c>
      <c r="Q31" s="56">
        <v>1.0</v>
      </c>
      <c r="R31" s="57" t="s">
        <v>61</v>
      </c>
      <c r="S31" s="57">
        <v>1.0</v>
      </c>
      <c r="T31" s="36" t="s">
        <v>61</v>
      </c>
      <c r="U31" s="36" t="s">
        <v>61</v>
      </c>
      <c r="V31" s="36" t="s">
        <v>61</v>
      </c>
      <c r="W31" s="36" t="s">
        <v>61</v>
      </c>
      <c r="X31" s="57" t="s">
        <v>74</v>
      </c>
      <c r="Y31" s="36" t="s">
        <v>1032</v>
      </c>
      <c r="Z31" s="36" t="s">
        <v>1034</v>
      </c>
      <c r="AA31" s="36" t="s">
        <v>1036</v>
      </c>
      <c r="AB31" s="58">
        <v>46023.0</v>
      </c>
      <c r="AC31" s="59">
        <v>46387.0</v>
      </c>
      <c r="AD31" s="36" t="s">
        <v>1038</v>
      </c>
      <c r="AE31" s="36" t="s">
        <v>164</v>
      </c>
      <c r="AF31" s="36" t="s">
        <v>165</v>
      </c>
      <c r="AG31" s="36" t="s">
        <v>1042</v>
      </c>
      <c r="AH31" s="51"/>
    </row>
    <row r="32" ht="45.75" customHeight="1">
      <c r="A32" s="36">
        <v>31.0</v>
      </c>
      <c r="B32" s="53" t="s">
        <v>1044</v>
      </c>
      <c r="C32" s="36" t="s">
        <v>52</v>
      </c>
      <c r="D32" s="36" t="s">
        <v>206</v>
      </c>
      <c r="E32" s="36" t="s">
        <v>1047</v>
      </c>
      <c r="F32" s="36" t="s">
        <v>1048</v>
      </c>
      <c r="G32" s="42" t="s">
        <v>1049</v>
      </c>
      <c r="H32" s="36" t="s">
        <v>64</v>
      </c>
      <c r="I32" s="36" t="s">
        <v>155</v>
      </c>
      <c r="J32" s="36" t="s">
        <v>62</v>
      </c>
      <c r="K32" s="36" t="s">
        <v>63</v>
      </c>
      <c r="L32" s="36">
        <v>44.0</v>
      </c>
      <c r="M32" s="36" t="s">
        <v>1050</v>
      </c>
      <c r="N32" s="36" t="s">
        <v>66</v>
      </c>
      <c r="O32" s="36" t="s">
        <v>67</v>
      </c>
      <c r="P32" s="36" t="s">
        <v>1053</v>
      </c>
      <c r="Q32" s="56">
        <v>1.0</v>
      </c>
      <c r="R32" s="57" t="s">
        <v>61</v>
      </c>
      <c r="S32" s="57">
        <v>1.0</v>
      </c>
      <c r="T32" s="36" t="s">
        <v>61</v>
      </c>
      <c r="U32" s="36" t="s">
        <v>61</v>
      </c>
      <c r="V32" s="36" t="s">
        <v>61</v>
      </c>
      <c r="W32" s="36" t="s">
        <v>61</v>
      </c>
      <c r="X32" s="57" t="s">
        <v>74</v>
      </c>
      <c r="Y32" s="36" t="s">
        <v>1059</v>
      </c>
      <c r="Z32" s="36" t="s">
        <v>1061</v>
      </c>
      <c r="AA32" s="36" t="s">
        <v>1063</v>
      </c>
      <c r="AB32" s="58">
        <v>46023.0</v>
      </c>
      <c r="AC32" s="59">
        <v>46387.0</v>
      </c>
      <c r="AD32" s="36" t="s">
        <v>1065</v>
      </c>
      <c r="AE32" s="36" t="s">
        <v>164</v>
      </c>
      <c r="AF32" s="36" t="s">
        <v>165</v>
      </c>
      <c r="AG32" s="36" t="s">
        <v>1069</v>
      </c>
      <c r="AH32" s="51"/>
    </row>
    <row r="33" ht="45.75" customHeight="1">
      <c r="A33" s="36">
        <v>32.0</v>
      </c>
      <c r="B33" s="53" t="s">
        <v>107</v>
      </c>
      <c r="C33" s="36" t="s">
        <v>52</v>
      </c>
      <c r="D33" s="36" t="s">
        <v>206</v>
      </c>
      <c r="E33" s="36" t="s">
        <v>263</v>
      </c>
      <c r="F33" s="36" t="s">
        <v>266</v>
      </c>
      <c r="G33" s="42" t="s">
        <v>270</v>
      </c>
      <c r="H33" s="36" t="s">
        <v>64</v>
      </c>
      <c r="I33" s="36" t="s">
        <v>65</v>
      </c>
      <c r="J33" s="36" t="s">
        <v>62</v>
      </c>
      <c r="K33" s="36" t="s">
        <v>111</v>
      </c>
      <c r="L33" s="36">
        <v>103.0</v>
      </c>
      <c r="M33" s="36" t="s">
        <v>275</v>
      </c>
      <c r="N33" s="36" t="s">
        <v>71</v>
      </c>
      <c r="O33" s="36"/>
      <c r="P33" s="36" t="s">
        <v>1079</v>
      </c>
      <c r="Q33" s="56"/>
      <c r="R33" s="57">
        <v>1.0</v>
      </c>
      <c r="S33" s="57">
        <v>1.0</v>
      </c>
      <c r="T33" s="36"/>
      <c r="U33" s="36"/>
      <c r="V33" s="36" t="s">
        <v>61</v>
      </c>
      <c r="W33" s="36"/>
      <c r="X33" s="57" t="s">
        <v>93</v>
      </c>
      <c r="Y33" s="36" t="s">
        <v>297</v>
      </c>
      <c r="Z33" s="36" t="s">
        <v>301</v>
      </c>
      <c r="AA33" s="36" t="s">
        <v>303</v>
      </c>
      <c r="AB33" s="58">
        <v>46023.0</v>
      </c>
      <c r="AC33" s="59">
        <v>46387.0</v>
      </c>
      <c r="AD33" s="36" t="s">
        <v>1085</v>
      </c>
      <c r="AE33" s="36" t="s">
        <v>79</v>
      </c>
      <c r="AF33" s="36" t="s">
        <v>61</v>
      </c>
      <c r="AG33" s="36"/>
      <c r="AH33" s="51"/>
    </row>
    <row r="34" ht="45.75" customHeight="1">
      <c r="A34" s="36">
        <v>33.0</v>
      </c>
      <c r="B34" s="53" t="s">
        <v>1090</v>
      </c>
      <c r="C34" s="36" t="s">
        <v>52</v>
      </c>
      <c r="D34" s="36" t="s">
        <v>206</v>
      </c>
      <c r="E34" s="36" t="s">
        <v>744</v>
      </c>
      <c r="F34" s="36" t="s">
        <v>1095</v>
      </c>
      <c r="G34" s="42" t="s">
        <v>1096</v>
      </c>
      <c r="H34" s="36" t="s">
        <v>64</v>
      </c>
      <c r="I34" s="36" t="s">
        <v>155</v>
      </c>
      <c r="J34" s="36" t="s">
        <v>62</v>
      </c>
      <c r="K34" s="36" t="s">
        <v>111</v>
      </c>
      <c r="L34" s="36">
        <v>250.0</v>
      </c>
      <c r="M34" s="36" t="s">
        <v>1105</v>
      </c>
      <c r="N34" s="36" t="s">
        <v>71</v>
      </c>
      <c r="O34" s="36" t="s">
        <v>72</v>
      </c>
      <c r="P34" s="36" t="s">
        <v>1107</v>
      </c>
      <c r="Q34" s="56"/>
      <c r="R34" s="57">
        <v>1.0</v>
      </c>
      <c r="S34" s="57">
        <v>1.0</v>
      </c>
      <c r="T34" s="36"/>
      <c r="U34" s="36">
        <v>14.0</v>
      </c>
      <c r="V34" s="36" t="s">
        <v>61</v>
      </c>
      <c r="W34" s="36"/>
      <c r="X34" s="57" t="s">
        <v>93</v>
      </c>
      <c r="Y34" s="36" t="s">
        <v>1109</v>
      </c>
      <c r="Z34" s="36" t="s">
        <v>1110</v>
      </c>
      <c r="AA34" s="36" t="s">
        <v>1111</v>
      </c>
      <c r="AB34" s="58">
        <v>46023.0</v>
      </c>
      <c r="AC34" s="59">
        <v>46387.0</v>
      </c>
      <c r="AD34" s="36" t="s">
        <v>1115</v>
      </c>
      <c r="AE34" s="36" t="s">
        <v>79</v>
      </c>
      <c r="AF34" s="36" t="s">
        <v>61</v>
      </c>
      <c r="AG34" s="36"/>
      <c r="AH34" s="51"/>
    </row>
    <row r="35" ht="45.75" customHeight="1">
      <c r="A35" s="36">
        <v>34.0</v>
      </c>
      <c r="B35" s="53" t="s">
        <v>1119</v>
      </c>
      <c r="C35" s="36" t="s">
        <v>52</v>
      </c>
      <c r="D35" s="36" t="s">
        <v>206</v>
      </c>
      <c r="E35" s="36" t="s">
        <v>832</v>
      </c>
      <c r="F35" s="36" t="s">
        <v>1123</v>
      </c>
      <c r="G35" s="42" t="s">
        <v>1125</v>
      </c>
      <c r="H35" s="36" t="s">
        <v>64</v>
      </c>
      <c r="I35" s="36" t="s">
        <v>155</v>
      </c>
      <c r="J35" s="36" t="s">
        <v>62</v>
      </c>
      <c r="K35" s="36" t="s">
        <v>111</v>
      </c>
      <c r="L35" s="36">
        <v>150.0</v>
      </c>
      <c r="M35" s="36" t="s">
        <v>1128</v>
      </c>
      <c r="N35" s="36" t="s">
        <v>66</v>
      </c>
      <c r="O35" s="36"/>
      <c r="P35" s="36" t="s">
        <v>1131</v>
      </c>
      <c r="Q35" s="56"/>
      <c r="R35" s="57">
        <v>1.0</v>
      </c>
      <c r="S35" s="57">
        <v>1.0</v>
      </c>
      <c r="T35" s="36"/>
      <c r="U35" s="36"/>
      <c r="V35" s="36" t="s">
        <v>61</v>
      </c>
      <c r="W35" s="36"/>
      <c r="X35" s="57" t="s">
        <v>93</v>
      </c>
      <c r="Y35" s="36" t="s">
        <v>1059</v>
      </c>
      <c r="Z35" s="36" t="s">
        <v>1134</v>
      </c>
      <c r="AA35" s="36" t="s">
        <v>1137</v>
      </c>
      <c r="AB35" s="58">
        <v>46023.0</v>
      </c>
      <c r="AC35" s="59">
        <v>46387.0</v>
      </c>
      <c r="AD35" s="36" t="s">
        <v>1141</v>
      </c>
      <c r="AE35" s="36" t="s">
        <v>79</v>
      </c>
      <c r="AF35" s="36" t="s">
        <v>61</v>
      </c>
      <c r="AG35" s="36"/>
      <c r="AH35" s="51"/>
    </row>
    <row r="36" ht="45.75" customHeight="1">
      <c r="A36" s="36">
        <v>35.0</v>
      </c>
      <c r="B36" s="53" t="s">
        <v>1143</v>
      </c>
      <c r="C36" s="36" t="s">
        <v>52</v>
      </c>
      <c r="D36" s="36" t="s">
        <v>206</v>
      </c>
      <c r="E36" s="36" t="s">
        <v>1144</v>
      </c>
      <c r="F36" s="36" t="s">
        <v>1146</v>
      </c>
      <c r="G36" s="42" t="s">
        <v>1147</v>
      </c>
      <c r="H36" s="36" t="s">
        <v>64</v>
      </c>
      <c r="I36" s="36" t="s">
        <v>155</v>
      </c>
      <c r="J36" s="36" t="s">
        <v>62</v>
      </c>
      <c r="K36" s="36" t="s">
        <v>63</v>
      </c>
      <c r="L36" s="36">
        <v>15.0</v>
      </c>
      <c r="M36" s="36"/>
      <c r="N36" s="36" t="s">
        <v>66</v>
      </c>
      <c r="O36" s="36" t="s">
        <v>67</v>
      </c>
      <c r="P36" s="36" t="s">
        <v>1152</v>
      </c>
      <c r="Q36" s="56">
        <v>1.0</v>
      </c>
      <c r="R36" s="57" t="s">
        <v>61</v>
      </c>
      <c r="S36" s="57">
        <v>1.0</v>
      </c>
      <c r="T36" s="36" t="s">
        <v>61</v>
      </c>
      <c r="U36" s="36" t="s">
        <v>61</v>
      </c>
      <c r="V36" s="36" t="s">
        <v>61</v>
      </c>
      <c r="W36" s="36" t="s">
        <v>61</v>
      </c>
      <c r="X36" s="57" t="s">
        <v>74</v>
      </c>
      <c r="Y36" s="36" t="s">
        <v>1158</v>
      </c>
      <c r="Z36" s="36" t="s">
        <v>1159</v>
      </c>
      <c r="AA36" s="36" t="s">
        <v>1162</v>
      </c>
      <c r="AB36" s="58">
        <v>46023.0</v>
      </c>
      <c r="AC36" s="59">
        <v>46387.0</v>
      </c>
      <c r="AD36" s="36" t="s">
        <v>1165</v>
      </c>
      <c r="AE36" s="36" t="s">
        <v>79</v>
      </c>
      <c r="AF36" s="36" t="s">
        <v>61</v>
      </c>
      <c r="AG36" s="36"/>
      <c r="AH36" s="51"/>
    </row>
    <row r="37" ht="45.75" customHeight="1">
      <c r="A37" s="36">
        <v>36.0</v>
      </c>
      <c r="B37" s="53" t="s">
        <v>1168</v>
      </c>
      <c r="C37" s="36" t="s">
        <v>52</v>
      </c>
      <c r="D37" s="36" t="s">
        <v>206</v>
      </c>
      <c r="E37" s="36" t="s">
        <v>850</v>
      </c>
      <c r="F37" s="36" t="s">
        <v>1175</v>
      </c>
      <c r="G37" s="42" t="s">
        <v>1177</v>
      </c>
      <c r="H37" s="36" t="s">
        <v>64</v>
      </c>
      <c r="I37" s="36" t="s">
        <v>155</v>
      </c>
      <c r="J37" s="36" t="s">
        <v>62</v>
      </c>
      <c r="K37" s="36" t="s">
        <v>63</v>
      </c>
      <c r="L37" s="36">
        <v>110.0</v>
      </c>
      <c r="M37" s="36" t="s">
        <v>1181</v>
      </c>
      <c r="N37" s="36" t="s">
        <v>66</v>
      </c>
      <c r="O37" s="36" t="s">
        <v>67</v>
      </c>
      <c r="P37" s="36" t="s">
        <v>1183</v>
      </c>
      <c r="Q37" s="56">
        <v>2.0</v>
      </c>
      <c r="R37" s="57" t="s">
        <v>61</v>
      </c>
      <c r="S37" s="57">
        <v>2.0</v>
      </c>
      <c r="T37" s="36" t="s">
        <v>61</v>
      </c>
      <c r="U37" s="36">
        <v>10.0</v>
      </c>
      <c r="V37" s="36" t="s">
        <v>61</v>
      </c>
      <c r="W37" s="36" t="s">
        <v>61</v>
      </c>
      <c r="X37" s="57" t="s">
        <v>74</v>
      </c>
      <c r="Y37" s="36" t="s">
        <v>1191</v>
      </c>
      <c r="Z37" s="36" t="s">
        <v>1192</v>
      </c>
      <c r="AA37" s="36" t="s">
        <v>1194</v>
      </c>
      <c r="AB37" s="58">
        <v>46023.0</v>
      </c>
      <c r="AC37" s="59">
        <v>46387.0</v>
      </c>
      <c r="AD37" s="36" t="s">
        <v>1195</v>
      </c>
      <c r="AE37" s="36" t="s">
        <v>79</v>
      </c>
      <c r="AF37" s="36" t="s">
        <v>61</v>
      </c>
      <c r="AG37" s="36"/>
      <c r="AH37" s="51"/>
    </row>
    <row r="38" ht="45.75" customHeight="1">
      <c r="A38" s="36">
        <v>37.0</v>
      </c>
      <c r="B38" s="53" t="s">
        <v>314</v>
      </c>
      <c r="C38" s="36" t="s">
        <v>188</v>
      </c>
      <c r="D38" s="36" t="s">
        <v>316</v>
      </c>
      <c r="E38" s="36" t="s">
        <v>317</v>
      </c>
      <c r="F38" s="36" t="s">
        <v>318</v>
      </c>
      <c r="G38" s="42" t="s">
        <v>323</v>
      </c>
      <c r="H38" s="36" t="s">
        <v>64</v>
      </c>
      <c r="I38" s="36" t="s">
        <v>65</v>
      </c>
      <c r="J38" s="36" t="s">
        <v>62</v>
      </c>
      <c r="K38" s="36" t="s">
        <v>111</v>
      </c>
      <c r="L38" s="36">
        <v>75.0</v>
      </c>
      <c r="M38" s="36" t="s">
        <v>1218</v>
      </c>
      <c r="N38" s="36" t="s">
        <v>71</v>
      </c>
      <c r="O38" s="36"/>
      <c r="P38" s="36" t="s">
        <v>1222</v>
      </c>
      <c r="Q38" s="56"/>
      <c r="R38" s="57">
        <v>2.0</v>
      </c>
      <c r="S38" s="57">
        <v>2.0</v>
      </c>
      <c r="T38" s="36"/>
      <c r="U38" s="36">
        <v>2.0</v>
      </c>
      <c r="V38" s="36" t="s">
        <v>61</v>
      </c>
      <c r="W38" s="36"/>
      <c r="X38" s="57" t="s">
        <v>93</v>
      </c>
      <c r="Y38" s="36" t="s">
        <v>346</v>
      </c>
      <c r="Z38" s="36">
        <v>9.688573557E9</v>
      </c>
      <c r="AA38" s="36" t="s">
        <v>1227</v>
      </c>
      <c r="AB38" s="58">
        <v>46023.0</v>
      </c>
      <c r="AC38" s="59">
        <v>46387.0</v>
      </c>
      <c r="AD38" s="36" t="s">
        <v>1231</v>
      </c>
      <c r="AE38" s="36" t="s">
        <v>79</v>
      </c>
      <c r="AF38" s="36" t="s">
        <v>61</v>
      </c>
      <c r="AG38" s="36" t="s">
        <v>1234</v>
      </c>
      <c r="AH38" s="51"/>
    </row>
    <row r="39" ht="45.75" customHeight="1">
      <c r="A39" s="36">
        <v>38.0</v>
      </c>
      <c r="B39" s="53" t="s">
        <v>1237</v>
      </c>
      <c r="C39" s="36" t="s">
        <v>188</v>
      </c>
      <c r="D39" s="36" t="s">
        <v>366</v>
      </c>
      <c r="E39" s="36" t="s">
        <v>905</v>
      </c>
      <c r="F39" s="36" t="s">
        <v>1245</v>
      </c>
      <c r="G39" s="42" t="s">
        <v>1247</v>
      </c>
      <c r="H39" s="36" t="s">
        <v>64</v>
      </c>
      <c r="I39" s="36" t="s">
        <v>1250</v>
      </c>
      <c r="J39" s="36" t="s">
        <v>62</v>
      </c>
      <c r="K39" s="36" t="s">
        <v>63</v>
      </c>
      <c r="L39" s="36">
        <v>50.0</v>
      </c>
      <c r="M39" s="36" t="s">
        <v>1255</v>
      </c>
      <c r="N39" s="36" t="s">
        <v>66</v>
      </c>
      <c r="O39" s="36"/>
      <c r="P39" s="36" t="s">
        <v>1257</v>
      </c>
      <c r="Q39" s="56">
        <v>1.0</v>
      </c>
      <c r="R39" s="57"/>
      <c r="S39" s="57">
        <v>1.0</v>
      </c>
      <c r="T39" s="36"/>
      <c r="U39" s="36"/>
      <c r="V39" s="36" t="s">
        <v>61</v>
      </c>
      <c r="W39" s="36"/>
      <c r="X39" s="57" t="s">
        <v>74</v>
      </c>
      <c r="Y39" s="36" t="s">
        <v>1260</v>
      </c>
      <c r="Z39" s="36" t="s">
        <v>1262</v>
      </c>
      <c r="AA39" s="36" t="s">
        <v>1264</v>
      </c>
      <c r="AB39" s="58">
        <v>46023.0</v>
      </c>
      <c r="AC39" s="59">
        <v>46387.0</v>
      </c>
      <c r="AD39" s="36" t="s">
        <v>1266</v>
      </c>
      <c r="AE39" s="36" t="s">
        <v>79</v>
      </c>
      <c r="AF39" s="36" t="s">
        <v>61</v>
      </c>
      <c r="AG39" s="36"/>
      <c r="AH39" s="51"/>
    </row>
    <row r="40" ht="45.75" customHeight="1">
      <c r="A40" s="36">
        <v>39.0</v>
      </c>
      <c r="B40" s="53" t="s">
        <v>1270</v>
      </c>
      <c r="C40" s="36" t="s">
        <v>188</v>
      </c>
      <c r="D40" s="36" t="s">
        <v>366</v>
      </c>
      <c r="E40" s="36" t="s">
        <v>1272</v>
      </c>
      <c r="F40" s="36" t="s">
        <v>1273</v>
      </c>
      <c r="G40" s="42" t="s">
        <v>1275</v>
      </c>
      <c r="H40" s="36" t="s">
        <v>64</v>
      </c>
      <c r="I40" s="36" t="s">
        <v>1250</v>
      </c>
      <c r="J40" s="36" t="s">
        <v>62</v>
      </c>
      <c r="K40" s="36" t="s">
        <v>63</v>
      </c>
      <c r="L40" s="36">
        <v>25.0</v>
      </c>
      <c r="M40" s="36" t="s">
        <v>1283</v>
      </c>
      <c r="N40" s="36" t="s">
        <v>66</v>
      </c>
      <c r="O40" s="36" t="s">
        <v>72</v>
      </c>
      <c r="P40" s="36" t="s">
        <v>1284</v>
      </c>
      <c r="Q40" s="56">
        <v>1.0</v>
      </c>
      <c r="R40" s="57"/>
      <c r="S40" s="57">
        <v>1.0</v>
      </c>
      <c r="T40" s="36"/>
      <c r="U40" s="36"/>
      <c r="V40" s="36" t="s">
        <v>61</v>
      </c>
      <c r="W40" s="36"/>
      <c r="X40" s="57" t="s">
        <v>74</v>
      </c>
      <c r="Y40" s="36" t="s">
        <v>1287</v>
      </c>
      <c r="Z40" s="36">
        <v>9.569451942E9</v>
      </c>
      <c r="AA40" s="36" t="s">
        <v>1288</v>
      </c>
      <c r="AB40" s="58">
        <v>46023.0</v>
      </c>
      <c r="AC40" s="59">
        <v>46387.0</v>
      </c>
      <c r="AD40" s="36" t="s">
        <v>1290</v>
      </c>
      <c r="AE40" s="36" t="s">
        <v>79</v>
      </c>
      <c r="AF40" s="36" t="s">
        <v>61</v>
      </c>
      <c r="AG40" s="51"/>
      <c r="AH40" s="51"/>
    </row>
    <row r="41" ht="45.75" customHeight="1">
      <c r="A41" s="36">
        <v>40.0</v>
      </c>
      <c r="B41" s="53" t="s">
        <v>1295</v>
      </c>
      <c r="C41" s="36" t="s">
        <v>188</v>
      </c>
      <c r="D41" s="36" t="s">
        <v>366</v>
      </c>
      <c r="E41" s="36" t="s">
        <v>952</v>
      </c>
      <c r="F41" s="36" t="s">
        <v>1297</v>
      </c>
      <c r="G41" s="42" t="s">
        <v>1299</v>
      </c>
      <c r="H41" s="36" t="s">
        <v>64</v>
      </c>
      <c r="I41" s="36" t="s">
        <v>1250</v>
      </c>
      <c r="J41" s="36" t="s">
        <v>62</v>
      </c>
      <c r="K41" s="36" t="s">
        <v>63</v>
      </c>
      <c r="L41" s="36">
        <v>17.0</v>
      </c>
      <c r="M41" s="36" t="s">
        <v>1305</v>
      </c>
      <c r="N41" s="36" t="s">
        <v>66</v>
      </c>
      <c r="O41" s="36" t="s">
        <v>72</v>
      </c>
      <c r="P41" s="36" t="s">
        <v>1307</v>
      </c>
      <c r="Q41" s="56">
        <v>1.0</v>
      </c>
      <c r="R41" s="57"/>
      <c r="S41" s="57">
        <v>1.0</v>
      </c>
      <c r="T41" s="36"/>
      <c r="U41" s="36"/>
      <c r="V41" s="36" t="s">
        <v>61</v>
      </c>
      <c r="W41" s="36"/>
      <c r="X41" s="57" t="s">
        <v>74</v>
      </c>
      <c r="Y41" s="36" t="s">
        <v>1309</v>
      </c>
      <c r="Z41" s="36" t="s">
        <v>1311</v>
      </c>
      <c r="AA41" s="36" t="s">
        <v>1312</v>
      </c>
      <c r="AB41" s="58">
        <v>46023.0</v>
      </c>
      <c r="AC41" s="59">
        <v>46387.0</v>
      </c>
      <c r="AD41" s="36" t="s">
        <v>1313</v>
      </c>
      <c r="AE41" s="36" t="s">
        <v>79</v>
      </c>
      <c r="AF41" s="36" t="s">
        <v>61</v>
      </c>
      <c r="AG41" s="51"/>
      <c r="AH41" s="51"/>
    </row>
    <row r="42" ht="45.75" customHeight="1">
      <c r="A42" s="36">
        <v>41.0</v>
      </c>
      <c r="B42" s="53" t="s">
        <v>1322</v>
      </c>
      <c r="C42" s="36" t="s">
        <v>188</v>
      </c>
      <c r="D42" s="36" t="s">
        <v>366</v>
      </c>
      <c r="E42" s="36" t="s">
        <v>1326</v>
      </c>
      <c r="F42" s="36" t="s">
        <v>1328</v>
      </c>
      <c r="G42" s="42" t="s">
        <v>1329</v>
      </c>
      <c r="H42" s="36" t="s">
        <v>64</v>
      </c>
      <c r="I42" s="36" t="s">
        <v>1250</v>
      </c>
      <c r="J42" s="36" t="s">
        <v>62</v>
      </c>
      <c r="K42" s="36" t="s">
        <v>63</v>
      </c>
      <c r="L42" s="36">
        <v>25.0</v>
      </c>
      <c r="M42" s="36" t="s">
        <v>1333</v>
      </c>
      <c r="N42" s="36" t="s">
        <v>66</v>
      </c>
      <c r="O42" s="36"/>
      <c r="P42" s="36" t="s">
        <v>1335</v>
      </c>
      <c r="Q42" s="56">
        <v>1.0</v>
      </c>
      <c r="R42" s="57"/>
      <c r="S42" s="57">
        <v>1.0</v>
      </c>
      <c r="T42" s="36"/>
      <c r="U42" s="36"/>
      <c r="V42" s="36" t="s">
        <v>61</v>
      </c>
      <c r="W42" s="36"/>
      <c r="X42" s="57" t="s">
        <v>74</v>
      </c>
      <c r="Y42" s="36" t="s">
        <v>1340</v>
      </c>
      <c r="Z42" s="36" t="s">
        <v>1341</v>
      </c>
      <c r="AA42" s="36" t="s">
        <v>1342</v>
      </c>
      <c r="AB42" s="58">
        <v>46023.0</v>
      </c>
      <c r="AC42" s="59">
        <v>46387.0</v>
      </c>
      <c r="AD42" s="36" t="s">
        <v>1344</v>
      </c>
      <c r="AE42" s="36" t="s">
        <v>79</v>
      </c>
      <c r="AF42" s="36" t="s">
        <v>165</v>
      </c>
      <c r="AG42" s="36" t="s">
        <v>1348</v>
      </c>
      <c r="AH42" s="51"/>
    </row>
    <row r="43" ht="45.75" customHeight="1">
      <c r="A43" s="36">
        <v>42.0</v>
      </c>
      <c r="B43" s="53" t="s">
        <v>1351</v>
      </c>
      <c r="C43" s="36" t="s">
        <v>188</v>
      </c>
      <c r="D43" s="36" t="s">
        <v>366</v>
      </c>
      <c r="E43" s="36" t="s">
        <v>1354</v>
      </c>
      <c r="F43" s="36" t="s">
        <v>1355</v>
      </c>
      <c r="G43" s="42" t="s">
        <v>1356</v>
      </c>
      <c r="H43" s="36" t="s">
        <v>64</v>
      </c>
      <c r="I43" s="36" t="s">
        <v>1250</v>
      </c>
      <c r="J43" s="36" t="s">
        <v>62</v>
      </c>
      <c r="K43" s="36" t="s">
        <v>63</v>
      </c>
      <c r="L43" s="36">
        <v>17.0</v>
      </c>
      <c r="M43" s="36" t="s">
        <v>1360</v>
      </c>
      <c r="N43" s="36" t="s">
        <v>66</v>
      </c>
      <c r="O43" s="36"/>
      <c r="P43" s="36" t="s">
        <v>1362</v>
      </c>
      <c r="Q43" s="56">
        <v>1.0</v>
      </c>
      <c r="R43" s="57"/>
      <c r="S43" s="57">
        <v>1.0</v>
      </c>
      <c r="T43" s="36"/>
      <c r="U43" s="36"/>
      <c r="V43" s="36" t="s">
        <v>61</v>
      </c>
      <c r="W43" s="36"/>
      <c r="X43" s="57" t="s">
        <v>74</v>
      </c>
      <c r="Y43" s="36" t="s">
        <v>1369</v>
      </c>
      <c r="Z43" s="36">
        <v>9.757659404E9</v>
      </c>
      <c r="AA43" s="36" t="s">
        <v>1371</v>
      </c>
      <c r="AB43" s="58">
        <v>46023.0</v>
      </c>
      <c r="AC43" s="59">
        <v>46387.0</v>
      </c>
      <c r="AD43" s="36" t="s">
        <v>1373</v>
      </c>
      <c r="AE43" s="36" t="s">
        <v>79</v>
      </c>
      <c r="AF43" s="36" t="s">
        <v>61</v>
      </c>
      <c r="AG43" s="36" t="s">
        <v>1376</v>
      </c>
      <c r="AH43" s="51"/>
    </row>
    <row r="44" ht="45.75" customHeight="1">
      <c r="A44" s="36">
        <v>43.0</v>
      </c>
      <c r="B44" s="53" t="s">
        <v>1378</v>
      </c>
      <c r="C44" s="36" t="s">
        <v>188</v>
      </c>
      <c r="D44" s="36" t="s">
        <v>366</v>
      </c>
      <c r="E44" s="36" t="s">
        <v>1379</v>
      </c>
      <c r="F44" s="36" t="s">
        <v>1380</v>
      </c>
      <c r="G44" s="42" t="s">
        <v>1382</v>
      </c>
      <c r="H44" s="36" t="s">
        <v>64</v>
      </c>
      <c r="I44" s="36" t="s">
        <v>1250</v>
      </c>
      <c r="J44" s="36" t="s">
        <v>62</v>
      </c>
      <c r="K44" s="36" t="s">
        <v>63</v>
      </c>
      <c r="L44" s="36">
        <v>25.0</v>
      </c>
      <c r="M44" s="36" t="s">
        <v>1386</v>
      </c>
      <c r="N44" s="36" t="s">
        <v>66</v>
      </c>
      <c r="O44" s="36"/>
      <c r="P44" s="36" t="s">
        <v>1390</v>
      </c>
      <c r="Q44" s="56">
        <v>1.0</v>
      </c>
      <c r="R44" s="57"/>
      <c r="S44" s="57">
        <v>1.0</v>
      </c>
      <c r="T44" s="36"/>
      <c r="U44" s="36"/>
      <c r="V44" s="36" t="s">
        <v>61</v>
      </c>
      <c r="W44" s="36"/>
      <c r="X44" s="57" t="s">
        <v>74</v>
      </c>
      <c r="Y44" s="36" t="s">
        <v>1394</v>
      </c>
      <c r="Z44" s="36" t="s">
        <v>1395</v>
      </c>
      <c r="AA44" s="36" t="s">
        <v>1396</v>
      </c>
      <c r="AB44" s="58">
        <v>46023.0</v>
      </c>
      <c r="AC44" s="59">
        <v>46387.0</v>
      </c>
      <c r="AD44" s="36" t="s">
        <v>1398</v>
      </c>
      <c r="AE44" s="36" t="s">
        <v>79</v>
      </c>
      <c r="AF44" s="36" t="s">
        <v>61</v>
      </c>
      <c r="AG44" s="36" t="s">
        <v>1399</v>
      </c>
      <c r="AH44" s="51"/>
    </row>
    <row r="45" ht="45.75" customHeight="1">
      <c r="A45" s="36">
        <v>44.0</v>
      </c>
      <c r="B45" s="53" t="s">
        <v>1400</v>
      </c>
      <c r="C45" s="36" t="s">
        <v>188</v>
      </c>
      <c r="D45" s="36" t="s">
        <v>366</v>
      </c>
      <c r="E45" s="36" t="s">
        <v>1402</v>
      </c>
      <c r="F45" s="36" t="s">
        <v>1403</v>
      </c>
      <c r="G45" s="42" t="s">
        <v>1405</v>
      </c>
      <c r="H45" s="36" t="s">
        <v>64</v>
      </c>
      <c r="I45" s="36" t="s">
        <v>1250</v>
      </c>
      <c r="J45" s="36" t="s">
        <v>62</v>
      </c>
      <c r="K45" s="36" t="s">
        <v>63</v>
      </c>
      <c r="L45" s="36">
        <v>17.0</v>
      </c>
      <c r="M45" s="36" t="s">
        <v>1283</v>
      </c>
      <c r="N45" s="36" t="s">
        <v>66</v>
      </c>
      <c r="O45" s="36"/>
      <c r="P45" s="36" t="s">
        <v>1411</v>
      </c>
      <c r="Q45" s="56">
        <v>1.0</v>
      </c>
      <c r="R45" s="57"/>
      <c r="S45" s="57">
        <v>1.0</v>
      </c>
      <c r="T45" s="36"/>
      <c r="U45" s="36"/>
      <c r="V45" s="36" t="s">
        <v>61</v>
      </c>
      <c r="W45" s="36"/>
      <c r="X45" s="57" t="s">
        <v>74</v>
      </c>
      <c r="Y45" s="36" t="s">
        <v>1414</v>
      </c>
      <c r="Z45" s="36">
        <v>9.176758691E9</v>
      </c>
      <c r="AA45" s="36" t="s">
        <v>1416</v>
      </c>
      <c r="AB45" s="58">
        <v>46023.0</v>
      </c>
      <c r="AC45" s="59">
        <v>46387.0</v>
      </c>
      <c r="AD45" s="36" t="s">
        <v>1419</v>
      </c>
      <c r="AE45" s="36" t="s">
        <v>79</v>
      </c>
      <c r="AF45" s="36" t="s">
        <v>61</v>
      </c>
      <c r="AG45" s="36" t="s">
        <v>1423</v>
      </c>
      <c r="AH45" s="51"/>
    </row>
    <row r="46" ht="45.75" customHeight="1">
      <c r="A46" s="36">
        <v>45.0</v>
      </c>
      <c r="B46" s="53" t="s">
        <v>363</v>
      </c>
      <c r="C46" s="36" t="s">
        <v>188</v>
      </c>
      <c r="D46" s="36" t="s">
        <v>366</v>
      </c>
      <c r="E46" s="36" t="s">
        <v>368</v>
      </c>
      <c r="F46" s="36" t="s">
        <v>370</v>
      </c>
      <c r="G46" s="42" t="s">
        <v>373</v>
      </c>
      <c r="H46" s="36" t="s">
        <v>64</v>
      </c>
      <c r="I46" s="36" t="s">
        <v>65</v>
      </c>
      <c r="J46" s="36" t="s">
        <v>62</v>
      </c>
      <c r="K46" s="36" t="s">
        <v>68</v>
      </c>
      <c r="L46" s="36">
        <v>700.0</v>
      </c>
      <c r="M46" s="36" t="s">
        <v>1434</v>
      </c>
      <c r="N46" s="36" t="s">
        <v>71</v>
      </c>
      <c r="O46" s="36" t="s">
        <v>72</v>
      </c>
      <c r="P46" s="36" t="s">
        <v>1438</v>
      </c>
      <c r="Q46" s="56">
        <v>3.0</v>
      </c>
      <c r="R46" s="57">
        <v>3.0</v>
      </c>
      <c r="S46" s="57">
        <v>6.0</v>
      </c>
      <c r="T46" s="36"/>
      <c r="U46" s="36">
        <v>9.0</v>
      </c>
      <c r="V46" s="36" t="s">
        <v>61</v>
      </c>
      <c r="W46" s="36"/>
      <c r="X46" s="57" t="s">
        <v>93</v>
      </c>
      <c r="Y46" s="36" t="s">
        <v>403</v>
      </c>
      <c r="Z46" s="36" t="s">
        <v>1443</v>
      </c>
      <c r="AA46" s="36" t="s">
        <v>1444</v>
      </c>
      <c r="AB46" s="58">
        <v>46023.0</v>
      </c>
      <c r="AC46" s="59">
        <v>46387.0</v>
      </c>
      <c r="AD46" s="36" t="s">
        <v>1446</v>
      </c>
      <c r="AE46" s="36" t="s">
        <v>79</v>
      </c>
      <c r="AF46" s="36" t="s">
        <v>61</v>
      </c>
      <c r="AG46" s="36" t="s">
        <v>1448</v>
      </c>
      <c r="AH46" s="51"/>
    </row>
    <row r="47" ht="45.75" customHeight="1">
      <c r="A47" s="36">
        <v>46.0</v>
      </c>
      <c r="B47" s="53" t="s">
        <v>1449</v>
      </c>
      <c r="C47" s="36" t="s">
        <v>188</v>
      </c>
      <c r="D47" s="36" t="s">
        <v>366</v>
      </c>
      <c r="E47" s="36" t="s">
        <v>368</v>
      </c>
      <c r="F47" s="36" t="s">
        <v>1451</v>
      </c>
      <c r="G47" s="42" t="s">
        <v>1453</v>
      </c>
      <c r="H47" s="36" t="s">
        <v>64</v>
      </c>
      <c r="I47" s="36" t="s">
        <v>155</v>
      </c>
      <c r="J47" s="36" t="s">
        <v>62</v>
      </c>
      <c r="K47" s="36" t="s">
        <v>63</v>
      </c>
      <c r="L47" s="36">
        <v>68.0</v>
      </c>
      <c r="M47" s="36" t="s">
        <v>1283</v>
      </c>
      <c r="N47" s="36" t="s">
        <v>66</v>
      </c>
      <c r="O47" s="36"/>
      <c r="P47" s="36" t="s">
        <v>1460</v>
      </c>
      <c r="Q47" s="56">
        <v>1.0</v>
      </c>
      <c r="R47" s="57"/>
      <c r="S47" s="57">
        <v>1.0</v>
      </c>
      <c r="T47" s="36"/>
      <c r="U47" s="36"/>
      <c r="V47" s="36" t="s">
        <v>61</v>
      </c>
      <c r="W47" s="36"/>
      <c r="X47" s="57" t="s">
        <v>74</v>
      </c>
      <c r="Y47" s="36" t="s">
        <v>1463</v>
      </c>
      <c r="Z47" s="36" t="s">
        <v>1465</v>
      </c>
      <c r="AA47" s="36" t="s">
        <v>1468</v>
      </c>
      <c r="AB47" s="58">
        <v>46023.0</v>
      </c>
      <c r="AC47" s="59">
        <v>46387.0</v>
      </c>
      <c r="AD47" s="36" t="s">
        <v>1470</v>
      </c>
      <c r="AE47" s="36" t="s">
        <v>79</v>
      </c>
      <c r="AF47" s="36" t="s">
        <v>61</v>
      </c>
      <c r="AG47" s="51"/>
      <c r="AH47" s="51"/>
    </row>
    <row r="48" ht="45.75" customHeight="1">
      <c r="A48" s="36">
        <v>47.0</v>
      </c>
      <c r="B48" s="53" t="s">
        <v>1475</v>
      </c>
      <c r="C48" s="36" t="s">
        <v>188</v>
      </c>
      <c r="D48" s="36" t="s">
        <v>485</v>
      </c>
      <c r="E48" s="36" t="s">
        <v>1476</v>
      </c>
      <c r="F48" s="36" t="s">
        <v>1477</v>
      </c>
      <c r="G48" s="42" t="s">
        <v>1478</v>
      </c>
      <c r="H48" s="36" t="s">
        <v>64</v>
      </c>
      <c r="I48" s="36" t="s">
        <v>1250</v>
      </c>
      <c r="J48" s="36" t="s">
        <v>62</v>
      </c>
      <c r="K48" s="36" t="s">
        <v>63</v>
      </c>
      <c r="L48" s="36">
        <v>50.0</v>
      </c>
      <c r="M48" s="36" t="s">
        <v>1283</v>
      </c>
      <c r="N48" s="36" t="s">
        <v>66</v>
      </c>
      <c r="O48" s="36"/>
      <c r="P48" s="36" t="s">
        <v>1488</v>
      </c>
      <c r="Q48" s="56">
        <v>2.0</v>
      </c>
      <c r="R48" s="57"/>
      <c r="S48" s="57">
        <v>2.0</v>
      </c>
      <c r="T48" s="36"/>
      <c r="U48" s="36">
        <v>10.0</v>
      </c>
      <c r="V48" s="36" t="s">
        <v>61</v>
      </c>
      <c r="W48" s="36"/>
      <c r="X48" s="57" t="s">
        <v>74</v>
      </c>
      <c r="Y48" s="36" t="s">
        <v>1491</v>
      </c>
      <c r="Z48" s="36" t="s">
        <v>1492</v>
      </c>
      <c r="AA48" s="36" t="s">
        <v>1493</v>
      </c>
      <c r="AB48" s="58">
        <v>46023.0</v>
      </c>
      <c r="AC48" s="59">
        <v>46387.0</v>
      </c>
      <c r="AD48" s="36" t="s">
        <v>1495</v>
      </c>
      <c r="AE48" s="36" t="s">
        <v>79</v>
      </c>
      <c r="AF48" s="36" t="s">
        <v>61</v>
      </c>
      <c r="AG48" s="51"/>
      <c r="AH48" s="51"/>
    </row>
    <row r="49" ht="45.75" customHeight="1">
      <c r="A49" s="36">
        <v>48.0</v>
      </c>
      <c r="B49" s="53" t="s">
        <v>1497</v>
      </c>
      <c r="C49" s="36" t="s">
        <v>188</v>
      </c>
      <c r="D49" s="36" t="s">
        <v>485</v>
      </c>
      <c r="E49" s="36" t="s">
        <v>1279</v>
      </c>
      <c r="F49" s="36" t="s">
        <v>1501</v>
      </c>
      <c r="G49" s="42" t="s">
        <v>1503</v>
      </c>
      <c r="H49" s="36" t="s">
        <v>64</v>
      </c>
      <c r="I49" s="36" t="s">
        <v>1250</v>
      </c>
      <c r="J49" s="36" t="s">
        <v>62</v>
      </c>
      <c r="K49" s="36" t="s">
        <v>63</v>
      </c>
      <c r="L49" s="36">
        <v>50.0</v>
      </c>
      <c r="M49" s="36" t="s">
        <v>1513</v>
      </c>
      <c r="N49" s="36" t="s">
        <v>66</v>
      </c>
      <c r="O49" s="36"/>
      <c r="P49" s="36" t="s">
        <v>1516</v>
      </c>
      <c r="Q49" s="56">
        <v>1.0</v>
      </c>
      <c r="R49" s="57"/>
      <c r="S49" s="57">
        <v>1.0</v>
      </c>
      <c r="T49" s="36"/>
      <c r="U49" s="36">
        <v>10.0</v>
      </c>
      <c r="V49" s="36" t="s">
        <v>61</v>
      </c>
      <c r="W49" s="36"/>
      <c r="X49" s="57" t="s">
        <v>74</v>
      </c>
      <c r="Y49" s="36" t="s">
        <v>1518</v>
      </c>
      <c r="Z49" s="36" t="s">
        <v>1520</v>
      </c>
      <c r="AA49" s="36" t="s">
        <v>1522</v>
      </c>
      <c r="AB49" s="58">
        <v>46023.0</v>
      </c>
      <c r="AC49" s="59">
        <v>46387.0</v>
      </c>
      <c r="AD49" s="36" t="s">
        <v>1524</v>
      </c>
      <c r="AE49" s="36" t="s">
        <v>79</v>
      </c>
      <c r="AF49" s="36" t="s">
        <v>61</v>
      </c>
      <c r="AG49" s="36"/>
      <c r="AH49" s="51"/>
    </row>
    <row r="50" ht="45.75" customHeight="1">
      <c r="A50" s="36">
        <v>49.0</v>
      </c>
      <c r="B50" s="53" t="s">
        <v>1528</v>
      </c>
      <c r="C50" s="36" t="s">
        <v>188</v>
      </c>
      <c r="D50" s="36" t="s">
        <v>485</v>
      </c>
      <c r="E50" s="36" t="s">
        <v>1372</v>
      </c>
      <c r="F50" s="36" t="s">
        <v>1530</v>
      </c>
      <c r="G50" s="42" t="s">
        <v>1531</v>
      </c>
      <c r="H50" s="36" t="s">
        <v>64</v>
      </c>
      <c r="I50" s="36" t="s">
        <v>1250</v>
      </c>
      <c r="J50" s="36" t="s">
        <v>62</v>
      </c>
      <c r="K50" s="36" t="s">
        <v>63</v>
      </c>
      <c r="L50" s="36">
        <v>25.0</v>
      </c>
      <c r="M50" s="36" t="s">
        <v>1532</v>
      </c>
      <c r="N50" s="36" t="s">
        <v>66</v>
      </c>
      <c r="O50" s="36"/>
      <c r="P50" s="36" t="s">
        <v>1533</v>
      </c>
      <c r="Q50" s="56">
        <v>1.0</v>
      </c>
      <c r="R50" s="57"/>
      <c r="S50" s="57">
        <v>1.0</v>
      </c>
      <c r="T50" s="36"/>
      <c r="U50" s="36"/>
      <c r="V50" s="36" t="s">
        <v>61</v>
      </c>
      <c r="W50" s="36"/>
      <c r="X50" s="57" t="s">
        <v>74</v>
      </c>
      <c r="Y50" s="36" t="s">
        <v>1536</v>
      </c>
      <c r="Z50" s="36" t="s">
        <v>1537</v>
      </c>
      <c r="AA50" s="36" t="s">
        <v>1538</v>
      </c>
      <c r="AB50" s="58">
        <v>46023.0</v>
      </c>
      <c r="AC50" s="59">
        <v>46387.0</v>
      </c>
      <c r="AD50" s="36" t="s">
        <v>1539</v>
      </c>
      <c r="AE50" s="36" t="s">
        <v>79</v>
      </c>
      <c r="AF50" s="36" t="s">
        <v>61</v>
      </c>
      <c r="AG50" s="36" t="s">
        <v>1540</v>
      </c>
      <c r="AH50" s="51"/>
    </row>
    <row r="51" ht="45.75" customHeight="1">
      <c r="A51" s="36">
        <v>50.0</v>
      </c>
      <c r="B51" s="53" t="s">
        <v>1542</v>
      </c>
      <c r="C51" s="36" t="s">
        <v>188</v>
      </c>
      <c r="D51" s="36" t="s">
        <v>485</v>
      </c>
      <c r="E51" s="36" t="s">
        <v>1404</v>
      </c>
      <c r="F51" s="36" t="s">
        <v>1543</v>
      </c>
      <c r="G51" s="42" t="s">
        <v>1544</v>
      </c>
      <c r="H51" s="36" t="s">
        <v>64</v>
      </c>
      <c r="I51" s="36" t="s">
        <v>155</v>
      </c>
      <c r="J51" s="36" t="s">
        <v>62</v>
      </c>
      <c r="K51" s="36" t="s">
        <v>111</v>
      </c>
      <c r="L51" s="36">
        <v>75.0</v>
      </c>
      <c r="M51" s="36" t="s">
        <v>1546</v>
      </c>
      <c r="N51" s="36" t="s">
        <v>66</v>
      </c>
      <c r="O51" s="36" t="s">
        <v>72</v>
      </c>
      <c r="P51" s="36" t="s">
        <v>1548</v>
      </c>
      <c r="Q51" s="56"/>
      <c r="R51" s="57">
        <v>1.0</v>
      </c>
      <c r="S51" s="57">
        <v>1.0</v>
      </c>
      <c r="T51" s="36"/>
      <c r="U51" s="36">
        <v>8.0</v>
      </c>
      <c r="V51" s="36" t="s">
        <v>61</v>
      </c>
      <c r="W51" s="36"/>
      <c r="X51" s="57" t="s">
        <v>74</v>
      </c>
      <c r="Y51" s="36" t="s">
        <v>1551</v>
      </c>
      <c r="Z51" s="36" t="s">
        <v>1553</v>
      </c>
      <c r="AA51" s="36" t="s">
        <v>1554</v>
      </c>
      <c r="AB51" s="58">
        <v>46023.0</v>
      </c>
      <c r="AC51" s="59">
        <v>46387.0</v>
      </c>
      <c r="AD51" s="36" t="s">
        <v>1556</v>
      </c>
      <c r="AE51" s="36" t="s">
        <v>79</v>
      </c>
      <c r="AF51" s="36" t="s">
        <v>61</v>
      </c>
      <c r="AG51" s="36" t="s">
        <v>1558</v>
      </c>
      <c r="AH51" s="51"/>
    </row>
    <row r="52" ht="45.75" customHeight="1">
      <c r="A52" s="36">
        <v>51.0</v>
      </c>
      <c r="B52" s="53" t="s">
        <v>1559</v>
      </c>
      <c r="C52" s="36" t="s">
        <v>188</v>
      </c>
      <c r="D52" s="36" t="s">
        <v>485</v>
      </c>
      <c r="E52" s="36" t="s">
        <v>1404</v>
      </c>
      <c r="F52" s="36" t="s">
        <v>1561</v>
      </c>
      <c r="G52" s="42" t="s">
        <v>1563</v>
      </c>
      <c r="H52" s="36" t="s">
        <v>64</v>
      </c>
      <c r="I52" s="36" t="s">
        <v>1250</v>
      </c>
      <c r="J52" s="36" t="s">
        <v>62</v>
      </c>
      <c r="K52" s="36" t="s">
        <v>63</v>
      </c>
      <c r="L52" s="36">
        <v>100.0</v>
      </c>
      <c r="M52" s="36" t="s">
        <v>1567</v>
      </c>
      <c r="N52" s="36" t="s">
        <v>71</v>
      </c>
      <c r="O52" s="36"/>
      <c r="P52" s="36" t="s">
        <v>1568</v>
      </c>
      <c r="Q52" s="56">
        <v>1.0</v>
      </c>
      <c r="R52" s="57"/>
      <c r="S52" s="57">
        <v>1.0</v>
      </c>
      <c r="T52" s="36"/>
      <c r="U52" s="36">
        <v>20.0</v>
      </c>
      <c r="V52" s="36" t="s">
        <v>61</v>
      </c>
      <c r="W52" s="36"/>
      <c r="X52" s="57" t="s">
        <v>74</v>
      </c>
      <c r="Y52" s="36" t="s">
        <v>1570</v>
      </c>
      <c r="Z52" s="36" t="s">
        <v>1571</v>
      </c>
      <c r="AA52" s="36" t="s">
        <v>1573</v>
      </c>
      <c r="AB52" s="58">
        <v>46023.0</v>
      </c>
      <c r="AC52" s="59">
        <v>46387.0</v>
      </c>
      <c r="AD52" s="36" t="s">
        <v>1574</v>
      </c>
      <c r="AE52" s="36" t="s">
        <v>79</v>
      </c>
      <c r="AF52" s="36" t="s">
        <v>165</v>
      </c>
      <c r="AG52" s="36" t="s">
        <v>1576</v>
      </c>
      <c r="AH52" s="51"/>
    </row>
    <row r="53" ht="45.75" customHeight="1">
      <c r="A53" s="36">
        <v>52.0</v>
      </c>
      <c r="B53" s="53" t="s">
        <v>1579</v>
      </c>
      <c r="C53" s="36" t="s">
        <v>188</v>
      </c>
      <c r="D53" s="36" t="s">
        <v>485</v>
      </c>
      <c r="E53" s="36" t="s">
        <v>1471</v>
      </c>
      <c r="F53" s="36" t="s">
        <v>1581</v>
      </c>
      <c r="G53" s="42" t="s">
        <v>1582</v>
      </c>
      <c r="H53" s="36" t="s">
        <v>64</v>
      </c>
      <c r="I53" s="36" t="s">
        <v>1250</v>
      </c>
      <c r="J53" s="36" t="s">
        <v>62</v>
      </c>
      <c r="K53" s="36" t="s">
        <v>63</v>
      </c>
      <c r="L53" s="36">
        <v>50.0</v>
      </c>
      <c r="M53" s="36" t="s">
        <v>1587</v>
      </c>
      <c r="N53" s="36" t="s">
        <v>66</v>
      </c>
      <c r="O53" s="36"/>
      <c r="P53" s="36" t="s">
        <v>1588</v>
      </c>
      <c r="Q53" s="56">
        <v>1.0</v>
      </c>
      <c r="R53" s="57"/>
      <c r="S53" s="57">
        <v>1.0</v>
      </c>
      <c r="T53" s="36"/>
      <c r="U53" s="36">
        <v>10.0</v>
      </c>
      <c r="V53" s="36" t="s">
        <v>61</v>
      </c>
      <c r="W53" s="36"/>
      <c r="X53" s="57" t="s">
        <v>74</v>
      </c>
      <c r="Y53" s="36" t="s">
        <v>1590</v>
      </c>
      <c r="Z53" s="36" t="s">
        <v>1591</v>
      </c>
      <c r="AA53" s="36" t="s">
        <v>1592</v>
      </c>
      <c r="AB53" s="58">
        <v>46023.0</v>
      </c>
      <c r="AC53" s="59">
        <v>46387.0</v>
      </c>
      <c r="AD53" s="36" t="s">
        <v>1595</v>
      </c>
      <c r="AE53" s="36" t="s">
        <v>79</v>
      </c>
      <c r="AF53" s="36" t="s">
        <v>61</v>
      </c>
      <c r="AG53" s="36"/>
      <c r="AH53" s="51"/>
    </row>
    <row r="54" ht="45.75" customHeight="1">
      <c r="A54" s="36">
        <v>53.0</v>
      </c>
      <c r="B54" s="53" t="s">
        <v>1599</v>
      </c>
      <c r="C54" s="36" t="s">
        <v>188</v>
      </c>
      <c r="D54" s="36" t="s">
        <v>485</v>
      </c>
      <c r="E54" s="36" t="s">
        <v>1601</v>
      </c>
      <c r="F54" s="36" t="s">
        <v>1602</v>
      </c>
      <c r="G54" s="42" t="s">
        <v>1604</v>
      </c>
      <c r="H54" s="36" t="s">
        <v>64</v>
      </c>
      <c r="I54" s="36" t="s">
        <v>1250</v>
      </c>
      <c r="J54" s="36" t="s">
        <v>62</v>
      </c>
      <c r="K54" s="36" t="s">
        <v>63</v>
      </c>
      <c r="L54" s="36">
        <v>10.0</v>
      </c>
      <c r="M54" s="36" t="s">
        <v>1283</v>
      </c>
      <c r="N54" s="36" t="s">
        <v>66</v>
      </c>
      <c r="O54" s="36"/>
      <c r="P54" s="36"/>
      <c r="Q54" s="56"/>
      <c r="R54" s="57"/>
      <c r="S54" s="57"/>
      <c r="T54" s="36" t="s">
        <v>1608</v>
      </c>
      <c r="U54" s="36"/>
      <c r="V54" s="36" t="s">
        <v>61</v>
      </c>
      <c r="W54" s="36"/>
      <c r="X54" s="57" t="s">
        <v>74</v>
      </c>
      <c r="Y54" s="36" t="s">
        <v>1611</v>
      </c>
      <c r="Z54" s="36">
        <v>9.613482375E9</v>
      </c>
      <c r="AA54" s="36" t="s">
        <v>1613</v>
      </c>
      <c r="AB54" s="58">
        <v>46023.0</v>
      </c>
      <c r="AC54" s="59">
        <v>46387.0</v>
      </c>
      <c r="AD54" s="36" t="s">
        <v>1615</v>
      </c>
      <c r="AE54" s="36" t="s">
        <v>79</v>
      </c>
      <c r="AF54" s="36" t="s">
        <v>61</v>
      </c>
      <c r="AG54" s="36"/>
      <c r="AH54" s="51"/>
    </row>
    <row r="55" ht="45.75" customHeight="1">
      <c r="A55" s="36">
        <v>54.0</v>
      </c>
      <c r="B55" s="53" t="s">
        <v>481</v>
      </c>
      <c r="C55" s="36" t="s">
        <v>188</v>
      </c>
      <c r="D55" s="36" t="s">
        <v>485</v>
      </c>
      <c r="E55" s="36" t="s">
        <v>487</v>
      </c>
      <c r="F55" s="36" t="s">
        <v>489</v>
      </c>
      <c r="G55" s="42" t="s">
        <v>491</v>
      </c>
      <c r="H55" s="36" t="s">
        <v>64</v>
      </c>
      <c r="I55" s="36" t="s">
        <v>65</v>
      </c>
      <c r="J55" s="36" t="s">
        <v>62</v>
      </c>
      <c r="K55" s="36" t="s">
        <v>68</v>
      </c>
      <c r="L55" s="36">
        <v>350.0</v>
      </c>
      <c r="M55" s="36" t="s">
        <v>1622</v>
      </c>
      <c r="N55" s="36" t="s">
        <v>71</v>
      </c>
      <c r="O55" s="36" t="s">
        <v>72</v>
      </c>
      <c r="P55" s="36" t="s">
        <v>1626</v>
      </c>
      <c r="Q55" s="56"/>
      <c r="R55" s="57">
        <v>3.0</v>
      </c>
      <c r="S55" s="57">
        <v>3.0</v>
      </c>
      <c r="T55" s="36"/>
      <c r="U55" s="36">
        <v>12.0</v>
      </c>
      <c r="V55" s="36" t="s">
        <v>61</v>
      </c>
      <c r="W55" s="36"/>
      <c r="X55" s="57" t="s">
        <v>93</v>
      </c>
      <c r="Y55" s="36" t="s">
        <v>1628</v>
      </c>
      <c r="Z55" s="36" t="s">
        <v>514</v>
      </c>
      <c r="AA55" s="36" t="s">
        <v>1630</v>
      </c>
      <c r="AB55" s="58">
        <v>46023.0</v>
      </c>
      <c r="AC55" s="59">
        <v>46387.0</v>
      </c>
      <c r="AD55" s="36" t="s">
        <v>1631</v>
      </c>
      <c r="AE55" s="36" t="s">
        <v>79</v>
      </c>
      <c r="AF55" s="36" t="s">
        <v>165</v>
      </c>
      <c r="AG55" s="36" t="s">
        <v>1635</v>
      </c>
      <c r="AH55" s="51"/>
    </row>
    <row r="56" ht="45.75" customHeight="1">
      <c r="A56" s="36">
        <v>55.0</v>
      </c>
      <c r="B56" s="53" t="s">
        <v>1636</v>
      </c>
      <c r="C56" s="36" t="s">
        <v>188</v>
      </c>
      <c r="D56" s="36" t="s">
        <v>530</v>
      </c>
      <c r="E56" s="36" t="s">
        <v>1638</v>
      </c>
      <c r="F56" s="36" t="s">
        <v>1639</v>
      </c>
      <c r="G56" s="42" t="s">
        <v>1641</v>
      </c>
      <c r="H56" s="36" t="s">
        <v>64</v>
      </c>
      <c r="I56" s="36" t="s">
        <v>1250</v>
      </c>
      <c r="J56" s="36" t="s">
        <v>62</v>
      </c>
      <c r="K56" s="36" t="s">
        <v>63</v>
      </c>
      <c r="L56" s="36">
        <v>173.0</v>
      </c>
      <c r="M56" s="36" t="s">
        <v>1646</v>
      </c>
      <c r="N56" s="36" t="s">
        <v>71</v>
      </c>
      <c r="O56" s="36" t="s">
        <v>72</v>
      </c>
      <c r="P56" s="36" t="s">
        <v>1647</v>
      </c>
      <c r="Q56" s="56">
        <v>3.0</v>
      </c>
      <c r="R56" s="57"/>
      <c r="S56" s="57">
        <v>3.0</v>
      </c>
      <c r="T56" s="36"/>
      <c r="U56" s="36"/>
      <c r="V56" s="36" t="s">
        <v>61</v>
      </c>
      <c r="W56" s="36"/>
      <c r="X56" s="57" t="s">
        <v>74</v>
      </c>
      <c r="Y56" s="36" t="s">
        <v>1648</v>
      </c>
      <c r="Z56" s="36" t="s">
        <v>1649</v>
      </c>
      <c r="AA56" s="36" t="s">
        <v>1650</v>
      </c>
      <c r="AB56" s="58">
        <v>46023.0</v>
      </c>
      <c r="AC56" s="59">
        <v>46387.0</v>
      </c>
      <c r="AD56" s="36" t="s">
        <v>1651</v>
      </c>
      <c r="AE56" s="36" t="s">
        <v>79</v>
      </c>
      <c r="AF56" s="36" t="s">
        <v>61</v>
      </c>
      <c r="AG56" s="36" t="s">
        <v>1654</v>
      </c>
      <c r="AH56" s="51"/>
    </row>
    <row r="57" ht="45.75" customHeight="1">
      <c r="A57" s="36">
        <v>56.0</v>
      </c>
      <c r="B57" s="53" t="s">
        <v>528</v>
      </c>
      <c r="C57" s="36" t="s">
        <v>188</v>
      </c>
      <c r="D57" s="36" t="s">
        <v>530</v>
      </c>
      <c r="E57" s="36" t="s">
        <v>532</v>
      </c>
      <c r="F57" s="36" t="s">
        <v>534</v>
      </c>
      <c r="G57" s="42" t="s">
        <v>537</v>
      </c>
      <c r="H57" s="36" t="s">
        <v>64</v>
      </c>
      <c r="I57" s="36" t="s">
        <v>65</v>
      </c>
      <c r="J57" s="36" t="s">
        <v>62</v>
      </c>
      <c r="K57" s="36" t="s">
        <v>68</v>
      </c>
      <c r="L57" s="36">
        <v>306.0</v>
      </c>
      <c r="M57" s="36" t="s">
        <v>1664</v>
      </c>
      <c r="N57" s="36" t="s">
        <v>71</v>
      </c>
      <c r="O57" s="36" t="s">
        <v>72</v>
      </c>
      <c r="P57" s="36" t="s">
        <v>1666</v>
      </c>
      <c r="Q57" s="56"/>
      <c r="R57" s="57">
        <v>2.0</v>
      </c>
      <c r="S57" s="57">
        <v>2.0</v>
      </c>
      <c r="T57" s="36"/>
      <c r="U57" s="36">
        <v>16.0</v>
      </c>
      <c r="V57" s="36" t="s">
        <v>61</v>
      </c>
      <c r="W57" s="36"/>
      <c r="X57" s="57" t="s">
        <v>93</v>
      </c>
      <c r="Y57" s="36" t="s">
        <v>554</v>
      </c>
      <c r="Z57" s="36" t="s">
        <v>1669</v>
      </c>
      <c r="AA57" s="36" t="s">
        <v>1671</v>
      </c>
      <c r="AB57" s="58">
        <v>46023.0</v>
      </c>
      <c r="AC57" s="59">
        <v>46387.0</v>
      </c>
      <c r="AD57" s="36" t="s">
        <v>1672</v>
      </c>
      <c r="AE57" s="36" t="s">
        <v>79</v>
      </c>
      <c r="AF57" s="36" t="s">
        <v>165</v>
      </c>
      <c r="AG57" s="36" t="s">
        <v>1675</v>
      </c>
      <c r="AH57" s="51"/>
    </row>
    <row r="58" ht="45.75" customHeight="1">
      <c r="A58" s="36">
        <v>57.0</v>
      </c>
      <c r="B58" s="53" t="s">
        <v>1677</v>
      </c>
      <c r="C58" s="36" t="s">
        <v>188</v>
      </c>
      <c r="D58" s="36" t="s">
        <v>530</v>
      </c>
      <c r="E58" s="36" t="s">
        <v>1679</v>
      </c>
      <c r="F58" s="36" t="s">
        <v>1680</v>
      </c>
      <c r="G58" s="42" t="s">
        <v>1682</v>
      </c>
      <c r="H58" s="36" t="s">
        <v>64</v>
      </c>
      <c r="I58" s="36" t="s">
        <v>1250</v>
      </c>
      <c r="J58" s="36" t="s">
        <v>62</v>
      </c>
      <c r="K58" s="36" t="s">
        <v>63</v>
      </c>
      <c r="L58" s="36">
        <v>17.0</v>
      </c>
      <c r="M58" s="36" t="s">
        <v>1688</v>
      </c>
      <c r="N58" s="36" t="s">
        <v>66</v>
      </c>
      <c r="O58" s="36"/>
      <c r="P58" s="36" t="s">
        <v>1691</v>
      </c>
      <c r="Q58" s="56">
        <v>1.0</v>
      </c>
      <c r="R58" s="57"/>
      <c r="S58" s="57">
        <v>1.0</v>
      </c>
      <c r="T58" s="36"/>
      <c r="U58" s="36"/>
      <c r="V58" s="36" t="s">
        <v>61</v>
      </c>
      <c r="W58" s="36"/>
      <c r="X58" s="57" t="s">
        <v>74</v>
      </c>
      <c r="Y58" s="36" t="s">
        <v>1694</v>
      </c>
      <c r="Z58" s="36"/>
      <c r="AA58" s="36" t="s">
        <v>1696</v>
      </c>
      <c r="AB58" s="58">
        <v>46023.0</v>
      </c>
      <c r="AC58" s="59">
        <v>46387.0</v>
      </c>
      <c r="AD58" s="36" t="s">
        <v>1698</v>
      </c>
      <c r="AE58" s="36" t="s">
        <v>79</v>
      </c>
      <c r="AF58" s="36" t="s">
        <v>61</v>
      </c>
      <c r="AG58" s="36"/>
      <c r="AH58" s="51"/>
    </row>
    <row r="59" ht="45.75" customHeight="1">
      <c r="A59" s="36">
        <v>58.0</v>
      </c>
      <c r="B59" s="53" t="s">
        <v>1699</v>
      </c>
      <c r="C59" s="36" t="s">
        <v>188</v>
      </c>
      <c r="D59" s="36" t="s">
        <v>530</v>
      </c>
      <c r="E59" s="36" t="s">
        <v>1700</v>
      </c>
      <c r="F59" s="36" t="s">
        <v>1702</v>
      </c>
      <c r="G59" s="42" t="s">
        <v>1703</v>
      </c>
      <c r="H59" s="36" t="s">
        <v>64</v>
      </c>
      <c r="I59" s="36" t="s">
        <v>1250</v>
      </c>
      <c r="J59" s="36" t="s">
        <v>62</v>
      </c>
      <c r="K59" s="36" t="s">
        <v>63</v>
      </c>
      <c r="L59" s="36">
        <v>15.0</v>
      </c>
      <c r="M59" s="36" t="s">
        <v>1708</v>
      </c>
      <c r="N59" s="36" t="s">
        <v>66</v>
      </c>
      <c r="O59" s="36"/>
      <c r="P59" s="36" t="s">
        <v>1710</v>
      </c>
      <c r="Q59" s="56">
        <v>1.0</v>
      </c>
      <c r="R59" s="57"/>
      <c r="S59" s="57">
        <v>1.0</v>
      </c>
      <c r="T59" s="36"/>
      <c r="U59" s="36"/>
      <c r="V59" s="36" t="s">
        <v>61</v>
      </c>
      <c r="W59" s="36"/>
      <c r="X59" s="57" t="s">
        <v>74</v>
      </c>
      <c r="Y59" s="36" t="s">
        <v>1714</v>
      </c>
      <c r="Z59" s="36">
        <v>9.989963846E9</v>
      </c>
      <c r="AA59" s="36" t="s">
        <v>1716</v>
      </c>
      <c r="AB59" s="58">
        <v>46023.0</v>
      </c>
      <c r="AC59" s="59">
        <v>46387.0</v>
      </c>
      <c r="AD59" s="36" t="s">
        <v>1717</v>
      </c>
      <c r="AE59" s="36" t="s">
        <v>79</v>
      </c>
      <c r="AF59" s="36" t="s">
        <v>61</v>
      </c>
      <c r="AG59" s="36" t="s">
        <v>1719</v>
      </c>
      <c r="AH59" s="51"/>
    </row>
    <row r="60" ht="45.75" customHeight="1">
      <c r="A60" s="36">
        <v>59.0</v>
      </c>
      <c r="B60" s="53" t="s">
        <v>1722</v>
      </c>
      <c r="C60" s="36" t="s">
        <v>188</v>
      </c>
      <c r="D60" s="36" t="s">
        <v>1724</v>
      </c>
      <c r="E60" s="36" t="s">
        <v>1726</v>
      </c>
      <c r="F60" s="36" t="s">
        <v>1729</v>
      </c>
      <c r="G60" s="42" t="s">
        <v>1730</v>
      </c>
      <c r="H60" s="36" t="s">
        <v>64</v>
      </c>
      <c r="I60" s="36" t="s">
        <v>1250</v>
      </c>
      <c r="J60" s="36" t="s">
        <v>62</v>
      </c>
      <c r="K60" s="36" t="s">
        <v>63</v>
      </c>
      <c r="L60" s="36">
        <v>150.0</v>
      </c>
      <c r="M60" s="36" t="s">
        <v>1731</v>
      </c>
      <c r="N60" s="36" t="s">
        <v>71</v>
      </c>
      <c r="O60" s="36" t="s">
        <v>72</v>
      </c>
      <c r="P60" s="36" t="s">
        <v>1732</v>
      </c>
      <c r="Q60" s="56"/>
      <c r="R60" s="57">
        <v>1.0</v>
      </c>
      <c r="S60" s="57">
        <v>1.0</v>
      </c>
      <c r="T60" s="36"/>
      <c r="U60" s="36">
        <v>15.0</v>
      </c>
      <c r="V60" s="36" t="s">
        <v>61</v>
      </c>
      <c r="W60" s="36"/>
      <c r="X60" s="57" t="s">
        <v>93</v>
      </c>
      <c r="Y60" s="36" t="s">
        <v>1735</v>
      </c>
      <c r="Z60" s="36">
        <v>9.976622677E9</v>
      </c>
      <c r="AA60" s="36" t="s">
        <v>1737</v>
      </c>
      <c r="AB60" s="58">
        <v>46023.0</v>
      </c>
      <c r="AC60" s="59">
        <v>46387.0</v>
      </c>
      <c r="AD60" s="36" t="s">
        <v>1738</v>
      </c>
      <c r="AE60" s="36" t="s">
        <v>79</v>
      </c>
      <c r="AF60" s="36" t="s">
        <v>61</v>
      </c>
      <c r="AG60" s="36" t="s">
        <v>1742</v>
      </c>
      <c r="AH60" s="51"/>
    </row>
    <row r="61" ht="45.75" customHeight="1">
      <c r="A61" s="36">
        <v>60.0</v>
      </c>
      <c r="B61" s="53" t="s">
        <v>1744</v>
      </c>
      <c r="C61" s="36" t="s">
        <v>188</v>
      </c>
      <c r="D61" s="36" t="s">
        <v>1724</v>
      </c>
      <c r="E61" s="36" t="s">
        <v>1746</v>
      </c>
      <c r="F61" s="36" t="s">
        <v>1749</v>
      </c>
      <c r="G61" s="42" t="s">
        <v>1751</v>
      </c>
      <c r="H61" s="36" t="s">
        <v>64</v>
      </c>
      <c r="I61" s="36" t="s">
        <v>1250</v>
      </c>
      <c r="J61" s="36" t="s">
        <v>62</v>
      </c>
      <c r="K61" s="36" t="s">
        <v>63</v>
      </c>
      <c r="L61" s="36">
        <v>39.0</v>
      </c>
      <c r="M61" s="36" t="s">
        <v>1758</v>
      </c>
      <c r="N61" s="36" t="s">
        <v>66</v>
      </c>
      <c r="O61" s="36" t="s">
        <v>72</v>
      </c>
      <c r="P61" s="36" t="s">
        <v>1759</v>
      </c>
      <c r="Q61" s="56">
        <v>2.0</v>
      </c>
      <c r="R61" s="57"/>
      <c r="S61" s="57">
        <v>2.0</v>
      </c>
      <c r="T61" s="36"/>
      <c r="U61" s="36"/>
      <c r="V61" s="36" t="s">
        <v>61</v>
      </c>
      <c r="W61" s="36"/>
      <c r="X61" s="57" t="s">
        <v>74</v>
      </c>
      <c r="Y61" s="36" t="s">
        <v>1762</v>
      </c>
      <c r="Z61" s="36" t="s">
        <v>1763</v>
      </c>
      <c r="AA61" s="36" t="s">
        <v>1765</v>
      </c>
      <c r="AB61" s="58">
        <v>46023.0</v>
      </c>
      <c r="AC61" s="59">
        <v>46387.0</v>
      </c>
      <c r="AD61" s="36" t="s">
        <v>1767</v>
      </c>
      <c r="AE61" s="36" t="s">
        <v>79</v>
      </c>
      <c r="AF61" s="36" t="s">
        <v>61</v>
      </c>
      <c r="AG61" s="36" t="s">
        <v>1771</v>
      </c>
      <c r="AH61" s="51"/>
    </row>
    <row r="62" ht="45.75" customHeight="1">
      <c r="A62" s="36">
        <v>61.0</v>
      </c>
      <c r="B62" s="53" t="s">
        <v>1774</v>
      </c>
      <c r="C62" s="36" t="s">
        <v>265</v>
      </c>
      <c r="D62" s="36" t="s">
        <v>1776</v>
      </c>
      <c r="E62" s="36" t="s">
        <v>1777</v>
      </c>
      <c r="F62" s="36" t="s">
        <v>1779</v>
      </c>
      <c r="G62" s="42" t="s">
        <v>1780</v>
      </c>
      <c r="H62" s="36" t="s">
        <v>64</v>
      </c>
      <c r="I62" s="36" t="s">
        <v>155</v>
      </c>
      <c r="J62" s="36" t="s">
        <v>62</v>
      </c>
      <c r="K62" s="36" t="s">
        <v>63</v>
      </c>
      <c r="L62" s="36">
        <v>66.0</v>
      </c>
      <c r="M62" s="36" t="s">
        <v>1781</v>
      </c>
      <c r="N62" s="36" t="s">
        <v>66</v>
      </c>
      <c r="O62" s="36" t="s">
        <v>67</v>
      </c>
      <c r="P62" s="36" t="s">
        <v>1782</v>
      </c>
      <c r="Q62" s="56">
        <v>2.0</v>
      </c>
      <c r="R62" s="57" t="s">
        <v>61</v>
      </c>
      <c r="S62" s="57">
        <v>2.0</v>
      </c>
      <c r="T62" s="36" t="s">
        <v>61</v>
      </c>
      <c r="U62" s="36">
        <v>4.0</v>
      </c>
      <c r="V62" s="36" t="s">
        <v>1783</v>
      </c>
      <c r="W62" s="36" t="s">
        <v>61</v>
      </c>
      <c r="X62" s="57" t="s">
        <v>74</v>
      </c>
      <c r="Y62" s="36" t="s">
        <v>1785</v>
      </c>
      <c r="Z62" s="36" t="s">
        <v>1786</v>
      </c>
      <c r="AA62" s="36" t="s">
        <v>1787</v>
      </c>
      <c r="AB62" s="58">
        <v>46023.0</v>
      </c>
      <c r="AC62" s="59">
        <v>46387.0</v>
      </c>
      <c r="AD62" s="36" t="s">
        <v>1789</v>
      </c>
      <c r="AE62" s="36" t="s">
        <v>79</v>
      </c>
      <c r="AF62" s="36" t="s">
        <v>61</v>
      </c>
      <c r="AG62" s="36" t="s">
        <v>1790</v>
      </c>
      <c r="AH62" s="51"/>
    </row>
    <row r="63" ht="45.75" customHeight="1">
      <c r="A63" s="36">
        <v>62.0</v>
      </c>
      <c r="B63" s="53" t="s">
        <v>1792</v>
      </c>
      <c r="C63" s="36" t="s">
        <v>265</v>
      </c>
      <c r="D63" s="36" t="s">
        <v>579</v>
      </c>
      <c r="E63" s="36" t="s">
        <v>580</v>
      </c>
      <c r="F63" s="36" t="s">
        <v>583</v>
      </c>
      <c r="G63" s="42" t="s">
        <v>585</v>
      </c>
      <c r="H63" s="36" t="s">
        <v>64</v>
      </c>
      <c r="I63" s="36" t="s">
        <v>65</v>
      </c>
      <c r="J63" s="36" t="s">
        <v>62</v>
      </c>
      <c r="K63" s="36" t="s">
        <v>68</v>
      </c>
      <c r="L63" s="36">
        <v>607.0</v>
      </c>
      <c r="M63" s="36" t="s">
        <v>1797</v>
      </c>
      <c r="N63" s="36" t="s">
        <v>71</v>
      </c>
      <c r="O63" s="36" t="s">
        <v>72</v>
      </c>
      <c r="P63" s="36" t="s">
        <v>1801</v>
      </c>
      <c r="Q63" s="56">
        <v>0.0</v>
      </c>
      <c r="R63" s="57">
        <v>4.0</v>
      </c>
      <c r="S63" s="57">
        <v>4.0</v>
      </c>
      <c r="T63" s="36" t="s">
        <v>61</v>
      </c>
      <c r="U63" s="36">
        <v>40.0</v>
      </c>
      <c r="V63" s="36" t="s">
        <v>585</v>
      </c>
      <c r="W63" s="36" t="s">
        <v>61</v>
      </c>
      <c r="X63" s="57" t="s">
        <v>93</v>
      </c>
      <c r="Y63" s="36" t="s">
        <v>628</v>
      </c>
      <c r="Z63" s="36" t="s">
        <v>629</v>
      </c>
      <c r="AA63" s="36" t="s">
        <v>1803</v>
      </c>
      <c r="AB63" s="58">
        <v>46023.0</v>
      </c>
      <c r="AC63" s="59">
        <v>46387.0</v>
      </c>
      <c r="AD63" s="36" t="s">
        <v>1805</v>
      </c>
      <c r="AE63" s="36" t="s">
        <v>79</v>
      </c>
      <c r="AF63" s="36" t="s">
        <v>61</v>
      </c>
      <c r="AG63" s="36"/>
      <c r="AH63" s="51"/>
    </row>
    <row r="64" ht="45.75" customHeight="1">
      <c r="A64" s="36">
        <v>63.0</v>
      </c>
      <c r="B64" s="53" t="s">
        <v>1808</v>
      </c>
      <c r="C64" s="36" t="s">
        <v>265</v>
      </c>
      <c r="D64" s="36" t="s">
        <v>579</v>
      </c>
      <c r="E64" s="36" t="s">
        <v>1809</v>
      </c>
      <c r="F64" s="36" t="s">
        <v>1810</v>
      </c>
      <c r="G64" s="42" t="s">
        <v>1812</v>
      </c>
      <c r="H64" s="36" t="s">
        <v>64</v>
      </c>
      <c r="I64" s="36" t="s">
        <v>155</v>
      </c>
      <c r="J64" s="36" t="s">
        <v>62</v>
      </c>
      <c r="K64" s="36" t="s">
        <v>63</v>
      </c>
      <c r="L64" s="36">
        <v>100.0</v>
      </c>
      <c r="M64" s="36" t="s">
        <v>1814</v>
      </c>
      <c r="N64" s="36" t="s">
        <v>66</v>
      </c>
      <c r="O64" s="36" t="s">
        <v>67</v>
      </c>
      <c r="P64" s="36" t="s">
        <v>1815</v>
      </c>
      <c r="Q64" s="56">
        <v>1.0</v>
      </c>
      <c r="R64" s="57">
        <v>1.0</v>
      </c>
      <c r="S64" s="57">
        <v>2.0</v>
      </c>
      <c r="T64" s="36" t="s">
        <v>61</v>
      </c>
      <c r="U64" s="36">
        <v>6.0</v>
      </c>
      <c r="V64" s="36" t="s">
        <v>1812</v>
      </c>
      <c r="W64" s="36" t="s">
        <v>61</v>
      </c>
      <c r="X64" s="57" t="s">
        <v>74</v>
      </c>
      <c r="Y64" s="36" t="s">
        <v>1817</v>
      </c>
      <c r="Z64" s="36" t="s">
        <v>1818</v>
      </c>
      <c r="AA64" s="36" t="s">
        <v>1819</v>
      </c>
      <c r="AB64" s="58">
        <v>46023.0</v>
      </c>
      <c r="AC64" s="59">
        <v>46387.0</v>
      </c>
      <c r="AD64" s="36" t="s">
        <v>1821</v>
      </c>
      <c r="AE64" s="36" t="s">
        <v>79</v>
      </c>
      <c r="AF64" s="36" t="s">
        <v>61</v>
      </c>
      <c r="AG64" s="36" t="s">
        <v>1790</v>
      </c>
      <c r="AH64" s="51"/>
    </row>
    <row r="65" ht="45.75" customHeight="1">
      <c r="A65" s="36">
        <v>64.0</v>
      </c>
      <c r="B65" s="53" t="s">
        <v>1825</v>
      </c>
      <c r="C65" s="36" t="s">
        <v>265</v>
      </c>
      <c r="D65" s="36" t="s">
        <v>579</v>
      </c>
      <c r="E65" s="36" t="s">
        <v>651</v>
      </c>
      <c r="F65" s="36" t="s">
        <v>1826</v>
      </c>
      <c r="G65" s="42" t="s">
        <v>1827</v>
      </c>
      <c r="H65" s="36" t="s">
        <v>64</v>
      </c>
      <c r="I65" s="36" t="s">
        <v>65</v>
      </c>
      <c r="J65" s="36" t="s">
        <v>62</v>
      </c>
      <c r="K65" s="36" t="s">
        <v>63</v>
      </c>
      <c r="L65" s="36">
        <v>25.0</v>
      </c>
      <c r="M65" s="36" t="s">
        <v>1831</v>
      </c>
      <c r="N65" s="36" t="s">
        <v>66</v>
      </c>
      <c r="O65" s="36" t="s">
        <v>67</v>
      </c>
      <c r="P65" s="36" t="s">
        <v>1833</v>
      </c>
      <c r="Q65" s="56">
        <v>1.0</v>
      </c>
      <c r="R65" s="57" t="s">
        <v>61</v>
      </c>
      <c r="S65" s="57">
        <v>1.0</v>
      </c>
      <c r="T65" s="36" t="s">
        <v>61</v>
      </c>
      <c r="U65" s="36" t="s">
        <v>61</v>
      </c>
      <c r="V65" s="36" t="s">
        <v>61</v>
      </c>
      <c r="W65" s="36" t="s">
        <v>61</v>
      </c>
      <c r="X65" s="57" t="s">
        <v>74</v>
      </c>
      <c r="Y65" s="36" t="s">
        <v>1834</v>
      </c>
      <c r="Z65" s="36" t="s">
        <v>1836</v>
      </c>
      <c r="AA65" s="36" t="s">
        <v>1838</v>
      </c>
      <c r="AB65" s="58">
        <v>46023.0</v>
      </c>
      <c r="AC65" s="59">
        <v>46387.0</v>
      </c>
      <c r="AD65" s="36" t="s">
        <v>1839</v>
      </c>
      <c r="AE65" s="36" t="s">
        <v>79</v>
      </c>
      <c r="AF65" s="36" t="s">
        <v>61</v>
      </c>
      <c r="AG65" s="51"/>
      <c r="AH65" s="51"/>
    </row>
    <row r="66" ht="45.75" customHeight="1">
      <c r="A66" s="36">
        <v>65.0</v>
      </c>
      <c r="B66" s="53" t="s">
        <v>1841</v>
      </c>
      <c r="C66" s="36" t="s">
        <v>265</v>
      </c>
      <c r="D66" s="36" t="s">
        <v>579</v>
      </c>
      <c r="E66" s="36" t="s">
        <v>651</v>
      </c>
      <c r="F66" s="36" t="s">
        <v>652</v>
      </c>
      <c r="G66" s="42" t="s">
        <v>658</v>
      </c>
      <c r="H66" s="36" t="s">
        <v>64</v>
      </c>
      <c r="I66" s="36" t="s">
        <v>65</v>
      </c>
      <c r="J66" s="36" t="s">
        <v>663</v>
      </c>
      <c r="K66" s="36" t="s">
        <v>63</v>
      </c>
      <c r="L66" s="36">
        <v>18.0</v>
      </c>
      <c r="M66" s="36" t="s">
        <v>1850</v>
      </c>
      <c r="N66" s="36" t="s">
        <v>66</v>
      </c>
      <c r="O66" s="36" t="s">
        <v>67</v>
      </c>
      <c r="P66" s="36" t="s">
        <v>673</v>
      </c>
      <c r="Q66" s="56">
        <v>2.0</v>
      </c>
      <c r="R66" s="57">
        <v>0.0</v>
      </c>
      <c r="S66" s="57">
        <v>2.0</v>
      </c>
      <c r="T66" s="36" t="s">
        <v>61</v>
      </c>
      <c r="U66" s="36">
        <v>0.0</v>
      </c>
      <c r="V66" s="36" t="s">
        <v>61</v>
      </c>
      <c r="W66" s="36" t="s">
        <v>61</v>
      </c>
      <c r="X66" s="57" t="s">
        <v>74</v>
      </c>
      <c r="Y66" s="36" t="s">
        <v>1854</v>
      </c>
      <c r="Z66" s="36" t="s">
        <v>691</v>
      </c>
      <c r="AA66" s="36" t="s">
        <v>1855</v>
      </c>
      <c r="AB66" s="58">
        <v>46023.0</v>
      </c>
      <c r="AC66" s="59">
        <v>46387.0</v>
      </c>
      <c r="AD66" s="36" t="s">
        <v>1857</v>
      </c>
      <c r="AE66" s="36" t="s">
        <v>79</v>
      </c>
      <c r="AF66" s="36" t="s">
        <v>61</v>
      </c>
      <c r="AG66" s="51"/>
      <c r="AH66" s="51"/>
    </row>
    <row r="67" ht="45.75" customHeight="1">
      <c r="A67" s="36">
        <v>66.0</v>
      </c>
      <c r="B67" s="53" t="s">
        <v>1859</v>
      </c>
      <c r="C67" s="36" t="s">
        <v>265</v>
      </c>
      <c r="D67" s="36" t="s">
        <v>579</v>
      </c>
      <c r="E67" s="36" t="s">
        <v>1860</v>
      </c>
      <c r="F67" s="36" t="s">
        <v>1861</v>
      </c>
      <c r="G67" s="42" t="s">
        <v>1863</v>
      </c>
      <c r="H67" s="36" t="s">
        <v>64</v>
      </c>
      <c r="I67" s="36" t="s">
        <v>155</v>
      </c>
      <c r="J67" s="36" t="s">
        <v>62</v>
      </c>
      <c r="K67" s="36" t="s">
        <v>63</v>
      </c>
      <c r="L67" s="36">
        <v>50.0</v>
      </c>
      <c r="M67" s="36" t="s">
        <v>1831</v>
      </c>
      <c r="N67" s="36" t="s">
        <v>66</v>
      </c>
      <c r="O67" s="36" t="s">
        <v>67</v>
      </c>
      <c r="P67" s="36" t="s">
        <v>1872</v>
      </c>
      <c r="Q67" s="56">
        <v>2.0</v>
      </c>
      <c r="R67" s="57" t="s">
        <v>61</v>
      </c>
      <c r="S67" s="57">
        <v>2.0</v>
      </c>
      <c r="T67" s="36" t="s">
        <v>61</v>
      </c>
      <c r="U67" s="36" t="s">
        <v>61</v>
      </c>
      <c r="V67" s="36" t="s">
        <v>61</v>
      </c>
      <c r="W67" s="36" t="s">
        <v>61</v>
      </c>
      <c r="X67" s="57" t="s">
        <v>74</v>
      </c>
      <c r="Y67" s="36" t="s">
        <v>1875</v>
      </c>
      <c r="Z67" s="36" t="s">
        <v>1876</v>
      </c>
      <c r="AA67" s="36" t="s">
        <v>1878</v>
      </c>
      <c r="AB67" s="58">
        <v>46023.0</v>
      </c>
      <c r="AC67" s="59">
        <v>46387.0</v>
      </c>
      <c r="AD67" s="36" t="s">
        <v>1879</v>
      </c>
      <c r="AE67" s="36" t="s">
        <v>79</v>
      </c>
      <c r="AF67" s="36" t="s">
        <v>1066</v>
      </c>
      <c r="AG67" s="36" t="s">
        <v>1880</v>
      </c>
      <c r="AH67" s="51"/>
    </row>
    <row r="68" ht="45.75" customHeight="1">
      <c r="A68" s="36">
        <v>67.0</v>
      </c>
      <c r="B68" s="53" t="s">
        <v>1881</v>
      </c>
      <c r="C68" s="36" t="s">
        <v>265</v>
      </c>
      <c r="D68" s="36" t="s">
        <v>709</v>
      </c>
      <c r="E68" s="36" t="s">
        <v>1882</v>
      </c>
      <c r="F68" s="36" t="s">
        <v>1884</v>
      </c>
      <c r="G68" s="42" t="s">
        <v>1885</v>
      </c>
      <c r="H68" s="36" t="s">
        <v>64</v>
      </c>
      <c r="I68" s="36" t="s">
        <v>155</v>
      </c>
      <c r="J68" s="36" t="s">
        <v>62</v>
      </c>
      <c r="K68" s="36" t="s">
        <v>63</v>
      </c>
      <c r="L68" s="36">
        <v>100.0</v>
      </c>
      <c r="M68" s="36" t="s">
        <v>1888</v>
      </c>
      <c r="N68" s="36" t="s">
        <v>66</v>
      </c>
      <c r="O68" s="36" t="s">
        <v>72</v>
      </c>
      <c r="P68" s="36" t="s">
        <v>1891</v>
      </c>
      <c r="Q68" s="56">
        <v>2.0</v>
      </c>
      <c r="R68" s="57">
        <v>0.0</v>
      </c>
      <c r="S68" s="57">
        <v>2.0</v>
      </c>
      <c r="T68" s="36" t="s">
        <v>61</v>
      </c>
      <c r="U68" s="36">
        <v>0.0</v>
      </c>
      <c r="V68" s="36" t="s">
        <v>61</v>
      </c>
      <c r="W68" s="36" t="s">
        <v>61</v>
      </c>
      <c r="X68" s="57" t="s">
        <v>74</v>
      </c>
      <c r="Y68" s="36" t="s">
        <v>1893</v>
      </c>
      <c r="Z68" s="36" t="s">
        <v>1894</v>
      </c>
      <c r="AA68" s="36" t="s">
        <v>1895</v>
      </c>
      <c r="AB68" s="58">
        <v>46023.0</v>
      </c>
      <c r="AC68" s="59">
        <v>46387.0</v>
      </c>
      <c r="AD68" s="36" t="s">
        <v>1896</v>
      </c>
      <c r="AE68" s="36" t="s">
        <v>79</v>
      </c>
      <c r="AF68" s="36" t="s">
        <v>61</v>
      </c>
      <c r="AG68" s="36"/>
      <c r="AH68" s="51"/>
    </row>
    <row r="69" ht="45.75" customHeight="1">
      <c r="A69" s="36">
        <v>68.0</v>
      </c>
      <c r="B69" s="53" t="s">
        <v>1899</v>
      </c>
      <c r="C69" s="36" t="s">
        <v>265</v>
      </c>
      <c r="D69" s="36" t="s">
        <v>709</v>
      </c>
      <c r="E69" s="36" t="s">
        <v>710</v>
      </c>
      <c r="F69" s="36" t="s">
        <v>712</v>
      </c>
      <c r="G69" s="42" t="s">
        <v>713</v>
      </c>
      <c r="H69" s="36" t="s">
        <v>64</v>
      </c>
      <c r="I69" s="36" t="s">
        <v>65</v>
      </c>
      <c r="J69" s="36" t="s">
        <v>62</v>
      </c>
      <c r="K69" s="36" t="s">
        <v>111</v>
      </c>
      <c r="L69" s="36">
        <v>100.0</v>
      </c>
      <c r="M69" s="36" t="s">
        <v>1901</v>
      </c>
      <c r="N69" s="36" t="s">
        <v>66</v>
      </c>
      <c r="O69" s="36" t="s">
        <v>67</v>
      </c>
      <c r="P69" s="36" t="s">
        <v>1903</v>
      </c>
      <c r="Q69" s="56">
        <v>1.0</v>
      </c>
      <c r="R69" s="57">
        <v>1.0</v>
      </c>
      <c r="S69" s="57">
        <v>2.0</v>
      </c>
      <c r="T69" s="36" t="s">
        <v>61</v>
      </c>
      <c r="U69" s="36">
        <v>0.0</v>
      </c>
      <c r="V69" s="36" t="s">
        <v>61</v>
      </c>
      <c r="W69" s="36" t="s">
        <v>61</v>
      </c>
      <c r="X69" s="57" t="s">
        <v>74</v>
      </c>
      <c r="Y69" s="36" t="s">
        <v>754</v>
      </c>
      <c r="Z69" s="36">
        <v>9.452789718E9</v>
      </c>
      <c r="AA69" s="36" t="s">
        <v>1908</v>
      </c>
      <c r="AB69" s="58">
        <v>46023.0</v>
      </c>
      <c r="AC69" s="59">
        <v>46387.0</v>
      </c>
      <c r="AD69" s="36" t="s">
        <v>1910</v>
      </c>
      <c r="AE69" s="36" t="s">
        <v>79</v>
      </c>
      <c r="AF69" s="36" t="s">
        <v>61</v>
      </c>
      <c r="AG69" s="51"/>
      <c r="AH69" s="51"/>
    </row>
    <row r="70" ht="45.75" customHeight="1">
      <c r="A70" s="36">
        <v>69.0</v>
      </c>
      <c r="B70" s="53" t="s">
        <v>1912</v>
      </c>
      <c r="C70" s="36" t="s">
        <v>265</v>
      </c>
      <c r="D70" s="36" t="s">
        <v>709</v>
      </c>
      <c r="E70" s="36" t="s">
        <v>1913</v>
      </c>
      <c r="F70" s="36" t="s">
        <v>1915</v>
      </c>
      <c r="G70" s="42" t="s">
        <v>1916</v>
      </c>
      <c r="H70" s="36" t="s">
        <v>64</v>
      </c>
      <c r="I70" s="36" t="s">
        <v>155</v>
      </c>
      <c r="J70" s="36" t="s">
        <v>62</v>
      </c>
      <c r="K70" s="36" t="s">
        <v>63</v>
      </c>
      <c r="L70" s="36">
        <v>25.0</v>
      </c>
      <c r="M70" s="36" t="s">
        <v>1918</v>
      </c>
      <c r="N70" s="36" t="s">
        <v>66</v>
      </c>
      <c r="O70" s="36" t="s">
        <v>67</v>
      </c>
      <c r="P70" s="36" t="s">
        <v>1919</v>
      </c>
      <c r="Q70" s="56">
        <v>1.0</v>
      </c>
      <c r="R70" s="57">
        <v>0.0</v>
      </c>
      <c r="S70" s="57">
        <v>1.0</v>
      </c>
      <c r="T70" s="36" t="s">
        <v>61</v>
      </c>
      <c r="U70" s="36">
        <v>0.0</v>
      </c>
      <c r="V70" s="36" t="s">
        <v>61</v>
      </c>
      <c r="W70" s="36" t="s">
        <v>61</v>
      </c>
      <c r="X70" s="57" t="s">
        <v>74</v>
      </c>
      <c r="Y70" s="36" t="s">
        <v>1922</v>
      </c>
      <c r="Z70" s="36" t="s">
        <v>1923</v>
      </c>
      <c r="AA70" s="36" t="s">
        <v>1924</v>
      </c>
      <c r="AB70" s="58">
        <v>46023.0</v>
      </c>
      <c r="AC70" s="59">
        <v>46387.0</v>
      </c>
      <c r="AD70" s="36" t="s">
        <v>1926</v>
      </c>
      <c r="AE70" s="36" t="s">
        <v>79</v>
      </c>
      <c r="AF70" s="36" t="s">
        <v>61</v>
      </c>
      <c r="AG70" s="51"/>
      <c r="AH70" s="51"/>
    </row>
    <row r="71" ht="45.75" customHeight="1">
      <c r="A71" s="36">
        <v>70.0</v>
      </c>
      <c r="B71" s="36">
        <v>440.0</v>
      </c>
      <c r="C71" s="36" t="s">
        <v>265</v>
      </c>
      <c r="D71" s="36" t="s">
        <v>709</v>
      </c>
      <c r="E71" s="36" t="s">
        <v>1930</v>
      </c>
      <c r="F71" s="36" t="s">
        <v>1931</v>
      </c>
      <c r="G71" s="42" t="s">
        <v>1933</v>
      </c>
      <c r="H71" s="36" t="s">
        <v>64</v>
      </c>
      <c r="I71" s="36" t="s">
        <v>155</v>
      </c>
      <c r="J71" s="36" t="s">
        <v>62</v>
      </c>
      <c r="K71" s="36" t="s">
        <v>63</v>
      </c>
      <c r="L71" s="36">
        <v>25.0</v>
      </c>
      <c r="M71" s="36" t="s">
        <v>1936</v>
      </c>
      <c r="N71" s="36" t="s">
        <v>66</v>
      </c>
      <c r="O71" s="36" t="s">
        <v>67</v>
      </c>
      <c r="P71" s="36" t="s">
        <v>1937</v>
      </c>
      <c r="Q71" s="56">
        <v>1.0</v>
      </c>
      <c r="R71" s="57">
        <v>0.0</v>
      </c>
      <c r="S71" s="57">
        <v>1.0</v>
      </c>
      <c r="T71" s="36" t="s">
        <v>61</v>
      </c>
      <c r="U71" s="36">
        <v>0.0</v>
      </c>
      <c r="V71" s="36" t="s">
        <v>61</v>
      </c>
      <c r="W71" s="36" t="s">
        <v>61</v>
      </c>
      <c r="X71" s="57" t="s">
        <v>74</v>
      </c>
      <c r="Y71" s="36" t="s">
        <v>1939</v>
      </c>
      <c r="Z71" s="36" t="s">
        <v>1940</v>
      </c>
      <c r="AA71" s="36" t="s">
        <v>1942</v>
      </c>
      <c r="AB71" s="58">
        <v>46023.0</v>
      </c>
      <c r="AC71" s="59">
        <v>46387.0</v>
      </c>
      <c r="AD71" s="36" t="s">
        <v>1943</v>
      </c>
      <c r="AE71" s="36" t="s">
        <v>79</v>
      </c>
      <c r="AF71" s="36" t="s">
        <v>61</v>
      </c>
      <c r="AG71" s="36"/>
      <c r="AH71" s="51"/>
    </row>
    <row r="72" ht="45.75" customHeight="1">
      <c r="A72" s="36">
        <v>71.0</v>
      </c>
      <c r="B72" s="53" t="s">
        <v>1945</v>
      </c>
      <c r="C72" s="36" t="s">
        <v>265</v>
      </c>
      <c r="D72" s="36" t="s">
        <v>709</v>
      </c>
      <c r="E72" s="36" t="s">
        <v>1948</v>
      </c>
      <c r="F72" s="36" t="s">
        <v>1949</v>
      </c>
      <c r="G72" s="42" t="s">
        <v>1951</v>
      </c>
      <c r="H72" s="36" t="s">
        <v>64</v>
      </c>
      <c r="I72" s="36" t="s">
        <v>155</v>
      </c>
      <c r="J72" s="36" t="s">
        <v>62</v>
      </c>
      <c r="K72" s="36" t="s">
        <v>63</v>
      </c>
      <c r="L72" s="36">
        <v>32.0</v>
      </c>
      <c r="M72" s="36" t="s">
        <v>1936</v>
      </c>
      <c r="N72" s="36" t="s">
        <v>66</v>
      </c>
      <c r="O72" s="36" t="s">
        <v>67</v>
      </c>
      <c r="P72" s="36" t="s">
        <v>1956</v>
      </c>
      <c r="Q72" s="36">
        <v>2.0</v>
      </c>
      <c r="R72" s="36">
        <v>0.0</v>
      </c>
      <c r="S72" s="36">
        <v>2.0</v>
      </c>
      <c r="T72" s="36" t="s">
        <v>61</v>
      </c>
      <c r="U72" s="56">
        <v>0.0</v>
      </c>
      <c r="V72" s="57" t="s">
        <v>61</v>
      </c>
      <c r="W72" s="36" t="s">
        <v>61</v>
      </c>
      <c r="X72" s="36" t="s">
        <v>74</v>
      </c>
      <c r="Y72" s="36" t="s">
        <v>1958</v>
      </c>
      <c r="Z72" s="36" t="s">
        <v>1959</v>
      </c>
      <c r="AA72" s="36" t="s">
        <v>1961</v>
      </c>
      <c r="AB72" s="58">
        <v>46023.0</v>
      </c>
      <c r="AC72" s="59">
        <v>46387.0</v>
      </c>
      <c r="AD72" s="36" t="s">
        <v>1962</v>
      </c>
      <c r="AE72" s="36" t="s">
        <v>79</v>
      </c>
      <c r="AF72" s="36" t="s">
        <v>61</v>
      </c>
      <c r="AG72" s="39"/>
      <c r="AH72" s="51"/>
    </row>
    <row r="73" ht="45.75" customHeight="1">
      <c r="A73" s="36">
        <v>72.0</v>
      </c>
      <c r="B73" s="36">
        <v>2121.0</v>
      </c>
      <c r="C73" s="36" t="s">
        <v>265</v>
      </c>
      <c r="D73" s="36" t="s">
        <v>709</v>
      </c>
      <c r="E73" s="36" t="s">
        <v>1971</v>
      </c>
      <c r="F73" s="36" t="s">
        <v>1972</v>
      </c>
      <c r="G73" s="42" t="s">
        <v>1973</v>
      </c>
      <c r="H73" s="36" t="s">
        <v>64</v>
      </c>
      <c r="I73" s="36" t="s">
        <v>155</v>
      </c>
      <c r="J73" s="36" t="s">
        <v>62</v>
      </c>
      <c r="K73" s="36" t="s">
        <v>63</v>
      </c>
      <c r="L73" s="36">
        <v>50.0</v>
      </c>
      <c r="M73" s="36" t="s">
        <v>1976</v>
      </c>
      <c r="N73" s="36" t="s">
        <v>66</v>
      </c>
      <c r="O73" s="36" t="s">
        <v>67</v>
      </c>
      <c r="P73" s="36" t="s">
        <v>1978</v>
      </c>
      <c r="Q73" s="56">
        <v>1.0</v>
      </c>
      <c r="R73" s="57">
        <v>0.0</v>
      </c>
      <c r="S73" s="57">
        <v>1.0</v>
      </c>
      <c r="T73" s="36" t="s">
        <v>61</v>
      </c>
      <c r="U73" s="36">
        <v>0.0</v>
      </c>
      <c r="V73" s="36" t="s">
        <v>61</v>
      </c>
      <c r="W73" s="36" t="s">
        <v>61</v>
      </c>
      <c r="X73" s="57" t="s">
        <v>74</v>
      </c>
      <c r="Y73" s="36" t="s">
        <v>1979</v>
      </c>
      <c r="Z73" s="36" t="s">
        <v>1981</v>
      </c>
      <c r="AA73" s="36" t="s">
        <v>1982</v>
      </c>
      <c r="AB73" s="58">
        <v>46023.0</v>
      </c>
      <c r="AC73" s="59">
        <v>46387.0</v>
      </c>
      <c r="AD73" s="36" t="s">
        <v>1985</v>
      </c>
      <c r="AE73" s="36" t="s">
        <v>79</v>
      </c>
      <c r="AF73" s="36" t="s">
        <v>61</v>
      </c>
      <c r="AG73" s="51"/>
      <c r="AH73" s="40"/>
    </row>
    <row r="74" ht="45.75" customHeight="1">
      <c r="A74" s="36">
        <v>73.0</v>
      </c>
      <c r="B74" s="36">
        <v>4460.0</v>
      </c>
      <c r="C74" s="36" t="s">
        <v>265</v>
      </c>
      <c r="D74" s="36" t="s">
        <v>709</v>
      </c>
      <c r="E74" s="36" t="s">
        <v>1988</v>
      </c>
      <c r="F74" s="36" t="s">
        <v>1989</v>
      </c>
      <c r="G74" s="42" t="s">
        <v>1991</v>
      </c>
      <c r="H74" s="36" t="s">
        <v>64</v>
      </c>
      <c r="I74" s="36" t="s">
        <v>155</v>
      </c>
      <c r="J74" s="36" t="s">
        <v>62</v>
      </c>
      <c r="K74" s="36" t="s">
        <v>68</v>
      </c>
      <c r="L74" s="36">
        <v>300.0</v>
      </c>
      <c r="M74" s="36" t="s">
        <v>1994</v>
      </c>
      <c r="N74" s="36" t="s">
        <v>221</v>
      </c>
      <c r="O74" s="36" t="s">
        <v>72</v>
      </c>
      <c r="P74" s="36" t="s">
        <v>1995</v>
      </c>
      <c r="Q74" s="56">
        <v>1.0</v>
      </c>
      <c r="R74" s="57">
        <v>1.0</v>
      </c>
      <c r="S74" s="57">
        <v>2.0</v>
      </c>
      <c r="T74" s="36" t="s">
        <v>61</v>
      </c>
      <c r="U74" s="36">
        <v>35.0</v>
      </c>
      <c r="V74" s="36" t="s">
        <v>1991</v>
      </c>
      <c r="W74" s="36" t="s">
        <v>61</v>
      </c>
      <c r="X74" s="57" t="s">
        <v>93</v>
      </c>
      <c r="Y74" s="36" t="s">
        <v>1996</v>
      </c>
      <c r="Z74" s="36" t="s">
        <v>1997</v>
      </c>
      <c r="AA74" s="36" t="s">
        <v>1998</v>
      </c>
      <c r="AB74" s="58">
        <v>46023.0</v>
      </c>
      <c r="AC74" s="59">
        <v>46387.0</v>
      </c>
      <c r="AD74" s="36" t="s">
        <v>2000</v>
      </c>
      <c r="AE74" s="36" t="s">
        <v>79</v>
      </c>
      <c r="AF74" s="36" t="s">
        <v>61</v>
      </c>
      <c r="AG74" s="36" t="s">
        <v>1790</v>
      </c>
      <c r="AH74" s="40"/>
    </row>
    <row r="75" ht="45.75" customHeight="1">
      <c r="A75" s="36">
        <v>74.0</v>
      </c>
      <c r="B75" s="53" t="s">
        <v>2002</v>
      </c>
      <c r="C75" s="36" t="s">
        <v>265</v>
      </c>
      <c r="D75" s="36" t="s">
        <v>709</v>
      </c>
      <c r="E75" s="36" t="s">
        <v>2005</v>
      </c>
      <c r="F75" s="36" t="s">
        <v>2007</v>
      </c>
      <c r="G75" s="42" t="s">
        <v>2008</v>
      </c>
      <c r="H75" s="36" t="s">
        <v>64</v>
      </c>
      <c r="I75" s="36" t="s">
        <v>155</v>
      </c>
      <c r="J75" s="36" t="s">
        <v>62</v>
      </c>
      <c r="K75" s="36" t="s">
        <v>63</v>
      </c>
      <c r="L75" s="36">
        <v>25.0</v>
      </c>
      <c r="M75" s="36" t="s">
        <v>1831</v>
      </c>
      <c r="N75" s="36" t="s">
        <v>66</v>
      </c>
      <c r="O75" s="36" t="s">
        <v>67</v>
      </c>
      <c r="P75" s="36" t="s">
        <v>2011</v>
      </c>
      <c r="Q75" s="36">
        <v>1.0</v>
      </c>
      <c r="R75" s="36" t="s">
        <v>61</v>
      </c>
      <c r="S75" s="36">
        <v>1.0</v>
      </c>
      <c r="T75" s="36" t="s">
        <v>61</v>
      </c>
      <c r="U75" s="56">
        <v>0.0</v>
      </c>
      <c r="V75" s="57" t="s">
        <v>61</v>
      </c>
      <c r="W75" s="36" t="s">
        <v>61</v>
      </c>
      <c r="X75" s="36" t="s">
        <v>74</v>
      </c>
      <c r="Y75" s="36" t="s">
        <v>2015</v>
      </c>
      <c r="Z75" s="36" t="s">
        <v>2016</v>
      </c>
      <c r="AA75" s="36" t="s">
        <v>2017</v>
      </c>
      <c r="AB75" s="58">
        <v>46044.0</v>
      </c>
      <c r="AC75" s="59">
        <v>46387.0</v>
      </c>
      <c r="AD75" s="36" t="s">
        <v>2018</v>
      </c>
      <c r="AE75" s="36" t="s">
        <v>79</v>
      </c>
      <c r="AF75" s="36" t="s">
        <v>61</v>
      </c>
      <c r="AG75" s="36" t="s">
        <v>2020</v>
      </c>
      <c r="AH75" s="40"/>
    </row>
    <row r="76" ht="45.75" customHeight="1">
      <c r="A76" s="36">
        <v>75.0</v>
      </c>
      <c r="B76" s="53" t="s">
        <v>2022</v>
      </c>
      <c r="C76" s="36" t="s">
        <v>265</v>
      </c>
      <c r="D76" s="36" t="s">
        <v>709</v>
      </c>
      <c r="E76" s="36" t="s">
        <v>2023</v>
      </c>
      <c r="F76" s="36" t="s">
        <v>2024</v>
      </c>
      <c r="G76" s="42" t="s">
        <v>2026</v>
      </c>
      <c r="H76" s="36" t="s">
        <v>64</v>
      </c>
      <c r="I76" s="36" t="s">
        <v>155</v>
      </c>
      <c r="J76" s="36" t="s">
        <v>62</v>
      </c>
      <c r="K76" s="36" t="s">
        <v>63</v>
      </c>
      <c r="L76" s="36">
        <v>120.0</v>
      </c>
      <c r="M76" s="36" t="s">
        <v>2033</v>
      </c>
      <c r="N76" s="36" t="s">
        <v>66</v>
      </c>
      <c r="O76" s="36" t="s">
        <v>72</v>
      </c>
      <c r="P76" s="36" t="s">
        <v>2034</v>
      </c>
      <c r="Q76" s="36">
        <v>2.0</v>
      </c>
      <c r="R76" s="36">
        <v>0.0</v>
      </c>
      <c r="S76" s="36">
        <v>2.0</v>
      </c>
      <c r="T76" s="36" t="s">
        <v>61</v>
      </c>
      <c r="U76" s="56">
        <v>0.0</v>
      </c>
      <c r="V76" s="57" t="s">
        <v>61</v>
      </c>
      <c r="W76" s="36" t="s">
        <v>61</v>
      </c>
      <c r="X76" s="36" t="s">
        <v>74</v>
      </c>
      <c r="Y76" s="36" t="s">
        <v>2038</v>
      </c>
      <c r="Z76" s="36">
        <v>9.05268228E9</v>
      </c>
      <c r="AA76" s="36" t="s">
        <v>2041</v>
      </c>
      <c r="AB76" s="58">
        <v>46023.0</v>
      </c>
      <c r="AC76" s="59">
        <v>46387.0</v>
      </c>
      <c r="AD76" s="36" t="s">
        <v>2042</v>
      </c>
      <c r="AE76" s="36" t="s">
        <v>79</v>
      </c>
      <c r="AF76" s="36" t="s">
        <v>61</v>
      </c>
      <c r="AG76" s="39"/>
      <c r="AH76" s="40"/>
    </row>
    <row r="77" ht="45.75" customHeight="1">
      <c r="A77" s="36">
        <v>76.0</v>
      </c>
      <c r="B77" s="53" t="s">
        <v>2043</v>
      </c>
      <c r="C77" s="36" t="s">
        <v>265</v>
      </c>
      <c r="D77" s="36" t="s">
        <v>709</v>
      </c>
      <c r="E77" s="36" t="s">
        <v>2044</v>
      </c>
      <c r="F77" s="36" t="s">
        <v>2045</v>
      </c>
      <c r="G77" s="42" t="s">
        <v>2046</v>
      </c>
      <c r="H77" s="36" t="s">
        <v>64</v>
      </c>
      <c r="I77" s="36" t="s">
        <v>155</v>
      </c>
      <c r="J77" s="36" t="s">
        <v>62</v>
      </c>
      <c r="K77" s="36" t="s">
        <v>63</v>
      </c>
      <c r="L77" s="36">
        <v>50.0</v>
      </c>
      <c r="M77" s="36" t="s">
        <v>1936</v>
      </c>
      <c r="N77" s="36" t="s">
        <v>66</v>
      </c>
      <c r="O77" s="36" t="s">
        <v>67</v>
      </c>
      <c r="P77" s="36" t="s">
        <v>2051</v>
      </c>
      <c r="Q77" s="36">
        <v>1.0</v>
      </c>
      <c r="R77" s="36">
        <v>0.0</v>
      </c>
      <c r="S77" s="36">
        <v>1.0</v>
      </c>
      <c r="T77" s="36" t="s">
        <v>61</v>
      </c>
      <c r="U77" s="56">
        <v>0.0</v>
      </c>
      <c r="V77" s="57" t="s">
        <v>61</v>
      </c>
      <c r="W77" s="36" t="s">
        <v>61</v>
      </c>
      <c r="X77" s="36" t="s">
        <v>74</v>
      </c>
      <c r="Y77" s="36" t="s">
        <v>2054</v>
      </c>
      <c r="Z77" s="36" t="s">
        <v>2055</v>
      </c>
      <c r="AA77" s="36" t="s">
        <v>2056</v>
      </c>
      <c r="AB77" s="58">
        <v>46023.0</v>
      </c>
      <c r="AC77" s="59">
        <v>46387.0</v>
      </c>
      <c r="AD77" s="36" t="s">
        <v>2057</v>
      </c>
      <c r="AE77" s="36" t="s">
        <v>79</v>
      </c>
      <c r="AF77" s="36" t="s">
        <v>61</v>
      </c>
      <c r="AG77" s="39"/>
      <c r="AH77" s="40"/>
    </row>
    <row r="78" ht="45.75" customHeight="1">
      <c r="A78" s="36">
        <v>77.0</v>
      </c>
      <c r="B78" s="53" t="s">
        <v>2058</v>
      </c>
      <c r="C78" s="36" t="s">
        <v>265</v>
      </c>
      <c r="D78" s="36" t="s">
        <v>709</v>
      </c>
      <c r="E78" s="36" t="s">
        <v>2059</v>
      </c>
      <c r="F78" s="36" t="s">
        <v>596</v>
      </c>
      <c r="G78" s="42" t="s">
        <v>2060</v>
      </c>
      <c r="H78" s="36" t="s">
        <v>64</v>
      </c>
      <c r="I78" s="36" t="s">
        <v>155</v>
      </c>
      <c r="J78" s="36" t="s">
        <v>62</v>
      </c>
      <c r="K78" s="36" t="s">
        <v>63</v>
      </c>
      <c r="L78" s="36">
        <v>150.0</v>
      </c>
      <c r="M78" s="36" t="s">
        <v>2065</v>
      </c>
      <c r="N78" s="36" t="s">
        <v>66</v>
      </c>
      <c r="O78" s="36" t="s">
        <v>67</v>
      </c>
      <c r="P78" s="36" t="s">
        <v>2066</v>
      </c>
      <c r="Q78" s="36">
        <v>1.0</v>
      </c>
      <c r="R78" s="36">
        <v>0.0</v>
      </c>
      <c r="S78" s="36">
        <v>1.0</v>
      </c>
      <c r="T78" s="36" t="s">
        <v>61</v>
      </c>
      <c r="U78" s="56">
        <v>0.0</v>
      </c>
      <c r="V78" s="57" t="s">
        <v>61</v>
      </c>
      <c r="W78" s="36" t="s">
        <v>61</v>
      </c>
      <c r="X78" s="36" t="s">
        <v>74</v>
      </c>
      <c r="Y78" s="36" t="s">
        <v>2067</v>
      </c>
      <c r="Z78" s="36" t="s">
        <v>2068</v>
      </c>
      <c r="AA78" s="36" t="s">
        <v>2069</v>
      </c>
      <c r="AB78" s="58">
        <v>46023.0</v>
      </c>
      <c r="AC78" s="59">
        <v>46387.0</v>
      </c>
      <c r="AD78" s="36" t="s">
        <v>2070</v>
      </c>
      <c r="AE78" s="36" t="s">
        <v>79</v>
      </c>
      <c r="AF78" s="36" t="s">
        <v>61</v>
      </c>
      <c r="AG78" s="39"/>
      <c r="AH78" s="40"/>
    </row>
    <row r="79" ht="45.75" customHeight="1">
      <c r="A79" s="36">
        <v>78.0</v>
      </c>
      <c r="B79" s="53" t="s">
        <v>2075</v>
      </c>
      <c r="C79" s="36" t="s">
        <v>265</v>
      </c>
      <c r="D79" s="36" t="s">
        <v>774</v>
      </c>
      <c r="E79" s="36" t="s">
        <v>2076</v>
      </c>
      <c r="F79" s="36" t="s">
        <v>2078</v>
      </c>
      <c r="G79" s="42" t="s">
        <v>2079</v>
      </c>
      <c r="H79" s="36" t="s">
        <v>64</v>
      </c>
      <c r="I79" s="36" t="s">
        <v>155</v>
      </c>
      <c r="J79" s="36" t="s">
        <v>62</v>
      </c>
      <c r="K79" s="36" t="s">
        <v>63</v>
      </c>
      <c r="L79" s="36">
        <v>29.0</v>
      </c>
      <c r="M79" s="36" t="s">
        <v>1831</v>
      </c>
      <c r="N79" s="36" t="s">
        <v>66</v>
      </c>
      <c r="O79" s="36" t="s">
        <v>67</v>
      </c>
      <c r="P79" s="36" t="s">
        <v>2081</v>
      </c>
      <c r="Q79" s="36">
        <v>1.0</v>
      </c>
      <c r="R79" s="36">
        <v>0.0</v>
      </c>
      <c r="S79" s="36">
        <v>1.0</v>
      </c>
      <c r="T79" s="36" t="s">
        <v>61</v>
      </c>
      <c r="U79" s="56">
        <v>0.0</v>
      </c>
      <c r="V79" s="57" t="s">
        <v>61</v>
      </c>
      <c r="W79" s="36" t="s">
        <v>61</v>
      </c>
      <c r="X79" s="36" t="s">
        <v>74</v>
      </c>
      <c r="Y79" s="36" t="s">
        <v>2083</v>
      </c>
      <c r="Z79" s="36">
        <v>9.472188421E9</v>
      </c>
      <c r="AA79" s="36" t="s">
        <v>2084</v>
      </c>
      <c r="AB79" s="58">
        <v>46023.0</v>
      </c>
      <c r="AC79" s="59">
        <v>46387.0</v>
      </c>
      <c r="AD79" s="36" t="s">
        <v>2085</v>
      </c>
      <c r="AE79" s="36" t="s">
        <v>79</v>
      </c>
      <c r="AF79" s="36" t="s">
        <v>61</v>
      </c>
      <c r="AG79" s="39"/>
      <c r="AH79" s="40"/>
    </row>
    <row r="80" ht="45.75" customHeight="1">
      <c r="A80" s="36">
        <v>79.0</v>
      </c>
      <c r="B80" s="53" t="s">
        <v>2087</v>
      </c>
      <c r="C80" s="36" t="s">
        <v>265</v>
      </c>
      <c r="D80" s="36" t="s">
        <v>774</v>
      </c>
      <c r="E80" s="36" t="s">
        <v>775</v>
      </c>
      <c r="F80" s="36" t="s">
        <v>776</v>
      </c>
      <c r="G80" s="42" t="s">
        <v>777</v>
      </c>
      <c r="H80" s="36" t="s">
        <v>64</v>
      </c>
      <c r="I80" s="36" t="s">
        <v>65</v>
      </c>
      <c r="J80" s="36" t="s">
        <v>62</v>
      </c>
      <c r="K80" s="36" t="s">
        <v>68</v>
      </c>
      <c r="L80" s="36">
        <v>600.0</v>
      </c>
      <c r="M80" s="36" t="s">
        <v>784</v>
      </c>
      <c r="N80" s="36" t="s">
        <v>71</v>
      </c>
      <c r="O80" s="36" t="s">
        <v>67</v>
      </c>
      <c r="P80" s="36" t="s">
        <v>2092</v>
      </c>
      <c r="Q80" s="36">
        <v>0.0</v>
      </c>
      <c r="R80" s="36">
        <v>2.0</v>
      </c>
      <c r="S80" s="36">
        <v>2.0</v>
      </c>
      <c r="T80" s="36" t="s">
        <v>61</v>
      </c>
      <c r="U80" s="56">
        <v>12.0</v>
      </c>
      <c r="V80" s="57" t="s">
        <v>61</v>
      </c>
      <c r="W80" s="36" t="s">
        <v>61</v>
      </c>
      <c r="X80" s="36" t="s">
        <v>93</v>
      </c>
      <c r="Y80" s="36" t="s">
        <v>2093</v>
      </c>
      <c r="Z80" s="36" t="s">
        <v>2094</v>
      </c>
      <c r="AA80" s="36" t="s">
        <v>2095</v>
      </c>
      <c r="AB80" s="58">
        <v>46023.0</v>
      </c>
      <c r="AC80" s="59">
        <v>46387.0</v>
      </c>
      <c r="AD80" s="36" t="s">
        <v>2096</v>
      </c>
      <c r="AE80" s="36" t="s">
        <v>79</v>
      </c>
      <c r="AF80" s="36" t="s">
        <v>61</v>
      </c>
      <c r="AG80" s="39"/>
      <c r="AH80" s="40"/>
    </row>
    <row r="81" ht="45.75" customHeight="1">
      <c r="A81" s="36">
        <v>80.0</v>
      </c>
      <c r="B81" s="53" t="s">
        <v>2098</v>
      </c>
      <c r="C81" s="36" t="s">
        <v>265</v>
      </c>
      <c r="D81" s="36" t="s">
        <v>774</v>
      </c>
      <c r="E81" s="36" t="s">
        <v>775</v>
      </c>
      <c r="F81" s="36" t="s">
        <v>2100</v>
      </c>
      <c r="G81" s="42" t="s">
        <v>2101</v>
      </c>
      <c r="H81" s="36" t="s">
        <v>64</v>
      </c>
      <c r="I81" s="36" t="s">
        <v>155</v>
      </c>
      <c r="J81" s="36" t="s">
        <v>62</v>
      </c>
      <c r="K81" s="36" t="s">
        <v>63</v>
      </c>
      <c r="L81" s="36">
        <v>150.0</v>
      </c>
      <c r="M81" s="36" t="s">
        <v>2107</v>
      </c>
      <c r="N81" s="36" t="s">
        <v>66</v>
      </c>
      <c r="O81" s="36" t="s">
        <v>67</v>
      </c>
      <c r="P81" s="36" t="s">
        <v>2109</v>
      </c>
      <c r="Q81" s="36">
        <v>1.0</v>
      </c>
      <c r="R81" s="36">
        <v>0.0</v>
      </c>
      <c r="S81" s="36">
        <v>1.0</v>
      </c>
      <c r="T81" s="36" t="s">
        <v>61</v>
      </c>
      <c r="U81" s="56">
        <v>0.0</v>
      </c>
      <c r="V81" s="57" t="s">
        <v>61</v>
      </c>
      <c r="W81" s="36" t="s">
        <v>61</v>
      </c>
      <c r="X81" s="36" t="s">
        <v>93</v>
      </c>
      <c r="Y81" s="36" t="s">
        <v>2112</v>
      </c>
      <c r="Z81" s="36" t="s">
        <v>2114</v>
      </c>
      <c r="AA81" s="36" t="s">
        <v>2115</v>
      </c>
      <c r="AB81" s="58">
        <v>46023.0</v>
      </c>
      <c r="AC81" s="59">
        <v>46387.0</v>
      </c>
      <c r="AD81" s="36" t="s">
        <v>2116</v>
      </c>
      <c r="AE81" s="36" t="s">
        <v>79</v>
      </c>
      <c r="AF81" s="36" t="s">
        <v>61</v>
      </c>
      <c r="AG81" s="36" t="s">
        <v>1790</v>
      </c>
      <c r="AH81" s="40"/>
    </row>
    <row r="82" ht="45.75" customHeight="1">
      <c r="A82" s="36">
        <v>81.0</v>
      </c>
      <c r="B82" s="53" t="s">
        <v>2119</v>
      </c>
      <c r="C82" s="36" t="s">
        <v>265</v>
      </c>
      <c r="D82" s="36" t="s">
        <v>774</v>
      </c>
      <c r="E82" s="36" t="s">
        <v>775</v>
      </c>
      <c r="F82" s="36" t="s">
        <v>2121</v>
      </c>
      <c r="G82" s="42" t="s">
        <v>2122</v>
      </c>
      <c r="H82" s="36" t="s">
        <v>64</v>
      </c>
      <c r="I82" s="36" t="s">
        <v>155</v>
      </c>
      <c r="J82" s="36" t="s">
        <v>62</v>
      </c>
      <c r="K82" s="36" t="s">
        <v>63</v>
      </c>
      <c r="L82" s="36">
        <v>76.0</v>
      </c>
      <c r="M82" s="36" t="s">
        <v>2125</v>
      </c>
      <c r="N82" s="36" t="s">
        <v>1469</v>
      </c>
      <c r="O82" s="36" t="s">
        <v>67</v>
      </c>
      <c r="P82" s="36" t="s">
        <v>2126</v>
      </c>
      <c r="Q82" s="36">
        <v>1.0</v>
      </c>
      <c r="R82" s="36">
        <v>0.0</v>
      </c>
      <c r="S82" s="36">
        <v>1.0</v>
      </c>
      <c r="T82" s="36" t="s">
        <v>61</v>
      </c>
      <c r="U82" s="56">
        <v>7.0</v>
      </c>
      <c r="V82" s="57" t="s">
        <v>2122</v>
      </c>
      <c r="W82" s="36" t="s">
        <v>61</v>
      </c>
      <c r="X82" s="36" t="s">
        <v>74</v>
      </c>
      <c r="Y82" s="36" t="s">
        <v>2129</v>
      </c>
      <c r="Z82" s="36" t="s">
        <v>2131</v>
      </c>
      <c r="AA82" s="36" t="s">
        <v>2133</v>
      </c>
      <c r="AB82" s="58">
        <v>46023.0</v>
      </c>
      <c r="AC82" s="59">
        <v>46387.0</v>
      </c>
      <c r="AD82" s="36" t="s">
        <v>2135</v>
      </c>
      <c r="AE82" s="36" t="s">
        <v>79</v>
      </c>
      <c r="AF82" s="36" t="s">
        <v>61</v>
      </c>
      <c r="AG82" s="39"/>
      <c r="AH82" s="40"/>
    </row>
    <row r="83" ht="45.75" customHeight="1">
      <c r="A83" s="36">
        <v>82.0</v>
      </c>
      <c r="B83" s="53" t="s">
        <v>2138</v>
      </c>
      <c r="C83" s="36" t="s">
        <v>265</v>
      </c>
      <c r="D83" s="36" t="s">
        <v>774</v>
      </c>
      <c r="E83" s="36" t="s">
        <v>2140</v>
      </c>
      <c r="F83" s="36" t="s">
        <v>2141</v>
      </c>
      <c r="G83" s="42" t="s">
        <v>2142</v>
      </c>
      <c r="H83" s="36" t="s">
        <v>64</v>
      </c>
      <c r="I83" s="36" t="s">
        <v>155</v>
      </c>
      <c r="J83" s="36" t="s">
        <v>62</v>
      </c>
      <c r="K83" s="36" t="s">
        <v>63</v>
      </c>
      <c r="L83" s="36">
        <v>25.0</v>
      </c>
      <c r="M83" s="36" t="s">
        <v>61</v>
      </c>
      <c r="N83" s="36" t="s">
        <v>66</v>
      </c>
      <c r="O83" s="36" t="s">
        <v>67</v>
      </c>
      <c r="P83" s="36" t="s">
        <v>2146</v>
      </c>
      <c r="Q83" s="36">
        <v>1.0</v>
      </c>
      <c r="R83" s="36">
        <v>0.0</v>
      </c>
      <c r="S83" s="36">
        <v>1.0</v>
      </c>
      <c r="T83" s="36" t="s">
        <v>61</v>
      </c>
      <c r="U83" s="56">
        <v>0.0</v>
      </c>
      <c r="V83" s="57" t="s">
        <v>61</v>
      </c>
      <c r="W83" s="36" t="s">
        <v>61</v>
      </c>
      <c r="X83" s="36" t="s">
        <v>74</v>
      </c>
      <c r="Y83" s="36" t="s">
        <v>2148</v>
      </c>
      <c r="Z83" s="36" t="s">
        <v>2149</v>
      </c>
      <c r="AA83" s="36" t="s">
        <v>2151</v>
      </c>
      <c r="AB83" s="58">
        <v>46023.0</v>
      </c>
      <c r="AC83" s="59">
        <v>46387.0</v>
      </c>
      <c r="AD83" s="36" t="s">
        <v>2153</v>
      </c>
      <c r="AE83" s="36" t="s">
        <v>79</v>
      </c>
      <c r="AF83" s="36" t="s">
        <v>61</v>
      </c>
      <c r="AG83" s="39"/>
      <c r="AH83" s="40"/>
    </row>
    <row r="84" ht="45.75" customHeight="1">
      <c r="A84" s="36">
        <v>83.0</v>
      </c>
      <c r="B84" s="53" t="s">
        <v>2157</v>
      </c>
      <c r="C84" s="36" t="s">
        <v>265</v>
      </c>
      <c r="D84" s="36" t="s">
        <v>774</v>
      </c>
      <c r="E84" s="36" t="s">
        <v>2160</v>
      </c>
      <c r="F84" s="36" t="s">
        <v>2162</v>
      </c>
      <c r="G84" s="42" t="s">
        <v>2163</v>
      </c>
      <c r="H84" s="36" t="s">
        <v>64</v>
      </c>
      <c r="I84" s="36" t="s">
        <v>155</v>
      </c>
      <c r="J84" s="36" t="s">
        <v>62</v>
      </c>
      <c r="K84" s="36" t="s">
        <v>63</v>
      </c>
      <c r="L84" s="36">
        <v>17.0</v>
      </c>
      <c r="M84" s="36" t="s">
        <v>2167</v>
      </c>
      <c r="N84" s="36" t="s">
        <v>66</v>
      </c>
      <c r="O84" s="36" t="s">
        <v>72</v>
      </c>
      <c r="P84" s="36" t="s">
        <v>2168</v>
      </c>
      <c r="Q84" s="36">
        <v>1.0</v>
      </c>
      <c r="R84" s="36">
        <v>0.0</v>
      </c>
      <c r="S84" s="36">
        <v>1.0</v>
      </c>
      <c r="T84" s="36" t="s">
        <v>61</v>
      </c>
      <c r="U84" s="56">
        <v>0.0</v>
      </c>
      <c r="V84" s="57" t="s">
        <v>61</v>
      </c>
      <c r="W84" s="36" t="s">
        <v>61</v>
      </c>
      <c r="X84" s="36" t="s">
        <v>74</v>
      </c>
      <c r="Y84" s="36" t="s">
        <v>2169</v>
      </c>
      <c r="Z84" s="36" t="s">
        <v>2171</v>
      </c>
      <c r="AA84" s="117" t="s">
        <v>2172</v>
      </c>
      <c r="AB84" s="58">
        <v>46023.0</v>
      </c>
      <c r="AC84" s="59">
        <v>46387.0</v>
      </c>
      <c r="AD84" s="36" t="s">
        <v>2179</v>
      </c>
      <c r="AE84" s="36" t="s">
        <v>79</v>
      </c>
      <c r="AF84" s="36" t="s">
        <v>61</v>
      </c>
      <c r="AG84" s="39"/>
      <c r="AH84" s="36"/>
    </row>
    <row r="85" ht="45.75" customHeight="1">
      <c r="A85" s="36">
        <v>84.0</v>
      </c>
      <c r="B85" s="53" t="s">
        <v>2180</v>
      </c>
      <c r="C85" s="36" t="s">
        <v>265</v>
      </c>
      <c r="D85" s="36" t="s">
        <v>774</v>
      </c>
      <c r="E85" s="36" t="s">
        <v>1581</v>
      </c>
      <c r="F85" s="36" t="s">
        <v>1601</v>
      </c>
      <c r="G85" s="42" t="s">
        <v>2181</v>
      </c>
      <c r="H85" s="36" t="s">
        <v>64</v>
      </c>
      <c r="I85" s="36" t="s">
        <v>155</v>
      </c>
      <c r="J85" s="36" t="s">
        <v>62</v>
      </c>
      <c r="K85" s="36" t="s">
        <v>63</v>
      </c>
      <c r="L85" s="36">
        <v>29.0</v>
      </c>
      <c r="M85" s="36" t="s">
        <v>1831</v>
      </c>
      <c r="N85" s="36" t="s">
        <v>66</v>
      </c>
      <c r="O85" s="36" t="s">
        <v>67</v>
      </c>
      <c r="P85" s="36" t="s">
        <v>2182</v>
      </c>
      <c r="Q85" s="36">
        <v>0.0</v>
      </c>
      <c r="R85" s="36">
        <v>0.0</v>
      </c>
      <c r="S85" s="36">
        <v>0.0</v>
      </c>
      <c r="T85" s="36" t="s">
        <v>2183</v>
      </c>
      <c r="U85" s="56">
        <v>0.0</v>
      </c>
      <c r="V85" s="57" t="s">
        <v>61</v>
      </c>
      <c r="W85" s="36" t="s">
        <v>61</v>
      </c>
      <c r="X85" s="36" t="s">
        <v>74</v>
      </c>
      <c r="Y85" s="36" t="s">
        <v>2186</v>
      </c>
      <c r="Z85" s="36" t="s">
        <v>2188</v>
      </c>
      <c r="AA85" s="36" t="s">
        <v>2189</v>
      </c>
      <c r="AB85" s="58">
        <v>46023.0</v>
      </c>
      <c r="AC85" s="59">
        <v>46387.0</v>
      </c>
      <c r="AD85" s="36" t="s">
        <v>2190</v>
      </c>
      <c r="AE85" s="36" t="s">
        <v>79</v>
      </c>
      <c r="AF85" s="36" t="s">
        <v>61</v>
      </c>
      <c r="AG85" s="39"/>
      <c r="AH85" s="65"/>
    </row>
    <row r="86" ht="45.75" customHeight="1">
      <c r="A86" s="36">
        <v>85.0</v>
      </c>
      <c r="B86" s="53" t="s">
        <v>2192</v>
      </c>
      <c r="C86" s="36" t="s">
        <v>265</v>
      </c>
      <c r="D86" s="36" t="s">
        <v>774</v>
      </c>
      <c r="E86" s="36" t="s">
        <v>2193</v>
      </c>
      <c r="F86" s="36" t="s">
        <v>2194</v>
      </c>
      <c r="G86" s="42" t="s">
        <v>2195</v>
      </c>
      <c r="H86" s="36" t="s">
        <v>64</v>
      </c>
      <c r="I86" s="36" t="s">
        <v>155</v>
      </c>
      <c r="J86" s="36" t="s">
        <v>62</v>
      </c>
      <c r="K86" s="36" t="s">
        <v>63</v>
      </c>
      <c r="L86" s="36">
        <v>23.0</v>
      </c>
      <c r="M86" s="36" t="s">
        <v>61</v>
      </c>
      <c r="N86" s="36" t="s">
        <v>66</v>
      </c>
      <c r="O86" s="36" t="s">
        <v>67</v>
      </c>
      <c r="P86" s="36" t="s">
        <v>2196</v>
      </c>
      <c r="Q86" s="36">
        <v>2.0</v>
      </c>
      <c r="R86" s="36">
        <v>0.0</v>
      </c>
      <c r="S86" s="36">
        <v>2.0</v>
      </c>
      <c r="T86" s="36" t="s">
        <v>61</v>
      </c>
      <c r="U86" s="56">
        <v>0.0</v>
      </c>
      <c r="V86" s="57" t="s">
        <v>61</v>
      </c>
      <c r="W86" s="36" t="s">
        <v>61</v>
      </c>
      <c r="X86" s="36" t="s">
        <v>74</v>
      </c>
      <c r="Y86" s="36" t="s">
        <v>2198</v>
      </c>
      <c r="Z86" s="36" t="s">
        <v>2200</v>
      </c>
      <c r="AA86" s="36" t="s">
        <v>2201</v>
      </c>
      <c r="AB86" s="58">
        <v>46023.0</v>
      </c>
      <c r="AC86" s="59">
        <v>46387.0</v>
      </c>
      <c r="AD86" s="36" t="s">
        <v>2204</v>
      </c>
      <c r="AE86" s="36" t="s">
        <v>79</v>
      </c>
      <c r="AF86" s="36" t="s">
        <v>61</v>
      </c>
      <c r="AG86" s="36" t="s">
        <v>1790</v>
      </c>
      <c r="AH86" s="65"/>
    </row>
    <row r="87" ht="45.75" customHeight="1">
      <c r="A87" s="36">
        <v>86.0</v>
      </c>
      <c r="B87" s="53" t="s">
        <v>2206</v>
      </c>
      <c r="C87" s="36" t="s">
        <v>265</v>
      </c>
      <c r="D87" s="36" t="s">
        <v>774</v>
      </c>
      <c r="E87" s="36" t="s">
        <v>2193</v>
      </c>
      <c r="F87" s="36" t="s">
        <v>2208</v>
      </c>
      <c r="G87" s="42" t="s">
        <v>2209</v>
      </c>
      <c r="H87" s="36" t="s">
        <v>64</v>
      </c>
      <c r="I87" s="36" t="s">
        <v>155</v>
      </c>
      <c r="J87" s="36" t="s">
        <v>62</v>
      </c>
      <c r="K87" s="36" t="s">
        <v>63</v>
      </c>
      <c r="L87" s="36">
        <v>50.0</v>
      </c>
      <c r="M87" s="36" t="s">
        <v>1936</v>
      </c>
      <c r="N87" s="36" t="s">
        <v>66</v>
      </c>
      <c r="O87" s="36" t="s">
        <v>67</v>
      </c>
      <c r="P87" s="36" t="s">
        <v>2213</v>
      </c>
      <c r="Q87" s="36">
        <v>2.0</v>
      </c>
      <c r="R87" s="36">
        <v>0.0</v>
      </c>
      <c r="S87" s="36">
        <v>2.0</v>
      </c>
      <c r="T87" s="36" t="s">
        <v>61</v>
      </c>
      <c r="U87" s="56">
        <v>0.0</v>
      </c>
      <c r="V87" s="57" t="s">
        <v>61</v>
      </c>
      <c r="W87" s="36" t="s">
        <v>61</v>
      </c>
      <c r="X87" s="36" t="s">
        <v>74</v>
      </c>
      <c r="Y87" s="36" t="s">
        <v>2217</v>
      </c>
      <c r="Z87" s="36" t="s">
        <v>2218</v>
      </c>
      <c r="AA87" s="36" t="s">
        <v>2219</v>
      </c>
      <c r="AB87" s="58">
        <v>46023.0</v>
      </c>
      <c r="AC87" s="59">
        <v>46387.0</v>
      </c>
      <c r="AD87" s="36" t="s">
        <v>2220</v>
      </c>
      <c r="AE87" s="36" t="s">
        <v>79</v>
      </c>
      <c r="AF87" s="36" t="s">
        <v>61</v>
      </c>
      <c r="AG87" s="36" t="s">
        <v>2222</v>
      </c>
      <c r="AH87" s="65"/>
    </row>
    <row r="88" ht="45.75" customHeight="1">
      <c r="A88" s="36">
        <v>87.0</v>
      </c>
      <c r="B88" s="53" t="s">
        <v>2225</v>
      </c>
      <c r="C88" s="36" t="s">
        <v>265</v>
      </c>
      <c r="D88" s="36" t="s">
        <v>774</v>
      </c>
      <c r="E88" s="36" t="s">
        <v>2230</v>
      </c>
      <c r="F88" s="36" t="s">
        <v>2231</v>
      </c>
      <c r="G88" s="42" t="s">
        <v>2232</v>
      </c>
      <c r="H88" s="36" t="s">
        <v>64</v>
      </c>
      <c r="I88" s="36" t="s">
        <v>155</v>
      </c>
      <c r="J88" s="36" t="s">
        <v>62</v>
      </c>
      <c r="K88" s="36" t="s">
        <v>63</v>
      </c>
      <c r="L88" s="36">
        <v>25.0</v>
      </c>
      <c r="M88" s="36" t="s">
        <v>2234</v>
      </c>
      <c r="N88" s="36" t="s">
        <v>66</v>
      </c>
      <c r="O88" s="36" t="s">
        <v>67</v>
      </c>
      <c r="P88" s="36" t="s">
        <v>2235</v>
      </c>
      <c r="Q88" s="36">
        <v>0.0</v>
      </c>
      <c r="R88" s="36">
        <v>0.0</v>
      </c>
      <c r="S88" s="36">
        <v>0.0</v>
      </c>
      <c r="T88" s="36" t="s">
        <v>2238</v>
      </c>
      <c r="U88" s="56">
        <v>8.0</v>
      </c>
      <c r="V88" s="57" t="s">
        <v>2232</v>
      </c>
      <c r="W88" s="36" t="s">
        <v>61</v>
      </c>
      <c r="X88" s="36" t="s">
        <v>74</v>
      </c>
      <c r="Y88" s="36" t="s">
        <v>2239</v>
      </c>
      <c r="Z88" s="40">
        <f>+639178013407</f>
        <v>639178013407</v>
      </c>
      <c r="AA88" s="36" t="s">
        <v>2250</v>
      </c>
      <c r="AB88" s="58">
        <v>46023.0</v>
      </c>
      <c r="AC88" s="59">
        <v>46387.0</v>
      </c>
      <c r="AD88" s="36" t="s">
        <v>2251</v>
      </c>
      <c r="AE88" s="36" t="s">
        <v>79</v>
      </c>
      <c r="AF88" s="36" t="s">
        <v>61</v>
      </c>
      <c r="AG88" s="39"/>
      <c r="AH88" s="65"/>
    </row>
    <row r="89" ht="45.75" customHeight="1">
      <c r="A89" s="36">
        <v>88.0</v>
      </c>
      <c r="B89" s="53" t="s">
        <v>2254</v>
      </c>
      <c r="C89" s="36" t="s">
        <v>265</v>
      </c>
      <c r="D89" s="36" t="s">
        <v>774</v>
      </c>
      <c r="E89" s="36" t="s">
        <v>2257</v>
      </c>
      <c r="F89" s="36" t="s">
        <v>2258</v>
      </c>
      <c r="G89" s="42" t="s">
        <v>2260</v>
      </c>
      <c r="H89" s="36" t="s">
        <v>64</v>
      </c>
      <c r="I89" s="36" t="s">
        <v>155</v>
      </c>
      <c r="J89" s="36" t="s">
        <v>62</v>
      </c>
      <c r="K89" s="36" t="s">
        <v>63</v>
      </c>
      <c r="L89" s="36">
        <v>17.0</v>
      </c>
      <c r="M89" s="36" t="s">
        <v>1831</v>
      </c>
      <c r="N89" s="36" t="s">
        <v>66</v>
      </c>
      <c r="O89" s="36" t="s">
        <v>67</v>
      </c>
      <c r="P89" s="36" t="s">
        <v>2264</v>
      </c>
      <c r="Q89" s="36">
        <v>1.0</v>
      </c>
      <c r="R89" s="36">
        <v>0.0</v>
      </c>
      <c r="S89" s="36">
        <v>1.0</v>
      </c>
      <c r="T89" s="36" t="s">
        <v>61</v>
      </c>
      <c r="U89" s="56">
        <v>0.0</v>
      </c>
      <c r="V89" s="57" t="s">
        <v>61</v>
      </c>
      <c r="W89" s="36" t="s">
        <v>61</v>
      </c>
      <c r="X89" s="36" t="s">
        <v>74</v>
      </c>
      <c r="Y89" s="36" t="s">
        <v>2268</v>
      </c>
      <c r="Z89" s="36" t="s">
        <v>2270</v>
      </c>
      <c r="AA89" s="36" t="s">
        <v>2271</v>
      </c>
      <c r="AB89" s="58">
        <v>46023.0</v>
      </c>
      <c r="AC89" s="59">
        <v>46387.0</v>
      </c>
      <c r="AD89" s="36" t="s">
        <v>2272</v>
      </c>
      <c r="AE89" s="36" t="s">
        <v>79</v>
      </c>
      <c r="AF89" s="36" t="s">
        <v>61</v>
      </c>
      <c r="AG89" s="39"/>
      <c r="AH89" s="65"/>
    </row>
    <row r="90" ht="45.75" customHeight="1">
      <c r="A90" s="36">
        <v>89.0</v>
      </c>
      <c r="B90" s="53" t="s">
        <v>2275</v>
      </c>
      <c r="C90" s="36" t="s">
        <v>265</v>
      </c>
      <c r="D90" s="36" t="s">
        <v>774</v>
      </c>
      <c r="E90" s="36" t="s">
        <v>836</v>
      </c>
      <c r="F90" s="36" t="s">
        <v>2281</v>
      </c>
      <c r="G90" s="42" t="s">
        <v>838</v>
      </c>
      <c r="H90" s="36" t="s">
        <v>64</v>
      </c>
      <c r="I90" s="36" t="s">
        <v>65</v>
      </c>
      <c r="J90" s="36" t="s">
        <v>62</v>
      </c>
      <c r="K90" s="36" t="s">
        <v>111</v>
      </c>
      <c r="L90" s="36">
        <v>77.0</v>
      </c>
      <c r="M90" s="36" t="s">
        <v>2283</v>
      </c>
      <c r="N90" s="36" t="s">
        <v>221</v>
      </c>
      <c r="O90" s="36" t="s">
        <v>72</v>
      </c>
      <c r="P90" s="36" t="s">
        <v>2285</v>
      </c>
      <c r="Q90" s="36">
        <v>0.0</v>
      </c>
      <c r="R90" s="36">
        <v>2.0</v>
      </c>
      <c r="S90" s="56">
        <v>2.0</v>
      </c>
      <c r="T90" s="36" t="s">
        <v>61</v>
      </c>
      <c r="U90" s="57">
        <v>5.0</v>
      </c>
      <c r="V90" s="36" t="s">
        <v>838</v>
      </c>
      <c r="W90" s="36" t="s">
        <v>61</v>
      </c>
      <c r="X90" s="36" t="s">
        <v>93</v>
      </c>
      <c r="Y90" s="36" t="s">
        <v>2290</v>
      </c>
      <c r="Z90" s="36" t="s">
        <v>2292</v>
      </c>
      <c r="AA90" s="117" t="s">
        <v>2293</v>
      </c>
      <c r="AB90" s="58">
        <v>46023.0</v>
      </c>
      <c r="AC90" s="59">
        <v>46387.0</v>
      </c>
      <c r="AD90" s="36" t="s">
        <v>2294</v>
      </c>
      <c r="AE90" s="36" t="s">
        <v>79</v>
      </c>
      <c r="AF90" s="36" t="s">
        <v>61</v>
      </c>
      <c r="AG90" s="39"/>
      <c r="AH90" s="65"/>
    </row>
    <row r="91" ht="45.75" customHeight="1">
      <c r="A91" s="36">
        <v>90.0</v>
      </c>
      <c r="B91" s="53" t="s">
        <v>2296</v>
      </c>
      <c r="C91" s="36" t="s">
        <v>265</v>
      </c>
      <c r="D91" s="36" t="s">
        <v>881</v>
      </c>
      <c r="E91" s="36" t="s">
        <v>2299</v>
      </c>
      <c r="F91" s="36" t="s">
        <v>2302</v>
      </c>
      <c r="G91" s="42" t="s">
        <v>2303</v>
      </c>
      <c r="H91" s="36" t="s">
        <v>64</v>
      </c>
      <c r="I91" s="36" t="s">
        <v>2305</v>
      </c>
      <c r="J91" s="36" t="s">
        <v>62</v>
      </c>
      <c r="K91" s="36" t="s">
        <v>63</v>
      </c>
      <c r="L91" s="36">
        <v>25.0</v>
      </c>
      <c r="M91" s="36" t="s">
        <v>61</v>
      </c>
      <c r="N91" s="36" t="s">
        <v>66</v>
      </c>
      <c r="O91" s="36" t="s">
        <v>67</v>
      </c>
      <c r="P91" s="36" t="s">
        <v>2307</v>
      </c>
      <c r="Q91" s="36">
        <v>1.0</v>
      </c>
      <c r="R91" s="36">
        <v>0.0</v>
      </c>
      <c r="S91" s="36">
        <v>1.0</v>
      </c>
      <c r="T91" s="36" t="s">
        <v>61</v>
      </c>
      <c r="U91" s="57">
        <v>0.0</v>
      </c>
      <c r="V91" s="36" t="s">
        <v>61</v>
      </c>
      <c r="W91" s="36" t="s">
        <v>61</v>
      </c>
      <c r="X91" s="36" t="s">
        <v>74</v>
      </c>
      <c r="Y91" s="36" t="s">
        <v>2313</v>
      </c>
      <c r="Z91" s="36" t="s">
        <v>2315</v>
      </c>
      <c r="AA91" s="36" t="s">
        <v>2316</v>
      </c>
      <c r="AB91" s="58">
        <v>46023.0</v>
      </c>
      <c r="AC91" s="59">
        <v>46387.0</v>
      </c>
      <c r="AD91" s="36" t="s">
        <v>2318</v>
      </c>
      <c r="AE91" s="36" t="s">
        <v>79</v>
      </c>
      <c r="AF91" s="36" t="s">
        <v>61</v>
      </c>
      <c r="AG91" s="36" t="s">
        <v>2305</v>
      </c>
      <c r="AH91" s="65"/>
    </row>
    <row r="92" ht="45.75" customHeight="1">
      <c r="A92" s="36">
        <v>91.0</v>
      </c>
      <c r="B92" s="38"/>
      <c r="C92" s="36" t="s">
        <v>265</v>
      </c>
      <c r="D92" s="36" t="s">
        <v>881</v>
      </c>
      <c r="E92" s="36" t="s">
        <v>2299</v>
      </c>
      <c r="F92" s="36" t="s">
        <v>2327</v>
      </c>
      <c r="G92" s="42" t="s">
        <v>2330</v>
      </c>
      <c r="H92" s="36" t="s">
        <v>64</v>
      </c>
      <c r="I92" s="36" t="s">
        <v>155</v>
      </c>
      <c r="J92" s="36" t="s">
        <v>62</v>
      </c>
      <c r="K92" s="36" t="s">
        <v>111</v>
      </c>
      <c r="L92" s="36">
        <v>50.0</v>
      </c>
      <c r="M92" s="40"/>
      <c r="N92" s="36" t="s">
        <v>66</v>
      </c>
      <c r="O92" s="36" t="s">
        <v>67</v>
      </c>
      <c r="P92" s="36" t="s">
        <v>2337</v>
      </c>
      <c r="Q92" s="36">
        <v>0.0</v>
      </c>
      <c r="R92" s="36">
        <v>1.0</v>
      </c>
      <c r="S92" s="36">
        <v>1.0</v>
      </c>
      <c r="T92" s="56" t="s">
        <v>61</v>
      </c>
      <c r="U92" s="57">
        <v>0.0</v>
      </c>
      <c r="V92" s="36" t="s">
        <v>61</v>
      </c>
      <c r="W92" s="57" t="s">
        <v>61</v>
      </c>
      <c r="X92" s="57" t="s">
        <v>93</v>
      </c>
      <c r="Y92" s="36" t="s">
        <v>2340</v>
      </c>
      <c r="Z92" s="36">
        <v>9.228517324E9</v>
      </c>
      <c r="AA92" s="117" t="s">
        <v>2342</v>
      </c>
      <c r="AB92" s="58">
        <v>46134.0</v>
      </c>
      <c r="AC92" s="59">
        <v>46387.0</v>
      </c>
      <c r="AD92" s="36" t="s">
        <v>2344</v>
      </c>
      <c r="AE92" s="36" t="s">
        <v>2346</v>
      </c>
      <c r="AF92" s="36" t="s">
        <v>61</v>
      </c>
      <c r="AG92" s="36" t="s">
        <v>1790</v>
      </c>
      <c r="AH92" s="65"/>
    </row>
    <row r="93" ht="45.75" customHeight="1">
      <c r="A93" s="36">
        <v>92.0</v>
      </c>
      <c r="B93" s="53" t="s">
        <v>2351</v>
      </c>
      <c r="C93" s="36" t="s">
        <v>265</v>
      </c>
      <c r="D93" s="36" t="s">
        <v>881</v>
      </c>
      <c r="E93" s="36" t="s">
        <v>2299</v>
      </c>
      <c r="F93" s="36" t="s">
        <v>2353</v>
      </c>
      <c r="G93" s="42" t="s">
        <v>2354</v>
      </c>
      <c r="H93" s="36" t="s">
        <v>64</v>
      </c>
      <c r="I93" s="36" t="s">
        <v>155</v>
      </c>
      <c r="J93" s="36" t="s">
        <v>62</v>
      </c>
      <c r="K93" s="36" t="s">
        <v>63</v>
      </c>
      <c r="L93" s="36">
        <v>120.0</v>
      </c>
      <c r="M93" s="36" t="s">
        <v>2362</v>
      </c>
      <c r="N93" s="36" t="s">
        <v>71</v>
      </c>
      <c r="O93" s="36" t="s">
        <v>72</v>
      </c>
      <c r="P93" s="36" t="s">
        <v>2363</v>
      </c>
      <c r="Q93" s="36">
        <v>3.0</v>
      </c>
      <c r="R93" s="36">
        <v>0.0</v>
      </c>
      <c r="S93" s="36">
        <v>3.0</v>
      </c>
      <c r="T93" s="56" t="s">
        <v>61</v>
      </c>
      <c r="U93" s="57">
        <v>22.0</v>
      </c>
      <c r="V93" s="36">
        <v>22.0</v>
      </c>
      <c r="W93" s="57" t="s">
        <v>61</v>
      </c>
      <c r="X93" s="57" t="s">
        <v>74</v>
      </c>
      <c r="Y93" s="36" t="s">
        <v>2365</v>
      </c>
      <c r="Z93" s="36" t="s">
        <v>2366</v>
      </c>
      <c r="AA93" s="117" t="s">
        <v>2368</v>
      </c>
      <c r="AB93" s="58">
        <v>46023.0</v>
      </c>
      <c r="AC93" s="59">
        <v>46387.0</v>
      </c>
      <c r="AD93" s="36" t="s">
        <v>2370</v>
      </c>
      <c r="AE93" s="36" t="s">
        <v>79</v>
      </c>
      <c r="AF93" s="36" t="s">
        <v>61</v>
      </c>
      <c r="AG93" s="50"/>
      <c r="AH93" s="65"/>
    </row>
    <row r="94" ht="45.75" customHeight="1">
      <c r="A94" s="36">
        <v>93.0</v>
      </c>
      <c r="B94" s="53" t="s">
        <v>2373</v>
      </c>
      <c r="C94" s="36" t="s">
        <v>265</v>
      </c>
      <c r="D94" s="36" t="s">
        <v>881</v>
      </c>
      <c r="E94" s="36" t="s">
        <v>2375</v>
      </c>
      <c r="F94" s="36" t="s">
        <v>2377</v>
      </c>
      <c r="G94" s="42" t="s">
        <v>2379</v>
      </c>
      <c r="H94" s="36" t="s">
        <v>64</v>
      </c>
      <c r="I94" s="36" t="s">
        <v>155</v>
      </c>
      <c r="J94" s="36" t="s">
        <v>62</v>
      </c>
      <c r="K94" s="36" t="s">
        <v>63</v>
      </c>
      <c r="L94" s="36">
        <v>25.0</v>
      </c>
      <c r="M94" s="36" t="s">
        <v>2382</v>
      </c>
      <c r="N94" s="36" t="s">
        <v>66</v>
      </c>
      <c r="O94" s="36" t="s">
        <v>67</v>
      </c>
      <c r="P94" s="36" t="s">
        <v>2383</v>
      </c>
      <c r="Q94" s="36">
        <v>1.0</v>
      </c>
      <c r="R94" s="36">
        <v>0.0</v>
      </c>
      <c r="S94" s="36">
        <v>1.0</v>
      </c>
      <c r="T94" s="56" t="s">
        <v>61</v>
      </c>
      <c r="U94" s="57">
        <v>0.0</v>
      </c>
      <c r="V94" s="36" t="s">
        <v>61</v>
      </c>
      <c r="W94" s="57" t="s">
        <v>61</v>
      </c>
      <c r="X94" s="57" t="s">
        <v>74</v>
      </c>
      <c r="Y94" s="36" t="s">
        <v>2384</v>
      </c>
      <c r="Z94" s="36" t="s">
        <v>2386</v>
      </c>
      <c r="AA94" s="117" t="s">
        <v>2387</v>
      </c>
      <c r="AB94" s="58">
        <v>46023.0</v>
      </c>
      <c r="AC94" s="59">
        <v>46387.0</v>
      </c>
      <c r="AD94" s="36" t="s">
        <v>2390</v>
      </c>
      <c r="AE94" s="36" t="s">
        <v>79</v>
      </c>
      <c r="AF94" s="36" t="s">
        <v>61</v>
      </c>
      <c r="AG94" s="50"/>
      <c r="AH94" s="65"/>
    </row>
    <row r="95" ht="45.75" customHeight="1">
      <c r="A95" s="36">
        <v>94.0</v>
      </c>
      <c r="B95" s="53" t="s">
        <v>2394</v>
      </c>
      <c r="C95" s="36" t="s">
        <v>265</v>
      </c>
      <c r="D95" s="36" t="s">
        <v>881</v>
      </c>
      <c r="E95" s="36" t="s">
        <v>2395</v>
      </c>
      <c r="F95" s="36" t="s">
        <v>2396</v>
      </c>
      <c r="G95" s="42" t="s">
        <v>2397</v>
      </c>
      <c r="H95" s="36" t="s">
        <v>64</v>
      </c>
      <c r="I95" s="36" t="s">
        <v>2305</v>
      </c>
      <c r="J95" s="36" t="s">
        <v>62</v>
      </c>
      <c r="K95" s="36" t="s">
        <v>63</v>
      </c>
      <c r="L95" s="36">
        <v>17.0</v>
      </c>
      <c r="M95" s="36" t="s">
        <v>2401</v>
      </c>
      <c r="N95" s="36" t="s">
        <v>66</v>
      </c>
      <c r="O95" s="36" t="s">
        <v>67</v>
      </c>
      <c r="P95" s="36" t="s">
        <v>2402</v>
      </c>
      <c r="Q95" s="36">
        <v>1.0</v>
      </c>
      <c r="R95" s="36">
        <v>0.0</v>
      </c>
      <c r="S95" s="36">
        <v>1.0</v>
      </c>
      <c r="T95" s="56" t="s">
        <v>61</v>
      </c>
      <c r="U95" s="57">
        <v>0.0</v>
      </c>
      <c r="V95" s="36" t="s">
        <v>61</v>
      </c>
      <c r="W95" s="36" t="s">
        <v>61</v>
      </c>
      <c r="X95" s="36" t="s">
        <v>74</v>
      </c>
      <c r="Y95" s="36" t="s">
        <v>2409</v>
      </c>
      <c r="Z95" s="36" t="s">
        <v>2411</v>
      </c>
      <c r="AA95" s="117" t="s">
        <v>2412</v>
      </c>
      <c r="AB95" s="58">
        <v>46023.0</v>
      </c>
      <c r="AC95" s="59">
        <v>46387.0</v>
      </c>
      <c r="AD95" s="36" t="s">
        <v>2413</v>
      </c>
      <c r="AE95" s="36" t="s">
        <v>79</v>
      </c>
      <c r="AF95" s="36" t="s">
        <v>61</v>
      </c>
      <c r="AG95" s="36" t="s">
        <v>2305</v>
      </c>
      <c r="AH95" s="65"/>
    </row>
    <row r="96" ht="45.75" customHeight="1">
      <c r="A96" s="36">
        <v>95.0</v>
      </c>
      <c r="B96" s="53" t="s">
        <v>2415</v>
      </c>
      <c r="C96" s="36" t="s">
        <v>265</v>
      </c>
      <c r="D96" s="36" t="s">
        <v>881</v>
      </c>
      <c r="E96" s="36" t="s">
        <v>2395</v>
      </c>
      <c r="F96" s="36" t="s">
        <v>2418</v>
      </c>
      <c r="G96" s="42" t="s">
        <v>2419</v>
      </c>
      <c r="H96" s="36" t="s">
        <v>64</v>
      </c>
      <c r="I96" s="36" t="s">
        <v>155</v>
      </c>
      <c r="J96" s="36" t="s">
        <v>62</v>
      </c>
      <c r="K96" s="36" t="s">
        <v>63</v>
      </c>
      <c r="L96" s="36">
        <v>75.0</v>
      </c>
      <c r="M96" s="36" t="s">
        <v>2422</v>
      </c>
      <c r="N96" s="36" t="s">
        <v>66</v>
      </c>
      <c r="O96" s="36" t="s">
        <v>67</v>
      </c>
      <c r="P96" s="36" t="s">
        <v>2425</v>
      </c>
      <c r="Q96" s="36">
        <v>1.0</v>
      </c>
      <c r="R96" s="36">
        <v>0.0</v>
      </c>
      <c r="S96" s="36">
        <v>1.0</v>
      </c>
      <c r="T96" s="56" t="s">
        <v>61</v>
      </c>
      <c r="U96" s="57">
        <v>0.0</v>
      </c>
      <c r="V96" s="36" t="s">
        <v>61</v>
      </c>
      <c r="W96" s="36" t="s">
        <v>61</v>
      </c>
      <c r="X96" s="36" t="s">
        <v>74</v>
      </c>
      <c r="Y96" s="36" t="s">
        <v>2428</v>
      </c>
      <c r="Z96" s="36" t="s">
        <v>2429</v>
      </c>
      <c r="AA96" s="36" t="s">
        <v>2430</v>
      </c>
      <c r="AB96" s="58">
        <v>46023.0</v>
      </c>
      <c r="AC96" s="59">
        <v>46387.0</v>
      </c>
      <c r="AD96" s="36" t="s">
        <v>2432</v>
      </c>
      <c r="AE96" s="36" t="s">
        <v>79</v>
      </c>
      <c r="AF96" s="36" t="s">
        <v>61</v>
      </c>
      <c r="AG96" s="39"/>
      <c r="AH96" s="65"/>
    </row>
    <row r="97" ht="45.75" customHeight="1">
      <c r="A97" s="36">
        <v>96.0</v>
      </c>
      <c r="B97" s="53" t="s">
        <v>2437</v>
      </c>
      <c r="C97" s="36" t="s">
        <v>265</v>
      </c>
      <c r="D97" s="36" t="s">
        <v>881</v>
      </c>
      <c r="E97" s="36" t="s">
        <v>2438</v>
      </c>
      <c r="F97" s="36" t="s">
        <v>2439</v>
      </c>
      <c r="G97" s="42" t="s">
        <v>2441</v>
      </c>
      <c r="H97" s="36" t="s">
        <v>64</v>
      </c>
      <c r="I97" s="36" t="s">
        <v>155</v>
      </c>
      <c r="J97" s="36" t="s">
        <v>62</v>
      </c>
      <c r="K97" s="36" t="s">
        <v>63</v>
      </c>
      <c r="L97" s="36">
        <v>75.0</v>
      </c>
      <c r="M97" s="36" t="s">
        <v>2446</v>
      </c>
      <c r="N97" s="36" t="s">
        <v>66</v>
      </c>
      <c r="O97" s="36" t="s">
        <v>67</v>
      </c>
      <c r="P97" s="36" t="s">
        <v>2448</v>
      </c>
      <c r="Q97" s="36">
        <v>1.0</v>
      </c>
      <c r="R97" s="36">
        <v>0.0</v>
      </c>
      <c r="S97" s="36">
        <v>1.0</v>
      </c>
      <c r="T97" s="56" t="s">
        <v>61</v>
      </c>
      <c r="U97" s="57">
        <v>0.0</v>
      </c>
      <c r="V97" s="36" t="s">
        <v>61</v>
      </c>
      <c r="W97" s="36" t="s">
        <v>61</v>
      </c>
      <c r="X97" s="36" t="s">
        <v>74</v>
      </c>
      <c r="Y97" s="36" t="s">
        <v>2451</v>
      </c>
      <c r="Z97" s="36" t="s">
        <v>2453</v>
      </c>
      <c r="AA97" s="36" t="s">
        <v>2454</v>
      </c>
      <c r="AB97" s="58">
        <v>46023.0</v>
      </c>
      <c r="AC97" s="59">
        <v>46387.0</v>
      </c>
      <c r="AD97" s="36" t="s">
        <v>2455</v>
      </c>
      <c r="AE97" s="36" t="s">
        <v>79</v>
      </c>
      <c r="AF97" s="36" t="s">
        <v>61</v>
      </c>
      <c r="AG97" s="36" t="s">
        <v>1790</v>
      </c>
      <c r="AH97" s="65"/>
    </row>
    <row r="98" ht="45.75" customHeight="1">
      <c r="A98" s="36">
        <v>97.0</v>
      </c>
      <c r="B98" s="53" t="s">
        <v>2459</v>
      </c>
      <c r="C98" s="36" t="s">
        <v>265</v>
      </c>
      <c r="D98" s="36" t="s">
        <v>881</v>
      </c>
      <c r="E98" s="36" t="s">
        <v>2463</v>
      </c>
      <c r="F98" s="36" t="s">
        <v>2465</v>
      </c>
      <c r="G98" s="42" t="s">
        <v>2467</v>
      </c>
      <c r="H98" s="36" t="s">
        <v>64</v>
      </c>
      <c r="I98" s="36" t="s">
        <v>155</v>
      </c>
      <c r="J98" s="36" t="s">
        <v>62</v>
      </c>
      <c r="K98" s="36" t="s">
        <v>63</v>
      </c>
      <c r="L98" s="36">
        <v>75.0</v>
      </c>
      <c r="M98" s="36" t="s">
        <v>2471</v>
      </c>
      <c r="N98" s="36" t="s">
        <v>66</v>
      </c>
      <c r="O98" s="36" t="s">
        <v>67</v>
      </c>
      <c r="P98" s="36" t="s">
        <v>2473</v>
      </c>
      <c r="Q98" s="36">
        <v>2.0</v>
      </c>
      <c r="R98" s="36">
        <v>0.0</v>
      </c>
      <c r="S98" s="36">
        <v>2.0</v>
      </c>
      <c r="T98" s="56" t="s">
        <v>61</v>
      </c>
      <c r="U98" s="57">
        <v>0.0</v>
      </c>
      <c r="V98" s="36" t="s">
        <v>61</v>
      </c>
      <c r="W98" s="57" t="s">
        <v>61</v>
      </c>
      <c r="X98" s="57" t="s">
        <v>93</v>
      </c>
      <c r="Y98" s="36" t="s">
        <v>2475</v>
      </c>
      <c r="Z98" s="36" t="s">
        <v>2476</v>
      </c>
      <c r="AA98" s="36" t="s">
        <v>2477</v>
      </c>
      <c r="AB98" s="58">
        <v>46023.0</v>
      </c>
      <c r="AC98" s="59">
        <v>46387.0</v>
      </c>
      <c r="AD98" s="36" t="s">
        <v>2479</v>
      </c>
      <c r="AE98" s="36" t="s">
        <v>79</v>
      </c>
      <c r="AF98" s="36" t="s">
        <v>61</v>
      </c>
      <c r="AG98" s="50"/>
      <c r="AH98" s="65"/>
    </row>
    <row r="99" ht="45.75" customHeight="1">
      <c r="A99" s="36">
        <v>98.0</v>
      </c>
      <c r="B99" s="53" t="s">
        <v>2483</v>
      </c>
      <c r="C99" s="36" t="s">
        <v>265</v>
      </c>
      <c r="D99" s="36" t="s">
        <v>881</v>
      </c>
      <c r="E99" s="36" t="s">
        <v>2488</v>
      </c>
      <c r="F99" s="36" t="s">
        <v>2489</v>
      </c>
      <c r="G99" s="42" t="s">
        <v>2490</v>
      </c>
      <c r="H99" s="36" t="s">
        <v>64</v>
      </c>
      <c r="I99" s="36" t="s">
        <v>155</v>
      </c>
      <c r="J99" s="36" t="s">
        <v>62</v>
      </c>
      <c r="K99" s="36" t="s">
        <v>63</v>
      </c>
      <c r="L99" s="36">
        <v>25.0</v>
      </c>
      <c r="M99" s="36" t="s">
        <v>2495</v>
      </c>
      <c r="N99" s="36" t="s">
        <v>66</v>
      </c>
      <c r="O99" s="36" t="s">
        <v>72</v>
      </c>
      <c r="P99" s="36" t="s">
        <v>2496</v>
      </c>
      <c r="Q99" s="36">
        <v>1.0</v>
      </c>
      <c r="R99" s="36">
        <v>0.0</v>
      </c>
      <c r="S99" s="36">
        <v>1.0</v>
      </c>
      <c r="T99" s="56" t="s">
        <v>61</v>
      </c>
      <c r="U99" s="57">
        <v>0.0</v>
      </c>
      <c r="V99" s="36" t="s">
        <v>61</v>
      </c>
      <c r="W99" s="57" t="s">
        <v>61</v>
      </c>
      <c r="X99" s="57" t="s">
        <v>74</v>
      </c>
      <c r="Y99" s="36" t="s">
        <v>2500</v>
      </c>
      <c r="Z99" s="36" t="s">
        <v>2501</v>
      </c>
      <c r="AA99" s="117" t="s">
        <v>2503</v>
      </c>
      <c r="AB99" s="58">
        <v>46023.0</v>
      </c>
      <c r="AC99" s="59">
        <v>46387.0</v>
      </c>
      <c r="AD99" s="36" t="s">
        <v>2505</v>
      </c>
      <c r="AE99" s="36" t="s">
        <v>79</v>
      </c>
      <c r="AF99" s="36" t="s">
        <v>61</v>
      </c>
      <c r="AG99" s="50"/>
      <c r="AH99" s="65"/>
    </row>
    <row r="100" ht="45.75" customHeight="1">
      <c r="A100" s="36">
        <v>99.0</v>
      </c>
      <c r="B100" s="53" t="s">
        <v>2509</v>
      </c>
      <c r="C100" s="36" t="s">
        <v>265</v>
      </c>
      <c r="D100" s="36" t="s">
        <v>881</v>
      </c>
      <c r="E100" s="36" t="s">
        <v>2512</v>
      </c>
      <c r="F100" s="36" t="s">
        <v>2513</v>
      </c>
      <c r="G100" s="42" t="s">
        <v>2514</v>
      </c>
      <c r="H100" s="36" t="s">
        <v>64</v>
      </c>
      <c r="I100" s="36" t="s">
        <v>155</v>
      </c>
      <c r="J100" s="36" t="s">
        <v>62</v>
      </c>
      <c r="K100" s="36" t="s">
        <v>63</v>
      </c>
      <c r="L100" s="36">
        <v>25.0</v>
      </c>
      <c r="M100" s="36" t="s">
        <v>2518</v>
      </c>
      <c r="N100" s="36" t="s">
        <v>66</v>
      </c>
      <c r="O100" s="36" t="s">
        <v>67</v>
      </c>
      <c r="P100" s="36" t="s">
        <v>2520</v>
      </c>
      <c r="Q100" s="36">
        <v>1.0</v>
      </c>
      <c r="R100" s="36">
        <v>0.0</v>
      </c>
      <c r="S100" s="36">
        <v>1.0</v>
      </c>
      <c r="T100" s="56" t="s">
        <v>61</v>
      </c>
      <c r="U100" s="57">
        <v>0.0</v>
      </c>
      <c r="V100" s="36" t="s">
        <v>61</v>
      </c>
      <c r="W100" s="36" t="s">
        <v>61</v>
      </c>
      <c r="X100" s="36" t="s">
        <v>74</v>
      </c>
      <c r="Y100" s="36" t="s">
        <v>2521</v>
      </c>
      <c r="Z100" s="36" t="s">
        <v>2523</v>
      </c>
      <c r="AA100" s="36" t="s">
        <v>2525</v>
      </c>
      <c r="AB100" s="58">
        <v>46023.0</v>
      </c>
      <c r="AC100" s="59">
        <v>46387.0</v>
      </c>
      <c r="AD100" s="36" t="s">
        <v>2526</v>
      </c>
      <c r="AE100" s="36" t="s">
        <v>79</v>
      </c>
      <c r="AF100" s="36" t="s">
        <v>61</v>
      </c>
      <c r="AG100" s="39"/>
      <c r="AH100" s="65"/>
    </row>
    <row r="101" ht="45.75" customHeight="1">
      <c r="A101" s="36">
        <v>100.0</v>
      </c>
      <c r="B101" s="53" t="s">
        <v>2529</v>
      </c>
      <c r="C101" s="36" t="s">
        <v>265</v>
      </c>
      <c r="D101" s="36" t="s">
        <v>881</v>
      </c>
      <c r="E101" s="36" t="s">
        <v>2532</v>
      </c>
      <c r="F101" s="36" t="s">
        <v>2534</v>
      </c>
      <c r="G101" s="42" t="s">
        <v>2535</v>
      </c>
      <c r="H101" s="36" t="s">
        <v>64</v>
      </c>
      <c r="I101" s="36" t="s">
        <v>155</v>
      </c>
      <c r="J101" s="36" t="s">
        <v>62</v>
      </c>
      <c r="K101" s="36" t="s">
        <v>63</v>
      </c>
      <c r="L101" s="36">
        <v>48.0</v>
      </c>
      <c r="M101" s="36" t="s">
        <v>2518</v>
      </c>
      <c r="N101" s="36" t="s">
        <v>66</v>
      </c>
      <c r="O101" s="36" t="s">
        <v>67</v>
      </c>
      <c r="P101" s="36" t="s">
        <v>2541</v>
      </c>
      <c r="Q101" s="36">
        <v>1.0</v>
      </c>
      <c r="R101" s="36">
        <v>0.0</v>
      </c>
      <c r="S101" s="36">
        <v>1.0</v>
      </c>
      <c r="T101" s="56" t="s">
        <v>61</v>
      </c>
      <c r="U101" s="57">
        <v>0.0</v>
      </c>
      <c r="V101" s="36" t="s">
        <v>61</v>
      </c>
      <c r="W101" s="36" t="s">
        <v>61</v>
      </c>
      <c r="X101" s="36" t="s">
        <v>74</v>
      </c>
      <c r="Y101" s="36" t="s">
        <v>2545</v>
      </c>
      <c r="Z101" s="36" t="s">
        <v>2546</v>
      </c>
      <c r="AA101" s="36" t="s">
        <v>2547</v>
      </c>
      <c r="AB101" s="58">
        <v>46023.0</v>
      </c>
      <c r="AC101" s="59">
        <v>46387.0</v>
      </c>
      <c r="AD101" s="36" t="s">
        <v>2548</v>
      </c>
      <c r="AE101" s="36" t="s">
        <v>79</v>
      </c>
      <c r="AF101" s="36" t="s">
        <v>61</v>
      </c>
      <c r="AG101" s="39"/>
      <c r="AH101" s="65"/>
    </row>
    <row r="102" ht="45.75" customHeight="1">
      <c r="A102" s="36">
        <v>101.0</v>
      </c>
      <c r="B102" s="53" t="s">
        <v>2551</v>
      </c>
      <c r="C102" s="36" t="s">
        <v>265</v>
      </c>
      <c r="D102" s="36" t="s">
        <v>881</v>
      </c>
      <c r="E102" s="36" t="s">
        <v>2553</v>
      </c>
      <c r="F102" s="36" t="s">
        <v>2554</v>
      </c>
      <c r="G102" s="42" t="s">
        <v>2557</v>
      </c>
      <c r="H102" s="36" t="s">
        <v>64</v>
      </c>
      <c r="I102" s="36" t="s">
        <v>155</v>
      </c>
      <c r="J102" s="36" t="s">
        <v>62</v>
      </c>
      <c r="K102" s="36" t="s">
        <v>63</v>
      </c>
      <c r="L102" s="36">
        <v>50.0</v>
      </c>
      <c r="M102" s="36" t="s">
        <v>2564</v>
      </c>
      <c r="N102" s="36" t="s">
        <v>66</v>
      </c>
      <c r="O102" s="36" t="s">
        <v>67</v>
      </c>
      <c r="P102" s="36" t="s">
        <v>2566</v>
      </c>
      <c r="Q102" s="36">
        <v>1.0</v>
      </c>
      <c r="R102" s="36">
        <v>0.0</v>
      </c>
      <c r="S102" s="36">
        <v>1.0</v>
      </c>
      <c r="T102" s="56" t="s">
        <v>61</v>
      </c>
      <c r="U102" s="57">
        <v>49.0</v>
      </c>
      <c r="V102" s="36" t="s">
        <v>2567</v>
      </c>
      <c r="W102" s="57" t="s">
        <v>61</v>
      </c>
      <c r="X102" s="57" t="s">
        <v>74</v>
      </c>
      <c r="Y102" s="36" t="s">
        <v>2569</v>
      </c>
      <c r="Z102" s="36" t="s">
        <v>2570</v>
      </c>
      <c r="AA102" s="36" t="s">
        <v>2571</v>
      </c>
      <c r="AB102" s="58">
        <v>46023.0</v>
      </c>
      <c r="AC102" s="59">
        <v>46387.0</v>
      </c>
      <c r="AD102" s="36" t="s">
        <v>2572</v>
      </c>
      <c r="AE102" s="36" t="s">
        <v>79</v>
      </c>
      <c r="AF102" s="36" t="s">
        <v>61</v>
      </c>
      <c r="AG102" s="36" t="s">
        <v>2574</v>
      </c>
      <c r="AH102" s="65"/>
    </row>
    <row r="103" ht="45.75" customHeight="1">
      <c r="A103" s="36">
        <v>102.0</v>
      </c>
      <c r="B103" s="53" t="s">
        <v>2576</v>
      </c>
      <c r="C103" s="36" t="s">
        <v>265</v>
      </c>
      <c r="D103" s="36" t="s">
        <v>881</v>
      </c>
      <c r="E103" s="36" t="s">
        <v>2580</v>
      </c>
      <c r="F103" s="36" t="s">
        <v>2582</v>
      </c>
      <c r="G103" s="42" t="s">
        <v>2584</v>
      </c>
      <c r="H103" s="36" t="s">
        <v>64</v>
      </c>
      <c r="I103" s="36" t="s">
        <v>155</v>
      </c>
      <c r="J103" s="36" t="s">
        <v>62</v>
      </c>
      <c r="K103" s="36" t="s">
        <v>63</v>
      </c>
      <c r="L103" s="36">
        <v>48.0</v>
      </c>
      <c r="M103" s="36" t="s">
        <v>2518</v>
      </c>
      <c r="N103" s="36" t="s">
        <v>66</v>
      </c>
      <c r="O103" s="36" t="s">
        <v>67</v>
      </c>
      <c r="P103" s="36" t="s">
        <v>2588</v>
      </c>
      <c r="Q103" s="36">
        <v>1.0</v>
      </c>
      <c r="R103" s="36">
        <v>0.0</v>
      </c>
      <c r="S103" s="36">
        <v>1.0</v>
      </c>
      <c r="T103" s="56" t="s">
        <v>61</v>
      </c>
      <c r="U103" s="57">
        <v>0.0</v>
      </c>
      <c r="V103" s="36" t="s">
        <v>61</v>
      </c>
      <c r="W103" s="57" t="s">
        <v>61</v>
      </c>
      <c r="X103" s="57" t="s">
        <v>74</v>
      </c>
      <c r="Y103" s="36" t="s">
        <v>2589</v>
      </c>
      <c r="Z103" s="36" t="s">
        <v>2590</v>
      </c>
      <c r="AA103" s="36" t="s">
        <v>2591</v>
      </c>
      <c r="AB103" s="58">
        <v>46023.0</v>
      </c>
      <c r="AC103" s="59">
        <v>46387.0</v>
      </c>
      <c r="AD103" s="36" t="s">
        <v>2593</v>
      </c>
      <c r="AE103" s="36" t="s">
        <v>79</v>
      </c>
      <c r="AF103" s="36" t="s">
        <v>61</v>
      </c>
      <c r="AG103" s="50"/>
      <c r="AH103" s="65"/>
    </row>
    <row r="104" ht="45.75" customHeight="1">
      <c r="A104" s="36">
        <v>103.0</v>
      </c>
      <c r="B104" s="53" t="s">
        <v>2597</v>
      </c>
      <c r="C104" s="36" t="s">
        <v>265</v>
      </c>
      <c r="D104" s="36" t="s">
        <v>881</v>
      </c>
      <c r="E104" s="36" t="s">
        <v>168</v>
      </c>
      <c r="F104" s="36" t="s">
        <v>884</v>
      </c>
      <c r="G104" s="42" t="s">
        <v>886</v>
      </c>
      <c r="H104" s="36" t="s">
        <v>64</v>
      </c>
      <c r="I104" s="36" t="s">
        <v>65</v>
      </c>
      <c r="J104" s="36" t="s">
        <v>62</v>
      </c>
      <c r="K104" s="36" t="s">
        <v>68</v>
      </c>
      <c r="L104" s="36">
        <v>1000.0</v>
      </c>
      <c r="M104" s="36" t="s">
        <v>2620</v>
      </c>
      <c r="N104" s="36" t="s">
        <v>71</v>
      </c>
      <c r="O104" s="36" t="s">
        <v>72</v>
      </c>
      <c r="P104" s="36" t="s">
        <v>895</v>
      </c>
      <c r="Q104" s="36">
        <v>0.0</v>
      </c>
      <c r="R104" s="36">
        <v>3.0</v>
      </c>
      <c r="S104" s="36">
        <v>3.0</v>
      </c>
      <c r="T104" s="56" t="s">
        <v>61</v>
      </c>
      <c r="U104" s="57">
        <v>28.0</v>
      </c>
      <c r="V104" s="36" t="s">
        <v>2625</v>
      </c>
      <c r="W104" s="57" t="s">
        <v>61</v>
      </c>
      <c r="X104" s="57" t="s">
        <v>93</v>
      </c>
      <c r="Y104" s="36" t="s">
        <v>912</v>
      </c>
      <c r="Z104" s="36" t="s">
        <v>913</v>
      </c>
      <c r="AA104" s="36" t="s">
        <v>920</v>
      </c>
      <c r="AB104" s="58">
        <v>46023.0</v>
      </c>
      <c r="AC104" s="59">
        <v>46387.0</v>
      </c>
      <c r="AD104" s="36" t="s">
        <v>2628</v>
      </c>
      <c r="AE104" s="36" t="s">
        <v>79</v>
      </c>
      <c r="AF104" s="36" t="s">
        <v>643</v>
      </c>
      <c r="AG104" s="50"/>
      <c r="AH104" s="65"/>
    </row>
    <row r="105" ht="45.75" customHeight="1">
      <c r="A105" s="36">
        <v>104.0</v>
      </c>
      <c r="B105" s="53" t="s">
        <v>2632</v>
      </c>
      <c r="C105" s="36" t="s">
        <v>265</v>
      </c>
      <c r="D105" s="36" t="s">
        <v>881</v>
      </c>
      <c r="E105" s="36" t="s">
        <v>168</v>
      </c>
      <c r="F105" s="36" t="s">
        <v>2634</v>
      </c>
      <c r="G105" s="42" t="s">
        <v>2636</v>
      </c>
      <c r="H105" s="36" t="s">
        <v>64</v>
      </c>
      <c r="I105" s="36" t="s">
        <v>2638</v>
      </c>
      <c r="J105" s="36" t="s">
        <v>663</v>
      </c>
      <c r="K105" s="36" t="s">
        <v>111</v>
      </c>
      <c r="L105" s="36">
        <v>72.0</v>
      </c>
      <c r="M105" s="36" t="s">
        <v>2644</v>
      </c>
      <c r="N105" s="131" t="s">
        <v>66</v>
      </c>
      <c r="O105" s="36" t="s">
        <v>67</v>
      </c>
      <c r="P105" s="36" t="s">
        <v>2650</v>
      </c>
      <c r="Q105" s="36">
        <v>0.0</v>
      </c>
      <c r="R105" s="36">
        <v>1.0</v>
      </c>
      <c r="S105" s="36">
        <v>1.0</v>
      </c>
      <c r="T105" s="56" t="s">
        <v>61</v>
      </c>
      <c r="U105" s="45"/>
      <c r="V105" s="40"/>
      <c r="W105" s="45"/>
      <c r="X105" s="57" t="s">
        <v>93</v>
      </c>
      <c r="Y105" s="36" t="s">
        <v>2657</v>
      </c>
      <c r="Z105" s="36">
        <v>9.816729754E9</v>
      </c>
      <c r="AA105" s="117" t="s">
        <v>2659</v>
      </c>
      <c r="AB105" s="58">
        <v>46023.0</v>
      </c>
      <c r="AC105" s="59">
        <v>46387.0</v>
      </c>
      <c r="AD105" s="36" t="s">
        <v>2660</v>
      </c>
      <c r="AE105" s="36" t="s">
        <v>79</v>
      </c>
      <c r="AF105" s="50"/>
      <c r="AG105" s="36" t="s">
        <v>2662</v>
      </c>
      <c r="AH105" s="65"/>
    </row>
    <row r="106" ht="45.75" customHeight="1">
      <c r="A106" s="36">
        <v>105.0</v>
      </c>
      <c r="B106" s="53" t="s">
        <v>2664</v>
      </c>
      <c r="C106" s="36" t="s">
        <v>265</v>
      </c>
      <c r="D106" s="36" t="s">
        <v>881</v>
      </c>
      <c r="E106" s="36" t="s">
        <v>168</v>
      </c>
      <c r="F106" s="36" t="s">
        <v>2666</v>
      </c>
      <c r="G106" s="42" t="s">
        <v>2668</v>
      </c>
      <c r="H106" s="36" t="s">
        <v>64</v>
      </c>
      <c r="I106" s="36" t="s">
        <v>155</v>
      </c>
      <c r="J106" s="36" t="s">
        <v>62</v>
      </c>
      <c r="K106" s="36" t="s">
        <v>63</v>
      </c>
      <c r="L106" s="36">
        <v>25.0</v>
      </c>
      <c r="M106" s="36" t="s">
        <v>2674</v>
      </c>
      <c r="N106" s="36" t="s">
        <v>66</v>
      </c>
      <c r="O106" s="36" t="s">
        <v>67</v>
      </c>
      <c r="P106" s="36" t="s">
        <v>2679</v>
      </c>
      <c r="Q106" s="36">
        <v>1.0</v>
      </c>
      <c r="R106" s="36">
        <v>0.0</v>
      </c>
      <c r="S106" s="36">
        <v>1.0</v>
      </c>
      <c r="T106" s="56" t="s">
        <v>61</v>
      </c>
      <c r="U106" s="57">
        <v>0.0</v>
      </c>
      <c r="V106" s="36" t="s">
        <v>61</v>
      </c>
      <c r="W106" s="57" t="s">
        <v>61</v>
      </c>
      <c r="X106" s="57" t="s">
        <v>74</v>
      </c>
      <c r="Y106" s="36" t="s">
        <v>2686</v>
      </c>
      <c r="Z106" s="36" t="s">
        <v>2687</v>
      </c>
      <c r="AA106" s="117" t="s">
        <v>2689</v>
      </c>
      <c r="AB106" s="58">
        <v>46023.0</v>
      </c>
      <c r="AC106" s="59">
        <v>46387.0</v>
      </c>
      <c r="AD106" s="36" t="s">
        <v>2690</v>
      </c>
      <c r="AE106" s="36" t="s">
        <v>79</v>
      </c>
      <c r="AF106" s="36" t="s">
        <v>61</v>
      </c>
      <c r="AG106" s="50"/>
      <c r="AH106" s="40"/>
    </row>
    <row r="107" ht="45.75" customHeight="1">
      <c r="A107" s="36">
        <v>106.0</v>
      </c>
      <c r="B107" s="53" t="s">
        <v>2692</v>
      </c>
      <c r="C107" s="36" t="s">
        <v>265</v>
      </c>
      <c r="D107" s="36" t="s">
        <v>881</v>
      </c>
      <c r="E107" s="36" t="s">
        <v>2696</v>
      </c>
      <c r="F107" s="36" t="s">
        <v>2698</v>
      </c>
      <c r="G107" s="42" t="s">
        <v>2700</v>
      </c>
      <c r="H107" s="36" t="s">
        <v>64</v>
      </c>
      <c r="I107" s="36" t="s">
        <v>155</v>
      </c>
      <c r="J107" s="36" t="s">
        <v>62</v>
      </c>
      <c r="K107" s="36" t="s">
        <v>63</v>
      </c>
      <c r="L107" s="36">
        <v>25.0</v>
      </c>
      <c r="M107" s="36" t="s">
        <v>1831</v>
      </c>
      <c r="N107" s="36" t="s">
        <v>66</v>
      </c>
      <c r="O107" s="36" t="s">
        <v>67</v>
      </c>
      <c r="P107" s="36" t="s">
        <v>2706</v>
      </c>
      <c r="Q107" s="36">
        <v>1.0</v>
      </c>
      <c r="R107" s="36">
        <v>0.0</v>
      </c>
      <c r="S107" s="36">
        <v>1.0</v>
      </c>
      <c r="T107" s="56" t="s">
        <v>61</v>
      </c>
      <c r="U107" s="57">
        <v>0.0</v>
      </c>
      <c r="V107" s="36" t="s">
        <v>61</v>
      </c>
      <c r="W107" s="57" t="s">
        <v>61</v>
      </c>
      <c r="X107" s="57" t="s">
        <v>74</v>
      </c>
      <c r="Y107" s="36" t="s">
        <v>2713</v>
      </c>
      <c r="Z107" s="36">
        <v>9.175171753E9</v>
      </c>
      <c r="AA107" s="117" t="s">
        <v>2714</v>
      </c>
      <c r="AB107" s="58">
        <v>46023.0</v>
      </c>
      <c r="AC107" s="59">
        <v>46387.0</v>
      </c>
      <c r="AD107" s="36" t="s">
        <v>2715</v>
      </c>
      <c r="AE107" s="36" t="s">
        <v>79</v>
      </c>
      <c r="AF107" s="36" t="s">
        <v>61</v>
      </c>
      <c r="AG107" s="50"/>
      <c r="AH107" s="40"/>
    </row>
    <row r="108" ht="45.75" customHeight="1">
      <c r="A108" s="36">
        <v>107.0</v>
      </c>
      <c r="B108" s="53" t="s">
        <v>2716</v>
      </c>
      <c r="C108" s="36" t="s">
        <v>265</v>
      </c>
      <c r="D108" s="36" t="s">
        <v>2719</v>
      </c>
      <c r="E108" s="36" t="s">
        <v>2720</v>
      </c>
      <c r="F108" s="36" t="s">
        <v>2722</v>
      </c>
      <c r="G108" s="42" t="s">
        <v>2723</v>
      </c>
      <c r="H108" s="36" t="s">
        <v>64</v>
      </c>
      <c r="I108" s="36" t="s">
        <v>155</v>
      </c>
      <c r="J108" s="36" t="s">
        <v>62</v>
      </c>
      <c r="K108" s="36" t="s">
        <v>63</v>
      </c>
      <c r="L108" s="36">
        <v>25.0</v>
      </c>
      <c r="M108" s="36" t="s">
        <v>2728</v>
      </c>
      <c r="N108" s="36" t="s">
        <v>66</v>
      </c>
      <c r="O108" s="36" t="s">
        <v>67</v>
      </c>
      <c r="P108" s="36" t="s">
        <v>2730</v>
      </c>
      <c r="Q108" s="36">
        <v>1.0</v>
      </c>
      <c r="R108" s="36">
        <v>0.0</v>
      </c>
      <c r="S108" s="36">
        <v>1.0</v>
      </c>
      <c r="T108" s="56" t="s">
        <v>61</v>
      </c>
      <c r="U108" s="57">
        <v>0.0</v>
      </c>
      <c r="V108" s="36" t="s">
        <v>61</v>
      </c>
      <c r="W108" s="57" t="s">
        <v>61</v>
      </c>
      <c r="X108" s="57" t="s">
        <v>74</v>
      </c>
      <c r="Y108" s="36" t="s">
        <v>2733</v>
      </c>
      <c r="Z108" s="36" t="s">
        <v>2736</v>
      </c>
      <c r="AA108" s="117" t="s">
        <v>2738</v>
      </c>
      <c r="AB108" s="58">
        <v>46023.0</v>
      </c>
      <c r="AC108" s="59">
        <v>46387.0</v>
      </c>
      <c r="AD108" s="36" t="s">
        <v>2739</v>
      </c>
      <c r="AE108" s="36" t="s">
        <v>79</v>
      </c>
      <c r="AF108" s="36" t="s">
        <v>61</v>
      </c>
      <c r="AG108" s="50"/>
      <c r="AH108" s="40"/>
    </row>
    <row r="109" ht="45.75" customHeight="1">
      <c r="A109" s="36">
        <v>108.0</v>
      </c>
      <c r="B109" s="36">
        <v>6491.0</v>
      </c>
      <c r="C109" s="36" t="s">
        <v>265</v>
      </c>
      <c r="D109" s="36" t="s">
        <v>2719</v>
      </c>
      <c r="E109" s="36" t="s">
        <v>2741</v>
      </c>
      <c r="F109" s="36" t="s">
        <v>2742</v>
      </c>
      <c r="G109" s="42" t="s">
        <v>2744</v>
      </c>
      <c r="H109" s="36" t="s">
        <v>64</v>
      </c>
      <c r="I109" s="36" t="s">
        <v>155</v>
      </c>
      <c r="J109" s="36" t="s">
        <v>62</v>
      </c>
      <c r="K109" s="36" t="s">
        <v>63</v>
      </c>
      <c r="L109" s="36">
        <v>50.0</v>
      </c>
      <c r="M109" s="36" t="s">
        <v>2753</v>
      </c>
      <c r="N109" s="36" t="s">
        <v>66</v>
      </c>
      <c r="O109" s="36" t="s">
        <v>67</v>
      </c>
      <c r="P109" s="36" t="s">
        <v>2754</v>
      </c>
      <c r="Q109" s="36">
        <v>2.0</v>
      </c>
      <c r="R109" s="36">
        <v>0.0</v>
      </c>
      <c r="S109" s="36">
        <v>2.0</v>
      </c>
      <c r="T109" s="56" t="s">
        <v>61</v>
      </c>
      <c r="U109" s="57">
        <v>0.0</v>
      </c>
      <c r="V109" s="36" t="s">
        <v>61</v>
      </c>
      <c r="W109" s="57" t="s">
        <v>61</v>
      </c>
      <c r="X109" s="57" t="s">
        <v>74</v>
      </c>
      <c r="Y109" s="36" t="s">
        <v>2757</v>
      </c>
      <c r="Z109" s="36" t="s">
        <v>2759</v>
      </c>
      <c r="AA109" s="36" t="s">
        <v>2760</v>
      </c>
      <c r="AB109" s="58">
        <v>46023.0</v>
      </c>
      <c r="AC109" s="59">
        <v>46387.0</v>
      </c>
      <c r="AD109" s="36" t="s">
        <v>2762</v>
      </c>
      <c r="AE109" s="36" t="s">
        <v>79</v>
      </c>
      <c r="AF109" s="36" t="s">
        <v>61</v>
      </c>
      <c r="AG109" s="36" t="s">
        <v>2763</v>
      </c>
      <c r="AH109" s="40"/>
    </row>
    <row r="110" ht="45.75" customHeight="1">
      <c r="A110" s="36">
        <v>109.0</v>
      </c>
      <c r="B110" s="53" t="s">
        <v>2765</v>
      </c>
      <c r="C110" s="36" t="s">
        <v>265</v>
      </c>
      <c r="D110" s="36" t="s">
        <v>2719</v>
      </c>
      <c r="E110" s="36" t="s">
        <v>729</v>
      </c>
      <c r="F110" s="36" t="s">
        <v>2767</v>
      </c>
      <c r="G110" s="42" t="s">
        <v>2769</v>
      </c>
      <c r="H110" s="36" t="s">
        <v>64</v>
      </c>
      <c r="I110" s="36" t="s">
        <v>155</v>
      </c>
      <c r="J110" s="36" t="s">
        <v>62</v>
      </c>
      <c r="K110" s="36" t="s">
        <v>63</v>
      </c>
      <c r="L110" s="36">
        <v>75.0</v>
      </c>
      <c r="M110" s="36" t="s">
        <v>2775</v>
      </c>
      <c r="N110" s="36" t="s">
        <v>66</v>
      </c>
      <c r="O110" s="36" t="s">
        <v>67</v>
      </c>
      <c r="P110" s="36" t="s">
        <v>2777</v>
      </c>
      <c r="Q110" s="36">
        <v>2.0</v>
      </c>
      <c r="R110" s="36">
        <v>0.0</v>
      </c>
      <c r="S110" s="36">
        <v>2.0</v>
      </c>
      <c r="T110" s="56" t="s">
        <v>61</v>
      </c>
      <c r="U110" s="57">
        <v>15.0</v>
      </c>
      <c r="V110" s="36" t="s">
        <v>2769</v>
      </c>
      <c r="W110" s="57" t="s">
        <v>61</v>
      </c>
      <c r="X110" s="57" t="s">
        <v>74</v>
      </c>
      <c r="Y110" s="36" t="s">
        <v>2781</v>
      </c>
      <c r="Z110" s="36" t="s">
        <v>2782</v>
      </c>
      <c r="AA110" s="117" t="s">
        <v>2783</v>
      </c>
      <c r="AB110" s="58">
        <v>46023.0</v>
      </c>
      <c r="AC110" s="59">
        <v>46387.0</v>
      </c>
      <c r="AD110" s="36" t="s">
        <v>2784</v>
      </c>
      <c r="AE110" s="36" t="s">
        <v>79</v>
      </c>
      <c r="AF110" s="36" t="s">
        <v>61</v>
      </c>
      <c r="AG110" s="50"/>
      <c r="AH110" s="40"/>
    </row>
    <row r="111" ht="45.75" customHeight="1">
      <c r="A111" s="36">
        <v>110.0</v>
      </c>
      <c r="B111" s="36">
        <v>3552.0</v>
      </c>
      <c r="C111" s="36" t="s">
        <v>265</v>
      </c>
      <c r="D111" s="36" t="s">
        <v>2719</v>
      </c>
      <c r="E111" s="36" t="s">
        <v>2790</v>
      </c>
      <c r="F111" s="36" t="s">
        <v>2794</v>
      </c>
      <c r="G111" s="42" t="s">
        <v>2796</v>
      </c>
      <c r="H111" s="36" t="s">
        <v>64</v>
      </c>
      <c r="I111" s="36" t="s">
        <v>155</v>
      </c>
      <c r="J111" s="36" t="s">
        <v>62</v>
      </c>
      <c r="K111" s="36" t="s">
        <v>63</v>
      </c>
      <c r="L111" s="36">
        <v>17.0</v>
      </c>
      <c r="M111" s="36" t="s">
        <v>61</v>
      </c>
      <c r="N111" s="36" t="s">
        <v>66</v>
      </c>
      <c r="O111" s="36" t="s">
        <v>67</v>
      </c>
      <c r="P111" s="36" t="s">
        <v>2800</v>
      </c>
      <c r="Q111" s="36">
        <v>1.0</v>
      </c>
      <c r="R111" s="36">
        <v>0.0</v>
      </c>
      <c r="S111" s="36">
        <v>1.0</v>
      </c>
      <c r="T111" s="56" t="s">
        <v>61</v>
      </c>
      <c r="U111" s="57">
        <v>0.0</v>
      </c>
      <c r="V111" s="36" t="s">
        <v>61</v>
      </c>
      <c r="W111" s="57" t="s">
        <v>61</v>
      </c>
      <c r="X111" s="57" t="s">
        <v>74</v>
      </c>
      <c r="Y111" s="36" t="s">
        <v>2803</v>
      </c>
      <c r="Z111" s="36" t="s">
        <v>2804</v>
      </c>
      <c r="AA111" s="36" t="s">
        <v>2805</v>
      </c>
      <c r="AB111" s="58">
        <v>46023.0</v>
      </c>
      <c r="AC111" s="59">
        <v>46387.0</v>
      </c>
      <c r="AD111" s="36" t="s">
        <v>2807</v>
      </c>
      <c r="AE111" s="36" t="s">
        <v>79</v>
      </c>
      <c r="AF111" s="36" t="s">
        <v>61</v>
      </c>
      <c r="AG111" s="36" t="s">
        <v>2810</v>
      </c>
      <c r="AH111" s="40"/>
    </row>
    <row r="112" ht="45.75" customHeight="1">
      <c r="A112" s="36">
        <v>111.0</v>
      </c>
      <c r="B112" s="53" t="s">
        <v>2812</v>
      </c>
      <c r="C112" s="36" t="s">
        <v>265</v>
      </c>
      <c r="D112" s="36" t="s">
        <v>2719</v>
      </c>
      <c r="E112" s="36" t="s">
        <v>2813</v>
      </c>
      <c r="F112" s="36" t="s">
        <v>2815</v>
      </c>
      <c r="G112" s="42" t="s">
        <v>2817</v>
      </c>
      <c r="H112" s="36" t="s">
        <v>64</v>
      </c>
      <c r="I112" s="36" t="s">
        <v>155</v>
      </c>
      <c r="J112" s="36" t="s">
        <v>62</v>
      </c>
      <c r="K112" s="36" t="s">
        <v>63</v>
      </c>
      <c r="L112" s="36">
        <v>17.0</v>
      </c>
      <c r="M112" s="36" t="s">
        <v>2818</v>
      </c>
      <c r="N112" s="36" t="s">
        <v>66</v>
      </c>
      <c r="O112" s="36" t="s">
        <v>67</v>
      </c>
      <c r="P112" s="36" t="s">
        <v>2819</v>
      </c>
      <c r="Q112" s="36">
        <v>1.0</v>
      </c>
      <c r="R112" s="36">
        <v>0.0</v>
      </c>
      <c r="S112" s="36">
        <v>1.0</v>
      </c>
      <c r="T112" s="56" t="s">
        <v>61</v>
      </c>
      <c r="U112" s="57">
        <v>0.0</v>
      </c>
      <c r="V112" s="36" t="s">
        <v>61</v>
      </c>
      <c r="W112" s="57" t="s">
        <v>61</v>
      </c>
      <c r="X112" s="57" t="s">
        <v>74</v>
      </c>
      <c r="Y112" s="36" t="s">
        <v>2820</v>
      </c>
      <c r="Z112" s="36" t="s">
        <v>2821</v>
      </c>
      <c r="AA112" s="117" t="s">
        <v>2822</v>
      </c>
      <c r="AB112" s="58">
        <v>46023.0</v>
      </c>
      <c r="AC112" s="59">
        <v>46387.0</v>
      </c>
      <c r="AD112" s="36" t="s">
        <v>2824</v>
      </c>
      <c r="AE112" s="36" t="s">
        <v>79</v>
      </c>
      <c r="AF112" s="36" t="s">
        <v>61</v>
      </c>
      <c r="AG112" s="50"/>
      <c r="AH112" s="40"/>
    </row>
    <row r="113" ht="45.75" customHeight="1">
      <c r="A113" s="36">
        <v>112.0</v>
      </c>
      <c r="B113" s="53" t="s">
        <v>2825</v>
      </c>
      <c r="C113" s="36" t="s">
        <v>265</v>
      </c>
      <c r="D113" s="36" t="s">
        <v>2719</v>
      </c>
      <c r="E113" s="36" t="s">
        <v>2827</v>
      </c>
      <c r="F113" s="36" t="s">
        <v>2828</v>
      </c>
      <c r="G113" s="42" t="s">
        <v>2829</v>
      </c>
      <c r="H113" s="36" t="s">
        <v>64</v>
      </c>
      <c r="I113" s="36" t="s">
        <v>2305</v>
      </c>
      <c r="J113" s="36" t="s">
        <v>62</v>
      </c>
      <c r="K113" s="36" t="s">
        <v>63</v>
      </c>
      <c r="L113" s="36">
        <v>29.0</v>
      </c>
      <c r="M113" s="36" t="s">
        <v>2830</v>
      </c>
      <c r="N113" s="36" t="s">
        <v>66</v>
      </c>
      <c r="O113" s="36" t="s">
        <v>67</v>
      </c>
      <c r="P113" s="36" t="s">
        <v>2832</v>
      </c>
      <c r="Q113" s="36">
        <v>0.0</v>
      </c>
      <c r="R113" s="36">
        <v>0.0</v>
      </c>
      <c r="S113" s="36">
        <v>0.0</v>
      </c>
      <c r="T113" s="56" t="s">
        <v>2833</v>
      </c>
      <c r="U113" s="57">
        <v>0.0</v>
      </c>
      <c r="V113" s="36" t="s">
        <v>61</v>
      </c>
      <c r="W113" s="57" t="s">
        <v>61</v>
      </c>
      <c r="X113" s="57" t="s">
        <v>74</v>
      </c>
      <c r="Y113" s="36" t="s">
        <v>2834</v>
      </c>
      <c r="Z113" s="36" t="s">
        <v>2835</v>
      </c>
      <c r="AA113" s="117" t="s">
        <v>2836</v>
      </c>
      <c r="AB113" s="58">
        <v>46023.0</v>
      </c>
      <c r="AC113" s="59">
        <v>46387.0</v>
      </c>
      <c r="AD113" s="36" t="s">
        <v>2837</v>
      </c>
      <c r="AE113" s="36" t="s">
        <v>79</v>
      </c>
      <c r="AF113" s="36" t="s">
        <v>61</v>
      </c>
      <c r="AG113" s="50"/>
      <c r="AH113" s="40"/>
    </row>
    <row r="114" ht="45.75" customHeight="1">
      <c r="A114" s="36">
        <v>113.0</v>
      </c>
      <c r="B114" s="53" t="s">
        <v>2840</v>
      </c>
      <c r="C114" s="36" t="s">
        <v>265</v>
      </c>
      <c r="D114" s="36" t="s">
        <v>2719</v>
      </c>
      <c r="E114" s="36" t="s">
        <v>2827</v>
      </c>
      <c r="F114" s="36" t="s">
        <v>2843</v>
      </c>
      <c r="G114" s="42" t="s">
        <v>2846</v>
      </c>
      <c r="H114" s="36" t="s">
        <v>64</v>
      </c>
      <c r="I114" s="36" t="s">
        <v>155</v>
      </c>
      <c r="J114" s="36" t="s">
        <v>62</v>
      </c>
      <c r="K114" s="36" t="s">
        <v>68</v>
      </c>
      <c r="L114" s="36">
        <v>500.0</v>
      </c>
      <c r="M114" s="36" t="s">
        <v>2851</v>
      </c>
      <c r="N114" s="36" t="s">
        <v>71</v>
      </c>
      <c r="O114" s="36" t="s">
        <v>72</v>
      </c>
      <c r="P114" s="36" t="s">
        <v>2853</v>
      </c>
      <c r="Q114" s="36">
        <v>0.0</v>
      </c>
      <c r="R114" s="36">
        <v>1.0</v>
      </c>
      <c r="S114" s="36">
        <v>1.0</v>
      </c>
      <c r="T114" s="56" t="s">
        <v>61</v>
      </c>
      <c r="U114" s="57">
        <v>34.0</v>
      </c>
      <c r="V114" s="36" t="s">
        <v>61</v>
      </c>
      <c r="W114" s="57" t="s">
        <v>61</v>
      </c>
      <c r="X114" s="57" t="s">
        <v>93</v>
      </c>
      <c r="Y114" s="36" t="s">
        <v>2858</v>
      </c>
      <c r="Z114" s="36">
        <v>9.209594035E9</v>
      </c>
      <c r="AA114" s="36" t="s">
        <v>2859</v>
      </c>
      <c r="AB114" s="58">
        <v>46023.0</v>
      </c>
      <c r="AC114" s="59">
        <v>46387.0</v>
      </c>
      <c r="AD114" s="36" t="s">
        <v>2861</v>
      </c>
      <c r="AE114" s="36" t="s">
        <v>79</v>
      </c>
      <c r="AF114" s="36" t="s">
        <v>61</v>
      </c>
      <c r="AG114" s="36" t="s">
        <v>1790</v>
      </c>
      <c r="AH114" s="40"/>
    </row>
    <row r="115" ht="45.75" customHeight="1">
      <c r="A115" s="36">
        <v>114.0</v>
      </c>
      <c r="B115" s="36">
        <v>6686.0</v>
      </c>
      <c r="C115" s="36" t="s">
        <v>265</v>
      </c>
      <c r="D115" s="36" t="s">
        <v>2864</v>
      </c>
      <c r="E115" s="36" t="s">
        <v>2866</v>
      </c>
      <c r="F115" s="36" t="s">
        <v>2867</v>
      </c>
      <c r="G115" s="42" t="s">
        <v>2869</v>
      </c>
      <c r="H115" s="36" t="s">
        <v>64</v>
      </c>
      <c r="I115" s="36" t="s">
        <v>155</v>
      </c>
      <c r="J115" s="36" t="s">
        <v>62</v>
      </c>
      <c r="K115" s="36" t="s">
        <v>63</v>
      </c>
      <c r="L115" s="36">
        <v>71.0</v>
      </c>
      <c r="M115" s="36" t="s">
        <v>2873</v>
      </c>
      <c r="N115" s="36" t="s">
        <v>66</v>
      </c>
      <c r="O115" s="36" t="s">
        <v>72</v>
      </c>
      <c r="P115" s="36" t="s">
        <v>2875</v>
      </c>
      <c r="Q115" s="36">
        <v>2.0</v>
      </c>
      <c r="R115" s="36">
        <v>0.0</v>
      </c>
      <c r="S115" s="36">
        <v>2.0</v>
      </c>
      <c r="T115" s="56" t="s">
        <v>61</v>
      </c>
      <c r="U115" s="57">
        <v>0.0</v>
      </c>
      <c r="V115" s="36" t="s">
        <v>61</v>
      </c>
      <c r="W115" s="57" t="s">
        <v>61</v>
      </c>
      <c r="X115" s="57" t="s">
        <v>74</v>
      </c>
      <c r="Y115" s="36" t="s">
        <v>2877</v>
      </c>
      <c r="Z115" s="36">
        <v>9.299634454E9</v>
      </c>
      <c r="AA115" s="117" t="s">
        <v>2878</v>
      </c>
      <c r="AB115" s="58">
        <v>46023.0</v>
      </c>
      <c r="AC115" s="59">
        <v>46387.0</v>
      </c>
      <c r="AD115" s="36" t="s">
        <v>2879</v>
      </c>
      <c r="AE115" s="51"/>
      <c r="AF115" s="36" t="s">
        <v>61</v>
      </c>
      <c r="AG115" s="51"/>
      <c r="AH115" s="40"/>
    </row>
    <row r="116" ht="45.75" customHeight="1">
      <c r="A116" s="36">
        <v>115.0</v>
      </c>
      <c r="B116" s="36">
        <v>4704.0</v>
      </c>
      <c r="C116" s="36" t="s">
        <v>265</v>
      </c>
      <c r="D116" s="36" t="s">
        <v>2864</v>
      </c>
      <c r="E116" s="36" t="s">
        <v>2883</v>
      </c>
      <c r="F116" s="36" t="s">
        <v>2884</v>
      </c>
      <c r="G116" s="42" t="s">
        <v>2885</v>
      </c>
      <c r="H116" s="36" t="s">
        <v>64</v>
      </c>
      <c r="I116" s="36" t="s">
        <v>155</v>
      </c>
      <c r="J116" s="36" t="s">
        <v>62</v>
      </c>
      <c r="K116" s="36" t="s">
        <v>111</v>
      </c>
      <c r="L116" s="36">
        <v>150.0</v>
      </c>
      <c r="M116" s="36" t="s">
        <v>2887</v>
      </c>
      <c r="N116" s="36" t="s">
        <v>66</v>
      </c>
      <c r="O116" s="36" t="s">
        <v>72</v>
      </c>
      <c r="P116" s="36" t="s">
        <v>2888</v>
      </c>
      <c r="Q116" s="36">
        <v>0.0</v>
      </c>
      <c r="R116" s="36">
        <v>1.0</v>
      </c>
      <c r="S116" s="36">
        <v>1.0</v>
      </c>
      <c r="T116" s="56" t="s">
        <v>61</v>
      </c>
      <c r="U116" s="57">
        <v>0.0</v>
      </c>
      <c r="V116" s="36" t="s">
        <v>61</v>
      </c>
      <c r="W116" s="57" t="s">
        <v>61</v>
      </c>
      <c r="X116" s="57" t="s">
        <v>93</v>
      </c>
      <c r="Y116" s="36" t="s">
        <v>2890</v>
      </c>
      <c r="Z116" s="36" t="s">
        <v>2891</v>
      </c>
      <c r="AA116" s="117" t="s">
        <v>2892</v>
      </c>
      <c r="AB116" s="58">
        <v>46023.0</v>
      </c>
      <c r="AC116" s="59">
        <v>46387.0</v>
      </c>
      <c r="AD116" s="36" t="s">
        <v>2894</v>
      </c>
      <c r="AE116" s="36" t="s">
        <v>79</v>
      </c>
      <c r="AF116" s="36" t="s">
        <v>61</v>
      </c>
      <c r="AG116" s="36" t="s">
        <v>2897</v>
      </c>
      <c r="AH116" s="40"/>
    </row>
    <row r="117" ht="45.75" customHeight="1">
      <c r="A117" s="36">
        <v>116.0</v>
      </c>
      <c r="B117" s="36">
        <v>272.0</v>
      </c>
      <c r="C117" s="36" t="s">
        <v>265</v>
      </c>
      <c r="D117" s="36" t="s">
        <v>2864</v>
      </c>
      <c r="E117" s="36" t="s">
        <v>2901</v>
      </c>
      <c r="F117" s="36" t="s">
        <v>2902</v>
      </c>
      <c r="G117" s="42" t="s">
        <v>2903</v>
      </c>
      <c r="H117" s="36" t="s">
        <v>64</v>
      </c>
      <c r="I117" s="36" t="s">
        <v>155</v>
      </c>
      <c r="J117" s="36" t="s">
        <v>62</v>
      </c>
      <c r="K117" s="36" t="s">
        <v>68</v>
      </c>
      <c r="L117" s="36">
        <v>270.0</v>
      </c>
      <c r="M117" s="36" t="s">
        <v>2907</v>
      </c>
      <c r="N117" s="36" t="s">
        <v>71</v>
      </c>
      <c r="O117" s="36" t="s">
        <v>72</v>
      </c>
      <c r="P117" s="36" t="s">
        <v>2908</v>
      </c>
      <c r="Q117" s="36">
        <v>0.0</v>
      </c>
      <c r="R117" s="36">
        <v>2.0</v>
      </c>
      <c r="S117" s="36">
        <v>2.0</v>
      </c>
      <c r="T117" s="56" t="s">
        <v>61</v>
      </c>
      <c r="U117" s="57">
        <v>12.0</v>
      </c>
      <c r="V117" s="36" t="s">
        <v>61</v>
      </c>
      <c r="W117" s="57" t="s">
        <v>61</v>
      </c>
      <c r="X117" s="57" t="s">
        <v>93</v>
      </c>
      <c r="Y117" s="36" t="s">
        <v>2910</v>
      </c>
      <c r="Z117" s="36" t="s">
        <v>2911</v>
      </c>
      <c r="AA117" s="117" t="s">
        <v>2913</v>
      </c>
      <c r="AB117" s="58">
        <v>46023.0</v>
      </c>
      <c r="AC117" s="59">
        <v>46387.0</v>
      </c>
      <c r="AD117" s="36" t="s">
        <v>2916</v>
      </c>
      <c r="AE117" s="36" t="s">
        <v>79</v>
      </c>
      <c r="AF117" s="36" t="s">
        <v>61</v>
      </c>
      <c r="AG117" s="36" t="s">
        <v>2919</v>
      </c>
      <c r="AH117" s="40"/>
    </row>
    <row r="118" ht="45.75" customHeight="1">
      <c r="A118" s="36">
        <v>117.0</v>
      </c>
      <c r="B118" s="36">
        <v>4791.0</v>
      </c>
      <c r="C118" s="36" t="s">
        <v>265</v>
      </c>
      <c r="D118" s="36" t="s">
        <v>2864</v>
      </c>
      <c r="E118" s="36" t="s">
        <v>2924</v>
      </c>
      <c r="F118" s="36" t="s">
        <v>2926</v>
      </c>
      <c r="G118" s="42" t="s">
        <v>2927</v>
      </c>
      <c r="H118" s="36" t="s">
        <v>64</v>
      </c>
      <c r="I118" s="36" t="s">
        <v>155</v>
      </c>
      <c r="J118" s="36" t="s">
        <v>62</v>
      </c>
      <c r="K118" s="36" t="s">
        <v>63</v>
      </c>
      <c r="L118" s="36">
        <v>89.0</v>
      </c>
      <c r="M118" s="36" t="s">
        <v>2931</v>
      </c>
      <c r="N118" s="36" t="s">
        <v>66</v>
      </c>
      <c r="O118" s="36" t="s">
        <v>72</v>
      </c>
      <c r="P118" s="36" t="s">
        <v>2932</v>
      </c>
      <c r="Q118" s="36">
        <v>2.0</v>
      </c>
      <c r="R118" s="36">
        <v>0.0</v>
      </c>
      <c r="S118" s="36">
        <v>2.0</v>
      </c>
      <c r="T118" s="56" t="s">
        <v>61</v>
      </c>
      <c r="U118" s="57">
        <v>0.0</v>
      </c>
      <c r="V118" s="36" t="s">
        <v>61</v>
      </c>
      <c r="W118" s="57" t="s">
        <v>61</v>
      </c>
      <c r="X118" s="57" t="s">
        <v>74</v>
      </c>
      <c r="Y118" s="36" t="s">
        <v>2936</v>
      </c>
      <c r="Z118" s="36" t="s">
        <v>2937</v>
      </c>
      <c r="AA118" s="117" t="s">
        <v>2938</v>
      </c>
      <c r="AB118" s="58">
        <v>46023.0</v>
      </c>
      <c r="AC118" s="59">
        <v>46387.0</v>
      </c>
      <c r="AD118" s="36" t="s">
        <v>2942</v>
      </c>
      <c r="AE118" s="36" t="s">
        <v>79</v>
      </c>
      <c r="AF118" s="36" t="s">
        <v>61</v>
      </c>
      <c r="AG118" s="51"/>
      <c r="AH118" s="40"/>
    </row>
    <row r="119" ht="45.75" customHeight="1">
      <c r="A119" s="36">
        <v>118.0</v>
      </c>
      <c r="B119" s="36">
        <v>741.0</v>
      </c>
      <c r="C119" s="36" t="s">
        <v>265</v>
      </c>
      <c r="D119" s="36" t="s">
        <v>2864</v>
      </c>
      <c r="E119" s="36" t="s">
        <v>2945</v>
      </c>
      <c r="F119" s="36" t="s">
        <v>2947</v>
      </c>
      <c r="G119" s="42" t="s">
        <v>2949</v>
      </c>
      <c r="H119" s="36" t="s">
        <v>64</v>
      </c>
      <c r="I119" s="36" t="s">
        <v>155</v>
      </c>
      <c r="J119" s="36" t="s">
        <v>62</v>
      </c>
      <c r="K119" s="36" t="s">
        <v>63</v>
      </c>
      <c r="L119" s="36">
        <v>28.0</v>
      </c>
      <c r="M119" s="36" t="s">
        <v>2951</v>
      </c>
      <c r="N119" s="36" t="s">
        <v>66</v>
      </c>
      <c r="O119" s="36" t="s">
        <v>67</v>
      </c>
      <c r="P119" s="36" t="s">
        <v>2953</v>
      </c>
      <c r="Q119" s="36">
        <v>1.0</v>
      </c>
      <c r="R119" s="36">
        <v>0.0</v>
      </c>
      <c r="S119" s="36">
        <v>1.0</v>
      </c>
      <c r="T119" s="56" t="s">
        <v>61</v>
      </c>
      <c r="U119" s="57">
        <v>0.0</v>
      </c>
      <c r="V119" s="36" t="s">
        <v>61</v>
      </c>
      <c r="W119" s="57" t="s">
        <v>61</v>
      </c>
      <c r="X119" s="57" t="s">
        <v>74</v>
      </c>
      <c r="Y119" s="36" t="s">
        <v>2956</v>
      </c>
      <c r="Z119" s="36" t="s">
        <v>2957</v>
      </c>
      <c r="AA119" s="36" t="s">
        <v>2959</v>
      </c>
      <c r="AB119" s="58">
        <v>46023.0</v>
      </c>
      <c r="AC119" s="59">
        <v>46387.0</v>
      </c>
      <c r="AD119" s="36" t="s">
        <v>2962</v>
      </c>
      <c r="AE119" s="36" t="s">
        <v>79</v>
      </c>
      <c r="AF119" s="36" t="s">
        <v>61</v>
      </c>
      <c r="AG119" s="51"/>
      <c r="AH119" s="40"/>
    </row>
    <row r="120" ht="45.75" customHeight="1">
      <c r="A120" s="36">
        <v>119.0</v>
      </c>
      <c r="B120" s="36">
        <v>483.0</v>
      </c>
      <c r="C120" s="36" t="s">
        <v>351</v>
      </c>
      <c r="D120" s="36" t="s">
        <v>935</v>
      </c>
      <c r="E120" s="36" t="s">
        <v>2967</v>
      </c>
      <c r="F120" s="36" t="s">
        <v>2969</v>
      </c>
      <c r="G120" s="42" t="s">
        <v>2971</v>
      </c>
      <c r="H120" s="36" t="s">
        <v>64</v>
      </c>
      <c r="I120" s="36" t="s">
        <v>155</v>
      </c>
      <c r="J120" s="36" t="s">
        <v>62</v>
      </c>
      <c r="K120" s="36" t="s">
        <v>63</v>
      </c>
      <c r="L120" s="36">
        <v>50.0</v>
      </c>
      <c r="M120" s="36" t="s">
        <v>2972</v>
      </c>
      <c r="N120" s="36" t="s">
        <v>66</v>
      </c>
      <c r="O120" s="36" t="s">
        <v>67</v>
      </c>
      <c r="P120" s="36" t="s">
        <v>2975</v>
      </c>
      <c r="Q120" s="36"/>
      <c r="R120" s="36"/>
      <c r="S120" s="36"/>
      <c r="T120" s="36" t="s">
        <v>955</v>
      </c>
      <c r="U120" s="36">
        <v>5.0</v>
      </c>
      <c r="V120" s="36" t="s">
        <v>61</v>
      </c>
      <c r="W120" s="56"/>
      <c r="X120" s="57" t="s">
        <v>74</v>
      </c>
      <c r="Y120" s="36" t="s">
        <v>2979</v>
      </c>
      <c r="Z120" s="57" t="s">
        <v>2981</v>
      </c>
      <c r="AA120" s="57" t="s">
        <v>2983</v>
      </c>
      <c r="AB120" s="58">
        <v>46023.0</v>
      </c>
      <c r="AC120" s="146">
        <v>46387.0</v>
      </c>
      <c r="AD120" s="36" t="s">
        <v>2988</v>
      </c>
      <c r="AE120" s="59"/>
      <c r="AF120" s="59"/>
      <c r="AG120" s="36"/>
      <c r="AH120" s="36"/>
    </row>
    <row r="121" ht="45.75" customHeight="1">
      <c r="A121" s="36">
        <v>120.0</v>
      </c>
      <c r="B121" s="36">
        <v>2829.0</v>
      </c>
      <c r="C121" s="36" t="s">
        <v>351</v>
      </c>
      <c r="D121" s="36" t="s">
        <v>935</v>
      </c>
      <c r="E121" s="36" t="s">
        <v>936</v>
      </c>
      <c r="F121" s="36" t="s">
        <v>938</v>
      </c>
      <c r="G121" s="42" t="s">
        <v>940</v>
      </c>
      <c r="H121" s="36" t="s">
        <v>64</v>
      </c>
      <c r="I121" s="36" t="s">
        <v>65</v>
      </c>
      <c r="J121" s="36" t="s">
        <v>62</v>
      </c>
      <c r="K121" s="36" t="s">
        <v>68</v>
      </c>
      <c r="L121" s="36">
        <v>667.0</v>
      </c>
      <c r="M121" s="36" t="s">
        <v>947</v>
      </c>
      <c r="N121" s="36" t="s">
        <v>71</v>
      </c>
      <c r="O121" s="36" t="s">
        <v>72</v>
      </c>
      <c r="P121" s="36" t="s">
        <v>950</v>
      </c>
      <c r="Q121" s="36"/>
      <c r="R121" s="36"/>
      <c r="S121" s="36"/>
      <c r="T121" s="36" t="s">
        <v>955</v>
      </c>
      <c r="U121" s="36">
        <v>12.0</v>
      </c>
      <c r="V121" s="36" t="s">
        <v>61</v>
      </c>
      <c r="W121" s="56"/>
      <c r="X121" s="57" t="s">
        <v>93</v>
      </c>
      <c r="Y121" s="36" t="s">
        <v>3000</v>
      </c>
      <c r="Z121" s="57">
        <v>6.39152945341E11</v>
      </c>
      <c r="AA121" s="57" t="s">
        <v>976</v>
      </c>
      <c r="AB121" s="58">
        <v>46023.0</v>
      </c>
      <c r="AC121" s="146">
        <v>46387.0</v>
      </c>
      <c r="AD121" s="36" t="s">
        <v>982</v>
      </c>
      <c r="AE121" s="36" t="s">
        <v>79</v>
      </c>
      <c r="AF121" s="59"/>
      <c r="AG121" s="36" t="s">
        <v>3003</v>
      </c>
      <c r="AH121" s="36"/>
    </row>
    <row r="122" ht="45.75" customHeight="1">
      <c r="A122" s="36">
        <v>121.0</v>
      </c>
      <c r="B122" s="36">
        <v>2050.0</v>
      </c>
      <c r="C122" s="36" t="s">
        <v>351</v>
      </c>
      <c r="D122" s="36" t="s">
        <v>935</v>
      </c>
      <c r="E122" s="36" t="s">
        <v>3008</v>
      </c>
      <c r="F122" s="36" t="s">
        <v>3010</v>
      </c>
      <c r="G122" s="42" t="s">
        <v>3011</v>
      </c>
      <c r="H122" s="36" t="s">
        <v>64</v>
      </c>
      <c r="I122" s="36" t="s">
        <v>155</v>
      </c>
      <c r="J122" s="36" t="s">
        <v>62</v>
      </c>
      <c r="K122" s="36" t="s">
        <v>63</v>
      </c>
      <c r="L122" s="36">
        <v>45.0</v>
      </c>
      <c r="M122" s="36" t="s">
        <v>3015</v>
      </c>
      <c r="N122" s="36" t="s">
        <v>66</v>
      </c>
      <c r="O122" s="36" t="s">
        <v>67</v>
      </c>
      <c r="P122" s="36" t="s">
        <v>3017</v>
      </c>
      <c r="Q122" s="36"/>
      <c r="R122" s="36"/>
      <c r="S122" s="36"/>
      <c r="T122" s="36" t="s">
        <v>955</v>
      </c>
      <c r="U122" s="36" t="s">
        <v>955</v>
      </c>
      <c r="V122" s="36" t="s">
        <v>61</v>
      </c>
      <c r="W122" s="56"/>
      <c r="X122" s="57" t="s">
        <v>74</v>
      </c>
      <c r="Y122" s="36" t="s">
        <v>3020</v>
      </c>
      <c r="Z122" s="57" t="s">
        <v>3022</v>
      </c>
      <c r="AA122" s="57" t="s">
        <v>3023</v>
      </c>
      <c r="AB122" s="58">
        <v>46023.0</v>
      </c>
      <c r="AC122" s="146">
        <v>46387.0</v>
      </c>
      <c r="AD122" s="36" t="s">
        <v>3025</v>
      </c>
      <c r="AE122" s="59"/>
      <c r="AF122" s="59"/>
      <c r="AG122" s="36"/>
      <c r="AH122" s="36"/>
    </row>
    <row r="123" ht="45.75" customHeight="1">
      <c r="A123" s="36">
        <v>122.0</v>
      </c>
      <c r="B123" s="36">
        <v>649.0</v>
      </c>
      <c r="C123" s="36" t="s">
        <v>351</v>
      </c>
      <c r="D123" s="36" t="s">
        <v>935</v>
      </c>
      <c r="E123" s="36" t="s">
        <v>3031</v>
      </c>
      <c r="F123" s="36" t="s">
        <v>3032</v>
      </c>
      <c r="G123" s="42" t="s">
        <v>3034</v>
      </c>
      <c r="H123" s="36" t="s">
        <v>64</v>
      </c>
      <c r="I123" s="36" t="s">
        <v>155</v>
      </c>
      <c r="J123" s="36" t="s">
        <v>62</v>
      </c>
      <c r="K123" s="36" t="s">
        <v>63</v>
      </c>
      <c r="L123" s="36">
        <v>25.0</v>
      </c>
      <c r="M123" s="36" t="s">
        <v>1074</v>
      </c>
      <c r="N123" s="36" t="s">
        <v>66</v>
      </c>
      <c r="O123" s="36" t="s">
        <v>67</v>
      </c>
      <c r="P123" s="36" t="s">
        <v>3040</v>
      </c>
      <c r="Q123" s="36"/>
      <c r="R123" s="36"/>
      <c r="S123" s="36"/>
      <c r="T123" s="36" t="s">
        <v>955</v>
      </c>
      <c r="U123" s="36" t="s">
        <v>955</v>
      </c>
      <c r="V123" s="36" t="s">
        <v>61</v>
      </c>
      <c r="W123" s="56"/>
      <c r="X123" s="57" t="s">
        <v>74</v>
      </c>
      <c r="Y123" s="36" t="s">
        <v>3042</v>
      </c>
      <c r="Z123" s="57" t="s">
        <v>3043</v>
      </c>
      <c r="AA123" s="57" t="s">
        <v>3045</v>
      </c>
      <c r="AB123" s="58">
        <v>46023.0</v>
      </c>
      <c r="AC123" s="146">
        <v>46387.0</v>
      </c>
      <c r="AD123" s="36" t="s">
        <v>3046</v>
      </c>
      <c r="AE123" s="59"/>
      <c r="AF123" s="59"/>
      <c r="AG123" s="36"/>
      <c r="AH123" s="36"/>
    </row>
    <row r="124" ht="45.75" customHeight="1">
      <c r="A124" s="36">
        <v>123.0</v>
      </c>
      <c r="B124" s="36">
        <v>482.0</v>
      </c>
      <c r="C124" s="36" t="s">
        <v>351</v>
      </c>
      <c r="D124" s="36" t="s">
        <v>935</v>
      </c>
      <c r="E124" s="36" t="s">
        <v>3051</v>
      </c>
      <c r="F124" s="36" t="s">
        <v>3053</v>
      </c>
      <c r="G124" s="42" t="s">
        <v>3055</v>
      </c>
      <c r="H124" s="36" t="s">
        <v>64</v>
      </c>
      <c r="I124" s="36" t="s">
        <v>155</v>
      </c>
      <c r="J124" s="36" t="s">
        <v>62</v>
      </c>
      <c r="K124" s="36" t="s">
        <v>63</v>
      </c>
      <c r="L124" s="36">
        <v>50.0</v>
      </c>
      <c r="M124" s="36" t="s">
        <v>1918</v>
      </c>
      <c r="N124" s="36" t="s">
        <v>66</v>
      </c>
      <c r="O124" s="36" t="s">
        <v>67</v>
      </c>
      <c r="P124" s="36" t="s">
        <v>3060</v>
      </c>
      <c r="Q124" s="36"/>
      <c r="R124" s="36"/>
      <c r="S124" s="36"/>
      <c r="T124" s="36" t="s">
        <v>955</v>
      </c>
      <c r="U124" s="36">
        <v>5.0</v>
      </c>
      <c r="V124" s="36" t="s">
        <v>61</v>
      </c>
      <c r="W124" s="56"/>
      <c r="X124" s="57" t="s">
        <v>74</v>
      </c>
      <c r="Y124" s="36" t="s">
        <v>3063</v>
      </c>
      <c r="Z124" s="57" t="s">
        <v>3065</v>
      </c>
      <c r="AA124" s="57" t="s">
        <v>3066</v>
      </c>
      <c r="AB124" s="58">
        <v>46023.0</v>
      </c>
      <c r="AC124" s="146">
        <v>46387.0</v>
      </c>
      <c r="AD124" s="36" t="s">
        <v>3067</v>
      </c>
      <c r="AE124" s="59"/>
      <c r="AF124" s="59"/>
      <c r="AG124" s="36"/>
      <c r="AH124" s="36"/>
    </row>
    <row r="125" ht="45.75" customHeight="1">
      <c r="A125" s="36">
        <v>124.0</v>
      </c>
      <c r="B125" s="36">
        <v>3337.0</v>
      </c>
      <c r="C125" s="36" t="s">
        <v>351</v>
      </c>
      <c r="D125" s="36" t="s">
        <v>935</v>
      </c>
      <c r="E125" s="36" t="s">
        <v>3073</v>
      </c>
      <c r="F125" s="36" t="s">
        <v>3075</v>
      </c>
      <c r="G125" s="42" t="s">
        <v>3076</v>
      </c>
      <c r="H125" s="36" t="s">
        <v>64</v>
      </c>
      <c r="I125" s="36" t="s">
        <v>3077</v>
      </c>
      <c r="J125" s="36" t="s">
        <v>62</v>
      </c>
      <c r="K125" s="36" t="s">
        <v>63</v>
      </c>
      <c r="L125" s="36">
        <v>70.0</v>
      </c>
      <c r="M125" s="36" t="s">
        <v>1918</v>
      </c>
      <c r="N125" s="36" t="s">
        <v>66</v>
      </c>
      <c r="O125" s="36" t="s">
        <v>67</v>
      </c>
      <c r="P125" s="36" t="s">
        <v>3079</v>
      </c>
      <c r="Q125" s="36"/>
      <c r="R125" s="36"/>
      <c r="S125" s="36"/>
      <c r="T125" s="36" t="s">
        <v>3077</v>
      </c>
      <c r="U125" s="64"/>
      <c r="V125" s="36" t="s">
        <v>61</v>
      </c>
      <c r="W125" s="56"/>
      <c r="X125" s="57" t="s">
        <v>74</v>
      </c>
      <c r="Y125" s="36" t="s">
        <v>3082</v>
      </c>
      <c r="Z125" s="57">
        <v>9.268136741E9</v>
      </c>
      <c r="AA125" s="57" t="s">
        <v>3083</v>
      </c>
      <c r="AB125" s="58">
        <v>46023.0</v>
      </c>
      <c r="AC125" s="146">
        <v>46387.0</v>
      </c>
      <c r="AD125" s="36" t="s">
        <v>3084</v>
      </c>
      <c r="AE125" s="59"/>
      <c r="AF125" s="59"/>
      <c r="AG125" s="36"/>
      <c r="AH125" s="36"/>
    </row>
    <row r="126" ht="45.75" customHeight="1">
      <c r="A126" s="36">
        <v>125.0</v>
      </c>
      <c r="B126" s="36">
        <v>1826.0</v>
      </c>
      <c r="C126" s="36" t="s">
        <v>351</v>
      </c>
      <c r="D126" s="36" t="s">
        <v>935</v>
      </c>
      <c r="E126" s="36" t="s">
        <v>3073</v>
      </c>
      <c r="F126" s="36" t="s">
        <v>3087</v>
      </c>
      <c r="G126" s="42" t="s">
        <v>3088</v>
      </c>
      <c r="H126" s="36" t="s">
        <v>64</v>
      </c>
      <c r="I126" s="36" t="s">
        <v>155</v>
      </c>
      <c r="J126" s="36" t="s">
        <v>62</v>
      </c>
      <c r="K126" s="36" t="s">
        <v>63</v>
      </c>
      <c r="L126" s="36">
        <v>40.0</v>
      </c>
      <c r="M126" s="36" t="s">
        <v>1074</v>
      </c>
      <c r="N126" s="36" t="s">
        <v>66</v>
      </c>
      <c r="O126" s="36" t="s">
        <v>67</v>
      </c>
      <c r="P126" s="36" t="s">
        <v>3096</v>
      </c>
      <c r="Q126" s="36"/>
      <c r="R126" s="36"/>
      <c r="S126" s="36"/>
      <c r="T126" s="36" t="s">
        <v>955</v>
      </c>
      <c r="U126" s="36" t="s">
        <v>955</v>
      </c>
      <c r="V126" s="36" t="s">
        <v>61</v>
      </c>
      <c r="W126" s="56"/>
      <c r="X126" s="57" t="s">
        <v>74</v>
      </c>
      <c r="Y126" s="36" t="s">
        <v>3098</v>
      </c>
      <c r="Z126" s="57" t="s">
        <v>3099</v>
      </c>
      <c r="AA126" s="57" t="s">
        <v>3101</v>
      </c>
      <c r="AB126" s="58">
        <v>46023.0</v>
      </c>
      <c r="AC126" s="146">
        <v>46387.0</v>
      </c>
      <c r="AD126" s="36" t="s">
        <v>3102</v>
      </c>
      <c r="AE126" s="59"/>
      <c r="AF126" s="59"/>
      <c r="AG126" s="36"/>
      <c r="AH126" s="36"/>
    </row>
    <row r="127" ht="45.75" customHeight="1">
      <c r="A127" s="36">
        <v>126.0</v>
      </c>
      <c r="B127" s="36">
        <v>31938.0</v>
      </c>
      <c r="C127" s="36" t="s">
        <v>351</v>
      </c>
      <c r="D127" s="36" t="s">
        <v>935</v>
      </c>
      <c r="E127" s="36" t="s">
        <v>3073</v>
      </c>
      <c r="F127" s="36" t="s">
        <v>3107</v>
      </c>
      <c r="G127" s="42" t="s">
        <v>3109</v>
      </c>
      <c r="H127" s="36" t="s">
        <v>64</v>
      </c>
      <c r="I127" s="36" t="s">
        <v>155</v>
      </c>
      <c r="J127" s="36" t="s">
        <v>62</v>
      </c>
      <c r="K127" s="36" t="s">
        <v>63</v>
      </c>
      <c r="L127" s="36">
        <v>70.0</v>
      </c>
      <c r="M127" s="36" t="s">
        <v>1918</v>
      </c>
      <c r="N127" s="36" t="s">
        <v>66</v>
      </c>
      <c r="O127" s="36" t="s">
        <v>67</v>
      </c>
      <c r="P127" s="36" t="s">
        <v>3113</v>
      </c>
      <c r="Q127" s="36"/>
      <c r="R127" s="36"/>
      <c r="S127" s="36"/>
      <c r="T127" s="36" t="s">
        <v>955</v>
      </c>
      <c r="U127" s="36">
        <v>30.0</v>
      </c>
      <c r="V127" s="36" t="s">
        <v>61</v>
      </c>
      <c r="W127" s="56"/>
      <c r="X127" s="57" t="s">
        <v>74</v>
      </c>
      <c r="Y127" s="36" t="s">
        <v>3117</v>
      </c>
      <c r="Z127" s="57" t="s">
        <v>3118</v>
      </c>
      <c r="AA127" s="57" t="s">
        <v>3119</v>
      </c>
      <c r="AB127" s="58">
        <v>46023.0</v>
      </c>
      <c r="AC127" s="146">
        <v>46387.0</v>
      </c>
      <c r="AD127" s="36"/>
      <c r="AE127" s="59"/>
      <c r="AF127" s="59"/>
      <c r="AG127" s="36"/>
      <c r="AH127" s="36"/>
    </row>
    <row r="128" ht="45.75" customHeight="1">
      <c r="A128" s="36">
        <v>127.0</v>
      </c>
      <c r="B128" s="36">
        <v>622.0</v>
      </c>
      <c r="C128" s="36" t="s">
        <v>351</v>
      </c>
      <c r="D128" s="36" t="s">
        <v>935</v>
      </c>
      <c r="E128" s="36" t="s">
        <v>3123</v>
      </c>
      <c r="F128" s="36" t="s">
        <v>3125</v>
      </c>
      <c r="G128" s="42" t="s">
        <v>3127</v>
      </c>
      <c r="H128" s="36" t="s">
        <v>64</v>
      </c>
      <c r="I128" s="36" t="s">
        <v>155</v>
      </c>
      <c r="J128" s="36" t="s">
        <v>62</v>
      </c>
      <c r="K128" s="36" t="s">
        <v>63</v>
      </c>
      <c r="L128" s="36">
        <v>14.0</v>
      </c>
      <c r="M128" s="36" t="s">
        <v>1918</v>
      </c>
      <c r="N128" s="36" t="s">
        <v>66</v>
      </c>
      <c r="O128" s="36" t="s">
        <v>67</v>
      </c>
      <c r="P128" s="36" t="s">
        <v>3129</v>
      </c>
      <c r="Q128" s="36"/>
      <c r="R128" s="36"/>
      <c r="S128" s="36"/>
      <c r="T128" s="36" t="s">
        <v>955</v>
      </c>
      <c r="U128" s="36" t="s">
        <v>3131</v>
      </c>
      <c r="V128" s="36" t="s">
        <v>61</v>
      </c>
      <c r="W128" s="56"/>
      <c r="X128" s="57" t="s">
        <v>74</v>
      </c>
      <c r="Y128" s="36" t="s">
        <v>3132</v>
      </c>
      <c r="Z128" s="57">
        <v>9.178864465E9</v>
      </c>
      <c r="AA128" s="57" t="s">
        <v>3133</v>
      </c>
      <c r="AB128" s="58">
        <v>46023.0</v>
      </c>
      <c r="AC128" s="146">
        <v>46387.0</v>
      </c>
      <c r="AD128" s="36" t="s">
        <v>3134</v>
      </c>
      <c r="AE128" s="59"/>
      <c r="AF128" s="59"/>
      <c r="AG128" s="36"/>
      <c r="AH128" s="36"/>
    </row>
    <row r="129" ht="45.75" customHeight="1">
      <c r="A129" s="36">
        <v>128.0</v>
      </c>
      <c r="B129" s="36">
        <v>5997.0</v>
      </c>
      <c r="C129" s="36" t="s">
        <v>351</v>
      </c>
      <c r="D129" s="36" t="s">
        <v>935</v>
      </c>
      <c r="E129" s="36" t="s">
        <v>3137</v>
      </c>
      <c r="F129" s="36" t="s">
        <v>3138</v>
      </c>
      <c r="G129" s="42" t="s">
        <v>3139</v>
      </c>
      <c r="H129" s="36" t="s">
        <v>64</v>
      </c>
      <c r="I129" s="36" t="s">
        <v>155</v>
      </c>
      <c r="J129" s="36" t="s">
        <v>62</v>
      </c>
      <c r="K129" s="36" t="s">
        <v>63</v>
      </c>
      <c r="L129" s="36">
        <v>50.0</v>
      </c>
      <c r="M129" s="36" t="s">
        <v>2972</v>
      </c>
      <c r="N129" s="36" t="s">
        <v>66</v>
      </c>
      <c r="O129" s="36" t="s">
        <v>67</v>
      </c>
      <c r="P129" s="36" t="s">
        <v>3145</v>
      </c>
      <c r="Q129" s="36"/>
      <c r="R129" s="36"/>
      <c r="S129" s="36"/>
      <c r="T129" s="36" t="s">
        <v>955</v>
      </c>
      <c r="U129" s="36" t="s">
        <v>955</v>
      </c>
      <c r="V129" s="36" t="s">
        <v>61</v>
      </c>
      <c r="W129" s="56"/>
      <c r="X129" s="57" t="s">
        <v>74</v>
      </c>
      <c r="Y129" s="36" t="s">
        <v>3148</v>
      </c>
      <c r="Z129" s="57">
        <v>9.178223984E9</v>
      </c>
      <c r="AA129" s="57" t="s">
        <v>3149</v>
      </c>
      <c r="AB129" s="58">
        <v>46023.0</v>
      </c>
      <c r="AC129" s="146">
        <v>46387.0</v>
      </c>
      <c r="AD129" s="36" t="s">
        <v>3150</v>
      </c>
      <c r="AE129" s="59"/>
      <c r="AF129" s="59"/>
      <c r="AG129" s="36"/>
      <c r="AH129" s="36"/>
    </row>
    <row r="130" ht="45.75" customHeight="1">
      <c r="A130" s="36">
        <v>129.0</v>
      </c>
      <c r="B130" s="36">
        <v>653.0</v>
      </c>
      <c r="C130" s="36" t="s">
        <v>351</v>
      </c>
      <c r="D130" s="36" t="s">
        <v>935</v>
      </c>
      <c r="E130" s="36" t="s">
        <v>728</v>
      </c>
      <c r="F130" s="36" t="s">
        <v>3151</v>
      </c>
      <c r="G130" s="42" t="s">
        <v>3152</v>
      </c>
      <c r="H130" s="36" t="s">
        <v>64</v>
      </c>
      <c r="I130" s="36" t="s">
        <v>155</v>
      </c>
      <c r="J130" s="36" t="s">
        <v>62</v>
      </c>
      <c r="K130" s="36" t="s">
        <v>63</v>
      </c>
      <c r="L130" s="36">
        <v>30.0</v>
      </c>
      <c r="M130" s="36" t="s">
        <v>1918</v>
      </c>
      <c r="N130" s="36" t="s">
        <v>66</v>
      </c>
      <c r="O130" s="36" t="s">
        <v>67</v>
      </c>
      <c r="P130" s="36" t="s">
        <v>3154</v>
      </c>
      <c r="Q130" s="36"/>
      <c r="R130" s="36"/>
      <c r="S130" s="36"/>
      <c r="T130" s="36" t="s">
        <v>955</v>
      </c>
      <c r="U130" s="36" t="s">
        <v>955</v>
      </c>
      <c r="V130" s="36" t="s">
        <v>61</v>
      </c>
      <c r="W130" s="56"/>
      <c r="X130" s="57" t="s">
        <v>74</v>
      </c>
      <c r="Y130" s="36" t="s">
        <v>3157</v>
      </c>
      <c r="Z130" s="57" t="s">
        <v>3158</v>
      </c>
      <c r="AA130" s="57"/>
      <c r="AB130" s="58">
        <v>46023.0</v>
      </c>
      <c r="AC130" s="146">
        <v>46387.0</v>
      </c>
      <c r="AD130" s="36" t="s">
        <v>3160</v>
      </c>
      <c r="AE130" s="59"/>
      <c r="AF130" s="59"/>
      <c r="AG130" s="36"/>
      <c r="AH130" s="36"/>
    </row>
    <row r="131" ht="45.75" customHeight="1">
      <c r="A131" s="36">
        <v>130.0</v>
      </c>
      <c r="B131" s="36">
        <v>2059.0</v>
      </c>
      <c r="C131" s="36" t="s">
        <v>351</v>
      </c>
      <c r="D131" s="36" t="s">
        <v>935</v>
      </c>
      <c r="E131" s="36" t="s">
        <v>2193</v>
      </c>
      <c r="F131" s="36" t="s">
        <v>3165</v>
      </c>
      <c r="G131" s="42" t="s">
        <v>3166</v>
      </c>
      <c r="H131" s="36" t="s">
        <v>64</v>
      </c>
      <c r="I131" s="36" t="s">
        <v>155</v>
      </c>
      <c r="J131" s="36" t="s">
        <v>62</v>
      </c>
      <c r="K131" s="36" t="s">
        <v>63</v>
      </c>
      <c r="L131" s="36">
        <v>25.0</v>
      </c>
      <c r="M131" s="36" t="s">
        <v>1074</v>
      </c>
      <c r="N131" s="36" t="s">
        <v>66</v>
      </c>
      <c r="O131" s="36" t="s">
        <v>67</v>
      </c>
      <c r="P131" s="36" t="s">
        <v>3169</v>
      </c>
      <c r="Q131" s="36"/>
      <c r="R131" s="36"/>
      <c r="S131" s="36"/>
      <c r="T131" s="36" t="s">
        <v>955</v>
      </c>
      <c r="U131" s="36" t="s">
        <v>955</v>
      </c>
      <c r="V131" s="36" t="s">
        <v>61</v>
      </c>
      <c r="W131" s="56"/>
      <c r="X131" s="57" t="s">
        <v>74</v>
      </c>
      <c r="Y131" s="36" t="s">
        <v>3172</v>
      </c>
      <c r="Z131" s="57" t="s">
        <v>3173</v>
      </c>
      <c r="AA131" s="57" t="s">
        <v>3174</v>
      </c>
      <c r="AB131" s="58">
        <v>46023.0</v>
      </c>
      <c r="AC131" s="146">
        <v>46387.0</v>
      </c>
      <c r="AD131" s="36" t="s">
        <v>3175</v>
      </c>
      <c r="AE131" s="59"/>
      <c r="AF131" s="59"/>
      <c r="AG131" s="36"/>
      <c r="AH131" s="36"/>
    </row>
    <row r="132" ht="45.75" customHeight="1">
      <c r="A132" s="36">
        <v>131.0</v>
      </c>
      <c r="B132" s="36">
        <v>2562.0</v>
      </c>
      <c r="C132" s="36" t="s">
        <v>351</v>
      </c>
      <c r="D132" s="36" t="s">
        <v>935</v>
      </c>
      <c r="E132" s="36" t="s">
        <v>3177</v>
      </c>
      <c r="F132" s="36" t="s">
        <v>3179</v>
      </c>
      <c r="G132" s="42" t="s">
        <v>3180</v>
      </c>
      <c r="H132" s="36" t="s">
        <v>64</v>
      </c>
      <c r="I132" s="36" t="s">
        <v>155</v>
      </c>
      <c r="J132" s="36" t="s">
        <v>62</v>
      </c>
      <c r="K132" s="36" t="s">
        <v>63</v>
      </c>
      <c r="L132" s="36">
        <v>25.0</v>
      </c>
      <c r="M132" s="36" t="s">
        <v>2972</v>
      </c>
      <c r="N132" s="36" t="s">
        <v>66</v>
      </c>
      <c r="O132" s="36" t="s">
        <v>67</v>
      </c>
      <c r="P132" s="36" t="s">
        <v>3184</v>
      </c>
      <c r="Q132" s="36"/>
      <c r="R132" s="36"/>
      <c r="S132" s="36"/>
      <c r="T132" s="36" t="s">
        <v>955</v>
      </c>
      <c r="U132" s="36" t="s">
        <v>955</v>
      </c>
      <c r="V132" s="36" t="s">
        <v>61</v>
      </c>
      <c r="W132" s="56"/>
      <c r="X132" s="57" t="s">
        <v>74</v>
      </c>
      <c r="Y132" s="36" t="s">
        <v>3187</v>
      </c>
      <c r="Z132" s="57" t="s">
        <v>3189</v>
      </c>
      <c r="AA132" s="57" t="s">
        <v>3190</v>
      </c>
      <c r="AB132" s="58">
        <v>46023.0</v>
      </c>
      <c r="AC132" s="146">
        <v>46387.0</v>
      </c>
      <c r="AD132" s="36" t="s">
        <v>3191</v>
      </c>
      <c r="AE132" s="59"/>
      <c r="AF132" s="59"/>
      <c r="AG132" s="36"/>
      <c r="AH132" s="36"/>
    </row>
    <row r="133" ht="45.75" customHeight="1">
      <c r="A133" s="36">
        <v>132.0</v>
      </c>
      <c r="B133" s="36">
        <v>7030.0</v>
      </c>
      <c r="C133" s="36" t="s">
        <v>351</v>
      </c>
      <c r="D133" s="36" t="s">
        <v>935</v>
      </c>
      <c r="E133" s="36" t="s">
        <v>3196</v>
      </c>
      <c r="F133" s="36" t="s">
        <v>3199</v>
      </c>
      <c r="G133" s="42" t="s">
        <v>3200</v>
      </c>
      <c r="H133" s="36" t="s">
        <v>64</v>
      </c>
      <c r="I133" s="36" t="s">
        <v>155</v>
      </c>
      <c r="J133" s="36" t="s">
        <v>62</v>
      </c>
      <c r="K133" s="36" t="s">
        <v>63</v>
      </c>
      <c r="L133" s="36">
        <v>25.0</v>
      </c>
      <c r="M133" s="36" t="s">
        <v>1074</v>
      </c>
      <c r="N133" s="36" t="s">
        <v>66</v>
      </c>
      <c r="O133" s="36" t="s">
        <v>67</v>
      </c>
      <c r="P133" s="36" t="s">
        <v>3204</v>
      </c>
      <c r="Q133" s="36"/>
      <c r="R133" s="36"/>
      <c r="S133" s="36"/>
      <c r="T133" s="36" t="s">
        <v>955</v>
      </c>
      <c r="U133" s="36" t="s">
        <v>955</v>
      </c>
      <c r="V133" s="36" t="s">
        <v>61</v>
      </c>
      <c r="W133" s="56"/>
      <c r="X133" s="57" t="s">
        <v>74</v>
      </c>
      <c r="Y133" s="36" t="s">
        <v>3207</v>
      </c>
      <c r="Z133" s="57" t="s">
        <v>3209</v>
      </c>
      <c r="AA133" s="57" t="s">
        <v>3211</v>
      </c>
      <c r="AB133" s="58">
        <v>46023.0</v>
      </c>
      <c r="AC133" s="146">
        <v>46387.0</v>
      </c>
      <c r="AD133" s="36" t="s">
        <v>3212</v>
      </c>
      <c r="AE133" s="59"/>
      <c r="AF133" s="59"/>
      <c r="AG133" s="36"/>
      <c r="AH133" s="36"/>
    </row>
    <row r="134" ht="45.75" customHeight="1">
      <c r="A134" s="36">
        <v>133.0</v>
      </c>
      <c r="B134" s="36">
        <v>25681.0</v>
      </c>
      <c r="C134" s="36" t="s">
        <v>351</v>
      </c>
      <c r="D134" s="36" t="s">
        <v>994</v>
      </c>
      <c r="E134" s="36" t="s">
        <v>996</v>
      </c>
      <c r="F134" s="36" t="s">
        <v>1000</v>
      </c>
      <c r="G134" s="42" t="s">
        <v>1001</v>
      </c>
      <c r="H134" s="36" t="s">
        <v>64</v>
      </c>
      <c r="I134" s="36" t="s">
        <v>65</v>
      </c>
      <c r="J134" s="36" t="s">
        <v>62</v>
      </c>
      <c r="K134" s="36" t="s">
        <v>111</v>
      </c>
      <c r="L134" s="36">
        <v>100.0</v>
      </c>
      <c r="M134" s="36" t="s">
        <v>1009</v>
      </c>
      <c r="N134" s="36" t="s">
        <v>66</v>
      </c>
      <c r="O134" s="36" t="s">
        <v>72</v>
      </c>
      <c r="P134" s="36" t="s">
        <v>1014</v>
      </c>
      <c r="Q134" s="36"/>
      <c r="R134" s="36"/>
      <c r="S134" s="36"/>
      <c r="T134" s="36" t="s">
        <v>955</v>
      </c>
      <c r="U134" s="36" t="s">
        <v>955</v>
      </c>
      <c r="V134" s="36" t="s">
        <v>61</v>
      </c>
      <c r="W134" s="56"/>
      <c r="X134" s="57" t="s">
        <v>93</v>
      </c>
      <c r="Y134" s="36" t="s">
        <v>1035</v>
      </c>
      <c r="Z134" s="57" t="s">
        <v>1037</v>
      </c>
      <c r="AA134" s="57" t="s">
        <v>1040</v>
      </c>
      <c r="AB134" s="58">
        <v>46023.0</v>
      </c>
      <c r="AC134" s="146">
        <v>46387.0</v>
      </c>
      <c r="AD134" s="36" t="s">
        <v>3227</v>
      </c>
      <c r="AE134" s="59"/>
      <c r="AF134" s="59"/>
      <c r="AG134" s="36"/>
      <c r="AH134" s="36"/>
    </row>
    <row r="135" ht="45.75" customHeight="1">
      <c r="A135" s="36">
        <v>134.0</v>
      </c>
      <c r="B135" s="36">
        <v>3777.0</v>
      </c>
      <c r="C135" s="36" t="s">
        <v>351</v>
      </c>
      <c r="D135" s="36" t="s">
        <v>994</v>
      </c>
      <c r="E135" s="36" t="s">
        <v>3229</v>
      </c>
      <c r="F135" s="36" t="s">
        <v>3231</v>
      </c>
      <c r="G135" s="42" t="s">
        <v>3233</v>
      </c>
      <c r="H135" s="36" t="s">
        <v>64</v>
      </c>
      <c r="I135" s="36" t="s">
        <v>2305</v>
      </c>
      <c r="J135" s="36" t="s">
        <v>62</v>
      </c>
      <c r="K135" s="36" t="s">
        <v>63</v>
      </c>
      <c r="L135" s="36">
        <v>25.0</v>
      </c>
      <c r="M135" s="36" t="s">
        <v>1918</v>
      </c>
      <c r="N135" s="36" t="s">
        <v>66</v>
      </c>
      <c r="O135" s="36" t="s">
        <v>67</v>
      </c>
      <c r="P135" s="36" t="s">
        <v>3238</v>
      </c>
      <c r="Q135" s="36"/>
      <c r="R135" s="36"/>
      <c r="S135" s="36"/>
      <c r="T135" s="36"/>
      <c r="U135" s="36"/>
      <c r="V135" s="36" t="s">
        <v>61</v>
      </c>
      <c r="W135" s="56"/>
      <c r="X135" s="57" t="s">
        <v>74</v>
      </c>
      <c r="Y135" s="36" t="s">
        <v>3241</v>
      </c>
      <c r="Z135" s="57" t="s">
        <v>3242</v>
      </c>
      <c r="AA135" s="57" t="s">
        <v>3243</v>
      </c>
      <c r="AB135" s="58">
        <v>46023.0</v>
      </c>
      <c r="AC135" s="146">
        <v>46387.0</v>
      </c>
      <c r="AD135" s="36" t="s">
        <v>3244</v>
      </c>
      <c r="AE135" s="59"/>
      <c r="AF135" s="59"/>
      <c r="AG135" s="36"/>
      <c r="AH135" s="36"/>
    </row>
    <row r="136" ht="45.75" customHeight="1">
      <c r="A136" s="36">
        <v>135.0</v>
      </c>
      <c r="B136" s="36">
        <v>32063.0</v>
      </c>
      <c r="C136" s="36" t="s">
        <v>351</v>
      </c>
      <c r="D136" s="36" t="s">
        <v>994</v>
      </c>
      <c r="E136" s="36" t="s">
        <v>3246</v>
      </c>
      <c r="F136" s="36" t="s">
        <v>3248</v>
      </c>
      <c r="G136" s="42" t="s">
        <v>3249</v>
      </c>
      <c r="H136" s="36" t="s">
        <v>64</v>
      </c>
      <c r="I136" s="36" t="s">
        <v>155</v>
      </c>
      <c r="J136" s="36" t="s">
        <v>62</v>
      </c>
      <c r="K136" s="36" t="s">
        <v>111</v>
      </c>
      <c r="L136" s="36">
        <v>119.0</v>
      </c>
      <c r="M136" s="36" t="s">
        <v>3252</v>
      </c>
      <c r="N136" s="36" t="s">
        <v>71</v>
      </c>
      <c r="O136" s="36" t="s">
        <v>72</v>
      </c>
      <c r="P136" s="36" t="s">
        <v>3254</v>
      </c>
      <c r="Q136" s="36"/>
      <c r="R136" s="36"/>
      <c r="S136" s="36"/>
      <c r="T136" s="36" t="s">
        <v>955</v>
      </c>
      <c r="U136" s="36">
        <v>15.0</v>
      </c>
      <c r="V136" s="36" t="s">
        <v>61</v>
      </c>
      <c r="W136" s="56"/>
      <c r="X136" s="57" t="s">
        <v>93</v>
      </c>
      <c r="Y136" s="36" t="s">
        <v>3258</v>
      </c>
      <c r="Z136" s="57" t="s">
        <v>3259</v>
      </c>
      <c r="AA136" s="57" t="s">
        <v>3260</v>
      </c>
      <c r="AB136" s="58">
        <v>46036.0</v>
      </c>
      <c r="AC136" s="146">
        <v>46387.0</v>
      </c>
      <c r="AD136" s="36" t="s">
        <v>3261</v>
      </c>
      <c r="AE136" s="59"/>
      <c r="AF136" s="59"/>
      <c r="AG136" s="36"/>
      <c r="AH136" s="36"/>
    </row>
    <row r="137" ht="45.75" customHeight="1">
      <c r="A137" s="36">
        <v>136.0</v>
      </c>
      <c r="B137" s="36">
        <v>37943.0</v>
      </c>
      <c r="C137" s="36" t="s">
        <v>351</v>
      </c>
      <c r="D137" s="36" t="s">
        <v>994</v>
      </c>
      <c r="E137" s="36" t="s">
        <v>3263</v>
      </c>
      <c r="F137" s="36" t="s">
        <v>3266</v>
      </c>
      <c r="G137" s="42" t="s">
        <v>3267</v>
      </c>
      <c r="H137" s="36" t="s">
        <v>64</v>
      </c>
      <c r="I137" s="36" t="s">
        <v>155</v>
      </c>
      <c r="J137" s="36" t="s">
        <v>62</v>
      </c>
      <c r="K137" s="36" t="s">
        <v>63</v>
      </c>
      <c r="L137" s="36">
        <v>50.0</v>
      </c>
      <c r="M137" s="36" t="s">
        <v>3274</v>
      </c>
      <c r="N137" s="36" t="s">
        <v>66</v>
      </c>
      <c r="O137" s="36" t="s">
        <v>67</v>
      </c>
      <c r="P137" s="36" t="s">
        <v>3275</v>
      </c>
      <c r="Q137" s="36"/>
      <c r="R137" s="36"/>
      <c r="S137" s="36"/>
      <c r="T137" s="36" t="s">
        <v>955</v>
      </c>
      <c r="U137" s="36">
        <v>15.0</v>
      </c>
      <c r="V137" s="36" t="s">
        <v>61</v>
      </c>
      <c r="W137" s="56"/>
      <c r="X137" s="57" t="s">
        <v>74</v>
      </c>
      <c r="Y137" s="36" t="s">
        <v>3278</v>
      </c>
      <c r="Z137" s="57" t="s">
        <v>3280</v>
      </c>
      <c r="AA137" s="57" t="s">
        <v>3281</v>
      </c>
      <c r="AB137" s="58">
        <v>46023.0</v>
      </c>
      <c r="AC137" s="146">
        <v>46387.0</v>
      </c>
      <c r="AD137" s="36" t="s">
        <v>3283</v>
      </c>
      <c r="AE137" s="59"/>
      <c r="AF137" s="59"/>
      <c r="AG137" s="36"/>
      <c r="AH137" s="36"/>
    </row>
    <row r="138" ht="45.75" customHeight="1">
      <c r="A138" s="36">
        <v>137.0</v>
      </c>
      <c r="B138" s="36"/>
      <c r="C138" s="36" t="s">
        <v>351</v>
      </c>
      <c r="D138" s="36" t="s">
        <v>994</v>
      </c>
      <c r="E138" s="36" t="s">
        <v>3288</v>
      </c>
      <c r="F138" s="36" t="s">
        <v>3289</v>
      </c>
      <c r="G138" s="42" t="s">
        <v>3290</v>
      </c>
      <c r="H138" s="36" t="s">
        <v>64</v>
      </c>
      <c r="I138" s="36" t="s">
        <v>155</v>
      </c>
      <c r="J138" s="36" t="s">
        <v>62</v>
      </c>
      <c r="K138" s="36" t="s">
        <v>68</v>
      </c>
      <c r="L138" s="36">
        <v>284.0</v>
      </c>
      <c r="M138" s="36" t="s">
        <v>3293</v>
      </c>
      <c r="N138" s="36" t="s">
        <v>71</v>
      </c>
      <c r="O138" s="36" t="s">
        <v>72</v>
      </c>
      <c r="P138" s="36">
        <v>1.0</v>
      </c>
      <c r="Q138" s="36"/>
      <c r="R138" s="36"/>
      <c r="S138" s="36"/>
      <c r="T138" s="36"/>
      <c r="U138" s="36">
        <v>4.0</v>
      </c>
      <c r="V138" s="36" t="s">
        <v>61</v>
      </c>
      <c r="W138" s="56"/>
      <c r="X138" s="57" t="s">
        <v>93</v>
      </c>
      <c r="Y138" s="36" t="s">
        <v>3298</v>
      </c>
      <c r="Z138" s="57" t="s">
        <v>3299</v>
      </c>
      <c r="AA138" s="57" t="s">
        <v>3300</v>
      </c>
      <c r="AB138" s="58">
        <v>46023.0</v>
      </c>
      <c r="AC138" s="146">
        <v>46387.0</v>
      </c>
      <c r="AD138" s="36" t="s">
        <v>3303</v>
      </c>
      <c r="AE138" s="36" t="s">
        <v>79</v>
      </c>
      <c r="AF138" s="59"/>
      <c r="AG138" s="36"/>
      <c r="AH138" s="36"/>
    </row>
    <row r="139" ht="45.75" customHeight="1">
      <c r="A139" s="36">
        <v>138.0</v>
      </c>
      <c r="B139" s="36">
        <v>5388.0</v>
      </c>
      <c r="C139" s="36" t="s">
        <v>351</v>
      </c>
      <c r="D139" s="36" t="s">
        <v>3306</v>
      </c>
      <c r="E139" s="36" t="s">
        <v>3307</v>
      </c>
      <c r="F139" s="36" t="s">
        <v>3308</v>
      </c>
      <c r="G139" s="42" t="s">
        <v>3309</v>
      </c>
      <c r="H139" s="36" t="s">
        <v>64</v>
      </c>
      <c r="I139" s="36" t="s">
        <v>155</v>
      </c>
      <c r="J139" s="36" t="s">
        <v>62</v>
      </c>
      <c r="K139" s="36" t="s">
        <v>63</v>
      </c>
      <c r="L139" s="36">
        <v>25.0</v>
      </c>
      <c r="M139" s="36" t="s">
        <v>3312</v>
      </c>
      <c r="N139" s="36" t="s">
        <v>66</v>
      </c>
      <c r="O139" s="36" t="s">
        <v>67</v>
      </c>
      <c r="P139" s="36" t="s">
        <v>3318</v>
      </c>
      <c r="Q139" s="36"/>
      <c r="R139" s="36"/>
      <c r="S139" s="36"/>
      <c r="T139" s="36" t="s">
        <v>955</v>
      </c>
      <c r="U139" s="36" t="s">
        <v>955</v>
      </c>
      <c r="V139" s="36" t="s">
        <v>61</v>
      </c>
      <c r="W139" s="56"/>
      <c r="X139" s="57" t="s">
        <v>74</v>
      </c>
      <c r="Y139" s="36" t="s">
        <v>3321</v>
      </c>
      <c r="Z139" s="57" t="s">
        <v>3323</v>
      </c>
      <c r="AA139" s="57" t="s">
        <v>3324</v>
      </c>
      <c r="AB139" s="58">
        <v>46023.0</v>
      </c>
      <c r="AC139" s="146">
        <v>46387.0</v>
      </c>
      <c r="AD139" s="36" t="s">
        <v>3325</v>
      </c>
      <c r="AE139" s="59"/>
      <c r="AF139" s="59"/>
      <c r="AG139" s="36"/>
      <c r="AH139" s="36"/>
    </row>
    <row r="140" ht="45.75" customHeight="1">
      <c r="A140" s="36">
        <v>139.0</v>
      </c>
      <c r="B140" s="36">
        <v>6054.0</v>
      </c>
      <c r="C140" s="36" t="s">
        <v>351</v>
      </c>
      <c r="D140" s="36" t="s">
        <v>3306</v>
      </c>
      <c r="E140" s="36" t="s">
        <v>3329</v>
      </c>
      <c r="F140" s="36" t="s">
        <v>3330</v>
      </c>
      <c r="G140" s="42" t="s">
        <v>3331</v>
      </c>
      <c r="H140" s="36" t="s">
        <v>64</v>
      </c>
      <c r="I140" s="36" t="s">
        <v>155</v>
      </c>
      <c r="J140" s="36" t="s">
        <v>62</v>
      </c>
      <c r="K140" s="36" t="s">
        <v>63</v>
      </c>
      <c r="L140" s="36">
        <v>50.0</v>
      </c>
      <c r="M140" s="36" t="s">
        <v>3334</v>
      </c>
      <c r="N140" s="36" t="s">
        <v>66</v>
      </c>
      <c r="O140" s="36" t="s">
        <v>72</v>
      </c>
      <c r="P140" s="36" t="s">
        <v>3338</v>
      </c>
      <c r="Q140" s="36"/>
      <c r="R140" s="36"/>
      <c r="S140" s="36"/>
      <c r="T140" s="36" t="s">
        <v>955</v>
      </c>
      <c r="U140" s="36">
        <v>3.0</v>
      </c>
      <c r="V140" s="36" t="s">
        <v>61</v>
      </c>
      <c r="W140" s="56"/>
      <c r="X140" s="57" t="s">
        <v>74</v>
      </c>
      <c r="Y140" s="36" t="s">
        <v>3343</v>
      </c>
      <c r="Z140" s="57" t="s">
        <v>3344</v>
      </c>
      <c r="AA140" s="57" t="s">
        <v>3346</v>
      </c>
      <c r="AB140" s="58">
        <v>46023.0</v>
      </c>
      <c r="AC140" s="146">
        <v>46387.0</v>
      </c>
      <c r="AD140" s="36"/>
      <c r="AE140" s="59"/>
      <c r="AF140" s="59"/>
      <c r="AG140" s="36"/>
      <c r="AH140" s="36"/>
    </row>
    <row r="141" ht="45.75" customHeight="1">
      <c r="A141" s="36">
        <v>140.0</v>
      </c>
      <c r="B141" s="36">
        <v>40022.0</v>
      </c>
      <c r="C141" s="36" t="s">
        <v>351</v>
      </c>
      <c r="D141" s="36" t="s">
        <v>3306</v>
      </c>
      <c r="E141" s="36" t="s">
        <v>3350</v>
      </c>
      <c r="F141" s="36" t="s">
        <v>3351</v>
      </c>
      <c r="G141" s="42" t="s">
        <v>3352</v>
      </c>
      <c r="H141" s="36" t="s">
        <v>64</v>
      </c>
      <c r="I141" s="36" t="s">
        <v>155</v>
      </c>
      <c r="J141" s="36" t="s">
        <v>62</v>
      </c>
      <c r="K141" s="36" t="s">
        <v>63</v>
      </c>
      <c r="L141" s="36">
        <v>36.0</v>
      </c>
      <c r="M141" s="36" t="s">
        <v>3355</v>
      </c>
      <c r="N141" s="36" t="s">
        <v>66</v>
      </c>
      <c r="O141" s="36" t="s">
        <v>72</v>
      </c>
      <c r="P141" s="36" t="s">
        <v>955</v>
      </c>
      <c r="Q141" s="36"/>
      <c r="R141" s="36"/>
      <c r="S141" s="36"/>
      <c r="T141" s="36" t="s">
        <v>955</v>
      </c>
      <c r="U141" s="36">
        <v>17.0</v>
      </c>
      <c r="V141" s="36" t="s">
        <v>61</v>
      </c>
      <c r="W141" s="56"/>
      <c r="X141" s="57" t="s">
        <v>74</v>
      </c>
      <c r="Y141" s="36" t="s">
        <v>3360</v>
      </c>
      <c r="Z141" s="57" t="s">
        <v>3361</v>
      </c>
      <c r="AA141" s="57" t="s">
        <v>3362</v>
      </c>
      <c r="AB141" s="58">
        <v>46023.0</v>
      </c>
      <c r="AC141" s="146">
        <v>46387.0</v>
      </c>
      <c r="AD141" s="36" t="s">
        <v>3365</v>
      </c>
      <c r="AE141" s="59"/>
      <c r="AF141" s="59"/>
      <c r="AG141" s="36"/>
      <c r="AH141" s="36"/>
    </row>
    <row r="142" ht="45.75" customHeight="1">
      <c r="A142" s="36">
        <v>141.0</v>
      </c>
      <c r="B142" s="36">
        <v>5476.0</v>
      </c>
      <c r="C142" s="36" t="s">
        <v>351</v>
      </c>
      <c r="D142" s="36" t="s">
        <v>3306</v>
      </c>
      <c r="E142" s="36" t="s">
        <v>3350</v>
      </c>
      <c r="F142" s="36" t="s">
        <v>3367</v>
      </c>
      <c r="G142" s="42" t="s">
        <v>3369</v>
      </c>
      <c r="H142" s="36" t="s">
        <v>64</v>
      </c>
      <c r="I142" s="36" t="s">
        <v>155</v>
      </c>
      <c r="J142" s="36" t="s">
        <v>62</v>
      </c>
      <c r="K142" s="36" t="s">
        <v>63</v>
      </c>
      <c r="L142" s="36">
        <v>40.0</v>
      </c>
      <c r="M142" s="36" t="s">
        <v>3371</v>
      </c>
      <c r="N142" s="36" t="s">
        <v>66</v>
      </c>
      <c r="O142" s="36" t="s">
        <v>67</v>
      </c>
      <c r="P142" s="36" t="s">
        <v>3374</v>
      </c>
      <c r="Q142" s="36"/>
      <c r="R142" s="36"/>
      <c r="S142" s="36"/>
      <c r="T142" s="36"/>
      <c r="U142" s="36"/>
      <c r="V142" s="36" t="s">
        <v>61</v>
      </c>
      <c r="W142" s="56"/>
      <c r="X142" s="57" t="s">
        <v>74</v>
      </c>
      <c r="Y142" s="36" t="s">
        <v>3377</v>
      </c>
      <c r="Z142" s="57" t="s">
        <v>3378</v>
      </c>
      <c r="AA142" s="57" t="s">
        <v>3380</v>
      </c>
      <c r="AB142" s="58">
        <v>46023.0</v>
      </c>
      <c r="AC142" s="146">
        <v>46387.0</v>
      </c>
      <c r="AD142" s="36"/>
      <c r="AE142" s="59"/>
      <c r="AF142" s="59"/>
      <c r="AG142" s="36"/>
      <c r="AH142" s="36"/>
    </row>
    <row r="143" ht="45.75" customHeight="1">
      <c r="A143" s="36">
        <v>142.0</v>
      </c>
      <c r="B143" s="36">
        <v>526.0</v>
      </c>
      <c r="C143" s="36" t="s">
        <v>351</v>
      </c>
      <c r="D143" s="36" t="s">
        <v>3306</v>
      </c>
      <c r="E143" s="36" t="s">
        <v>3382</v>
      </c>
      <c r="F143" s="36" t="s">
        <v>3383</v>
      </c>
      <c r="G143" s="42" t="s">
        <v>3385</v>
      </c>
      <c r="H143" s="36" t="s">
        <v>64</v>
      </c>
      <c r="I143" s="36" t="s">
        <v>155</v>
      </c>
      <c r="J143" s="36" t="s">
        <v>62</v>
      </c>
      <c r="K143" s="36" t="s">
        <v>63</v>
      </c>
      <c r="L143" s="36">
        <v>100.0</v>
      </c>
      <c r="M143" s="36" t="s">
        <v>3387</v>
      </c>
      <c r="N143" s="36" t="s">
        <v>66</v>
      </c>
      <c r="O143" s="36" t="s">
        <v>67</v>
      </c>
      <c r="P143" s="36" t="s">
        <v>3389</v>
      </c>
      <c r="Q143" s="36"/>
      <c r="R143" s="36"/>
      <c r="S143" s="36"/>
      <c r="T143" s="36" t="s">
        <v>955</v>
      </c>
      <c r="U143" s="36" t="s">
        <v>955</v>
      </c>
      <c r="V143" s="36" t="s">
        <v>61</v>
      </c>
      <c r="W143" s="56"/>
      <c r="X143" s="57" t="s">
        <v>74</v>
      </c>
      <c r="Y143" s="36" t="s">
        <v>3393</v>
      </c>
      <c r="Z143" s="57" t="s">
        <v>3395</v>
      </c>
      <c r="AA143" s="57" t="s">
        <v>3396</v>
      </c>
      <c r="AB143" s="58">
        <v>46023.0</v>
      </c>
      <c r="AC143" s="146">
        <v>46387.0</v>
      </c>
      <c r="AD143" s="36" t="s">
        <v>3398</v>
      </c>
      <c r="AE143" s="59"/>
      <c r="AF143" s="59"/>
      <c r="AG143" s="36"/>
      <c r="AH143" s="36"/>
    </row>
    <row r="144" ht="45.75" customHeight="1">
      <c r="A144" s="36">
        <v>143.0</v>
      </c>
      <c r="B144" s="36"/>
      <c r="C144" s="36" t="s">
        <v>351</v>
      </c>
      <c r="D144" s="36" t="s">
        <v>3306</v>
      </c>
      <c r="E144" s="36" t="s">
        <v>3402</v>
      </c>
      <c r="F144" s="36" t="s">
        <v>3404</v>
      </c>
      <c r="G144" s="42" t="s">
        <v>3405</v>
      </c>
      <c r="H144" s="36" t="s">
        <v>64</v>
      </c>
      <c r="I144" s="36" t="s">
        <v>3406</v>
      </c>
      <c r="J144" s="36" t="s">
        <v>62</v>
      </c>
      <c r="K144" s="36" t="s">
        <v>63</v>
      </c>
      <c r="L144" s="36">
        <v>12.0</v>
      </c>
      <c r="M144" s="36" t="s">
        <v>1074</v>
      </c>
      <c r="N144" s="36" t="s">
        <v>66</v>
      </c>
      <c r="O144" s="36" t="s">
        <v>67</v>
      </c>
      <c r="P144" s="36" t="s">
        <v>3409</v>
      </c>
      <c r="Q144" s="36"/>
      <c r="R144" s="36"/>
      <c r="S144" s="36"/>
      <c r="T144" s="36" t="s">
        <v>955</v>
      </c>
      <c r="U144" s="36"/>
      <c r="V144" s="36" t="s">
        <v>61</v>
      </c>
      <c r="W144" s="56"/>
      <c r="X144" s="57" t="s">
        <v>74</v>
      </c>
      <c r="Y144" s="36" t="s">
        <v>3411</v>
      </c>
      <c r="Z144" s="57" t="s">
        <v>3413</v>
      </c>
      <c r="AA144" s="57" t="s">
        <v>3415</v>
      </c>
      <c r="AB144" s="58">
        <v>46023.0</v>
      </c>
      <c r="AC144" s="146">
        <v>46387.0</v>
      </c>
      <c r="AD144" s="36" t="s">
        <v>3417</v>
      </c>
      <c r="AE144" s="59"/>
      <c r="AF144" s="59"/>
      <c r="AG144" s="36"/>
      <c r="AH144" s="36"/>
    </row>
    <row r="145" ht="45.75" customHeight="1">
      <c r="A145" s="36">
        <v>144.0</v>
      </c>
      <c r="B145" s="36">
        <v>6027.0</v>
      </c>
      <c r="C145" s="36" t="s">
        <v>351</v>
      </c>
      <c r="D145" s="36" t="s">
        <v>3306</v>
      </c>
      <c r="E145" s="36" t="s">
        <v>3423</v>
      </c>
      <c r="F145" s="36" t="s">
        <v>3425</v>
      </c>
      <c r="G145" s="42" t="s">
        <v>3426</v>
      </c>
      <c r="H145" s="36" t="s">
        <v>64</v>
      </c>
      <c r="I145" s="36" t="s">
        <v>155</v>
      </c>
      <c r="J145" s="36" t="s">
        <v>62</v>
      </c>
      <c r="K145" s="36" t="s">
        <v>63</v>
      </c>
      <c r="L145" s="36">
        <v>25.0</v>
      </c>
      <c r="M145" s="36" t="s">
        <v>2972</v>
      </c>
      <c r="N145" s="36" t="s">
        <v>66</v>
      </c>
      <c r="O145" s="36" t="s">
        <v>67</v>
      </c>
      <c r="P145" s="36" t="s">
        <v>3431</v>
      </c>
      <c r="Q145" s="36"/>
      <c r="R145" s="36"/>
      <c r="S145" s="36"/>
      <c r="T145" s="36" t="s">
        <v>955</v>
      </c>
      <c r="U145" s="36" t="s">
        <v>955</v>
      </c>
      <c r="V145" s="36" t="s">
        <v>61</v>
      </c>
      <c r="W145" s="56"/>
      <c r="X145" s="57" t="s">
        <v>74</v>
      </c>
      <c r="Y145" s="36" t="s">
        <v>3435</v>
      </c>
      <c r="Z145" s="57" t="s">
        <v>3436</v>
      </c>
      <c r="AA145" s="57" t="s">
        <v>3437</v>
      </c>
      <c r="AB145" s="58">
        <v>46023.0</v>
      </c>
      <c r="AC145" s="146">
        <v>46387.0</v>
      </c>
      <c r="AD145" s="36" t="s">
        <v>3440</v>
      </c>
      <c r="AE145" s="59"/>
      <c r="AF145" s="59"/>
      <c r="AG145" s="36"/>
      <c r="AH145" s="36"/>
    </row>
    <row r="146" ht="45.75" customHeight="1">
      <c r="A146" s="36">
        <v>145.0</v>
      </c>
      <c r="B146" s="36">
        <v>635.0</v>
      </c>
      <c r="C146" s="36" t="s">
        <v>351</v>
      </c>
      <c r="D146" s="36" t="s">
        <v>3306</v>
      </c>
      <c r="E146" s="36" t="s">
        <v>3442</v>
      </c>
      <c r="F146" s="36" t="s">
        <v>3443</v>
      </c>
      <c r="G146" s="42" t="s">
        <v>3445</v>
      </c>
      <c r="H146" s="36" t="s">
        <v>64</v>
      </c>
      <c r="I146" s="36" t="s">
        <v>155</v>
      </c>
      <c r="J146" s="36" t="s">
        <v>62</v>
      </c>
      <c r="K146" s="36" t="s">
        <v>63</v>
      </c>
      <c r="L146" s="36">
        <v>34.0</v>
      </c>
      <c r="M146" s="36" t="s">
        <v>1074</v>
      </c>
      <c r="N146" s="36" t="s">
        <v>66</v>
      </c>
      <c r="O146" s="36" t="s">
        <v>67</v>
      </c>
      <c r="P146" s="36" t="s">
        <v>3447</v>
      </c>
      <c r="Q146" s="36"/>
      <c r="R146" s="36"/>
      <c r="S146" s="36"/>
      <c r="T146" s="36" t="s">
        <v>955</v>
      </c>
      <c r="U146" s="36" t="s">
        <v>955</v>
      </c>
      <c r="V146" s="36" t="s">
        <v>61</v>
      </c>
      <c r="W146" s="56"/>
      <c r="X146" s="57" t="s">
        <v>74</v>
      </c>
      <c r="Y146" s="36" t="s">
        <v>3452</v>
      </c>
      <c r="Z146" s="57" t="s">
        <v>3455</v>
      </c>
      <c r="AA146" s="57" t="s">
        <v>3456</v>
      </c>
      <c r="AB146" s="58">
        <v>46023.0</v>
      </c>
      <c r="AC146" s="146">
        <v>46387.0</v>
      </c>
      <c r="AD146" s="36" t="s">
        <v>3458</v>
      </c>
      <c r="AE146" s="59"/>
      <c r="AF146" s="59"/>
      <c r="AG146" s="36"/>
      <c r="AH146" s="36"/>
    </row>
    <row r="147" ht="45.75" customHeight="1">
      <c r="A147" s="36">
        <v>146.0</v>
      </c>
      <c r="B147" s="36">
        <v>680.0</v>
      </c>
      <c r="C147" s="36" t="s">
        <v>351</v>
      </c>
      <c r="D147" s="36" t="s">
        <v>3306</v>
      </c>
      <c r="E147" s="36" t="s">
        <v>3462</v>
      </c>
      <c r="F147" s="36" t="s">
        <v>3463</v>
      </c>
      <c r="G147" s="42" t="s">
        <v>3464</v>
      </c>
      <c r="H147" s="36" t="s">
        <v>64</v>
      </c>
      <c r="I147" s="36" t="s">
        <v>155</v>
      </c>
      <c r="J147" s="36" t="s">
        <v>62</v>
      </c>
      <c r="K147" s="36" t="s">
        <v>63</v>
      </c>
      <c r="L147" s="36">
        <v>20.0</v>
      </c>
      <c r="M147" s="36" t="s">
        <v>1074</v>
      </c>
      <c r="N147" s="36" t="s">
        <v>66</v>
      </c>
      <c r="O147" s="36" t="s">
        <v>67</v>
      </c>
      <c r="P147" s="36" t="s">
        <v>3465</v>
      </c>
      <c r="Q147" s="36"/>
      <c r="R147" s="36"/>
      <c r="S147" s="36"/>
      <c r="T147" s="36" t="s">
        <v>955</v>
      </c>
      <c r="U147" s="36" t="s">
        <v>955</v>
      </c>
      <c r="V147" s="36" t="s">
        <v>61</v>
      </c>
      <c r="W147" s="56"/>
      <c r="X147" s="57" t="s">
        <v>74</v>
      </c>
      <c r="Y147" s="36" t="s">
        <v>3468</v>
      </c>
      <c r="Z147" s="57" t="s">
        <v>3470</v>
      </c>
      <c r="AA147" s="57" t="s">
        <v>3472</v>
      </c>
      <c r="AB147" s="58">
        <v>46023.0</v>
      </c>
      <c r="AC147" s="146">
        <v>46387.0</v>
      </c>
      <c r="AD147" s="36" t="s">
        <v>3475</v>
      </c>
      <c r="AE147" s="59"/>
      <c r="AF147" s="59"/>
      <c r="AG147" s="36"/>
      <c r="AH147" s="36"/>
    </row>
    <row r="148" ht="45.75" customHeight="1">
      <c r="A148" s="36">
        <v>147.0</v>
      </c>
      <c r="B148" s="36">
        <v>4418.0</v>
      </c>
      <c r="C148" s="36" t="s">
        <v>351</v>
      </c>
      <c r="D148" s="36" t="s">
        <v>3306</v>
      </c>
      <c r="E148" s="36" t="s">
        <v>3477</v>
      </c>
      <c r="F148" s="36" t="s">
        <v>3478</v>
      </c>
      <c r="G148" s="42" t="s">
        <v>3482</v>
      </c>
      <c r="H148" s="36" t="s">
        <v>64</v>
      </c>
      <c r="I148" s="36" t="s">
        <v>155</v>
      </c>
      <c r="J148" s="36" t="s">
        <v>62</v>
      </c>
      <c r="K148" s="36" t="s">
        <v>63</v>
      </c>
      <c r="L148" s="36">
        <v>30.0</v>
      </c>
      <c r="M148" s="36" t="s">
        <v>1074</v>
      </c>
      <c r="N148" s="36" t="s">
        <v>66</v>
      </c>
      <c r="O148" s="36" t="s">
        <v>67</v>
      </c>
      <c r="P148" s="36" t="s">
        <v>3484</v>
      </c>
      <c r="Q148" s="36"/>
      <c r="R148" s="36"/>
      <c r="S148" s="36"/>
      <c r="T148" s="36" t="s">
        <v>955</v>
      </c>
      <c r="U148" s="36" t="s">
        <v>955</v>
      </c>
      <c r="V148" s="36" t="s">
        <v>61</v>
      </c>
      <c r="W148" s="56"/>
      <c r="X148" s="57" t="s">
        <v>74</v>
      </c>
      <c r="Y148" s="36" t="s">
        <v>3486</v>
      </c>
      <c r="Z148" s="57" t="s">
        <v>3489</v>
      </c>
      <c r="AA148" s="57" t="s">
        <v>3491</v>
      </c>
      <c r="AB148" s="58">
        <v>46023.0</v>
      </c>
      <c r="AC148" s="146">
        <v>46387.0</v>
      </c>
      <c r="AD148" s="36" t="s">
        <v>3493</v>
      </c>
      <c r="AE148" s="59"/>
      <c r="AF148" s="59"/>
      <c r="AG148" s="36"/>
      <c r="AH148" s="36"/>
    </row>
    <row r="149" ht="45.75" customHeight="1">
      <c r="A149" s="36">
        <v>148.0</v>
      </c>
      <c r="B149" s="36">
        <v>609.0</v>
      </c>
      <c r="C149" s="36" t="s">
        <v>351</v>
      </c>
      <c r="D149" s="36" t="s">
        <v>3306</v>
      </c>
      <c r="E149" s="36" t="s">
        <v>3495</v>
      </c>
      <c r="F149" s="36" t="s">
        <v>3497</v>
      </c>
      <c r="G149" s="42" t="s">
        <v>3498</v>
      </c>
      <c r="H149" s="36" t="s">
        <v>64</v>
      </c>
      <c r="I149" s="36" t="s">
        <v>155</v>
      </c>
      <c r="J149" s="36" t="s">
        <v>62</v>
      </c>
      <c r="K149" s="36" t="s">
        <v>63</v>
      </c>
      <c r="L149" s="36">
        <v>100.0</v>
      </c>
      <c r="M149" s="36" t="s">
        <v>3499</v>
      </c>
      <c r="N149" s="36" t="s">
        <v>66</v>
      </c>
      <c r="O149" s="36" t="s">
        <v>67</v>
      </c>
      <c r="P149" s="36" t="s">
        <v>3501</v>
      </c>
      <c r="Q149" s="36"/>
      <c r="R149" s="36"/>
      <c r="S149" s="36"/>
      <c r="T149" s="36" t="s">
        <v>955</v>
      </c>
      <c r="U149" s="36" t="s">
        <v>955</v>
      </c>
      <c r="V149" s="36" t="s">
        <v>61</v>
      </c>
      <c r="W149" s="56"/>
      <c r="X149" s="57" t="s">
        <v>74</v>
      </c>
      <c r="Y149" s="36" t="s">
        <v>3502</v>
      </c>
      <c r="Z149" s="57"/>
      <c r="AA149" s="57" t="s">
        <v>3504</v>
      </c>
      <c r="AB149" s="58">
        <v>46023.0</v>
      </c>
      <c r="AC149" s="146">
        <v>46387.0</v>
      </c>
      <c r="AD149" s="36" t="s">
        <v>3508</v>
      </c>
      <c r="AE149" s="59"/>
      <c r="AF149" s="59"/>
      <c r="AG149" s="36"/>
      <c r="AH149" s="36"/>
    </row>
    <row r="150" ht="45.75" customHeight="1">
      <c r="A150" s="36">
        <v>149.0</v>
      </c>
      <c r="B150" s="36">
        <v>17563.0</v>
      </c>
      <c r="C150" s="36" t="s">
        <v>351</v>
      </c>
      <c r="D150" s="36" t="s">
        <v>3306</v>
      </c>
      <c r="E150" s="36" t="s">
        <v>3495</v>
      </c>
      <c r="F150" s="36" t="s">
        <v>3512</v>
      </c>
      <c r="G150" s="42" t="s">
        <v>3514</v>
      </c>
      <c r="H150" s="36" t="s">
        <v>64</v>
      </c>
      <c r="I150" s="36" t="s">
        <v>155</v>
      </c>
      <c r="J150" s="36" t="s">
        <v>62</v>
      </c>
      <c r="K150" s="36" t="s">
        <v>63</v>
      </c>
      <c r="L150" s="36">
        <v>32.0</v>
      </c>
      <c r="M150" s="36" t="s">
        <v>1074</v>
      </c>
      <c r="N150" s="36" t="s">
        <v>66</v>
      </c>
      <c r="O150" s="36" t="s">
        <v>67</v>
      </c>
      <c r="P150" s="36" t="s">
        <v>3517</v>
      </c>
      <c r="Q150" s="36"/>
      <c r="R150" s="36"/>
      <c r="S150" s="36"/>
      <c r="T150" s="36" t="s">
        <v>955</v>
      </c>
      <c r="U150" s="36">
        <v>12.0</v>
      </c>
      <c r="V150" s="36" t="s">
        <v>61</v>
      </c>
      <c r="W150" s="56"/>
      <c r="X150" s="57" t="s">
        <v>74</v>
      </c>
      <c r="Y150" s="36" t="s">
        <v>3520</v>
      </c>
      <c r="Z150" s="57" t="s">
        <v>3521</v>
      </c>
      <c r="AA150" s="57" t="s">
        <v>3523</v>
      </c>
      <c r="AB150" s="58">
        <v>46023.0</v>
      </c>
      <c r="AC150" s="146">
        <v>46387.0</v>
      </c>
      <c r="AD150" s="36" t="s">
        <v>3525</v>
      </c>
      <c r="AE150" s="59"/>
      <c r="AF150" s="59"/>
      <c r="AG150" s="36"/>
      <c r="AH150" s="36"/>
    </row>
    <row r="151" ht="45.75" customHeight="1">
      <c r="A151" s="36">
        <v>150.0</v>
      </c>
      <c r="B151" s="36">
        <v>6069.0</v>
      </c>
      <c r="C151" s="36" t="s">
        <v>351</v>
      </c>
      <c r="D151" s="36" t="s">
        <v>3306</v>
      </c>
      <c r="E151" s="36" t="s">
        <v>3528</v>
      </c>
      <c r="F151" s="36" t="s">
        <v>3529</v>
      </c>
      <c r="G151" s="42" t="s">
        <v>3531</v>
      </c>
      <c r="H151" s="36" t="s">
        <v>64</v>
      </c>
      <c r="I151" s="36" t="s">
        <v>155</v>
      </c>
      <c r="J151" s="36" t="s">
        <v>62</v>
      </c>
      <c r="K151" s="36" t="s">
        <v>63</v>
      </c>
      <c r="L151" s="36">
        <v>15.0</v>
      </c>
      <c r="M151" s="36" t="s">
        <v>2972</v>
      </c>
      <c r="N151" s="36" t="s">
        <v>66</v>
      </c>
      <c r="O151" s="36" t="s">
        <v>67</v>
      </c>
      <c r="P151" s="36" t="s">
        <v>3535</v>
      </c>
      <c r="Q151" s="36"/>
      <c r="R151" s="36"/>
      <c r="S151" s="36"/>
      <c r="T151" s="36" t="s">
        <v>955</v>
      </c>
      <c r="U151" s="36" t="s">
        <v>955</v>
      </c>
      <c r="V151" s="36" t="s">
        <v>61</v>
      </c>
      <c r="W151" s="56"/>
      <c r="X151" s="57" t="s">
        <v>74</v>
      </c>
      <c r="Y151" s="36" t="s">
        <v>3537</v>
      </c>
      <c r="Z151" s="57" t="s">
        <v>3539</v>
      </c>
      <c r="AA151" s="57" t="s">
        <v>3540</v>
      </c>
      <c r="AB151" s="58">
        <v>46023.0</v>
      </c>
      <c r="AC151" s="146">
        <v>46387.0</v>
      </c>
      <c r="AD151" s="36" t="s">
        <v>3541</v>
      </c>
      <c r="AE151" s="59"/>
      <c r="AF151" s="59"/>
      <c r="AG151" s="36"/>
      <c r="AH151" s="36"/>
    </row>
    <row r="152" ht="45.75" customHeight="1">
      <c r="A152" s="36">
        <v>151.0</v>
      </c>
      <c r="B152" s="36">
        <v>4233.0</v>
      </c>
      <c r="C152" s="36" t="s">
        <v>351</v>
      </c>
      <c r="D152" s="36" t="s">
        <v>3306</v>
      </c>
      <c r="E152" s="36" t="s">
        <v>3528</v>
      </c>
      <c r="F152" s="36" t="s">
        <v>3546</v>
      </c>
      <c r="G152" s="42" t="s">
        <v>3548</v>
      </c>
      <c r="H152" s="36" t="s">
        <v>64</v>
      </c>
      <c r="I152" s="36" t="s">
        <v>155</v>
      </c>
      <c r="J152" s="36" t="s">
        <v>62</v>
      </c>
      <c r="K152" s="36" t="s">
        <v>63</v>
      </c>
      <c r="L152" s="36">
        <v>20.0</v>
      </c>
      <c r="M152" s="36" t="s">
        <v>3549</v>
      </c>
      <c r="N152" s="36" t="s">
        <v>66</v>
      </c>
      <c r="O152" s="36" t="s">
        <v>67</v>
      </c>
      <c r="P152" s="36" t="s">
        <v>3551</v>
      </c>
      <c r="Q152" s="36"/>
      <c r="R152" s="36"/>
      <c r="S152" s="36"/>
      <c r="T152" s="36" t="s">
        <v>955</v>
      </c>
      <c r="U152" s="36">
        <v>12.0</v>
      </c>
      <c r="V152" s="36" t="s">
        <v>61</v>
      </c>
      <c r="W152" s="56"/>
      <c r="X152" s="57" t="s">
        <v>74</v>
      </c>
      <c r="Y152" s="36" t="s">
        <v>3554</v>
      </c>
      <c r="Z152" s="57">
        <v>8.8010182E7</v>
      </c>
      <c r="AA152" s="57" t="s">
        <v>3556</v>
      </c>
      <c r="AB152" s="58">
        <v>46023.0</v>
      </c>
      <c r="AC152" s="146">
        <v>46387.0</v>
      </c>
      <c r="AD152" s="36" t="s">
        <v>3557</v>
      </c>
      <c r="AE152" s="59"/>
      <c r="AF152" s="59"/>
      <c r="AG152" s="36"/>
      <c r="AH152" s="36"/>
    </row>
    <row r="153" ht="45.75" customHeight="1">
      <c r="A153" s="36">
        <v>152.0</v>
      </c>
      <c r="B153" s="36">
        <v>28057.0</v>
      </c>
      <c r="C153" s="36" t="s">
        <v>351</v>
      </c>
      <c r="D153" s="36" t="s">
        <v>3306</v>
      </c>
      <c r="E153" s="36" t="s">
        <v>2945</v>
      </c>
      <c r="F153" s="36" t="s">
        <v>3559</v>
      </c>
      <c r="G153" s="42" t="s">
        <v>3560</v>
      </c>
      <c r="H153" s="36" t="s">
        <v>64</v>
      </c>
      <c r="I153" s="36" t="s">
        <v>155</v>
      </c>
      <c r="J153" s="36" t="s">
        <v>62</v>
      </c>
      <c r="K153" s="36" t="s">
        <v>111</v>
      </c>
      <c r="L153" s="36">
        <v>150.0</v>
      </c>
      <c r="M153" s="36" t="s">
        <v>3563</v>
      </c>
      <c r="N153" s="36" t="s">
        <v>66</v>
      </c>
      <c r="O153" s="36" t="s">
        <v>72</v>
      </c>
      <c r="P153" s="36" t="s">
        <v>3564</v>
      </c>
      <c r="Q153" s="36"/>
      <c r="R153" s="36"/>
      <c r="S153" s="36"/>
      <c r="T153" s="36" t="s">
        <v>955</v>
      </c>
      <c r="U153" s="36">
        <v>2.0</v>
      </c>
      <c r="V153" s="36" t="s">
        <v>61</v>
      </c>
      <c r="W153" s="56"/>
      <c r="X153" s="57" t="s">
        <v>93</v>
      </c>
      <c r="Y153" s="36" t="s">
        <v>3566</v>
      </c>
      <c r="Z153" s="57" t="s">
        <v>3567</v>
      </c>
      <c r="AA153" s="57" t="s">
        <v>3568</v>
      </c>
      <c r="AB153" s="58">
        <v>46023.0</v>
      </c>
      <c r="AC153" s="146">
        <v>46387.0</v>
      </c>
      <c r="AD153" s="36" t="s">
        <v>3570</v>
      </c>
      <c r="AE153" s="59"/>
      <c r="AF153" s="59"/>
      <c r="AG153" s="36"/>
      <c r="AH153" s="36"/>
    </row>
    <row r="154" ht="45.75" customHeight="1">
      <c r="A154" s="36">
        <v>153.0</v>
      </c>
      <c r="B154" s="36">
        <v>3028.0</v>
      </c>
      <c r="C154" s="36" t="s">
        <v>351</v>
      </c>
      <c r="D154" s="36" t="s">
        <v>3306</v>
      </c>
      <c r="E154" s="36" t="s">
        <v>3574</v>
      </c>
      <c r="F154" s="36" t="s">
        <v>3576</v>
      </c>
      <c r="G154" s="42" t="s">
        <v>3577</v>
      </c>
      <c r="H154" s="36" t="s">
        <v>64</v>
      </c>
      <c r="I154" s="36" t="s">
        <v>155</v>
      </c>
      <c r="J154" s="36" t="s">
        <v>62</v>
      </c>
      <c r="K154" s="36" t="s">
        <v>63</v>
      </c>
      <c r="L154" s="36">
        <v>83.0</v>
      </c>
      <c r="M154" s="36" t="s">
        <v>3580</v>
      </c>
      <c r="N154" s="36" t="s">
        <v>66</v>
      </c>
      <c r="O154" s="36" t="s">
        <v>67</v>
      </c>
      <c r="P154" s="36" t="s">
        <v>3583</v>
      </c>
      <c r="Q154" s="36"/>
      <c r="R154" s="36"/>
      <c r="S154" s="36"/>
      <c r="T154" s="36" t="s">
        <v>955</v>
      </c>
      <c r="U154" s="36">
        <v>18.0</v>
      </c>
      <c r="V154" s="36" t="s">
        <v>61</v>
      </c>
      <c r="W154" s="56"/>
      <c r="X154" s="57" t="s">
        <v>74</v>
      </c>
      <c r="Y154" s="36" t="s">
        <v>3584</v>
      </c>
      <c r="Z154" s="57" t="s">
        <v>3585</v>
      </c>
      <c r="AA154" s="57" t="s">
        <v>3586</v>
      </c>
      <c r="AB154" s="58">
        <v>46023.0</v>
      </c>
      <c r="AC154" s="146">
        <v>46387.0</v>
      </c>
      <c r="AD154" s="36" t="s">
        <v>3588</v>
      </c>
      <c r="AE154" s="59"/>
      <c r="AF154" s="59"/>
      <c r="AG154" s="36"/>
      <c r="AH154" s="36"/>
    </row>
    <row r="155" ht="45.75" customHeight="1">
      <c r="A155" s="36">
        <v>154.0</v>
      </c>
      <c r="B155" s="36">
        <v>5200.0</v>
      </c>
      <c r="C155" s="36" t="s">
        <v>351</v>
      </c>
      <c r="D155" s="36" t="s">
        <v>1054</v>
      </c>
      <c r="E155" s="36" t="s">
        <v>3590</v>
      </c>
      <c r="F155" s="36" t="s">
        <v>3591</v>
      </c>
      <c r="G155" s="42" t="s">
        <v>3594</v>
      </c>
      <c r="H155" s="36" t="s">
        <v>64</v>
      </c>
      <c r="I155" s="36" t="s">
        <v>155</v>
      </c>
      <c r="J155" s="36" t="s">
        <v>62</v>
      </c>
      <c r="K155" s="36" t="s">
        <v>63</v>
      </c>
      <c r="L155" s="36">
        <v>12.0</v>
      </c>
      <c r="M155" s="36" t="s">
        <v>1074</v>
      </c>
      <c r="N155" s="36" t="s">
        <v>66</v>
      </c>
      <c r="O155" s="36" t="s">
        <v>67</v>
      </c>
      <c r="P155" s="36" t="s">
        <v>3598</v>
      </c>
      <c r="Q155" s="36"/>
      <c r="R155" s="36"/>
      <c r="S155" s="36"/>
      <c r="T155" s="36" t="s">
        <v>955</v>
      </c>
      <c r="U155" s="36" t="s">
        <v>955</v>
      </c>
      <c r="V155" s="36" t="s">
        <v>61</v>
      </c>
      <c r="W155" s="56"/>
      <c r="X155" s="57" t="s">
        <v>74</v>
      </c>
      <c r="Y155" s="36" t="s">
        <v>3599</v>
      </c>
      <c r="Z155" s="57">
        <v>9.175053486E9</v>
      </c>
      <c r="AA155" s="57" t="s">
        <v>3600</v>
      </c>
      <c r="AB155" s="58">
        <v>46023.0</v>
      </c>
      <c r="AC155" s="146">
        <v>46387.0</v>
      </c>
      <c r="AD155" s="36" t="s">
        <v>3601</v>
      </c>
      <c r="AE155" s="59"/>
      <c r="AF155" s="59"/>
      <c r="AG155" s="36"/>
      <c r="AH155" s="36"/>
    </row>
    <row r="156" ht="45.75" customHeight="1">
      <c r="A156" s="36">
        <v>155.0</v>
      </c>
      <c r="B156" s="36">
        <v>412.0</v>
      </c>
      <c r="C156" s="36" t="s">
        <v>351</v>
      </c>
      <c r="D156" s="36" t="s">
        <v>1054</v>
      </c>
      <c r="E156" s="36" t="s">
        <v>3602</v>
      </c>
      <c r="F156" s="36" t="s">
        <v>3604</v>
      </c>
      <c r="G156" s="42" t="s">
        <v>3605</v>
      </c>
      <c r="H156" s="36" t="s">
        <v>64</v>
      </c>
      <c r="I156" s="36" t="s">
        <v>155</v>
      </c>
      <c r="J156" s="36" t="s">
        <v>62</v>
      </c>
      <c r="K156" s="36" t="s">
        <v>63</v>
      </c>
      <c r="L156" s="36">
        <v>50.0</v>
      </c>
      <c r="M156" s="36" t="s">
        <v>1918</v>
      </c>
      <c r="N156" s="36" t="s">
        <v>66</v>
      </c>
      <c r="O156" s="36" t="s">
        <v>67</v>
      </c>
      <c r="P156" s="36" t="s">
        <v>3608</v>
      </c>
      <c r="Q156" s="36"/>
      <c r="R156" s="36"/>
      <c r="S156" s="36"/>
      <c r="T156" s="36" t="s">
        <v>955</v>
      </c>
      <c r="U156" s="36" t="s">
        <v>955</v>
      </c>
      <c r="V156" s="36" t="s">
        <v>61</v>
      </c>
      <c r="W156" s="56"/>
      <c r="X156" s="57" t="s">
        <v>74</v>
      </c>
      <c r="Y156" s="36" t="s">
        <v>3610</v>
      </c>
      <c r="Z156" s="57">
        <v>4.23164048E8</v>
      </c>
      <c r="AA156" s="57" t="s">
        <v>3611</v>
      </c>
      <c r="AB156" s="58">
        <v>46023.0</v>
      </c>
      <c r="AC156" s="146">
        <v>46387.0</v>
      </c>
      <c r="AD156" s="36" t="s">
        <v>3612</v>
      </c>
      <c r="AE156" s="59"/>
      <c r="AF156" s="59"/>
      <c r="AG156" s="36"/>
      <c r="AH156" s="36"/>
    </row>
    <row r="157" ht="45.75" customHeight="1">
      <c r="A157" s="36">
        <v>156.0</v>
      </c>
      <c r="B157" s="36"/>
      <c r="C157" s="36" t="s">
        <v>351</v>
      </c>
      <c r="D157" s="36" t="s">
        <v>1054</v>
      </c>
      <c r="E157" s="36" t="s">
        <v>2866</v>
      </c>
      <c r="F157" s="36" t="s">
        <v>3613</v>
      </c>
      <c r="G157" s="42" t="s">
        <v>3614</v>
      </c>
      <c r="H157" s="36" t="s">
        <v>64</v>
      </c>
      <c r="I157" s="36" t="s">
        <v>155</v>
      </c>
      <c r="J157" s="36" t="s">
        <v>62</v>
      </c>
      <c r="K157" s="36" t="s">
        <v>63</v>
      </c>
      <c r="L157" s="36">
        <v>28.0</v>
      </c>
      <c r="M157" s="36" t="s">
        <v>3615</v>
      </c>
      <c r="N157" s="36" t="s">
        <v>66</v>
      </c>
      <c r="O157" s="36" t="s">
        <v>67</v>
      </c>
      <c r="P157" s="36" t="s">
        <v>3616</v>
      </c>
      <c r="Q157" s="36"/>
      <c r="R157" s="36"/>
      <c r="S157" s="36"/>
      <c r="T157" s="36"/>
      <c r="U157" s="36"/>
      <c r="V157" s="36" t="s">
        <v>61</v>
      </c>
      <c r="W157" s="56"/>
      <c r="X157" s="57" t="s">
        <v>74</v>
      </c>
      <c r="Y157" s="36" t="s">
        <v>3621</v>
      </c>
      <c r="Z157" s="57" t="s">
        <v>3623</v>
      </c>
      <c r="AA157" s="57" t="s">
        <v>3624</v>
      </c>
      <c r="AB157" s="58">
        <v>46023.0</v>
      </c>
      <c r="AC157" s="146">
        <v>46387.0</v>
      </c>
      <c r="AD157" s="36" t="s">
        <v>3626</v>
      </c>
      <c r="AE157" s="59"/>
      <c r="AF157" s="59"/>
      <c r="AG157" s="36"/>
      <c r="AH157" s="36"/>
    </row>
    <row r="158" ht="45.75" customHeight="1">
      <c r="A158" s="36">
        <v>157.0</v>
      </c>
      <c r="B158" s="36">
        <v>3448.0</v>
      </c>
      <c r="C158" s="36" t="s">
        <v>351</v>
      </c>
      <c r="D158" s="36" t="s">
        <v>1054</v>
      </c>
      <c r="E158" s="36" t="s">
        <v>3628</v>
      </c>
      <c r="F158" s="36" t="s">
        <v>3629</v>
      </c>
      <c r="G158" s="42" t="s">
        <v>3630</v>
      </c>
      <c r="H158" s="36" t="s">
        <v>64</v>
      </c>
      <c r="I158" s="36" t="s">
        <v>155</v>
      </c>
      <c r="J158" s="36" t="s">
        <v>62</v>
      </c>
      <c r="K158" s="36" t="s">
        <v>63</v>
      </c>
      <c r="L158" s="36">
        <v>25.0</v>
      </c>
      <c r="M158" s="36" t="s">
        <v>1074</v>
      </c>
      <c r="N158" s="36" t="s">
        <v>66</v>
      </c>
      <c r="O158" s="36" t="s">
        <v>67</v>
      </c>
      <c r="P158" s="36" t="s">
        <v>955</v>
      </c>
      <c r="Q158" s="36"/>
      <c r="R158" s="36"/>
      <c r="S158" s="36"/>
      <c r="T158" s="36" t="s">
        <v>955</v>
      </c>
      <c r="U158" s="36" t="s">
        <v>955</v>
      </c>
      <c r="V158" s="36" t="s">
        <v>61</v>
      </c>
      <c r="W158" s="56"/>
      <c r="X158" s="57" t="s">
        <v>74</v>
      </c>
      <c r="Y158" s="36" t="s">
        <v>3636</v>
      </c>
      <c r="Z158" s="57" t="s">
        <v>3638</v>
      </c>
      <c r="AA158" s="57" t="s">
        <v>3639</v>
      </c>
      <c r="AB158" s="58">
        <v>46028.0</v>
      </c>
      <c r="AC158" s="146">
        <v>46387.0</v>
      </c>
      <c r="AD158" s="36" t="s">
        <v>3640</v>
      </c>
      <c r="AE158" s="59"/>
      <c r="AF158" s="59"/>
      <c r="AG158" s="36"/>
      <c r="AH158" s="36"/>
    </row>
    <row r="159" ht="45.75" customHeight="1">
      <c r="A159" s="36">
        <v>158.0</v>
      </c>
      <c r="B159" s="36">
        <v>563.0</v>
      </c>
      <c r="C159" s="36" t="s">
        <v>351</v>
      </c>
      <c r="D159" s="36" t="s">
        <v>1054</v>
      </c>
      <c r="E159" s="36" t="s">
        <v>3643</v>
      </c>
      <c r="F159" s="36" t="s">
        <v>3644</v>
      </c>
      <c r="G159" s="42" t="s">
        <v>3645</v>
      </c>
      <c r="H159" s="36" t="s">
        <v>64</v>
      </c>
      <c r="I159" s="36" t="s">
        <v>155</v>
      </c>
      <c r="J159" s="36" t="s">
        <v>62</v>
      </c>
      <c r="K159" s="36" t="s">
        <v>63</v>
      </c>
      <c r="L159" s="36">
        <v>15.0</v>
      </c>
      <c r="M159" s="36" t="s">
        <v>3648</v>
      </c>
      <c r="N159" s="36" t="s">
        <v>66</v>
      </c>
      <c r="O159" s="36" t="s">
        <v>67</v>
      </c>
      <c r="P159" s="36" t="s">
        <v>3649</v>
      </c>
      <c r="Q159" s="36"/>
      <c r="R159" s="36"/>
      <c r="S159" s="36"/>
      <c r="T159" s="36" t="s">
        <v>955</v>
      </c>
      <c r="U159" s="36" t="s">
        <v>955</v>
      </c>
      <c r="V159" s="36" t="s">
        <v>61</v>
      </c>
      <c r="W159" s="56"/>
      <c r="X159" s="57" t="s">
        <v>74</v>
      </c>
      <c r="Y159" s="36" t="s">
        <v>3655</v>
      </c>
      <c r="Z159" s="57" t="s">
        <v>3657</v>
      </c>
      <c r="AA159" s="57" t="s">
        <v>3658</v>
      </c>
      <c r="AB159" s="58">
        <v>46023.0</v>
      </c>
      <c r="AC159" s="146">
        <v>46387.0</v>
      </c>
      <c r="AD159" s="36" t="s">
        <v>3660</v>
      </c>
      <c r="AE159" s="59"/>
      <c r="AF159" s="59"/>
      <c r="AG159" s="36"/>
      <c r="AH159" s="36"/>
    </row>
    <row r="160" ht="45.75" customHeight="1">
      <c r="A160" s="36">
        <v>159.0</v>
      </c>
      <c r="B160" s="36">
        <v>23605.0</v>
      </c>
      <c r="C160" s="36" t="s">
        <v>351</v>
      </c>
      <c r="D160" s="36" t="s">
        <v>1054</v>
      </c>
      <c r="E160" s="36" t="s">
        <v>3664</v>
      </c>
      <c r="F160" s="36" t="s">
        <v>3665</v>
      </c>
      <c r="G160" s="42" t="s">
        <v>3666</v>
      </c>
      <c r="H160" s="36" t="s">
        <v>64</v>
      </c>
      <c r="I160" s="36" t="s">
        <v>155</v>
      </c>
      <c r="J160" s="36" t="s">
        <v>62</v>
      </c>
      <c r="K160" s="36" t="s">
        <v>63</v>
      </c>
      <c r="L160" s="36">
        <v>75.0</v>
      </c>
      <c r="M160" s="36" t="s">
        <v>2972</v>
      </c>
      <c r="N160" s="36" t="s">
        <v>66</v>
      </c>
      <c r="O160" s="36" t="s">
        <v>67</v>
      </c>
      <c r="P160" s="36" t="s">
        <v>955</v>
      </c>
      <c r="Q160" s="36"/>
      <c r="R160" s="36"/>
      <c r="S160" s="36"/>
      <c r="T160" s="36" t="s">
        <v>955</v>
      </c>
      <c r="U160" s="36" t="s">
        <v>955</v>
      </c>
      <c r="V160" s="36" t="s">
        <v>61</v>
      </c>
      <c r="W160" s="56"/>
      <c r="X160" s="57" t="s">
        <v>74</v>
      </c>
      <c r="Y160" s="36" t="s">
        <v>3676</v>
      </c>
      <c r="Z160" s="57" t="s">
        <v>3678</v>
      </c>
      <c r="AA160" s="57" t="s">
        <v>3679</v>
      </c>
      <c r="AB160" s="58">
        <v>46023.0</v>
      </c>
      <c r="AC160" s="146">
        <v>46387.0</v>
      </c>
      <c r="AD160" s="36" t="s">
        <v>3680</v>
      </c>
      <c r="AE160" s="59"/>
      <c r="AF160" s="59"/>
      <c r="AG160" s="36"/>
      <c r="AH160" s="36"/>
    </row>
    <row r="161" ht="45.75" customHeight="1">
      <c r="A161" s="36">
        <v>160.0</v>
      </c>
      <c r="B161" s="36">
        <v>456.0</v>
      </c>
      <c r="C161" s="36" t="s">
        <v>351</v>
      </c>
      <c r="D161" s="36" t="s">
        <v>1054</v>
      </c>
      <c r="E161" s="36" t="s">
        <v>3683</v>
      </c>
      <c r="F161" s="36" t="s">
        <v>3684</v>
      </c>
      <c r="G161" s="42" t="s">
        <v>3685</v>
      </c>
      <c r="H161" s="36" t="s">
        <v>64</v>
      </c>
      <c r="I161" s="36" t="s">
        <v>155</v>
      </c>
      <c r="J161" s="36" t="s">
        <v>62</v>
      </c>
      <c r="K161" s="36" t="s">
        <v>63</v>
      </c>
      <c r="L161" s="36">
        <v>39.0</v>
      </c>
      <c r="M161" s="36" t="s">
        <v>1074</v>
      </c>
      <c r="N161" s="36" t="s">
        <v>66</v>
      </c>
      <c r="O161" s="36" t="s">
        <v>67</v>
      </c>
      <c r="P161" s="36" t="s">
        <v>3691</v>
      </c>
      <c r="Q161" s="36"/>
      <c r="R161" s="36"/>
      <c r="S161" s="36"/>
      <c r="T161" s="36" t="s">
        <v>955</v>
      </c>
      <c r="U161" s="36" t="s">
        <v>955</v>
      </c>
      <c r="V161" s="36" t="s">
        <v>61</v>
      </c>
      <c r="W161" s="56"/>
      <c r="X161" s="57" t="s">
        <v>74</v>
      </c>
      <c r="Y161" s="36" t="s">
        <v>3696</v>
      </c>
      <c r="Z161" s="57">
        <v>9.299740392E9</v>
      </c>
      <c r="AA161" s="57" t="s">
        <v>3697</v>
      </c>
      <c r="AB161" s="58">
        <v>46023.0</v>
      </c>
      <c r="AC161" s="146">
        <v>46387.0</v>
      </c>
      <c r="AD161" s="36" t="s">
        <v>3700</v>
      </c>
      <c r="AE161" s="59"/>
      <c r="AF161" s="59"/>
      <c r="AG161" s="36"/>
      <c r="AH161" s="36"/>
    </row>
    <row r="162" ht="45.75" customHeight="1">
      <c r="A162" s="36">
        <v>161.0</v>
      </c>
      <c r="B162" s="36">
        <v>623.0</v>
      </c>
      <c r="C162" s="36" t="s">
        <v>351</v>
      </c>
      <c r="D162" s="36" t="s">
        <v>1054</v>
      </c>
      <c r="E162" s="36" t="s">
        <v>3702</v>
      </c>
      <c r="F162" s="36" t="s">
        <v>3704</v>
      </c>
      <c r="G162" s="42" t="s">
        <v>3705</v>
      </c>
      <c r="H162" s="36" t="s">
        <v>64</v>
      </c>
      <c r="I162" s="36" t="s">
        <v>155</v>
      </c>
      <c r="J162" s="36" t="s">
        <v>62</v>
      </c>
      <c r="K162" s="36" t="s">
        <v>63</v>
      </c>
      <c r="L162" s="36">
        <v>75.0</v>
      </c>
      <c r="M162" s="36" t="s">
        <v>1918</v>
      </c>
      <c r="N162" s="36" t="s">
        <v>66</v>
      </c>
      <c r="O162" s="36" t="s">
        <v>67</v>
      </c>
      <c r="P162" s="36" t="s">
        <v>3710</v>
      </c>
      <c r="Q162" s="36"/>
      <c r="R162" s="36"/>
      <c r="S162" s="36"/>
      <c r="T162" s="36" t="s">
        <v>955</v>
      </c>
      <c r="U162" s="36" t="s">
        <v>955</v>
      </c>
      <c r="V162" s="36" t="s">
        <v>61</v>
      </c>
      <c r="W162" s="56"/>
      <c r="X162" s="57" t="s">
        <v>74</v>
      </c>
      <c r="Y162" s="36" t="s">
        <v>3711</v>
      </c>
      <c r="Z162" s="57" t="s">
        <v>3713</v>
      </c>
      <c r="AA162" s="57" t="s">
        <v>3717</v>
      </c>
      <c r="AB162" s="58">
        <v>46023.0</v>
      </c>
      <c r="AC162" s="146">
        <v>46387.0</v>
      </c>
      <c r="AD162" s="36" t="s">
        <v>3719</v>
      </c>
      <c r="AE162" s="59"/>
      <c r="AF162" s="59"/>
      <c r="AG162" s="36"/>
      <c r="AH162" s="36"/>
    </row>
    <row r="163" ht="45.75" customHeight="1">
      <c r="A163" s="36">
        <v>162.0</v>
      </c>
      <c r="B163" s="36">
        <v>4424.0</v>
      </c>
      <c r="C163" s="36" t="s">
        <v>351</v>
      </c>
      <c r="D163" s="36" t="s">
        <v>1054</v>
      </c>
      <c r="E163" s="36" t="s">
        <v>3721</v>
      </c>
      <c r="F163" s="36" t="s">
        <v>3724</v>
      </c>
      <c r="G163" s="42" t="s">
        <v>3725</v>
      </c>
      <c r="H163" s="36" t="s">
        <v>64</v>
      </c>
      <c r="I163" s="36" t="s">
        <v>155</v>
      </c>
      <c r="J163" s="36" t="s">
        <v>62</v>
      </c>
      <c r="K163" s="36" t="s">
        <v>68</v>
      </c>
      <c r="L163" s="36">
        <v>200.0</v>
      </c>
      <c r="M163" s="36" t="s">
        <v>3727</v>
      </c>
      <c r="N163" s="36" t="s">
        <v>71</v>
      </c>
      <c r="O163" s="36" t="s">
        <v>72</v>
      </c>
      <c r="P163" s="36" t="s">
        <v>3328</v>
      </c>
      <c r="Q163" s="36"/>
      <c r="R163" s="36"/>
      <c r="S163" s="36"/>
      <c r="T163" s="36"/>
      <c r="U163" s="36">
        <v>20.0</v>
      </c>
      <c r="V163" s="36" t="s">
        <v>61</v>
      </c>
      <c r="W163" s="56"/>
      <c r="X163" s="57" t="s">
        <v>93</v>
      </c>
      <c r="Y163" s="36" t="s">
        <v>3734</v>
      </c>
      <c r="Z163" s="57" t="s">
        <v>3735</v>
      </c>
      <c r="AA163" s="57" t="s">
        <v>3736</v>
      </c>
      <c r="AB163" s="58">
        <v>46023.0</v>
      </c>
      <c r="AC163" s="146">
        <v>46387.0</v>
      </c>
      <c r="AD163" s="36" t="s">
        <v>3738</v>
      </c>
      <c r="AE163" s="36" t="s">
        <v>79</v>
      </c>
      <c r="AF163" s="59"/>
      <c r="AG163" s="36" t="s">
        <v>3740</v>
      </c>
      <c r="AH163" s="36"/>
    </row>
    <row r="164" ht="45.75" customHeight="1">
      <c r="A164" s="36">
        <v>163.0</v>
      </c>
      <c r="B164" s="36">
        <v>6582.0</v>
      </c>
      <c r="C164" s="36" t="s">
        <v>351</v>
      </c>
      <c r="D164" s="36" t="s">
        <v>1054</v>
      </c>
      <c r="E164" s="36" t="s">
        <v>3742</v>
      </c>
      <c r="F164" s="36" t="s">
        <v>3744</v>
      </c>
      <c r="G164" s="42" t="s">
        <v>3745</v>
      </c>
      <c r="H164" s="36" t="s">
        <v>64</v>
      </c>
      <c r="I164" s="36" t="s">
        <v>155</v>
      </c>
      <c r="J164" s="36" t="s">
        <v>62</v>
      </c>
      <c r="K164" s="36" t="s">
        <v>63</v>
      </c>
      <c r="L164" s="36">
        <v>25.0</v>
      </c>
      <c r="M164" s="36" t="s">
        <v>1918</v>
      </c>
      <c r="N164" s="36" t="s">
        <v>66</v>
      </c>
      <c r="O164" s="36" t="s">
        <v>67</v>
      </c>
      <c r="P164" s="36" t="s">
        <v>955</v>
      </c>
      <c r="Q164" s="36"/>
      <c r="R164" s="36"/>
      <c r="S164" s="36"/>
      <c r="T164" s="36" t="s">
        <v>955</v>
      </c>
      <c r="U164" s="36" t="s">
        <v>955</v>
      </c>
      <c r="V164" s="36" t="s">
        <v>61</v>
      </c>
      <c r="W164" s="56"/>
      <c r="X164" s="57" t="s">
        <v>74</v>
      </c>
      <c r="Y164" s="36" t="s">
        <v>3750</v>
      </c>
      <c r="Z164" s="57" t="s">
        <v>3753</v>
      </c>
      <c r="AA164" s="57" t="s">
        <v>3755</v>
      </c>
      <c r="AB164" s="58">
        <v>46023.0</v>
      </c>
      <c r="AC164" s="146">
        <v>46387.0</v>
      </c>
      <c r="AD164" s="36" t="s">
        <v>3758</v>
      </c>
      <c r="AE164" s="59"/>
      <c r="AF164" s="59"/>
      <c r="AG164" s="36"/>
      <c r="AH164" s="36"/>
    </row>
    <row r="165" ht="45.75" customHeight="1">
      <c r="A165" s="36">
        <v>164.0</v>
      </c>
      <c r="B165" s="36">
        <v>3998.0</v>
      </c>
      <c r="C165" s="36" t="s">
        <v>351</v>
      </c>
      <c r="D165" s="36" t="s">
        <v>1054</v>
      </c>
      <c r="E165" s="36" t="s">
        <v>3760</v>
      </c>
      <c r="F165" s="36" t="s">
        <v>3762</v>
      </c>
      <c r="G165" s="42" t="s">
        <v>3764</v>
      </c>
      <c r="H165" s="36" t="s">
        <v>64</v>
      </c>
      <c r="I165" s="36" t="s">
        <v>155</v>
      </c>
      <c r="J165" s="36" t="s">
        <v>62</v>
      </c>
      <c r="K165" s="36" t="s">
        <v>63</v>
      </c>
      <c r="L165" s="36">
        <v>10.0</v>
      </c>
      <c r="M165" s="36" t="s">
        <v>2972</v>
      </c>
      <c r="N165" s="36"/>
      <c r="O165" s="36" t="s">
        <v>67</v>
      </c>
      <c r="P165" s="36" t="s">
        <v>955</v>
      </c>
      <c r="Q165" s="36"/>
      <c r="R165" s="36"/>
      <c r="S165" s="36"/>
      <c r="T165" s="36" t="s">
        <v>955</v>
      </c>
      <c r="U165" s="36" t="s">
        <v>955</v>
      </c>
      <c r="V165" s="36" t="s">
        <v>61</v>
      </c>
      <c r="W165" s="56"/>
      <c r="X165" s="57" t="s">
        <v>3770</v>
      </c>
      <c r="Y165" s="36" t="s">
        <v>3771</v>
      </c>
      <c r="Z165" s="57" t="s">
        <v>3772</v>
      </c>
      <c r="AA165" s="57" t="s">
        <v>3774</v>
      </c>
      <c r="AB165" s="58">
        <v>46023.0</v>
      </c>
      <c r="AC165" s="146">
        <v>46387.0</v>
      </c>
      <c r="AD165" s="36"/>
      <c r="AE165" s="59"/>
      <c r="AF165" s="59"/>
      <c r="AG165" s="36"/>
      <c r="AH165" s="36"/>
    </row>
    <row r="166" ht="45.75" customHeight="1">
      <c r="A166" s="36">
        <v>165.0</v>
      </c>
      <c r="B166" s="36">
        <v>6085.0</v>
      </c>
      <c r="C166" s="36" t="s">
        <v>351</v>
      </c>
      <c r="D166" s="36" t="s">
        <v>1054</v>
      </c>
      <c r="E166" s="36" t="s">
        <v>1056</v>
      </c>
      <c r="F166" s="36" t="s">
        <v>1058</v>
      </c>
      <c r="G166" s="42" t="s">
        <v>1062</v>
      </c>
      <c r="H166" s="36" t="s">
        <v>64</v>
      </c>
      <c r="I166" s="36" t="s">
        <v>65</v>
      </c>
      <c r="J166" s="36" t="s">
        <v>62</v>
      </c>
      <c r="K166" s="36" t="s">
        <v>63</v>
      </c>
      <c r="L166" s="36">
        <v>25.0</v>
      </c>
      <c r="M166" s="36" t="s">
        <v>1074</v>
      </c>
      <c r="N166" s="36" t="s">
        <v>66</v>
      </c>
      <c r="O166" s="36" t="s">
        <v>67</v>
      </c>
      <c r="P166" s="36" t="s">
        <v>955</v>
      </c>
      <c r="Q166" s="36"/>
      <c r="R166" s="36"/>
      <c r="S166" s="36"/>
      <c r="T166" s="36" t="s">
        <v>955</v>
      </c>
      <c r="U166" s="36" t="s">
        <v>955</v>
      </c>
      <c r="V166" s="36" t="s">
        <v>61</v>
      </c>
      <c r="W166" s="56"/>
      <c r="X166" s="57" t="s">
        <v>74</v>
      </c>
      <c r="Y166" s="36" t="s">
        <v>1084</v>
      </c>
      <c r="Z166" s="57" t="s">
        <v>1086</v>
      </c>
      <c r="AA166" s="57" t="s">
        <v>1088</v>
      </c>
      <c r="AB166" s="58">
        <v>46023.0</v>
      </c>
      <c r="AC166" s="146">
        <v>46387.0</v>
      </c>
      <c r="AD166" s="36" t="s">
        <v>3781</v>
      </c>
      <c r="AE166" s="59"/>
      <c r="AF166" s="59"/>
      <c r="AG166" s="36"/>
      <c r="AH166" s="36"/>
    </row>
    <row r="167" ht="45.75" customHeight="1">
      <c r="A167" s="36">
        <v>166.0</v>
      </c>
      <c r="B167" s="36">
        <v>5106.0</v>
      </c>
      <c r="C167" s="36" t="s">
        <v>351</v>
      </c>
      <c r="D167" s="36" t="s">
        <v>1054</v>
      </c>
      <c r="E167" s="36" t="s">
        <v>3787</v>
      </c>
      <c r="F167" s="36" t="s">
        <v>3789</v>
      </c>
      <c r="G167" s="42" t="s">
        <v>3790</v>
      </c>
      <c r="H167" s="36" t="s">
        <v>64</v>
      </c>
      <c r="I167" s="36" t="s">
        <v>155</v>
      </c>
      <c r="J167" s="36" t="s">
        <v>62</v>
      </c>
      <c r="K167" s="36" t="s">
        <v>63</v>
      </c>
      <c r="L167" s="36">
        <v>10.0</v>
      </c>
      <c r="M167" s="36" t="s">
        <v>1074</v>
      </c>
      <c r="N167" s="36" t="s">
        <v>66</v>
      </c>
      <c r="O167" s="36" t="s">
        <v>67</v>
      </c>
      <c r="P167" s="36" t="s">
        <v>3792</v>
      </c>
      <c r="Q167" s="36"/>
      <c r="R167" s="36"/>
      <c r="S167" s="36"/>
      <c r="T167" s="36" t="s">
        <v>955</v>
      </c>
      <c r="U167" s="36" t="s">
        <v>955</v>
      </c>
      <c r="V167" s="36" t="s">
        <v>61</v>
      </c>
      <c r="W167" s="56"/>
      <c r="X167" s="57" t="s">
        <v>74</v>
      </c>
      <c r="Y167" s="36" t="s">
        <v>3798</v>
      </c>
      <c r="Z167" s="57">
        <v>9.189369145E9</v>
      </c>
      <c r="AA167" s="57" t="s">
        <v>3800</v>
      </c>
      <c r="AB167" s="58">
        <v>46023.0</v>
      </c>
      <c r="AC167" s="146">
        <v>46387.0</v>
      </c>
      <c r="AD167" s="36" t="s">
        <v>3802</v>
      </c>
      <c r="AE167" s="59"/>
      <c r="AF167" s="59"/>
      <c r="AG167" s="36"/>
      <c r="AH167" s="36"/>
    </row>
    <row r="168" ht="45.75" customHeight="1">
      <c r="A168" s="36">
        <v>167.0</v>
      </c>
      <c r="B168" s="36">
        <v>5297.0</v>
      </c>
      <c r="C168" s="36" t="s">
        <v>351</v>
      </c>
      <c r="D168" s="36" t="s">
        <v>3806</v>
      </c>
      <c r="E168" s="36" t="s">
        <v>3808</v>
      </c>
      <c r="F168" s="36" t="s">
        <v>3810</v>
      </c>
      <c r="G168" s="42" t="s">
        <v>3811</v>
      </c>
      <c r="H168" s="36" t="s">
        <v>64</v>
      </c>
      <c r="I168" s="36" t="s">
        <v>155</v>
      </c>
      <c r="J168" s="36" t="s">
        <v>62</v>
      </c>
      <c r="K168" s="36" t="s">
        <v>63</v>
      </c>
      <c r="L168" s="36">
        <v>75.0</v>
      </c>
      <c r="M168" s="36" t="s">
        <v>1918</v>
      </c>
      <c r="N168" s="36" t="s">
        <v>66</v>
      </c>
      <c r="O168" s="36" t="s">
        <v>67</v>
      </c>
      <c r="P168" s="36" t="s">
        <v>3814</v>
      </c>
      <c r="Q168" s="36"/>
      <c r="R168" s="36"/>
      <c r="S168" s="36"/>
      <c r="T168" s="36" t="s">
        <v>955</v>
      </c>
      <c r="U168" s="36" t="s">
        <v>955</v>
      </c>
      <c r="V168" s="36" t="s">
        <v>61</v>
      </c>
      <c r="W168" s="56"/>
      <c r="X168" s="57" t="s">
        <v>74</v>
      </c>
      <c r="Y168" s="36" t="s">
        <v>3819</v>
      </c>
      <c r="Z168" s="57" t="s">
        <v>3820</v>
      </c>
      <c r="AA168" s="57" t="s">
        <v>3821</v>
      </c>
      <c r="AB168" s="58">
        <v>46027.0</v>
      </c>
      <c r="AC168" s="146">
        <v>46387.0</v>
      </c>
      <c r="AD168" s="36" t="s">
        <v>3822</v>
      </c>
      <c r="AE168" s="59"/>
      <c r="AF168" s="59"/>
      <c r="AG168" s="36"/>
      <c r="AH168" s="36"/>
    </row>
    <row r="169" ht="45.75" customHeight="1">
      <c r="A169" s="36">
        <v>168.0</v>
      </c>
      <c r="B169" s="36">
        <v>37747.0</v>
      </c>
      <c r="C169" s="36" t="s">
        <v>351</v>
      </c>
      <c r="D169" s="36" t="s">
        <v>3806</v>
      </c>
      <c r="E169" s="36" t="s">
        <v>3829</v>
      </c>
      <c r="F169" s="36" t="s">
        <v>3830</v>
      </c>
      <c r="G169" s="42" t="s">
        <v>3831</v>
      </c>
      <c r="H169" s="36" t="s">
        <v>64</v>
      </c>
      <c r="I169" s="36" t="s">
        <v>155</v>
      </c>
      <c r="J169" s="36" t="s">
        <v>62</v>
      </c>
      <c r="K169" s="36" t="s">
        <v>63</v>
      </c>
      <c r="L169" s="36">
        <v>46.0</v>
      </c>
      <c r="M169" s="36" t="s">
        <v>3833</v>
      </c>
      <c r="N169" s="36" t="s">
        <v>66</v>
      </c>
      <c r="O169" s="36" t="s">
        <v>67</v>
      </c>
      <c r="P169" s="36" t="s">
        <v>3835</v>
      </c>
      <c r="Q169" s="36"/>
      <c r="R169" s="36"/>
      <c r="S169" s="36"/>
      <c r="T169" s="36" t="s">
        <v>955</v>
      </c>
      <c r="U169" s="36">
        <v>5.0</v>
      </c>
      <c r="V169" s="36" t="s">
        <v>61</v>
      </c>
      <c r="W169" s="56"/>
      <c r="X169" s="57" t="s">
        <v>74</v>
      </c>
      <c r="Y169" s="36" t="s">
        <v>3839</v>
      </c>
      <c r="Z169" s="57" t="s">
        <v>3841</v>
      </c>
      <c r="AA169" s="57" t="s">
        <v>3842</v>
      </c>
      <c r="AB169" s="58">
        <v>46023.0</v>
      </c>
      <c r="AC169" s="146">
        <v>46387.0</v>
      </c>
      <c r="AD169" s="36" t="s">
        <v>3843</v>
      </c>
      <c r="AE169" s="59"/>
      <c r="AF169" s="59"/>
      <c r="AG169" s="36"/>
      <c r="AH169" s="36"/>
    </row>
    <row r="170" ht="45.75" customHeight="1">
      <c r="A170" s="36">
        <v>169.0</v>
      </c>
      <c r="B170" s="36">
        <v>33572.0</v>
      </c>
      <c r="C170" s="36" t="s">
        <v>351</v>
      </c>
      <c r="D170" s="36" t="s">
        <v>3806</v>
      </c>
      <c r="E170" s="36" t="s">
        <v>3829</v>
      </c>
      <c r="F170" s="36" t="s">
        <v>3846</v>
      </c>
      <c r="G170" s="42" t="s">
        <v>3847</v>
      </c>
      <c r="H170" s="36" t="s">
        <v>64</v>
      </c>
      <c r="I170" s="36" t="s">
        <v>155</v>
      </c>
      <c r="J170" s="36" t="s">
        <v>62</v>
      </c>
      <c r="K170" s="36" t="s">
        <v>63</v>
      </c>
      <c r="L170" s="36">
        <v>27.0</v>
      </c>
      <c r="M170" s="36" t="s">
        <v>3850</v>
      </c>
      <c r="N170" s="36" t="s">
        <v>66</v>
      </c>
      <c r="O170" s="36" t="s">
        <v>67</v>
      </c>
      <c r="P170" s="36" t="s">
        <v>3851</v>
      </c>
      <c r="Q170" s="36"/>
      <c r="R170" s="36"/>
      <c r="S170" s="36"/>
      <c r="T170" s="36" t="s">
        <v>955</v>
      </c>
      <c r="U170" s="36" t="s">
        <v>955</v>
      </c>
      <c r="V170" s="36" t="s">
        <v>61</v>
      </c>
      <c r="W170" s="56"/>
      <c r="X170" s="57" t="s">
        <v>74</v>
      </c>
      <c r="Y170" s="36" t="s">
        <v>3856</v>
      </c>
      <c r="Z170" s="57" t="s">
        <v>3857</v>
      </c>
      <c r="AA170" s="57" t="s">
        <v>3858</v>
      </c>
      <c r="AB170" s="58">
        <v>46023.0</v>
      </c>
      <c r="AC170" s="146">
        <v>46387.0</v>
      </c>
      <c r="AD170" s="36" t="s">
        <v>3859</v>
      </c>
      <c r="AE170" s="59"/>
      <c r="AF170" s="59"/>
      <c r="AG170" s="36"/>
      <c r="AH170" s="36"/>
    </row>
    <row r="171" ht="45.75" customHeight="1">
      <c r="A171" s="36">
        <v>170.0</v>
      </c>
      <c r="B171" s="36">
        <v>5993.0</v>
      </c>
      <c r="C171" s="36" t="s">
        <v>351</v>
      </c>
      <c r="D171" s="36" t="s">
        <v>3806</v>
      </c>
      <c r="E171" s="36" t="s">
        <v>3829</v>
      </c>
      <c r="F171" s="36" t="s">
        <v>3863</v>
      </c>
      <c r="G171" s="42" t="s">
        <v>3865</v>
      </c>
      <c r="H171" s="36" t="s">
        <v>64</v>
      </c>
      <c r="I171" s="36" t="s">
        <v>155</v>
      </c>
      <c r="J171" s="36" t="s">
        <v>62</v>
      </c>
      <c r="K171" s="36" t="s">
        <v>63</v>
      </c>
      <c r="L171" s="36">
        <v>50.0</v>
      </c>
      <c r="M171" s="36" t="s">
        <v>1918</v>
      </c>
      <c r="N171" s="36" t="s">
        <v>66</v>
      </c>
      <c r="O171" s="36" t="s">
        <v>67</v>
      </c>
      <c r="P171" s="36" t="s">
        <v>3869</v>
      </c>
      <c r="Q171" s="36"/>
      <c r="R171" s="36"/>
      <c r="S171" s="36"/>
      <c r="T171" s="36" t="s">
        <v>955</v>
      </c>
      <c r="U171" s="36" t="s">
        <v>955</v>
      </c>
      <c r="V171" s="36" t="s">
        <v>61</v>
      </c>
      <c r="W171" s="56"/>
      <c r="X171" s="57" t="s">
        <v>74</v>
      </c>
      <c r="Y171" s="36" t="s">
        <v>3871</v>
      </c>
      <c r="Z171" s="57" t="s">
        <v>3872</v>
      </c>
      <c r="AA171" s="57" t="s">
        <v>3873</v>
      </c>
      <c r="AB171" s="58">
        <v>46023.0</v>
      </c>
      <c r="AC171" s="146">
        <v>46387.0</v>
      </c>
      <c r="AD171" s="36" t="s">
        <v>3876</v>
      </c>
      <c r="AE171" s="59"/>
      <c r="AF171" s="59"/>
      <c r="AG171" s="36"/>
      <c r="AH171" s="36"/>
    </row>
    <row r="172" ht="45.75" customHeight="1">
      <c r="A172" s="36">
        <v>171.0</v>
      </c>
      <c r="B172" s="36">
        <v>32055.0</v>
      </c>
      <c r="C172" s="36" t="s">
        <v>351</v>
      </c>
      <c r="D172" s="36" t="s">
        <v>3806</v>
      </c>
      <c r="E172" s="36" t="s">
        <v>3829</v>
      </c>
      <c r="F172" s="36" t="s">
        <v>3877</v>
      </c>
      <c r="G172" s="42" t="s">
        <v>3879</v>
      </c>
      <c r="H172" s="36" t="s">
        <v>64</v>
      </c>
      <c r="I172" s="36" t="s">
        <v>155</v>
      </c>
      <c r="J172" s="36" t="s">
        <v>62</v>
      </c>
      <c r="K172" s="36" t="s">
        <v>63</v>
      </c>
      <c r="L172" s="36">
        <v>70.0</v>
      </c>
      <c r="M172" s="36" t="s">
        <v>3881</v>
      </c>
      <c r="N172" s="36" t="s">
        <v>66</v>
      </c>
      <c r="O172" s="36" t="s">
        <v>67</v>
      </c>
      <c r="P172" s="36" t="s">
        <v>3883</v>
      </c>
      <c r="Q172" s="36"/>
      <c r="R172" s="36"/>
      <c r="S172" s="36"/>
      <c r="T172" s="36" t="s">
        <v>955</v>
      </c>
      <c r="U172" s="36" t="s">
        <v>955</v>
      </c>
      <c r="V172" s="36" t="s">
        <v>61</v>
      </c>
      <c r="W172" s="56"/>
      <c r="X172" s="57" t="s">
        <v>74</v>
      </c>
      <c r="Y172" s="36" t="s">
        <v>3887</v>
      </c>
      <c r="Z172" s="57" t="s">
        <v>3888</v>
      </c>
      <c r="AA172" s="57" t="s">
        <v>3889</v>
      </c>
      <c r="AB172" s="58">
        <v>46023.0</v>
      </c>
      <c r="AC172" s="146">
        <v>46387.0</v>
      </c>
      <c r="AD172" s="36" t="s">
        <v>3890</v>
      </c>
      <c r="AE172" s="59"/>
      <c r="AF172" s="59"/>
      <c r="AG172" s="36"/>
      <c r="AH172" s="36"/>
    </row>
    <row r="173" ht="45.75" customHeight="1">
      <c r="A173" s="36">
        <v>172.0</v>
      </c>
      <c r="B173" s="36">
        <v>33715.0</v>
      </c>
      <c r="C173" s="36" t="s">
        <v>351</v>
      </c>
      <c r="D173" s="36" t="s">
        <v>3806</v>
      </c>
      <c r="E173" s="36" t="s">
        <v>3893</v>
      </c>
      <c r="F173" s="36" t="s">
        <v>3894</v>
      </c>
      <c r="G173" s="42" t="s">
        <v>3895</v>
      </c>
      <c r="H173" s="36" t="s">
        <v>64</v>
      </c>
      <c r="I173" s="36" t="s">
        <v>155</v>
      </c>
      <c r="J173" s="36" t="s">
        <v>62</v>
      </c>
      <c r="K173" s="36" t="s">
        <v>63</v>
      </c>
      <c r="L173" s="36">
        <v>64.0</v>
      </c>
      <c r="M173" s="36" t="s">
        <v>3896</v>
      </c>
      <c r="N173" s="36" t="s">
        <v>71</v>
      </c>
      <c r="O173" s="36" t="s">
        <v>67</v>
      </c>
      <c r="P173" s="36" t="s">
        <v>3897</v>
      </c>
      <c r="Q173" s="36"/>
      <c r="R173" s="36"/>
      <c r="S173" s="36"/>
      <c r="T173" s="36" t="s">
        <v>955</v>
      </c>
      <c r="U173" s="36" t="s">
        <v>955</v>
      </c>
      <c r="V173" s="36" t="s">
        <v>61</v>
      </c>
      <c r="W173" s="56"/>
      <c r="X173" s="57" t="s">
        <v>74</v>
      </c>
      <c r="Y173" s="36" t="s">
        <v>3898</v>
      </c>
      <c r="Z173" s="57" t="s">
        <v>3899</v>
      </c>
      <c r="AA173" s="57" t="s">
        <v>3901</v>
      </c>
      <c r="AB173" s="58">
        <v>46023.0</v>
      </c>
      <c r="AC173" s="146">
        <v>46387.0</v>
      </c>
      <c r="AD173" s="36" t="s">
        <v>3903</v>
      </c>
      <c r="AE173" s="59"/>
      <c r="AF173" s="59"/>
      <c r="AG173" s="36"/>
      <c r="AH173" s="36"/>
    </row>
    <row r="174" ht="45.75" customHeight="1">
      <c r="A174" s="36">
        <v>173.0</v>
      </c>
      <c r="B174" s="36">
        <v>418.0</v>
      </c>
      <c r="C174" s="36" t="s">
        <v>351</v>
      </c>
      <c r="D174" s="36" t="s">
        <v>3806</v>
      </c>
      <c r="E174" s="36" t="s">
        <v>3907</v>
      </c>
      <c r="F174" s="36" t="s">
        <v>3908</v>
      </c>
      <c r="G174" s="42" t="s">
        <v>3910</v>
      </c>
      <c r="H174" s="36" t="s">
        <v>64</v>
      </c>
      <c r="I174" s="36" t="s">
        <v>155</v>
      </c>
      <c r="J174" s="36" t="s">
        <v>62</v>
      </c>
      <c r="K174" s="36" t="s">
        <v>63</v>
      </c>
      <c r="L174" s="36">
        <v>42.0</v>
      </c>
      <c r="M174" s="36" t="s">
        <v>3912</v>
      </c>
      <c r="N174" s="36" t="s">
        <v>66</v>
      </c>
      <c r="O174" s="36" t="s">
        <v>67</v>
      </c>
      <c r="P174" s="36" t="s">
        <v>3915</v>
      </c>
      <c r="Q174" s="36"/>
      <c r="R174" s="36"/>
      <c r="S174" s="36"/>
      <c r="T174" s="36" t="s">
        <v>955</v>
      </c>
      <c r="U174" s="36" t="s">
        <v>955</v>
      </c>
      <c r="V174" s="36" t="s">
        <v>61</v>
      </c>
      <c r="W174" s="56"/>
      <c r="X174" s="57" t="s">
        <v>74</v>
      </c>
      <c r="Y174" s="36" t="s">
        <v>3916</v>
      </c>
      <c r="Z174" s="57" t="s">
        <v>3918</v>
      </c>
      <c r="AA174" s="57" t="s">
        <v>3919</v>
      </c>
      <c r="AB174" s="58">
        <v>46023.0</v>
      </c>
      <c r="AC174" s="146">
        <v>46387.0</v>
      </c>
      <c r="AD174" s="36"/>
      <c r="AE174" s="59"/>
      <c r="AF174" s="59"/>
      <c r="AG174" s="36"/>
      <c r="AH174" s="36"/>
    </row>
    <row r="175" ht="45.75" customHeight="1">
      <c r="A175" s="36">
        <v>174.0</v>
      </c>
      <c r="B175" s="36">
        <v>2322.0</v>
      </c>
      <c r="C175" s="36" t="s">
        <v>351</v>
      </c>
      <c r="D175" s="36" t="s">
        <v>3806</v>
      </c>
      <c r="E175" s="36" t="s">
        <v>3924</v>
      </c>
      <c r="F175" s="36" t="s">
        <v>3926</v>
      </c>
      <c r="G175" s="42" t="s">
        <v>3927</v>
      </c>
      <c r="H175" s="36" t="s">
        <v>64</v>
      </c>
      <c r="I175" s="36" t="s">
        <v>155</v>
      </c>
      <c r="J175" s="36" t="s">
        <v>62</v>
      </c>
      <c r="K175" s="36" t="s">
        <v>63</v>
      </c>
      <c r="L175" s="36">
        <v>100.0</v>
      </c>
      <c r="M175" s="36" t="s">
        <v>1918</v>
      </c>
      <c r="N175" s="36" t="s">
        <v>66</v>
      </c>
      <c r="O175" s="36" t="s">
        <v>67</v>
      </c>
      <c r="P175" s="36" t="s">
        <v>3930</v>
      </c>
      <c r="Q175" s="36"/>
      <c r="R175" s="36"/>
      <c r="S175" s="36"/>
      <c r="T175" s="36" t="s">
        <v>955</v>
      </c>
      <c r="U175" s="36">
        <v>20.0</v>
      </c>
      <c r="V175" s="36" t="s">
        <v>61</v>
      </c>
      <c r="W175" s="56"/>
      <c r="X175" s="57" t="s">
        <v>74</v>
      </c>
      <c r="Y175" s="36" t="s">
        <v>3931</v>
      </c>
      <c r="Z175" s="57" t="s">
        <v>3933</v>
      </c>
      <c r="AA175" s="57" t="s">
        <v>3934</v>
      </c>
      <c r="AB175" s="58">
        <v>46028.0</v>
      </c>
      <c r="AC175" s="146">
        <v>46387.0</v>
      </c>
      <c r="AD175" s="36" t="s">
        <v>3936</v>
      </c>
      <c r="AE175" s="59"/>
      <c r="AF175" s="59"/>
      <c r="AG175" s="36"/>
      <c r="AH175" s="36"/>
    </row>
    <row r="176" ht="45.75" customHeight="1">
      <c r="A176" s="36">
        <v>175.0</v>
      </c>
      <c r="B176" s="36">
        <v>28065.0</v>
      </c>
      <c r="C176" s="36" t="s">
        <v>351</v>
      </c>
      <c r="D176" s="36" t="s">
        <v>3806</v>
      </c>
      <c r="E176" s="36" t="s">
        <v>3940</v>
      </c>
      <c r="F176" s="36" t="s">
        <v>3942</v>
      </c>
      <c r="G176" s="42" t="s">
        <v>3943</v>
      </c>
      <c r="H176" s="36" t="s">
        <v>64</v>
      </c>
      <c r="I176" s="36" t="s">
        <v>155</v>
      </c>
      <c r="J176" s="36" t="s">
        <v>62</v>
      </c>
      <c r="K176" s="36" t="s">
        <v>63</v>
      </c>
      <c r="L176" s="36">
        <v>56.0</v>
      </c>
      <c r="M176" s="36" t="s">
        <v>3945</v>
      </c>
      <c r="N176" s="36" t="s">
        <v>66</v>
      </c>
      <c r="O176" s="36" t="s">
        <v>67</v>
      </c>
      <c r="P176" s="36" t="s">
        <v>3947</v>
      </c>
      <c r="Q176" s="36"/>
      <c r="R176" s="36"/>
      <c r="S176" s="36"/>
      <c r="T176" s="36" t="s">
        <v>955</v>
      </c>
      <c r="U176" s="36" t="s">
        <v>955</v>
      </c>
      <c r="V176" s="36" t="s">
        <v>61</v>
      </c>
      <c r="W176" s="56"/>
      <c r="X176" s="57" t="s">
        <v>74</v>
      </c>
      <c r="Y176" s="36" t="s">
        <v>3949</v>
      </c>
      <c r="Z176" s="57" t="s">
        <v>3951</v>
      </c>
      <c r="AA176" s="57" t="s">
        <v>3952</v>
      </c>
      <c r="AB176" s="58">
        <v>46023.0</v>
      </c>
      <c r="AC176" s="146">
        <v>46387.0</v>
      </c>
      <c r="AD176" s="36" t="s">
        <v>3953</v>
      </c>
      <c r="AE176" s="59"/>
      <c r="AF176" s="59"/>
      <c r="AG176" s="36"/>
      <c r="AH176" s="36"/>
    </row>
    <row r="177" ht="45.75" customHeight="1">
      <c r="A177" s="36">
        <v>176.0</v>
      </c>
      <c r="B177" s="36">
        <v>49303.0</v>
      </c>
      <c r="C177" s="36" t="s">
        <v>351</v>
      </c>
      <c r="D177" s="36" t="s">
        <v>3806</v>
      </c>
      <c r="E177" s="36" t="s">
        <v>3958</v>
      </c>
      <c r="F177" s="36" t="s">
        <v>3959</v>
      </c>
      <c r="G177" s="42" t="s">
        <v>3960</v>
      </c>
      <c r="H177" s="36" t="s">
        <v>64</v>
      </c>
      <c r="I177" s="36" t="s">
        <v>155</v>
      </c>
      <c r="J177" s="36" t="s">
        <v>62</v>
      </c>
      <c r="K177" s="36" t="s">
        <v>63</v>
      </c>
      <c r="L177" s="36">
        <v>42.0</v>
      </c>
      <c r="M177" s="36" t="s">
        <v>3963</v>
      </c>
      <c r="N177" s="36" t="s">
        <v>66</v>
      </c>
      <c r="O177" s="36" t="s">
        <v>67</v>
      </c>
      <c r="P177" s="36" t="s">
        <v>3964</v>
      </c>
      <c r="Q177" s="36"/>
      <c r="R177" s="36"/>
      <c r="S177" s="36"/>
      <c r="T177" s="36" t="s">
        <v>955</v>
      </c>
      <c r="U177" s="36" t="s">
        <v>955</v>
      </c>
      <c r="V177" s="36" t="s">
        <v>61</v>
      </c>
      <c r="W177" s="56"/>
      <c r="X177" s="57" t="s">
        <v>74</v>
      </c>
      <c r="Y177" s="36" t="s">
        <v>3967</v>
      </c>
      <c r="Z177" s="57" t="s">
        <v>3968</v>
      </c>
      <c r="AA177" s="57" t="s">
        <v>3969</v>
      </c>
      <c r="AB177" s="58">
        <v>46023.0</v>
      </c>
      <c r="AC177" s="146">
        <v>46387.0</v>
      </c>
      <c r="AD177" s="36" t="s">
        <v>3971</v>
      </c>
      <c r="AE177" s="59"/>
      <c r="AF177" s="59"/>
      <c r="AG177" s="36"/>
      <c r="AH177" s="36"/>
    </row>
    <row r="178" ht="45.75" customHeight="1">
      <c r="A178" s="36">
        <v>177.0</v>
      </c>
      <c r="B178" s="36">
        <v>2748.0</v>
      </c>
      <c r="C178" s="36" t="s">
        <v>422</v>
      </c>
      <c r="D178" s="36" t="s">
        <v>3975</v>
      </c>
      <c r="E178" s="36" t="s">
        <v>3976</v>
      </c>
      <c r="F178" s="36" t="s">
        <v>3977</v>
      </c>
      <c r="G178" s="42" t="s">
        <v>3978</v>
      </c>
      <c r="H178" s="36" t="s">
        <v>64</v>
      </c>
      <c r="I178" s="36" t="s">
        <v>155</v>
      </c>
      <c r="J178" s="36" t="s">
        <v>62</v>
      </c>
      <c r="K178" s="36" t="s">
        <v>63</v>
      </c>
      <c r="L178" s="36">
        <v>75.0</v>
      </c>
      <c r="M178" s="36" t="s">
        <v>3981</v>
      </c>
      <c r="N178" s="36" t="s">
        <v>66</v>
      </c>
      <c r="O178" s="36" t="s">
        <v>67</v>
      </c>
      <c r="P178" s="36" t="s">
        <v>3984</v>
      </c>
      <c r="Q178" s="36"/>
      <c r="R178" s="36"/>
      <c r="S178" s="36"/>
      <c r="T178" s="36" t="s">
        <v>61</v>
      </c>
      <c r="U178" s="36">
        <v>8.0</v>
      </c>
      <c r="V178" s="36" t="s">
        <v>61</v>
      </c>
      <c r="W178" s="56" t="s">
        <v>955</v>
      </c>
      <c r="X178" s="57" t="s">
        <v>74</v>
      </c>
      <c r="Y178" s="36" t="s">
        <v>3988</v>
      </c>
      <c r="Z178" s="57" t="s">
        <v>3989</v>
      </c>
      <c r="AA178" s="57" t="s">
        <v>3990</v>
      </c>
      <c r="AB178" s="58">
        <v>46023.0</v>
      </c>
      <c r="AC178" s="146">
        <v>46387.0</v>
      </c>
      <c r="AD178" s="36" t="s">
        <v>3991</v>
      </c>
      <c r="AE178" s="36" t="s">
        <v>79</v>
      </c>
      <c r="AF178" s="59"/>
      <c r="AG178" s="36"/>
      <c r="AH178" s="36"/>
    </row>
    <row r="179" ht="45.75" customHeight="1">
      <c r="A179" s="36">
        <v>178.0</v>
      </c>
      <c r="B179" s="36">
        <v>2117.0</v>
      </c>
      <c r="C179" s="36" t="s">
        <v>422</v>
      </c>
      <c r="D179" s="36" t="s">
        <v>3994</v>
      </c>
      <c r="E179" s="36" t="s">
        <v>3995</v>
      </c>
      <c r="F179" s="36" t="s">
        <v>3996</v>
      </c>
      <c r="G179" s="42" t="s">
        <v>3997</v>
      </c>
      <c r="H179" s="36" t="s">
        <v>64</v>
      </c>
      <c r="I179" s="36" t="s">
        <v>155</v>
      </c>
      <c r="J179" s="36" t="s">
        <v>62</v>
      </c>
      <c r="K179" s="36" t="s">
        <v>63</v>
      </c>
      <c r="L179" s="36">
        <v>75.0</v>
      </c>
      <c r="M179" s="36" t="s">
        <v>3999</v>
      </c>
      <c r="N179" s="36" t="s">
        <v>66</v>
      </c>
      <c r="O179" s="36" t="s">
        <v>72</v>
      </c>
      <c r="P179" s="36" t="s">
        <v>4001</v>
      </c>
      <c r="Q179" s="36"/>
      <c r="R179" s="36"/>
      <c r="S179" s="36"/>
      <c r="T179" s="36" t="s">
        <v>61</v>
      </c>
      <c r="U179" s="36" t="s">
        <v>61</v>
      </c>
      <c r="V179" s="36" t="s">
        <v>61</v>
      </c>
      <c r="W179" s="56" t="s">
        <v>955</v>
      </c>
      <c r="X179" s="57" t="s">
        <v>74</v>
      </c>
      <c r="Y179" s="36" t="s">
        <v>4003</v>
      </c>
      <c r="Z179" s="57" t="s">
        <v>4005</v>
      </c>
      <c r="AA179" s="57" t="s">
        <v>4007</v>
      </c>
      <c r="AB179" s="58">
        <v>46023.0</v>
      </c>
      <c r="AC179" s="146">
        <v>46387.0</v>
      </c>
      <c r="AD179" s="36" t="s">
        <v>4009</v>
      </c>
      <c r="AE179" s="36" t="s">
        <v>79</v>
      </c>
      <c r="AF179" s="59"/>
      <c r="AG179" s="36"/>
      <c r="AH179" s="36"/>
    </row>
    <row r="180" ht="45.75" customHeight="1">
      <c r="A180" s="36">
        <v>179.0</v>
      </c>
      <c r="B180" s="36">
        <v>232.0</v>
      </c>
      <c r="C180" s="36" t="s">
        <v>422</v>
      </c>
      <c r="D180" s="36" t="s">
        <v>3994</v>
      </c>
      <c r="E180" s="36" t="s">
        <v>4011</v>
      </c>
      <c r="F180" s="36" t="s">
        <v>4012</v>
      </c>
      <c r="G180" s="42" t="s">
        <v>4014</v>
      </c>
      <c r="H180" s="36" t="s">
        <v>64</v>
      </c>
      <c r="I180" s="36" t="s">
        <v>155</v>
      </c>
      <c r="J180" s="36" t="s">
        <v>62</v>
      </c>
      <c r="K180" s="36" t="s">
        <v>63</v>
      </c>
      <c r="L180" s="36">
        <v>50.0</v>
      </c>
      <c r="M180" s="36" t="s">
        <v>4016</v>
      </c>
      <c r="N180" s="36" t="s">
        <v>66</v>
      </c>
      <c r="O180" s="36" t="s">
        <v>67</v>
      </c>
      <c r="P180" s="36" t="s">
        <v>4017</v>
      </c>
      <c r="Q180" s="36"/>
      <c r="R180" s="36"/>
      <c r="S180" s="36"/>
      <c r="T180" s="36" t="s">
        <v>61</v>
      </c>
      <c r="U180" s="36" t="s">
        <v>61</v>
      </c>
      <c r="V180" s="36" t="s">
        <v>61</v>
      </c>
      <c r="W180" s="56" t="s">
        <v>955</v>
      </c>
      <c r="X180" s="57" t="s">
        <v>74</v>
      </c>
      <c r="Y180" s="36" t="s">
        <v>4020</v>
      </c>
      <c r="Z180" s="57" t="s">
        <v>955</v>
      </c>
      <c r="AA180" s="57" t="s">
        <v>4021</v>
      </c>
      <c r="AB180" s="58">
        <v>46023.0</v>
      </c>
      <c r="AC180" s="146">
        <v>46387.0</v>
      </c>
      <c r="AD180" s="36" t="s">
        <v>4023</v>
      </c>
      <c r="AE180" s="36" t="s">
        <v>79</v>
      </c>
      <c r="AF180" s="59"/>
      <c r="AG180" s="36"/>
      <c r="AH180" s="36"/>
    </row>
    <row r="181" ht="45.75" customHeight="1">
      <c r="A181" s="36">
        <v>180.0</v>
      </c>
      <c r="B181" s="36">
        <v>23598.0</v>
      </c>
      <c r="C181" s="36" t="s">
        <v>422</v>
      </c>
      <c r="D181" s="36" t="s">
        <v>3994</v>
      </c>
      <c r="E181" s="36" t="s">
        <v>4027</v>
      </c>
      <c r="F181" s="36" t="s">
        <v>4028</v>
      </c>
      <c r="G181" s="42" t="s">
        <v>3166</v>
      </c>
      <c r="H181" s="36" t="s">
        <v>64</v>
      </c>
      <c r="I181" s="36" t="s">
        <v>155</v>
      </c>
      <c r="J181" s="36" t="s">
        <v>62</v>
      </c>
      <c r="K181" s="36" t="s">
        <v>63</v>
      </c>
      <c r="L181" s="36">
        <v>80.0</v>
      </c>
      <c r="M181" s="36" t="s">
        <v>4031</v>
      </c>
      <c r="N181" s="36" t="s">
        <v>66</v>
      </c>
      <c r="O181" s="36" t="s">
        <v>67</v>
      </c>
      <c r="P181" s="36" t="s">
        <v>4032</v>
      </c>
      <c r="Q181" s="36"/>
      <c r="R181" s="36"/>
      <c r="S181" s="36"/>
      <c r="T181" s="36" t="s">
        <v>61</v>
      </c>
      <c r="U181" s="36" t="s">
        <v>61</v>
      </c>
      <c r="V181" s="36" t="s">
        <v>61</v>
      </c>
      <c r="W181" s="56" t="s">
        <v>955</v>
      </c>
      <c r="X181" s="57" t="s">
        <v>74</v>
      </c>
      <c r="Y181" s="36" t="s">
        <v>4035</v>
      </c>
      <c r="Z181" s="57" t="s">
        <v>955</v>
      </c>
      <c r="AA181" s="57" t="s">
        <v>4036</v>
      </c>
      <c r="AB181" s="58">
        <v>46023.0</v>
      </c>
      <c r="AC181" s="146">
        <v>46387.0</v>
      </c>
      <c r="AD181" s="36" t="s">
        <v>4038</v>
      </c>
      <c r="AE181" s="36" t="s">
        <v>79</v>
      </c>
      <c r="AF181" s="59"/>
      <c r="AG181" s="36"/>
      <c r="AH181" s="36"/>
    </row>
    <row r="182" ht="45.75" customHeight="1">
      <c r="A182" s="36">
        <v>181.0</v>
      </c>
      <c r="B182" s="36">
        <v>2749.0</v>
      </c>
      <c r="C182" s="36" t="s">
        <v>422</v>
      </c>
      <c r="D182" s="36" t="s">
        <v>4042</v>
      </c>
      <c r="E182" s="36" t="s">
        <v>4043</v>
      </c>
      <c r="F182" s="36" t="s">
        <v>4044</v>
      </c>
      <c r="G182" s="42" t="s">
        <v>4046</v>
      </c>
      <c r="H182" s="36" t="s">
        <v>64</v>
      </c>
      <c r="I182" s="36" t="s">
        <v>155</v>
      </c>
      <c r="J182" s="36" t="s">
        <v>62</v>
      </c>
      <c r="K182" s="36" t="s">
        <v>111</v>
      </c>
      <c r="L182" s="36">
        <v>182.0</v>
      </c>
      <c r="M182" s="36" t="s">
        <v>4047</v>
      </c>
      <c r="N182" s="36" t="s">
        <v>71</v>
      </c>
      <c r="O182" s="36" t="s">
        <v>72</v>
      </c>
      <c r="P182" s="36" t="s">
        <v>4049</v>
      </c>
      <c r="Q182" s="36"/>
      <c r="R182" s="36"/>
      <c r="S182" s="36"/>
      <c r="T182" s="36" t="s">
        <v>61</v>
      </c>
      <c r="U182" s="36">
        <v>7.0</v>
      </c>
      <c r="V182" s="36" t="s">
        <v>61</v>
      </c>
      <c r="W182" s="56" t="s">
        <v>4050</v>
      </c>
      <c r="X182" s="57" t="s">
        <v>93</v>
      </c>
      <c r="Y182" s="36" t="s">
        <v>4051</v>
      </c>
      <c r="Z182" s="57" t="s">
        <v>4052</v>
      </c>
      <c r="AA182" s="57" t="s">
        <v>4054</v>
      </c>
      <c r="AB182" s="58">
        <v>46023.0</v>
      </c>
      <c r="AC182" s="146">
        <v>46387.0</v>
      </c>
      <c r="AD182" s="36" t="s">
        <v>4056</v>
      </c>
      <c r="AE182" s="36" t="s">
        <v>79</v>
      </c>
      <c r="AF182" s="59"/>
      <c r="AG182" s="36"/>
      <c r="AH182" s="36"/>
    </row>
    <row r="183" ht="45.75" customHeight="1">
      <c r="A183" s="36">
        <v>182.0</v>
      </c>
      <c r="B183" s="36">
        <v>226.0</v>
      </c>
      <c r="C183" s="36" t="s">
        <v>422</v>
      </c>
      <c r="D183" s="36" t="s">
        <v>4042</v>
      </c>
      <c r="E183" s="36" t="s">
        <v>4060</v>
      </c>
      <c r="F183" s="36" t="s">
        <v>4062</v>
      </c>
      <c r="G183" s="42" t="s">
        <v>4063</v>
      </c>
      <c r="H183" s="36" t="s">
        <v>64</v>
      </c>
      <c r="I183" s="36" t="s">
        <v>155</v>
      </c>
      <c r="J183" s="36" t="s">
        <v>62</v>
      </c>
      <c r="K183" s="36" t="s">
        <v>63</v>
      </c>
      <c r="L183" s="36">
        <v>36.0</v>
      </c>
      <c r="M183" s="36" t="s">
        <v>4064</v>
      </c>
      <c r="N183" s="36" t="s">
        <v>66</v>
      </c>
      <c r="O183" s="36" t="s">
        <v>67</v>
      </c>
      <c r="P183" s="36" t="s">
        <v>4065</v>
      </c>
      <c r="Q183" s="36"/>
      <c r="R183" s="36"/>
      <c r="S183" s="36"/>
      <c r="T183" s="36" t="s">
        <v>61</v>
      </c>
      <c r="U183" s="36">
        <v>4.0</v>
      </c>
      <c r="V183" s="36" t="s">
        <v>61</v>
      </c>
      <c r="W183" s="56" t="s">
        <v>955</v>
      </c>
      <c r="X183" s="57" t="s">
        <v>74</v>
      </c>
      <c r="Y183" s="36" t="s">
        <v>4068</v>
      </c>
      <c r="Z183" s="57" t="s">
        <v>4069</v>
      </c>
      <c r="AA183" s="57" t="s">
        <v>4070</v>
      </c>
      <c r="AB183" s="58">
        <v>46023.0</v>
      </c>
      <c r="AC183" s="146">
        <v>46387.0</v>
      </c>
      <c r="AD183" s="36" t="s">
        <v>4072</v>
      </c>
      <c r="AE183" s="36" t="s">
        <v>79</v>
      </c>
      <c r="AF183" s="59"/>
      <c r="AG183" s="36"/>
      <c r="AH183" s="36"/>
    </row>
    <row r="184" ht="45.75" customHeight="1">
      <c r="A184" s="36">
        <v>183.0</v>
      </c>
      <c r="B184" s="36">
        <v>5285.0</v>
      </c>
      <c r="C184" s="36" t="s">
        <v>422</v>
      </c>
      <c r="D184" s="36" t="s">
        <v>4042</v>
      </c>
      <c r="E184" s="36" t="s">
        <v>1471</v>
      </c>
      <c r="F184" s="36" t="s">
        <v>4075</v>
      </c>
      <c r="G184" s="42" t="s">
        <v>4076</v>
      </c>
      <c r="H184" s="36" t="s">
        <v>64</v>
      </c>
      <c r="I184" s="36" t="s">
        <v>155</v>
      </c>
      <c r="J184" s="36" t="s">
        <v>62</v>
      </c>
      <c r="K184" s="36" t="s">
        <v>63</v>
      </c>
      <c r="L184" s="36">
        <v>46.0</v>
      </c>
      <c r="M184" s="36" t="s">
        <v>4080</v>
      </c>
      <c r="N184" s="36" t="s">
        <v>66</v>
      </c>
      <c r="O184" s="36" t="s">
        <v>67</v>
      </c>
      <c r="P184" s="36" t="s">
        <v>4081</v>
      </c>
      <c r="Q184" s="36"/>
      <c r="R184" s="36"/>
      <c r="S184" s="36"/>
      <c r="T184" s="36" t="s">
        <v>61</v>
      </c>
      <c r="U184" s="36">
        <v>10.0</v>
      </c>
      <c r="V184" s="36" t="s">
        <v>61</v>
      </c>
      <c r="W184" s="56" t="s">
        <v>955</v>
      </c>
      <c r="X184" s="57" t="s">
        <v>74</v>
      </c>
      <c r="Y184" s="36" t="s">
        <v>4087</v>
      </c>
      <c r="Z184" s="57" t="s">
        <v>4088</v>
      </c>
      <c r="AA184" s="57" t="s">
        <v>4090</v>
      </c>
      <c r="AB184" s="58">
        <v>46023.0</v>
      </c>
      <c r="AC184" s="146">
        <v>46387.0</v>
      </c>
      <c r="AD184" s="36" t="s">
        <v>4093</v>
      </c>
      <c r="AE184" s="36" t="s">
        <v>79</v>
      </c>
      <c r="AF184" s="59"/>
      <c r="AG184" s="36"/>
      <c r="AH184" s="36"/>
    </row>
    <row r="185" ht="45.75" customHeight="1">
      <c r="A185" s="36">
        <v>184.0</v>
      </c>
      <c r="B185" s="36">
        <v>3409.0</v>
      </c>
      <c r="C185" s="36" t="s">
        <v>422</v>
      </c>
      <c r="D185" s="36" t="s">
        <v>1100</v>
      </c>
      <c r="E185" s="36" t="s">
        <v>4096</v>
      </c>
      <c r="F185" s="36" t="s">
        <v>4098</v>
      </c>
      <c r="G185" s="42" t="s">
        <v>4099</v>
      </c>
      <c r="H185" s="36" t="s">
        <v>64</v>
      </c>
      <c r="I185" s="36" t="s">
        <v>155</v>
      </c>
      <c r="J185" s="36" t="s">
        <v>62</v>
      </c>
      <c r="K185" s="36" t="s">
        <v>63</v>
      </c>
      <c r="L185" s="36">
        <v>50.0</v>
      </c>
      <c r="M185" s="36" t="s">
        <v>4101</v>
      </c>
      <c r="N185" s="36" t="s">
        <v>66</v>
      </c>
      <c r="O185" s="36" t="s">
        <v>67</v>
      </c>
      <c r="P185" s="36" t="s">
        <v>4102</v>
      </c>
      <c r="Q185" s="36"/>
      <c r="R185" s="36"/>
      <c r="S185" s="36"/>
      <c r="T185" s="36" t="s">
        <v>61</v>
      </c>
      <c r="U185" s="36" t="s">
        <v>61</v>
      </c>
      <c r="V185" s="36" t="s">
        <v>61</v>
      </c>
      <c r="W185" s="56" t="s">
        <v>955</v>
      </c>
      <c r="X185" s="57" t="s">
        <v>74</v>
      </c>
      <c r="Y185" s="36" t="s">
        <v>4107</v>
      </c>
      <c r="Z185" s="57" t="s">
        <v>955</v>
      </c>
      <c r="AA185" s="57" t="s">
        <v>4108</v>
      </c>
      <c r="AB185" s="58">
        <v>46023.0</v>
      </c>
      <c r="AC185" s="146">
        <v>46387.0</v>
      </c>
      <c r="AD185" s="36" t="s">
        <v>4109</v>
      </c>
      <c r="AE185" s="36" t="s">
        <v>79</v>
      </c>
      <c r="AF185" s="59"/>
      <c r="AG185" s="36"/>
      <c r="AH185" s="36"/>
    </row>
    <row r="186" ht="45.75" customHeight="1">
      <c r="A186" s="36">
        <v>185.0</v>
      </c>
      <c r="B186" s="36">
        <v>38213.0</v>
      </c>
      <c r="C186" s="36" t="s">
        <v>422</v>
      </c>
      <c r="D186" s="36" t="s">
        <v>1100</v>
      </c>
      <c r="E186" s="36" t="s">
        <v>4110</v>
      </c>
      <c r="F186" s="36" t="s">
        <v>4111</v>
      </c>
      <c r="G186" s="42" t="s">
        <v>4112</v>
      </c>
      <c r="H186" s="36" t="s">
        <v>64</v>
      </c>
      <c r="I186" s="36" t="s">
        <v>155</v>
      </c>
      <c r="J186" s="36" t="s">
        <v>62</v>
      </c>
      <c r="K186" s="36" t="s">
        <v>63</v>
      </c>
      <c r="L186" s="36">
        <v>25.0</v>
      </c>
      <c r="M186" s="36" t="s">
        <v>4115</v>
      </c>
      <c r="N186" s="36" t="s">
        <v>66</v>
      </c>
      <c r="O186" s="36" t="s">
        <v>67</v>
      </c>
      <c r="P186" s="36" t="s">
        <v>4116</v>
      </c>
      <c r="Q186" s="36"/>
      <c r="R186" s="36"/>
      <c r="S186" s="36"/>
      <c r="T186" s="36" t="s">
        <v>61</v>
      </c>
      <c r="U186" s="36" t="s">
        <v>61</v>
      </c>
      <c r="V186" s="36" t="s">
        <v>61</v>
      </c>
      <c r="W186" s="56" t="s">
        <v>955</v>
      </c>
      <c r="X186" s="57" t="s">
        <v>74</v>
      </c>
      <c r="Y186" s="36" t="s">
        <v>4119</v>
      </c>
      <c r="Z186" s="57" t="s">
        <v>955</v>
      </c>
      <c r="AA186" s="57" t="s">
        <v>4121</v>
      </c>
      <c r="AB186" s="58">
        <v>46023.0</v>
      </c>
      <c r="AC186" s="146">
        <v>46387.0</v>
      </c>
      <c r="AD186" s="36" t="s">
        <v>4122</v>
      </c>
      <c r="AE186" s="36" t="s">
        <v>79</v>
      </c>
      <c r="AF186" s="59"/>
      <c r="AG186" s="36"/>
      <c r="AH186" s="36"/>
    </row>
    <row r="187" ht="45.75" customHeight="1">
      <c r="A187" s="36">
        <v>186.0</v>
      </c>
      <c r="B187" s="36">
        <v>3771.0</v>
      </c>
      <c r="C187" s="36" t="s">
        <v>422</v>
      </c>
      <c r="D187" s="36" t="s">
        <v>1100</v>
      </c>
      <c r="E187" s="36" t="s">
        <v>4126</v>
      </c>
      <c r="F187" s="36" t="s">
        <v>4127</v>
      </c>
      <c r="G187" s="42" t="s">
        <v>4128</v>
      </c>
      <c r="H187" s="36" t="s">
        <v>64</v>
      </c>
      <c r="I187" s="36" t="s">
        <v>155</v>
      </c>
      <c r="J187" s="36" t="s">
        <v>62</v>
      </c>
      <c r="K187" s="36" t="s">
        <v>63</v>
      </c>
      <c r="L187" s="36">
        <v>50.0</v>
      </c>
      <c r="M187" s="36" t="s">
        <v>4129</v>
      </c>
      <c r="N187" s="36" t="s">
        <v>66</v>
      </c>
      <c r="O187" s="36" t="s">
        <v>67</v>
      </c>
      <c r="P187" s="36" t="s">
        <v>4132</v>
      </c>
      <c r="Q187" s="36"/>
      <c r="R187" s="36"/>
      <c r="S187" s="36"/>
      <c r="T187" s="36" t="s">
        <v>61</v>
      </c>
      <c r="U187" s="36" t="s">
        <v>61</v>
      </c>
      <c r="V187" s="36" t="s">
        <v>61</v>
      </c>
      <c r="W187" s="56" t="s">
        <v>955</v>
      </c>
      <c r="X187" s="57" t="s">
        <v>74</v>
      </c>
      <c r="Y187" s="36" t="s">
        <v>4133</v>
      </c>
      <c r="Z187" s="57" t="s">
        <v>955</v>
      </c>
      <c r="AA187" s="57" t="s">
        <v>4134</v>
      </c>
      <c r="AB187" s="58">
        <v>46023.0</v>
      </c>
      <c r="AC187" s="146">
        <v>46387.0</v>
      </c>
      <c r="AD187" s="36" t="s">
        <v>4135</v>
      </c>
      <c r="AE187" s="36" t="s">
        <v>79</v>
      </c>
      <c r="AF187" s="59"/>
      <c r="AG187" s="36"/>
      <c r="AH187" s="36"/>
    </row>
    <row r="188" ht="45.75" customHeight="1">
      <c r="A188" s="36">
        <v>187.0</v>
      </c>
      <c r="B188" s="36">
        <v>3832.0</v>
      </c>
      <c r="C188" s="36" t="s">
        <v>422</v>
      </c>
      <c r="D188" s="36" t="s">
        <v>1100</v>
      </c>
      <c r="E188" s="36" t="s">
        <v>4136</v>
      </c>
      <c r="F188" s="36" t="s">
        <v>596</v>
      </c>
      <c r="G188" s="42" t="s">
        <v>4137</v>
      </c>
      <c r="H188" s="36" t="s">
        <v>64</v>
      </c>
      <c r="I188" s="36" t="s">
        <v>155</v>
      </c>
      <c r="J188" s="36" t="s">
        <v>62</v>
      </c>
      <c r="K188" s="36" t="s">
        <v>63</v>
      </c>
      <c r="L188" s="36">
        <v>25.0</v>
      </c>
      <c r="M188" s="36" t="s">
        <v>955</v>
      </c>
      <c r="N188" s="36" t="s">
        <v>66</v>
      </c>
      <c r="O188" s="36" t="s">
        <v>67</v>
      </c>
      <c r="P188" s="36" t="s">
        <v>4139</v>
      </c>
      <c r="Q188" s="36"/>
      <c r="R188" s="36"/>
      <c r="S188" s="36"/>
      <c r="T188" s="36" t="s">
        <v>61</v>
      </c>
      <c r="U188" s="36" t="s">
        <v>61</v>
      </c>
      <c r="V188" s="36" t="s">
        <v>61</v>
      </c>
      <c r="W188" s="56" t="s">
        <v>955</v>
      </c>
      <c r="X188" s="57" t="s">
        <v>74</v>
      </c>
      <c r="Y188" s="36" t="s">
        <v>4141</v>
      </c>
      <c r="Z188" s="57" t="s">
        <v>955</v>
      </c>
      <c r="AA188" s="57" t="s">
        <v>4143</v>
      </c>
      <c r="AB188" s="58">
        <v>46023.0</v>
      </c>
      <c r="AC188" s="146">
        <v>46387.0</v>
      </c>
      <c r="AD188" s="36" t="s">
        <v>4145</v>
      </c>
      <c r="AE188" s="36" t="s">
        <v>79</v>
      </c>
      <c r="AF188" s="59"/>
      <c r="AG188" s="36"/>
      <c r="AH188" s="36"/>
    </row>
    <row r="189" ht="45.75" customHeight="1">
      <c r="A189" s="36">
        <v>188.0</v>
      </c>
      <c r="B189" s="36">
        <v>279.0</v>
      </c>
      <c r="C189" s="36" t="s">
        <v>422</v>
      </c>
      <c r="D189" s="36" t="s">
        <v>1100</v>
      </c>
      <c r="E189" s="36" t="s">
        <v>1102</v>
      </c>
      <c r="F189" s="36" t="s">
        <v>1103</v>
      </c>
      <c r="G189" s="42" t="s">
        <v>1104</v>
      </c>
      <c r="H189" s="36" t="s">
        <v>64</v>
      </c>
      <c r="I189" s="36" t="s">
        <v>65</v>
      </c>
      <c r="J189" s="36" t="s">
        <v>62</v>
      </c>
      <c r="K189" s="36" t="s">
        <v>111</v>
      </c>
      <c r="L189" s="36">
        <v>200.0</v>
      </c>
      <c r="M189" s="36" t="s">
        <v>4150</v>
      </c>
      <c r="N189" s="36" t="s">
        <v>71</v>
      </c>
      <c r="O189" s="36" t="s">
        <v>67</v>
      </c>
      <c r="P189" s="36" t="s">
        <v>1116</v>
      </c>
      <c r="Q189" s="36"/>
      <c r="R189" s="36"/>
      <c r="S189" s="36"/>
      <c r="T189" s="36" t="s">
        <v>61</v>
      </c>
      <c r="U189" s="36">
        <v>10.0</v>
      </c>
      <c r="V189" s="36" t="s">
        <v>61</v>
      </c>
      <c r="W189" s="56" t="s">
        <v>955</v>
      </c>
      <c r="X189" s="57" t="s">
        <v>93</v>
      </c>
      <c r="Y189" s="36" t="s">
        <v>1122</v>
      </c>
      <c r="Z189" s="57" t="s">
        <v>955</v>
      </c>
      <c r="AA189" s="57" t="s">
        <v>1126</v>
      </c>
      <c r="AB189" s="58">
        <v>46023.0</v>
      </c>
      <c r="AC189" s="146">
        <v>46387.0</v>
      </c>
      <c r="AD189" s="36" t="s">
        <v>4153</v>
      </c>
      <c r="AE189" s="36" t="s">
        <v>79</v>
      </c>
      <c r="AF189" s="59"/>
      <c r="AG189" s="36"/>
      <c r="AH189" s="36"/>
    </row>
    <row r="190" ht="45.75" customHeight="1">
      <c r="A190" s="36">
        <v>189.0</v>
      </c>
      <c r="B190" s="36">
        <v>3065.0</v>
      </c>
      <c r="C190" s="36" t="s">
        <v>422</v>
      </c>
      <c r="D190" s="36" t="s">
        <v>1100</v>
      </c>
      <c r="E190" s="36" t="s">
        <v>4158</v>
      </c>
      <c r="F190" s="36" t="s">
        <v>4159</v>
      </c>
      <c r="G190" s="42" t="s">
        <v>4160</v>
      </c>
      <c r="H190" s="36" t="s">
        <v>64</v>
      </c>
      <c r="I190" s="36" t="s">
        <v>155</v>
      </c>
      <c r="J190" s="36" t="s">
        <v>62</v>
      </c>
      <c r="K190" s="36" t="s">
        <v>63</v>
      </c>
      <c r="L190" s="36">
        <v>50.0</v>
      </c>
      <c r="M190" s="36" t="s">
        <v>955</v>
      </c>
      <c r="N190" s="36" t="s">
        <v>66</v>
      </c>
      <c r="O190" s="36" t="s">
        <v>67</v>
      </c>
      <c r="P190" s="36" t="s">
        <v>4163</v>
      </c>
      <c r="Q190" s="36"/>
      <c r="R190" s="36"/>
      <c r="S190" s="36"/>
      <c r="T190" s="36" t="s">
        <v>61</v>
      </c>
      <c r="U190" s="36" t="s">
        <v>61</v>
      </c>
      <c r="V190" s="36" t="s">
        <v>61</v>
      </c>
      <c r="W190" s="56"/>
      <c r="X190" s="57" t="s">
        <v>74</v>
      </c>
      <c r="Y190" s="36" t="s">
        <v>4164</v>
      </c>
      <c r="Z190" s="57" t="s">
        <v>955</v>
      </c>
      <c r="AA190" s="57" t="s">
        <v>4166</v>
      </c>
      <c r="AB190" s="58">
        <v>46023.0</v>
      </c>
      <c r="AC190" s="146">
        <v>46387.0</v>
      </c>
      <c r="AD190" s="36" t="s">
        <v>4167</v>
      </c>
      <c r="AE190" s="36" t="s">
        <v>79</v>
      </c>
      <c r="AF190" s="59"/>
      <c r="AG190" s="36"/>
      <c r="AH190" s="36"/>
    </row>
    <row r="191" ht="45.75" customHeight="1">
      <c r="A191" s="36">
        <v>190.0</v>
      </c>
      <c r="B191" s="36">
        <v>4329.0</v>
      </c>
      <c r="C191" s="36" t="s">
        <v>422</v>
      </c>
      <c r="D191" s="36" t="s">
        <v>1100</v>
      </c>
      <c r="E191" s="36" t="s">
        <v>1135</v>
      </c>
      <c r="F191" s="36" t="s">
        <v>4172</v>
      </c>
      <c r="G191" s="42" t="s">
        <v>4173</v>
      </c>
      <c r="H191" s="36" t="s">
        <v>64</v>
      </c>
      <c r="I191" s="36" t="s">
        <v>2305</v>
      </c>
      <c r="J191" s="36" t="s">
        <v>62</v>
      </c>
      <c r="K191" s="36" t="s">
        <v>63</v>
      </c>
      <c r="L191" s="36">
        <v>15.0</v>
      </c>
      <c r="M191" s="36" t="s">
        <v>955</v>
      </c>
      <c r="N191" s="36" t="s">
        <v>66</v>
      </c>
      <c r="O191" s="36" t="s">
        <v>67</v>
      </c>
      <c r="P191" s="36" t="s">
        <v>4177</v>
      </c>
      <c r="Q191" s="36"/>
      <c r="R191" s="36"/>
      <c r="S191" s="36"/>
      <c r="T191" s="36" t="s">
        <v>61</v>
      </c>
      <c r="U191" s="36" t="s">
        <v>61</v>
      </c>
      <c r="V191" s="36" t="s">
        <v>61</v>
      </c>
      <c r="W191" s="56" t="s">
        <v>955</v>
      </c>
      <c r="X191" s="57" t="s">
        <v>74</v>
      </c>
      <c r="Y191" s="36" t="s">
        <v>4178</v>
      </c>
      <c r="Z191" s="57" t="s">
        <v>4180</v>
      </c>
      <c r="AA191" s="57" t="s">
        <v>4181</v>
      </c>
      <c r="AB191" s="58">
        <v>46023.0</v>
      </c>
      <c r="AC191" s="146">
        <v>46387.0</v>
      </c>
      <c r="AD191" s="36" t="s">
        <v>4182</v>
      </c>
      <c r="AE191" s="36" t="s">
        <v>79</v>
      </c>
      <c r="AF191" s="59"/>
      <c r="AG191" s="36"/>
      <c r="AH191" s="36"/>
    </row>
    <row r="192" ht="45.75" customHeight="1">
      <c r="A192" s="36">
        <v>191.0</v>
      </c>
      <c r="B192" s="36">
        <v>236.0</v>
      </c>
      <c r="C192" s="36" t="s">
        <v>422</v>
      </c>
      <c r="D192" s="36" t="s">
        <v>1100</v>
      </c>
      <c r="E192" s="36" t="s">
        <v>1135</v>
      </c>
      <c r="F192" s="36" t="s">
        <v>1138</v>
      </c>
      <c r="G192" s="42" t="s">
        <v>1140</v>
      </c>
      <c r="H192" s="36" t="s">
        <v>64</v>
      </c>
      <c r="I192" s="36" t="s">
        <v>65</v>
      </c>
      <c r="J192" s="36" t="s">
        <v>62</v>
      </c>
      <c r="K192" s="36" t="s">
        <v>111</v>
      </c>
      <c r="L192" s="36">
        <v>213.0</v>
      </c>
      <c r="M192" s="36" t="s">
        <v>4187</v>
      </c>
      <c r="N192" s="36" t="s">
        <v>71</v>
      </c>
      <c r="O192" s="36" t="s">
        <v>72</v>
      </c>
      <c r="P192" s="36" t="s">
        <v>1151</v>
      </c>
      <c r="Q192" s="36"/>
      <c r="R192" s="36"/>
      <c r="S192" s="36"/>
      <c r="T192" s="36" t="s">
        <v>61</v>
      </c>
      <c r="U192" s="36">
        <v>8.0</v>
      </c>
      <c r="V192" s="36" t="s">
        <v>61</v>
      </c>
      <c r="W192" s="56" t="s">
        <v>955</v>
      </c>
      <c r="X192" s="57" t="s">
        <v>93</v>
      </c>
      <c r="Y192" s="36" t="s">
        <v>1154</v>
      </c>
      <c r="Z192" s="57" t="s">
        <v>1155</v>
      </c>
      <c r="AA192" s="57" t="s">
        <v>1157</v>
      </c>
      <c r="AB192" s="58">
        <v>46023.0</v>
      </c>
      <c r="AC192" s="146">
        <v>46387.0</v>
      </c>
      <c r="AD192" s="36" t="s">
        <v>4191</v>
      </c>
      <c r="AE192" s="36" t="s">
        <v>79</v>
      </c>
      <c r="AF192" s="59"/>
      <c r="AG192" s="36"/>
      <c r="AH192" s="36"/>
    </row>
    <row r="193" ht="45.75" customHeight="1">
      <c r="A193" s="36">
        <v>192.0</v>
      </c>
      <c r="B193" s="36">
        <v>1819.0</v>
      </c>
      <c r="C193" s="36" t="s">
        <v>422</v>
      </c>
      <c r="D193" s="36" t="s">
        <v>1100</v>
      </c>
      <c r="E193" s="36" t="s">
        <v>3958</v>
      </c>
      <c r="F193" s="36" t="s">
        <v>4194</v>
      </c>
      <c r="G193" s="42" t="s">
        <v>4195</v>
      </c>
      <c r="H193" s="36" t="s">
        <v>64</v>
      </c>
      <c r="I193" s="36" t="s">
        <v>155</v>
      </c>
      <c r="J193" s="36" t="s">
        <v>62</v>
      </c>
      <c r="K193" s="36" t="s">
        <v>63</v>
      </c>
      <c r="L193" s="36">
        <v>49.0</v>
      </c>
      <c r="M193" s="36" t="s">
        <v>4199</v>
      </c>
      <c r="N193" s="36" t="s">
        <v>66</v>
      </c>
      <c r="O193" s="36" t="s">
        <v>67</v>
      </c>
      <c r="P193" s="36" t="s">
        <v>4201</v>
      </c>
      <c r="Q193" s="36"/>
      <c r="R193" s="36"/>
      <c r="S193" s="36"/>
      <c r="T193" s="36" t="s">
        <v>61</v>
      </c>
      <c r="U193" s="36" t="s">
        <v>61</v>
      </c>
      <c r="V193" s="36" t="s">
        <v>61</v>
      </c>
      <c r="W193" s="56" t="s">
        <v>955</v>
      </c>
      <c r="X193" s="57" t="s">
        <v>74</v>
      </c>
      <c r="Y193" s="36" t="s">
        <v>4202</v>
      </c>
      <c r="Z193" s="57" t="s">
        <v>955</v>
      </c>
      <c r="AA193" s="57" t="s">
        <v>4203</v>
      </c>
      <c r="AB193" s="58">
        <v>46023.0</v>
      </c>
      <c r="AC193" s="146">
        <v>46387.0</v>
      </c>
      <c r="AD193" s="36" t="s">
        <v>4204</v>
      </c>
      <c r="AE193" s="36" t="s">
        <v>79</v>
      </c>
      <c r="AF193" s="59"/>
      <c r="AG193" s="36"/>
      <c r="AH193" s="36"/>
    </row>
    <row r="194" ht="45.75" customHeight="1">
      <c r="A194" s="36">
        <v>193.0</v>
      </c>
      <c r="B194" s="36">
        <v>5197.0</v>
      </c>
      <c r="C194" s="36" t="s">
        <v>422</v>
      </c>
      <c r="D194" s="36" t="s">
        <v>4206</v>
      </c>
      <c r="E194" s="36" t="s">
        <v>4207</v>
      </c>
      <c r="F194" s="36" t="s">
        <v>4208</v>
      </c>
      <c r="G194" s="42" t="s">
        <v>4209</v>
      </c>
      <c r="H194" s="36" t="s">
        <v>64</v>
      </c>
      <c r="I194" s="36" t="s">
        <v>155</v>
      </c>
      <c r="J194" s="36" t="s">
        <v>62</v>
      </c>
      <c r="K194" s="36" t="s">
        <v>63</v>
      </c>
      <c r="L194" s="36">
        <v>75.0</v>
      </c>
      <c r="M194" s="36" t="s">
        <v>4211</v>
      </c>
      <c r="N194" s="36" t="s">
        <v>66</v>
      </c>
      <c r="O194" s="36" t="s">
        <v>72</v>
      </c>
      <c r="P194" s="36" t="s">
        <v>4213</v>
      </c>
      <c r="Q194" s="36"/>
      <c r="R194" s="36"/>
      <c r="S194" s="36"/>
      <c r="T194" s="36" t="s">
        <v>61</v>
      </c>
      <c r="U194" s="36">
        <v>10.0</v>
      </c>
      <c r="V194" s="36" t="s">
        <v>61</v>
      </c>
      <c r="W194" s="56" t="s">
        <v>955</v>
      </c>
      <c r="X194" s="57" t="s">
        <v>74</v>
      </c>
      <c r="Y194" s="36" t="s">
        <v>4215</v>
      </c>
      <c r="Z194" s="57" t="s">
        <v>4217</v>
      </c>
      <c r="AA194" s="57" t="s">
        <v>4219</v>
      </c>
      <c r="AB194" s="58">
        <v>46023.0</v>
      </c>
      <c r="AC194" s="146">
        <v>46387.0</v>
      </c>
      <c r="AD194" s="36" t="s">
        <v>4221</v>
      </c>
      <c r="AE194" s="36" t="s">
        <v>79</v>
      </c>
      <c r="AF194" s="59"/>
      <c r="AG194" s="36"/>
      <c r="AH194" s="36"/>
    </row>
    <row r="195" ht="45.75" customHeight="1">
      <c r="A195" s="36">
        <v>194.0</v>
      </c>
      <c r="B195" s="36">
        <v>5934.0</v>
      </c>
      <c r="C195" s="36" t="s">
        <v>422</v>
      </c>
      <c r="D195" s="36" t="s">
        <v>4206</v>
      </c>
      <c r="E195" s="36" t="s">
        <v>4206</v>
      </c>
      <c r="F195" s="36" t="s">
        <v>4224</v>
      </c>
      <c r="G195" s="42" t="s">
        <v>4225</v>
      </c>
      <c r="H195" s="36" t="s">
        <v>64</v>
      </c>
      <c r="I195" s="36" t="s">
        <v>155</v>
      </c>
      <c r="J195" s="36" t="s">
        <v>62</v>
      </c>
      <c r="K195" s="36" t="s">
        <v>63</v>
      </c>
      <c r="L195" s="36">
        <v>35.0</v>
      </c>
      <c r="M195" s="36" t="s">
        <v>4226</v>
      </c>
      <c r="N195" s="36" t="s">
        <v>66</v>
      </c>
      <c r="O195" s="36" t="s">
        <v>67</v>
      </c>
      <c r="P195" s="36" t="s">
        <v>4227</v>
      </c>
      <c r="Q195" s="36"/>
      <c r="R195" s="36"/>
      <c r="S195" s="36"/>
      <c r="T195" s="36" t="s">
        <v>61</v>
      </c>
      <c r="U195" s="36" t="s">
        <v>61</v>
      </c>
      <c r="V195" s="36" t="s">
        <v>61</v>
      </c>
      <c r="W195" s="56" t="s">
        <v>955</v>
      </c>
      <c r="X195" s="57" t="s">
        <v>74</v>
      </c>
      <c r="Y195" s="36" t="s">
        <v>4230</v>
      </c>
      <c r="Z195" s="57" t="s">
        <v>955</v>
      </c>
      <c r="AA195" s="57" t="s">
        <v>4231</v>
      </c>
      <c r="AB195" s="58">
        <v>46023.0</v>
      </c>
      <c r="AC195" s="146">
        <v>46387.0</v>
      </c>
      <c r="AD195" s="36" t="s">
        <v>4233</v>
      </c>
      <c r="AE195" s="36" t="s">
        <v>79</v>
      </c>
      <c r="AF195" s="59"/>
      <c r="AG195" s="36"/>
      <c r="AH195" s="36"/>
    </row>
    <row r="196" ht="45.75" customHeight="1">
      <c r="A196" s="36">
        <v>195.0</v>
      </c>
      <c r="B196" s="36">
        <v>270.0</v>
      </c>
      <c r="C196" s="36" t="s">
        <v>509</v>
      </c>
      <c r="D196" s="36" t="s">
        <v>1167</v>
      </c>
      <c r="E196" s="36" t="s">
        <v>1169</v>
      </c>
      <c r="F196" s="36" t="s">
        <v>1170</v>
      </c>
      <c r="G196" s="42" t="s">
        <v>1172</v>
      </c>
      <c r="H196" s="36" t="s">
        <v>64</v>
      </c>
      <c r="I196" s="36" t="s">
        <v>65</v>
      </c>
      <c r="J196" s="36" t="s">
        <v>62</v>
      </c>
      <c r="K196" s="36" t="s">
        <v>68</v>
      </c>
      <c r="L196" s="36">
        <v>450.0</v>
      </c>
      <c r="M196" s="36" t="s">
        <v>1178</v>
      </c>
      <c r="N196" s="36" t="s">
        <v>221</v>
      </c>
      <c r="O196" s="36" t="s">
        <v>72</v>
      </c>
      <c r="P196" s="36" t="s">
        <v>1180</v>
      </c>
      <c r="Q196" s="40"/>
      <c r="R196" s="36"/>
      <c r="S196" s="40"/>
      <c r="T196" s="40"/>
      <c r="U196" s="36">
        <v>6.0</v>
      </c>
      <c r="V196" s="40"/>
      <c r="W196" s="60"/>
      <c r="X196" s="57" t="s">
        <v>93</v>
      </c>
      <c r="Y196" s="36" t="s">
        <v>1185</v>
      </c>
      <c r="Z196" s="57" t="s">
        <v>4247</v>
      </c>
      <c r="AA196" s="148" t="s">
        <v>1189</v>
      </c>
      <c r="AB196" s="58">
        <v>46023.0</v>
      </c>
      <c r="AC196" s="146">
        <v>46387.0</v>
      </c>
      <c r="AD196" s="36" t="s">
        <v>1197</v>
      </c>
      <c r="AE196" s="36" t="s">
        <v>79</v>
      </c>
      <c r="AF196" s="51"/>
      <c r="AG196" s="51"/>
      <c r="AH196" s="40"/>
    </row>
    <row r="197" ht="45.75" customHeight="1">
      <c r="A197" s="36">
        <v>196.0</v>
      </c>
      <c r="B197" s="36">
        <v>35681.0</v>
      </c>
      <c r="C197" s="36" t="s">
        <v>509</v>
      </c>
      <c r="D197" s="36" t="s">
        <v>1167</v>
      </c>
      <c r="E197" s="36" t="s">
        <v>4261</v>
      </c>
      <c r="F197" s="36" t="s">
        <v>4263</v>
      </c>
      <c r="G197" s="42" t="s">
        <v>4265</v>
      </c>
      <c r="H197" s="36" t="s">
        <v>64</v>
      </c>
      <c r="I197" s="36" t="s">
        <v>155</v>
      </c>
      <c r="J197" s="36" t="s">
        <v>62</v>
      </c>
      <c r="K197" s="36" t="s">
        <v>63</v>
      </c>
      <c r="L197" s="36">
        <v>75.0</v>
      </c>
      <c r="M197" s="40"/>
      <c r="N197" s="36" t="s">
        <v>66</v>
      </c>
      <c r="O197" s="40"/>
      <c r="P197" s="36" t="s">
        <v>4272</v>
      </c>
      <c r="Q197" s="40"/>
      <c r="R197" s="40"/>
      <c r="S197" s="40"/>
      <c r="T197" s="40"/>
      <c r="U197" s="40"/>
      <c r="V197" s="40"/>
      <c r="W197" s="60"/>
      <c r="X197" s="57" t="s">
        <v>74</v>
      </c>
      <c r="Y197" s="36" t="s">
        <v>4290</v>
      </c>
      <c r="Z197" s="57">
        <v>9.611787866E9</v>
      </c>
      <c r="AA197" s="148" t="s">
        <v>4292</v>
      </c>
      <c r="AB197" s="58">
        <v>46023.0</v>
      </c>
      <c r="AC197" s="146">
        <v>46387.0</v>
      </c>
      <c r="AD197" s="36" t="s">
        <v>4294</v>
      </c>
      <c r="AE197" s="36" t="s">
        <v>79</v>
      </c>
      <c r="AF197" s="51"/>
      <c r="AG197" s="51"/>
      <c r="AH197" s="40"/>
    </row>
    <row r="198" ht="45.75" customHeight="1">
      <c r="A198" s="36">
        <v>197.0</v>
      </c>
      <c r="B198" s="36">
        <v>5416.0</v>
      </c>
      <c r="C198" s="36" t="s">
        <v>509</v>
      </c>
      <c r="D198" s="36" t="s">
        <v>1167</v>
      </c>
      <c r="E198" s="36" t="s">
        <v>4298</v>
      </c>
      <c r="F198" s="36" t="s">
        <v>4300</v>
      </c>
      <c r="G198" s="42" t="s">
        <v>4302</v>
      </c>
      <c r="H198" s="36" t="s">
        <v>64</v>
      </c>
      <c r="I198" s="36" t="s">
        <v>155</v>
      </c>
      <c r="J198" s="36" t="s">
        <v>62</v>
      </c>
      <c r="K198" s="36" t="s">
        <v>63</v>
      </c>
      <c r="L198" s="36">
        <v>100.0</v>
      </c>
      <c r="M198" s="36" t="s">
        <v>4303</v>
      </c>
      <c r="N198" s="36" t="s">
        <v>66</v>
      </c>
      <c r="O198" s="40"/>
      <c r="P198" s="36" t="s">
        <v>4304</v>
      </c>
      <c r="Q198" s="40"/>
      <c r="R198" s="36"/>
      <c r="S198" s="40"/>
      <c r="T198" s="40"/>
      <c r="U198" s="36">
        <v>10.0</v>
      </c>
      <c r="V198" s="40"/>
      <c r="W198" s="60"/>
      <c r="X198" s="57" t="s">
        <v>74</v>
      </c>
      <c r="Y198" s="36" t="s">
        <v>4307</v>
      </c>
      <c r="Z198" s="57">
        <v>9.452962595E9</v>
      </c>
      <c r="AA198" s="57" t="s">
        <v>4308</v>
      </c>
      <c r="AB198" s="58">
        <v>46023.0</v>
      </c>
      <c r="AC198" s="146">
        <v>46387.0</v>
      </c>
      <c r="AD198" s="36" t="s">
        <v>4309</v>
      </c>
      <c r="AE198" s="36" t="s">
        <v>79</v>
      </c>
      <c r="AF198" s="51"/>
      <c r="AG198" s="51"/>
      <c r="AH198" s="40"/>
    </row>
    <row r="199" ht="45.75" customHeight="1">
      <c r="A199" s="36">
        <v>198.0</v>
      </c>
      <c r="B199" s="36">
        <v>4054.0</v>
      </c>
      <c r="C199" s="36" t="s">
        <v>509</v>
      </c>
      <c r="D199" s="36" t="s">
        <v>1167</v>
      </c>
      <c r="E199" s="36" t="s">
        <v>4311</v>
      </c>
      <c r="F199" s="36" t="s">
        <v>4312</v>
      </c>
      <c r="G199" s="42" t="s">
        <v>4314</v>
      </c>
      <c r="H199" s="36" t="s">
        <v>64</v>
      </c>
      <c r="I199" s="36" t="s">
        <v>155</v>
      </c>
      <c r="J199" s="36" t="s">
        <v>62</v>
      </c>
      <c r="K199" s="36" t="s">
        <v>63</v>
      </c>
      <c r="L199" s="36">
        <v>25.0</v>
      </c>
      <c r="M199" s="36" t="s">
        <v>1831</v>
      </c>
      <c r="N199" s="36" t="s">
        <v>66</v>
      </c>
      <c r="O199" s="40"/>
      <c r="P199" s="36" t="s">
        <v>1180</v>
      </c>
      <c r="Q199" s="36"/>
      <c r="R199" s="40"/>
      <c r="S199" s="40"/>
      <c r="T199" s="36" t="s">
        <v>4318</v>
      </c>
      <c r="U199" s="40"/>
      <c r="V199" s="40"/>
      <c r="W199" s="60"/>
      <c r="X199" s="57" t="s">
        <v>74</v>
      </c>
      <c r="Y199" s="36" t="s">
        <v>4320</v>
      </c>
      <c r="Z199" s="57">
        <v>9.175584473E9</v>
      </c>
      <c r="AA199" s="148" t="s">
        <v>4321</v>
      </c>
      <c r="AB199" s="58">
        <v>46023.0</v>
      </c>
      <c r="AC199" s="146">
        <v>46387.0</v>
      </c>
      <c r="AD199" s="36" t="s">
        <v>4322</v>
      </c>
      <c r="AE199" s="36" t="s">
        <v>79</v>
      </c>
      <c r="AF199" s="51"/>
      <c r="AG199" s="51"/>
      <c r="AH199" s="40"/>
    </row>
    <row r="200" ht="45.75" customHeight="1">
      <c r="A200" s="36">
        <v>199.0</v>
      </c>
      <c r="B200" s="40"/>
      <c r="C200" s="36" t="s">
        <v>509</v>
      </c>
      <c r="D200" s="36" t="s">
        <v>1167</v>
      </c>
      <c r="E200" s="36" t="s">
        <v>4325</v>
      </c>
      <c r="F200" s="36" t="s">
        <v>4326</v>
      </c>
      <c r="G200" s="42" t="s">
        <v>4327</v>
      </c>
      <c r="H200" s="36" t="s">
        <v>64</v>
      </c>
      <c r="I200" s="36" t="s">
        <v>155</v>
      </c>
      <c r="J200" s="36" t="s">
        <v>62</v>
      </c>
      <c r="K200" s="36" t="s">
        <v>63</v>
      </c>
      <c r="L200" s="36">
        <v>50.0</v>
      </c>
      <c r="M200" s="36" t="s">
        <v>4330</v>
      </c>
      <c r="N200" s="36" t="s">
        <v>66</v>
      </c>
      <c r="O200" s="40"/>
      <c r="P200" s="36" t="s">
        <v>4331</v>
      </c>
      <c r="Q200" s="40"/>
      <c r="R200" s="36"/>
      <c r="S200" s="40"/>
      <c r="T200" s="40"/>
      <c r="U200" s="36">
        <v>9.0</v>
      </c>
      <c r="V200" s="40"/>
      <c r="W200" s="60"/>
      <c r="X200" s="57" t="s">
        <v>74</v>
      </c>
      <c r="Y200" s="36" t="s">
        <v>4332</v>
      </c>
      <c r="Z200" s="57">
        <v>9.39911031E9</v>
      </c>
      <c r="AA200" s="148" t="s">
        <v>4334</v>
      </c>
      <c r="AB200" s="58">
        <v>46023.0</v>
      </c>
      <c r="AC200" s="146">
        <v>46387.0</v>
      </c>
      <c r="AD200" s="36" t="s">
        <v>4336</v>
      </c>
      <c r="AE200" s="36" t="s">
        <v>79</v>
      </c>
      <c r="AF200" s="51"/>
      <c r="AG200" s="51"/>
      <c r="AH200" s="40"/>
    </row>
    <row r="201" ht="45.75" customHeight="1">
      <c r="A201" s="36">
        <v>200.0</v>
      </c>
      <c r="B201" s="36">
        <v>266.0</v>
      </c>
      <c r="C201" s="36" t="s">
        <v>509</v>
      </c>
      <c r="D201" s="36" t="s">
        <v>4339</v>
      </c>
      <c r="E201" s="36" t="s">
        <v>4340</v>
      </c>
      <c r="F201" s="36" t="s">
        <v>4341</v>
      </c>
      <c r="G201" s="42" t="s">
        <v>4342</v>
      </c>
      <c r="H201" s="36" t="s">
        <v>64</v>
      </c>
      <c r="I201" s="36" t="s">
        <v>155</v>
      </c>
      <c r="J201" s="36" t="s">
        <v>62</v>
      </c>
      <c r="K201" s="36" t="s">
        <v>111</v>
      </c>
      <c r="L201" s="36">
        <v>150.0</v>
      </c>
      <c r="M201" s="36" t="s">
        <v>4346</v>
      </c>
      <c r="N201" s="36" t="s">
        <v>66</v>
      </c>
      <c r="O201" s="40"/>
      <c r="P201" s="36" t="s">
        <v>4347</v>
      </c>
      <c r="Q201" s="40"/>
      <c r="R201" s="36"/>
      <c r="S201" s="40"/>
      <c r="T201" s="40"/>
      <c r="U201" s="36">
        <v>12.0</v>
      </c>
      <c r="V201" s="40"/>
      <c r="W201" s="60"/>
      <c r="X201" s="57" t="s">
        <v>93</v>
      </c>
      <c r="Y201" s="36" t="s">
        <v>4349</v>
      </c>
      <c r="Z201" s="57">
        <v>9.480212783E9</v>
      </c>
      <c r="AA201" s="148" t="s">
        <v>4351</v>
      </c>
      <c r="AB201" s="58">
        <v>46023.0</v>
      </c>
      <c r="AC201" s="146">
        <v>46387.0</v>
      </c>
      <c r="AD201" s="36" t="s">
        <v>4352</v>
      </c>
      <c r="AE201" s="36" t="s">
        <v>79</v>
      </c>
      <c r="AF201" s="51"/>
      <c r="AG201" s="51"/>
      <c r="AH201" s="40"/>
    </row>
    <row r="202" ht="45.75" customHeight="1">
      <c r="A202" s="36">
        <v>201.0</v>
      </c>
      <c r="B202" s="36">
        <v>607.0</v>
      </c>
      <c r="C202" s="36" t="s">
        <v>509</v>
      </c>
      <c r="D202" s="36" t="s">
        <v>4339</v>
      </c>
      <c r="E202" s="36" t="s">
        <v>4357</v>
      </c>
      <c r="F202" s="36" t="s">
        <v>4358</v>
      </c>
      <c r="G202" s="42" t="s">
        <v>4359</v>
      </c>
      <c r="H202" s="36" t="s">
        <v>64</v>
      </c>
      <c r="I202" s="36" t="s">
        <v>155</v>
      </c>
      <c r="J202" s="36" t="s">
        <v>62</v>
      </c>
      <c r="K202" s="36" t="s">
        <v>63</v>
      </c>
      <c r="L202" s="36">
        <v>25.0</v>
      </c>
      <c r="M202" s="36" t="s">
        <v>4363</v>
      </c>
      <c r="N202" s="36" t="s">
        <v>66</v>
      </c>
      <c r="O202" s="40"/>
      <c r="P202" s="36" t="s">
        <v>4365</v>
      </c>
      <c r="Q202" s="40"/>
      <c r="R202" s="40"/>
      <c r="S202" s="40"/>
      <c r="T202" s="40"/>
      <c r="U202" s="40"/>
      <c r="V202" s="40"/>
      <c r="W202" s="60"/>
      <c r="X202" s="57" t="s">
        <v>74</v>
      </c>
      <c r="Y202" s="36" t="s">
        <v>4368</v>
      </c>
      <c r="Z202" s="57" t="s">
        <v>4370</v>
      </c>
      <c r="AA202" s="148" t="s">
        <v>4371</v>
      </c>
      <c r="AB202" s="58">
        <v>46023.0</v>
      </c>
      <c r="AC202" s="146">
        <v>46387.0</v>
      </c>
      <c r="AD202" s="36" t="s">
        <v>4372</v>
      </c>
      <c r="AE202" s="36" t="s">
        <v>79</v>
      </c>
      <c r="AF202" s="51"/>
      <c r="AG202" s="51"/>
      <c r="AH202" s="40"/>
    </row>
    <row r="203" ht="45.75" customHeight="1">
      <c r="A203" s="36">
        <v>202.0</v>
      </c>
      <c r="B203" s="36" t="s">
        <v>1200</v>
      </c>
      <c r="C203" s="36" t="s">
        <v>509</v>
      </c>
      <c r="D203" s="36" t="s">
        <v>1209</v>
      </c>
      <c r="E203" s="36" t="s">
        <v>1210</v>
      </c>
      <c r="F203" s="36" t="s">
        <v>1211</v>
      </c>
      <c r="G203" s="42" t="s">
        <v>1212</v>
      </c>
      <c r="H203" s="36" t="s">
        <v>64</v>
      </c>
      <c r="I203" s="36" t="s">
        <v>65</v>
      </c>
      <c r="J203" s="36" t="s">
        <v>62</v>
      </c>
      <c r="K203" s="36" t="s">
        <v>68</v>
      </c>
      <c r="L203" s="36">
        <v>200.0</v>
      </c>
      <c r="M203" s="36" t="s">
        <v>4373</v>
      </c>
      <c r="N203" s="36" t="s">
        <v>221</v>
      </c>
      <c r="O203" s="40"/>
      <c r="P203" s="36" t="s">
        <v>1223</v>
      </c>
      <c r="Q203" s="40"/>
      <c r="R203" s="36"/>
      <c r="S203" s="40"/>
      <c r="T203" s="40"/>
      <c r="U203" s="36">
        <v>15.0</v>
      </c>
      <c r="V203" s="40"/>
      <c r="W203" s="60"/>
      <c r="X203" s="57" t="s">
        <v>93</v>
      </c>
      <c r="Y203" s="36" t="s">
        <v>1226</v>
      </c>
      <c r="Z203" s="57">
        <v>9.071372224E9</v>
      </c>
      <c r="AA203" s="148" t="s">
        <v>1228</v>
      </c>
      <c r="AB203" s="58">
        <v>46023.0</v>
      </c>
      <c r="AC203" s="146">
        <v>46387.0</v>
      </c>
      <c r="AD203" s="36" t="s">
        <v>4374</v>
      </c>
      <c r="AE203" s="36" t="s">
        <v>4375</v>
      </c>
      <c r="AF203" s="51"/>
      <c r="AG203" s="51"/>
      <c r="AH203" s="40"/>
    </row>
    <row r="204" ht="45.75" customHeight="1">
      <c r="A204" s="36">
        <v>203.0</v>
      </c>
      <c r="B204" s="36">
        <v>4362.0</v>
      </c>
      <c r="C204" s="36" t="s">
        <v>509</v>
      </c>
      <c r="D204" s="36" t="s">
        <v>1209</v>
      </c>
      <c r="E204" s="36" t="s">
        <v>4376</v>
      </c>
      <c r="F204" s="36" t="s">
        <v>4377</v>
      </c>
      <c r="G204" s="42" t="s">
        <v>4378</v>
      </c>
      <c r="H204" s="36" t="s">
        <v>64</v>
      </c>
      <c r="I204" s="36" t="s">
        <v>155</v>
      </c>
      <c r="J204" s="36" t="s">
        <v>62</v>
      </c>
      <c r="K204" s="36" t="s">
        <v>63</v>
      </c>
      <c r="L204" s="36">
        <v>25.0</v>
      </c>
      <c r="M204" s="36" t="s">
        <v>4381</v>
      </c>
      <c r="N204" s="36" t="s">
        <v>66</v>
      </c>
      <c r="O204" s="40"/>
      <c r="P204" s="36" t="s">
        <v>4382</v>
      </c>
      <c r="Q204" s="40"/>
      <c r="R204" s="40"/>
      <c r="S204" s="40"/>
      <c r="T204" s="40"/>
      <c r="U204" s="40"/>
      <c r="V204" s="40"/>
      <c r="W204" s="60"/>
      <c r="X204" s="57" t="s">
        <v>74</v>
      </c>
      <c r="Y204" s="36" t="s">
        <v>4383</v>
      </c>
      <c r="Z204" s="57">
        <v>9.088978032E9</v>
      </c>
      <c r="AA204" s="148" t="s">
        <v>4386</v>
      </c>
      <c r="AB204" s="58">
        <v>46023.0</v>
      </c>
      <c r="AC204" s="146">
        <v>46387.0</v>
      </c>
      <c r="AD204" s="36" t="s">
        <v>4387</v>
      </c>
      <c r="AE204" s="36" t="s">
        <v>79</v>
      </c>
      <c r="AF204" s="51"/>
      <c r="AG204" s="51"/>
      <c r="AH204" s="40"/>
    </row>
    <row r="205" ht="45.75" customHeight="1">
      <c r="A205" s="36">
        <v>204.0</v>
      </c>
      <c r="B205" s="36">
        <v>278.0</v>
      </c>
      <c r="C205" s="36" t="s">
        <v>509</v>
      </c>
      <c r="D205" s="36" t="s">
        <v>1209</v>
      </c>
      <c r="E205" s="36" t="s">
        <v>1238</v>
      </c>
      <c r="F205" s="36" t="s">
        <v>1240</v>
      </c>
      <c r="G205" s="42" t="s">
        <v>1242</v>
      </c>
      <c r="H205" s="36" t="s">
        <v>64</v>
      </c>
      <c r="I205" s="36" t="s">
        <v>65</v>
      </c>
      <c r="J205" s="36" t="s">
        <v>62</v>
      </c>
      <c r="K205" s="36" t="s">
        <v>68</v>
      </c>
      <c r="L205" s="36">
        <v>800.0</v>
      </c>
      <c r="M205" s="36" t="s">
        <v>4393</v>
      </c>
      <c r="N205" s="36" t="s">
        <v>71</v>
      </c>
      <c r="O205" s="40"/>
      <c r="P205" s="36" t="s">
        <v>4394</v>
      </c>
      <c r="Q205" s="40"/>
      <c r="R205" s="36"/>
      <c r="S205" s="40"/>
      <c r="T205" s="40"/>
      <c r="U205" s="36">
        <v>18.0</v>
      </c>
      <c r="V205" s="40"/>
      <c r="W205" s="60"/>
      <c r="X205" s="57" t="s">
        <v>93</v>
      </c>
      <c r="Y205" s="36" t="s">
        <v>1256</v>
      </c>
      <c r="Z205" s="57" t="s">
        <v>1258</v>
      </c>
      <c r="AA205" s="148" t="s">
        <v>1259</v>
      </c>
      <c r="AB205" s="58">
        <v>46023.0</v>
      </c>
      <c r="AC205" s="146">
        <v>46387.0</v>
      </c>
      <c r="AD205" s="36" t="s">
        <v>1261</v>
      </c>
      <c r="AE205" s="36" t="s">
        <v>79</v>
      </c>
      <c r="AF205" s="51"/>
      <c r="AG205" s="51"/>
      <c r="AH205" s="40"/>
    </row>
    <row r="206" ht="45.75" customHeight="1">
      <c r="A206" s="36">
        <v>205.0</v>
      </c>
      <c r="B206" s="40"/>
      <c r="C206" s="36" t="s">
        <v>509</v>
      </c>
      <c r="D206" s="36" t="s">
        <v>1209</v>
      </c>
      <c r="E206" s="36" t="s">
        <v>1238</v>
      </c>
      <c r="F206" s="36" t="s">
        <v>4399</v>
      </c>
      <c r="G206" s="42" t="s">
        <v>4401</v>
      </c>
      <c r="H206" s="36" t="s">
        <v>64</v>
      </c>
      <c r="I206" s="36" t="s">
        <v>155</v>
      </c>
      <c r="J206" s="36" t="s">
        <v>62</v>
      </c>
      <c r="K206" s="36" t="s">
        <v>63</v>
      </c>
      <c r="L206" s="36">
        <v>30.0</v>
      </c>
      <c r="M206" s="40"/>
      <c r="N206" s="36" t="s">
        <v>66</v>
      </c>
      <c r="O206" s="40"/>
      <c r="P206" s="36">
        <v>1.0</v>
      </c>
      <c r="Q206" s="36"/>
      <c r="R206" s="40"/>
      <c r="S206" s="40"/>
      <c r="T206" s="36" t="s">
        <v>4406</v>
      </c>
      <c r="U206" s="40"/>
      <c r="V206" s="40"/>
      <c r="W206" s="60"/>
      <c r="X206" s="57" t="s">
        <v>74</v>
      </c>
      <c r="Y206" s="36" t="s">
        <v>4408</v>
      </c>
      <c r="Z206" s="57">
        <v>9.190080678E9</v>
      </c>
      <c r="AA206" s="148" t="s">
        <v>4410</v>
      </c>
      <c r="AB206" s="58">
        <v>46023.0</v>
      </c>
      <c r="AC206" s="146">
        <v>46387.0</v>
      </c>
      <c r="AD206" s="36" t="s">
        <v>4412</v>
      </c>
      <c r="AE206" s="36" t="s">
        <v>79</v>
      </c>
      <c r="AF206" s="51"/>
      <c r="AG206" s="51"/>
      <c r="AH206" s="40"/>
    </row>
    <row r="207" ht="45.75" customHeight="1">
      <c r="A207" s="36">
        <v>206.0</v>
      </c>
      <c r="B207" s="36">
        <v>252.0</v>
      </c>
      <c r="C207" s="36" t="s">
        <v>509</v>
      </c>
      <c r="D207" s="36" t="s">
        <v>4417</v>
      </c>
      <c r="E207" s="36" t="s">
        <v>4418</v>
      </c>
      <c r="F207" s="36" t="s">
        <v>4419</v>
      </c>
      <c r="G207" s="42" t="s">
        <v>4420</v>
      </c>
      <c r="H207" s="36" t="s">
        <v>64</v>
      </c>
      <c r="I207" s="36" t="s">
        <v>155</v>
      </c>
      <c r="J207" s="36" t="s">
        <v>62</v>
      </c>
      <c r="K207" s="36" t="s">
        <v>63</v>
      </c>
      <c r="L207" s="36">
        <v>25.0</v>
      </c>
      <c r="M207" s="40"/>
      <c r="N207" s="36" t="s">
        <v>66</v>
      </c>
      <c r="O207" s="40"/>
      <c r="P207" s="36">
        <v>1.0</v>
      </c>
      <c r="Q207" s="36"/>
      <c r="R207" s="40"/>
      <c r="S207" s="40"/>
      <c r="T207" s="36" t="s">
        <v>4425</v>
      </c>
      <c r="U207" s="40"/>
      <c r="V207" s="40"/>
      <c r="W207" s="60"/>
      <c r="X207" s="57" t="s">
        <v>74</v>
      </c>
      <c r="Y207" s="36" t="s">
        <v>4428</v>
      </c>
      <c r="Z207" s="57">
        <v>9.489400932E9</v>
      </c>
      <c r="AA207" s="148" t="s">
        <v>4430</v>
      </c>
      <c r="AB207" s="58">
        <v>46023.0</v>
      </c>
      <c r="AC207" s="146">
        <v>46387.0</v>
      </c>
      <c r="AD207" s="36" t="s">
        <v>4432</v>
      </c>
      <c r="AE207" s="36" t="s">
        <v>79</v>
      </c>
      <c r="AF207" s="51"/>
      <c r="AG207" s="51"/>
      <c r="AH207" s="40"/>
    </row>
    <row r="208" ht="45.75" customHeight="1">
      <c r="A208" s="36">
        <v>207.0</v>
      </c>
      <c r="B208" s="36">
        <v>274.0</v>
      </c>
      <c r="C208" s="36" t="s">
        <v>509</v>
      </c>
      <c r="D208" s="36" t="s">
        <v>4417</v>
      </c>
      <c r="E208" s="36" t="s">
        <v>4435</v>
      </c>
      <c r="F208" s="36" t="s">
        <v>4436</v>
      </c>
      <c r="G208" s="42" t="s">
        <v>4438</v>
      </c>
      <c r="H208" s="36" t="s">
        <v>64</v>
      </c>
      <c r="I208" s="36" t="s">
        <v>155</v>
      </c>
      <c r="J208" s="36" t="s">
        <v>62</v>
      </c>
      <c r="K208" s="36" t="s">
        <v>63</v>
      </c>
      <c r="L208" s="36">
        <v>25.0</v>
      </c>
      <c r="M208" s="36" t="s">
        <v>4440</v>
      </c>
      <c r="N208" s="36" t="s">
        <v>66</v>
      </c>
      <c r="O208" s="40"/>
      <c r="P208" s="36" t="s">
        <v>4444</v>
      </c>
      <c r="Q208" s="36"/>
      <c r="R208" s="36"/>
      <c r="S208" s="40"/>
      <c r="T208" s="36" t="s">
        <v>61</v>
      </c>
      <c r="U208" s="36">
        <v>2.0</v>
      </c>
      <c r="V208" s="40"/>
      <c r="W208" s="60"/>
      <c r="X208" s="57" t="s">
        <v>74</v>
      </c>
      <c r="Y208" s="36" t="s">
        <v>4446</v>
      </c>
      <c r="Z208" s="57" t="s">
        <v>4448</v>
      </c>
      <c r="AA208" s="148" t="s">
        <v>4450</v>
      </c>
      <c r="AB208" s="58">
        <v>46023.0</v>
      </c>
      <c r="AC208" s="146">
        <v>46387.0</v>
      </c>
      <c r="AD208" s="36" t="s">
        <v>4451</v>
      </c>
      <c r="AE208" s="36" t="s">
        <v>79</v>
      </c>
      <c r="AF208" s="51"/>
      <c r="AG208" s="51"/>
      <c r="AH208" s="40"/>
    </row>
    <row r="209" ht="45.75" customHeight="1">
      <c r="A209" s="36">
        <v>208.0</v>
      </c>
      <c r="B209" s="36">
        <v>261.0</v>
      </c>
      <c r="C209" s="36" t="s">
        <v>509</v>
      </c>
      <c r="D209" s="36" t="s">
        <v>4417</v>
      </c>
      <c r="E209" s="36" t="s">
        <v>4454</v>
      </c>
      <c r="F209" s="36" t="s">
        <v>4456</v>
      </c>
      <c r="G209" s="42" t="s">
        <v>4457</v>
      </c>
      <c r="H209" s="36" t="s">
        <v>64</v>
      </c>
      <c r="I209" s="36" t="s">
        <v>155</v>
      </c>
      <c r="J209" s="36" t="s">
        <v>62</v>
      </c>
      <c r="K209" s="36" t="s">
        <v>63</v>
      </c>
      <c r="L209" s="36">
        <v>25.0</v>
      </c>
      <c r="M209" s="40"/>
      <c r="N209" s="36" t="s">
        <v>66</v>
      </c>
      <c r="O209" s="40"/>
      <c r="P209" s="36">
        <v>1.0</v>
      </c>
      <c r="Q209" s="36"/>
      <c r="R209" s="40"/>
      <c r="S209" s="40"/>
      <c r="T209" s="36" t="s">
        <v>4425</v>
      </c>
      <c r="U209" s="40"/>
      <c r="V209" s="40"/>
      <c r="W209" s="60"/>
      <c r="X209" s="57" t="s">
        <v>74</v>
      </c>
      <c r="Y209" s="36" t="s">
        <v>4462</v>
      </c>
      <c r="Z209" s="57">
        <v>9.512118584E9</v>
      </c>
      <c r="AA209" s="148" t="s">
        <v>4464</v>
      </c>
      <c r="AB209" s="58">
        <v>46023.0</v>
      </c>
      <c r="AC209" s="146">
        <v>46387.0</v>
      </c>
      <c r="AD209" s="36" t="s">
        <v>4466</v>
      </c>
      <c r="AE209" s="36" t="s">
        <v>79</v>
      </c>
      <c r="AF209" s="51"/>
      <c r="AG209" s="51"/>
      <c r="AH209" s="40"/>
    </row>
    <row r="210" ht="45.75" customHeight="1">
      <c r="A210" s="36">
        <v>209.0</v>
      </c>
      <c r="B210" s="36">
        <v>7489.0</v>
      </c>
      <c r="C210" s="36" t="s">
        <v>509</v>
      </c>
      <c r="D210" s="36" t="s">
        <v>4417</v>
      </c>
      <c r="E210" s="36" t="s">
        <v>4470</v>
      </c>
      <c r="F210" s="36" t="s">
        <v>4471</v>
      </c>
      <c r="G210" s="42" t="s">
        <v>4472</v>
      </c>
      <c r="H210" s="36" t="s">
        <v>64</v>
      </c>
      <c r="I210" s="36" t="s">
        <v>155</v>
      </c>
      <c r="J210" s="36" t="s">
        <v>62</v>
      </c>
      <c r="K210" s="36" t="s">
        <v>111</v>
      </c>
      <c r="L210" s="36">
        <v>103.0</v>
      </c>
      <c r="M210" s="36" t="s">
        <v>4475</v>
      </c>
      <c r="N210" s="36" t="s">
        <v>66</v>
      </c>
      <c r="O210" s="40"/>
      <c r="P210" s="36">
        <v>1.0</v>
      </c>
      <c r="Q210" s="36"/>
      <c r="R210" s="36"/>
      <c r="S210" s="40"/>
      <c r="T210" s="36" t="s">
        <v>4425</v>
      </c>
      <c r="U210" s="36">
        <v>10.0</v>
      </c>
      <c r="V210" s="40"/>
      <c r="W210" s="60"/>
      <c r="X210" s="57" t="s">
        <v>93</v>
      </c>
      <c r="Y210" s="36" t="s">
        <v>4478</v>
      </c>
      <c r="Z210" s="57">
        <v>9.279615507E9</v>
      </c>
      <c r="AA210" s="148" t="s">
        <v>4480</v>
      </c>
      <c r="AB210" s="58">
        <v>46023.0</v>
      </c>
      <c r="AC210" s="146">
        <v>46387.0</v>
      </c>
      <c r="AD210" s="36" t="s">
        <v>4483</v>
      </c>
      <c r="AE210" s="36" t="s">
        <v>79</v>
      </c>
      <c r="AF210" s="51"/>
      <c r="AG210" s="51"/>
      <c r="AH210" s="40"/>
    </row>
    <row r="211" ht="45.75" customHeight="1">
      <c r="A211" s="36">
        <v>210.0</v>
      </c>
      <c r="B211" s="36">
        <v>3831.0</v>
      </c>
      <c r="C211" s="36" t="s">
        <v>509</v>
      </c>
      <c r="D211" s="36" t="s">
        <v>4486</v>
      </c>
      <c r="E211" s="36" t="s">
        <v>4488</v>
      </c>
      <c r="F211" s="36" t="s">
        <v>4490</v>
      </c>
      <c r="G211" s="42" t="s">
        <v>4491</v>
      </c>
      <c r="H211" s="36" t="s">
        <v>64</v>
      </c>
      <c r="I211" s="36" t="s">
        <v>155</v>
      </c>
      <c r="J211" s="36" t="s">
        <v>62</v>
      </c>
      <c r="K211" s="36" t="s">
        <v>63</v>
      </c>
      <c r="L211" s="36">
        <v>25.0</v>
      </c>
      <c r="M211" s="36" t="s">
        <v>4493</v>
      </c>
      <c r="N211" s="36" t="s">
        <v>66</v>
      </c>
      <c r="O211" s="40"/>
      <c r="P211" s="36">
        <v>1.0</v>
      </c>
      <c r="Q211" s="36"/>
      <c r="R211" s="40"/>
      <c r="S211" s="40"/>
      <c r="T211" s="36" t="s">
        <v>4497</v>
      </c>
      <c r="U211" s="40"/>
      <c r="V211" s="40"/>
      <c r="W211" s="60"/>
      <c r="X211" s="57" t="s">
        <v>74</v>
      </c>
      <c r="Y211" s="36" t="s">
        <v>4499</v>
      </c>
      <c r="Z211" s="57" t="s">
        <v>4501</v>
      </c>
      <c r="AA211" s="148" t="s">
        <v>4502</v>
      </c>
      <c r="AB211" s="58">
        <v>46023.0</v>
      </c>
      <c r="AC211" s="146">
        <v>46387.0</v>
      </c>
      <c r="AD211" s="36" t="s">
        <v>4504</v>
      </c>
      <c r="AE211" s="36" t="s">
        <v>79</v>
      </c>
      <c r="AF211" s="51"/>
      <c r="AG211" s="51"/>
      <c r="AH211" s="40"/>
    </row>
    <row r="212" ht="45.75" customHeight="1">
      <c r="A212" s="36">
        <v>211.0</v>
      </c>
      <c r="B212" s="36">
        <v>267.0</v>
      </c>
      <c r="C212" s="36" t="s">
        <v>509</v>
      </c>
      <c r="D212" s="36" t="s">
        <v>4486</v>
      </c>
      <c r="E212" s="36" t="s">
        <v>4509</v>
      </c>
      <c r="F212" s="36" t="s">
        <v>4510</v>
      </c>
      <c r="G212" s="42" t="s">
        <v>4511</v>
      </c>
      <c r="H212" s="36" t="s">
        <v>64</v>
      </c>
      <c r="I212" s="36" t="s">
        <v>155</v>
      </c>
      <c r="J212" s="36" t="s">
        <v>62</v>
      </c>
      <c r="K212" s="36" t="s">
        <v>63</v>
      </c>
      <c r="L212" s="36">
        <v>100.0</v>
      </c>
      <c r="M212" s="36" t="s">
        <v>28</v>
      </c>
      <c r="N212" s="36" t="s">
        <v>66</v>
      </c>
      <c r="O212" s="36" t="s">
        <v>72</v>
      </c>
      <c r="P212" s="36" t="s">
        <v>4515</v>
      </c>
      <c r="Q212" s="40"/>
      <c r="R212" s="40"/>
      <c r="S212" s="40"/>
      <c r="T212" s="40"/>
      <c r="U212" s="40"/>
      <c r="V212" s="40"/>
      <c r="W212" s="60"/>
      <c r="X212" s="57" t="s">
        <v>74</v>
      </c>
      <c r="Y212" s="36" t="s">
        <v>4519</v>
      </c>
      <c r="Z212" s="57" t="s">
        <v>4520</v>
      </c>
      <c r="AA212" s="148" t="s">
        <v>4521</v>
      </c>
      <c r="AB212" s="58">
        <v>46023.0</v>
      </c>
      <c r="AC212" s="146">
        <v>46387.0</v>
      </c>
      <c r="AD212" s="36" t="s">
        <v>4522</v>
      </c>
      <c r="AE212" s="36" t="s">
        <v>79</v>
      </c>
      <c r="AF212" s="51"/>
      <c r="AG212" s="51"/>
      <c r="AH212" s="51"/>
    </row>
    <row r="213" ht="45.75" customHeight="1">
      <c r="A213" s="36">
        <v>212.0</v>
      </c>
      <c r="B213" s="36">
        <v>4576.0</v>
      </c>
      <c r="C213" s="36" t="s">
        <v>509</v>
      </c>
      <c r="D213" s="36" t="s">
        <v>4527</v>
      </c>
      <c r="E213" s="36" t="s">
        <v>4528</v>
      </c>
      <c r="F213" s="36" t="s">
        <v>4529</v>
      </c>
      <c r="G213" s="42" t="s">
        <v>4530</v>
      </c>
      <c r="H213" s="36" t="s">
        <v>64</v>
      </c>
      <c r="I213" s="36" t="s">
        <v>155</v>
      </c>
      <c r="J213" s="36" t="s">
        <v>62</v>
      </c>
      <c r="K213" s="36" t="s">
        <v>63</v>
      </c>
      <c r="L213" s="36">
        <v>25.0</v>
      </c>
      <c r="M213" s="36" t="s">
        <v>1831</v>
      </c>
      <c r="N213" s="36" t="s">
        <v>66</v>
      </c>
      <c r="O213" s="40"/>
      <c r="P213" s="36">
        <v>1.0</v>
      </c>
      <c r="Q213" s="36"/>
      <c r="R213" s="40"/>
      <c r="S213" s="40"/>
      <c r="T213" s="36" t="s">
        <v>4534</v>
      </c>
      <c r="U213" s="40"/>
      <c r="V213" s="40"/>
      <c r="W213" s="60"/>
      <c r="X213" s="57" t="s">
        <v>74</v>
      </c>
      <c r="Y213" s="36" t="s">
        <v>4537</v>
      </c>
      <c r="Z213" s="57">
        <v>9.338228016E9</v>
      </c>
      <c r="AA213" s="57" t="s">
        <v>4539</v>
      </c>
      <c r="AB213" s="58">
        <v>46023.0</v>
      </c>
      <c r="AC213" s="146">
        <v>46387.0</v>
      </c>
      <c r="AD213" s="36" t="s">
        <v>4541</v>
      </c>
      <c r="AE213" s="36" t="s">
        <v>79</v>
      </c>
      <c r="AF213" s="51"/>
      <c r="AG213" s="51"/>
      <c r="AH213" s="51"/>
    </row>
    <row r="214" ht="45.75" customHeight="1">
      <c r="A214" s="36">
        <v>213.0</v>
      </c>
      <c r="B214" s="36">
        <v>257.0</v>
      </c>
      <c r="C214" s="36" t="s">
        <v>509</v>
      </c>
      <c r="D214" s="36" t="s">
        <v>4527</v>
      </c>
      <c r="E214" s="36" t="s">
        <v>4544</v>
      </c>
      <c r="F214" s="36" t="s">
        <v>4545</v>
      </c>
      <c r="G214" s="42" t="s">
        <v>4547</v>
      </c>
      <c r="H214" s="36" t="s">
        <v>64</v>
      </c>
      <c r="I214" s="36" t="s">
        <v>155</v>
      </c>
      <c r="J214" s="36" t="s">
        <v>62</v>
      </c>
      <c r="K214" s="36" t="s">
        <v>63</v>
      </c>
      <c r="L214" s="36">
        <v>25.0</v>
      </c>
      <c r="M214" s="40"/>
      <c r="N214" s="36" t="s">
        <v>66</v>
      </c>
      <c r="O214" s="40"/>
      <c r="P214" s="36" t="s">
        <v>4553</v>
      </c>
      <c r="Q214" s="40"/>
      <c r="R214" s="40"/>
      <c r="S214" s="40"/>
      <c r="T214" s="40"/>
      <c r="U214" s="40"/>
      <c r="V214" s="40"/>
      <c r="W214" s="60"/>
      <c r="X214" s="57" t="s">
        <v>74</v>
      </c>
      <c r="Y214" s="36" t="s">
        <v>4555</v>
      </c>
      <c r="Z214" s="57">
        <v>9.611785529E9</v>
      </c>
      <c r="AA214" s="57" t="s">
        <v>4557</v>
      </c>
      <c r="AB214" s="58">
        <v>46023.0</v>
      </c>
      <c r="AC214" s="146">
        <v>46387.0</v>
      </c>
      <c r="AD214" s="36" t="s">
        <v>4559</v>
      </c>
      <c r="AE214" s="36" t="s">
        <v>79</v>
      </c>
      <c r="AF214" s="51"/>
      <c r="AG214" s="51"/>
      <c r="AH214" s="51"/>
    </row>
    <row r="215" ht="45.75" customHeight="1">
      <c r="A215" s="36">
        <v>214.0</v>
      </c>
      <c r="B215" s="36">
        <v>5058.0</v>
      </c>
      <c r="C215" s="36" t="s">
        <v>509</v>
      </c>
      <c r="D215" s="36" t="s">
        <v>4527</v>
      </c>
      <c r="E215" s="36" t="s">
        <v>4563</v>
      </c>
      <c r="F215" s="36" t="s">
        <v>4565</v>
      </c>
      <c r="G215" s="42" t="s">
        <v>4566</v>
      </c>
      <c r="H215" s="36" t="s">
        <v>64</v>
      </c>
      <c r="I215" s="36" t="s">
        <v>155</v>
      </c>
      <c r="J215" s="36" t="s">
        <v>62</v>
      </c>
      <c r="K215" s="36" t="s">
        <v>63</v>
      </c>
      <c r="L215" s="36">
        <v>25.0</v>
      </c>
      <c r="M215" s="40"/>
      <c r="N215" s="36" t="s">
        <v>66</v>
      </c>
      <c r="O215" s="40"/>
      <c r="P215" s="36">
        <v>1.0</v>
      </c>
      <c r="Q215" s="36"/>
      <c r="R215" s="40"/>
      <c r="S215" s="40"/>
      <c r="T215" s="36" t="s">
        <v>4534</v>
      </c>
      <c r="U215" s="40"/>
      <c r="V215" s="40"/>
      <c r="W215" s="60"/>
      <c r="X215" s="57" t="s">
        <v>74</v>
      </c>
      <c r="Y215" s="36" t="s">
        <v>4571</v>
      </c>
      <c r="Z215" s="57">
        <v>9.476169184E9</v>
      </c>
      <c r="AA215" s="148" t="s">
        <v>4573</v>
      </c>
      <c r="AB215" s="58">
        <v>46023.0</v>
      </c>
      <c r="AC215" s="146">
        <v>46387.0</v>
      </c>
      <c r="AD215" s="36" t="s">
        <v>4575</v>
      </c>
      <c r="AE215" s="36" t="s">
        <v>79</v>
      </c>
      <c r="AF215" s="51"/>
      <c r="AG215" s="51"/>
      <c r="AH215" s="51"/>
    </row>
    <row r="216" ht="45.75" customHeight="1">
      <c r="A216" s="36">
        <v>215.0</v>
      </c>
      <c r="B216" s="36">
        <v>7483.0</v>
      </c>
      <c r="C216" s="36" t="s">
        <v>509</v>
      </c>
      <c r="D216" s="36" t="s">
        <v>4527</v>
      </c>
      <c r="E216" s="36" t="s">
        <v>4580</v>
      </c>
      <c r="F216" s="36" t="s">
        <v>4581</v>
      </c>
      <c r="G216" s="42" t="s">
        <v>4582</v>
      </c>
      <c r="H216" s="36" t="s">
        <v>64</v>
      </c>
      <c r="I216" s="36" t="s">
        <v>155</v>
      </c>
      <c r="J216" s="36" t="s">
        <v>62</v>
      </c>
      <c r="K216" s="36" t="s">
        <v>63</v>
      </c>
      <c r="L216" s="36">
        <v>25.0</v>
      </c>
      <c r="M216" s="36" t="s">
        <v>4586</v>
      </c>
      <c r="N216" s="36" t="s">
        <v>66</v>
      </c>
      <c r="O216" s="40"/>
      <c r="P216" s="36">
        <v>1.0</v>
      </c>
      <c r="Q216" s="36"/>
      <c r="R216" s="40"/>
      <c r="S216" s="40"/>
      <c r="T216" s="36" t="s">
        <v>4534</v>
      </c>
      <c r="U216" s="40"/>
      <c r="V216" s="40"/>
      <c r="W216" s="60"/>
      <c r="X216" s="57" t="s">
        <v>74</v>
      </c>
      <c r="Y216" s="36" t="s">
        <v>4591</v>
      </c>
      <c r="Z216" s="57">
        <v>9.988851077E9</v>
      </c>
      <c r="AA216" s="148" t="s">
        <v>4592</v>
      </c>
      <c r="AB216" s="58">
        <v>46023.0</v>
      </c>
      <c r="AC216" s="146">
        <v>46387.0</v>
      </c>
      <c r="AD216" s="36" t="s">
        <v>4594</v>
      </c>
      <c r="AE216" s="36" t="s">
        <v>79</v>
      </c>
      <c r="AF216" s="51"/>
      <c r="AG216" s="51"/>
      <c r="AH216" s="51"/>
    </row>
    <row r="217" ht="45.75" customHeight="1">
      <c r="A217" s="36">
        <v>216.0</v>
      </c>
      <c r="B217" s="36">
        <v>23618.0</v>
      </c>
      <c r="C217" s="36" t="s">
        <v>509</v>
      </c>
      <c r="D217" s="36" t="s">
        <v>4527</v>
      </c>
      <c r="E217" s="36" t="s">
        <v>4599</v>
      </c>
      <c r="F217" s="36" t="s">
        <v>4601</v>
      </c>
      <c r="G217" s="42" t="s">
        <v>4602</v>
      </c>
      <c r="H217" s="36" t="s">
        <v>64</v>
      </c>
      <c r="I217" s="36" t="s">
        <v>155</v>
      </c>
      <c r="J217" s="36" t="s">
        <v>62</v>
      </c>
      <c r="K217" s="36" t="s">
        <v>111</v>
      </c>
      <c r="L217" s="36">
        <v>100.0</v>
      </c>
      <c r="M217" s="36" t="s">
        <v>4607</v>
      </c>
      <c r="N217" s="36" t="s">
        <v>221</v>
      </c>
      <c r="O217" s="40"/>
      <c r="P217" s="36" t="s">
        <v>4609</v>
      </c>
      <c r="Q217" s="40"/>
      <c r="R217" s="36"/>
      <c r="S217" s="40"/>
      <c r="T217" s="40"/>
      <c r="U217" s="36">
        <v>12.0</v>
      </c>
      <c r="V217" s="40"/>
      <c r="W217" s="60"/>
      <c r="X217" s="57" t="s">
        <v>93</v>
      </c>
      <c r="Y217" s="36" t="s">
        <v>4612</v>
      </c>
      <c r="Z217" s="57">
        <v>9.213514777E9</v>
      </c>
      <c r="AA217" s="148" t="s">
        <v>4614</v>
      </c>
      <c r="AB217" s="58">
        <v>46023.0</v>
      </c>
      <c r="AC217" s="146">
        <v>46387.0</v>
      </c>
      <c r="AD217" s="36" t="s">
        <v>4615</v>
      </c>
      <c r="AE217" s="36" t="s">
        <v>79</v>
      </c>
      <c r="AF217" s="51"/>
      <c r="AG217" s="51"/>
      <c r="AH217" s="51"/>
    </row>
    <row r="218" ht="45.75" customHeight="1">
      <c r="A218" s="36">
        <v>217.0</v>
      </c>
      <c r="B218" s="36">
        <v>513.0</v>
      </c>
      <c r="C218" s="36" t="s">
        <v>581</v>
      </c>
      <c r="D218" s="36" t="s">
        <v>4618</v>
      </c>
      <c r="E218" s="36" t="s">
        <v>4620</v>
      </c>
      <c r="F218" s="36" t="s">
        <v>4622</v>
      </c>
      <c r="G218" s="42" t="s">
        <v>4624</v>
      </c>
      <c r="H218" s="36" t="s">
        <v>64</v>
      </c>
      <c r="I218" s="36" t="s">
        <v>155</v>
      </c>
      <c r="J218" s="36" t="s">
        <v>62</v>
      </c>
      <c r="K218" s="36" t="s">
        <v>111</v>
      </c>
      <c r="L218" s="36">
        <v>300.0</v>
      </c>
      <c r="M218" s="36" t="s">
        <v>4627</v>
      </c>
      <c r="N218" s="36" t="s">
        <v>71</v>
      </c>
      <c r="O218" s="36" t="s">
        <v>72</v>
      </c>
      <c r="P218" s="36" t="s">
        <v>4628</v>
      </c>
      <c r="Q218" s="36" t="s">
        <v>1298</v>
      </c>
      <c r="R218" s="36"/>
      <c r="S218" s="36"/>
      <c r="T218" s="56"/>
      <c r="U218" s="36">
        <v>15.0</v>
      </c>
      <c r="V218" s="36" t="s">
        <v>61</v>
      </c>
      <c r="W218" s="56" t="s">
        <v>4629</v>
      </c>
      <c r="X218" s="57" t="s">
        <v>93</v>
      </c>
      <c r="Y218" s="36" t="s">
        <v>4631</v>
      </c>
      <c r="Z218" s="57" t="s">
        <v>4632</v>
      </c>
      <c r="AA218" s="148" t="s">
        <v>4634</v>
      </c>
      <c r="AB218" s="58">
        <v>46023.0</v>
      </c>
      <c r="AC218" s="146">
        <v>46387.0</v>
      </c>
      <c r="AD218" s="36" t="s">
        <v>4635</v>
      </c>
      <c r="AE218" s="36" t="s">
        <v>79</v>
      </c>
      <c r="AF218" s="65"/>
      <c r="AG218" s="40"/>
      <c r="AH218" s="51"/>
    </row>
    <row r="219" ht="45.75" customHeight="1">
      <c r="A219" s="36">
        <v>218.0</v>
      </c>
      <c r="B219" s="40"/>
      <c r="C219" s="36" t="s">
        <v>581</v>
      </c>
      <c r="D219" s="36" t="s">
        <v>4618</v>
      </c>
      <c r="E219" s="36" t="s">
        <v>4640</v>
      </c>
      <c r="F219" s="36" t="s">
        <v>4641</v>
      </c>
      <c r="G219" s="42" t="s">
        <v>4643</v>
      </c>
      <c r="H219" s="36" t="s">
        <v>64</v>
      </c>
      <c r="I219" s="36" t="s">
        <v>155</v>
      </c>
      <c r="J219" s="36" t="s">
        <v>62</v>
      </c>
      <c r="K219" s="36" t="s">
        <v>63</v>
      </c>
      <c r="L219" s="36">
        <v>25.0</v>
      </c>
      <c r="M219" s="36" t="s">
        <v>4647</v>
      </c>
      <c r="N219" s="36" t="s">
        <v>66</v>
      </c>
      <c r="O219" s="36" t="s">
        <v>72</v>
      </c>
      <c r="P219" s="36" t="s">
        <v>4649</v>
      </c>
      <c r="Q219" s="36" t="s">
        <v>61</v>
      </c>
      <c r="R219" s="36"/>
      <c r="S219" s="36"/>
      <c r="T219" s="56"/>
      <c r="U219" s="36" t="s">
        <v>61</v>
      </c>
      <c r="V219" s="36" t="s">
        <v>61</v>
      </c>
      <c r="W219" s="56" t="s">
        <v>4629</v>
      </c>
      <c r="X219" s="57" t="s">
        <v>74</v>
      </c>
      <c r="Y219" s="36" t="s">
        <v>4653</v>
      </c>
      <c r="Z219" s="57" t="s">
        <v>4655</v>
      </c>
      <c r="AA219" s="148" t="s">
        <v>4657</v>
      </c>
      <c r="AB219" s="58">
        <v>46023.0</v>
      </c>
      <c r="AC219" s="146">
        <v>46387.0</v>
      </c>
      <c r="AD219" s="36" t="s">
        <v>4658</v>
      </c>
      <c r="AE219" s="36" t="s">
        <v>79</v>
      </c>
      <c r="AF219" s="65"/>
      <c r="AG219" s="40"/>
      <c r="AH219" s="51"/>
    </row>
    <row r="220" ht="45.75" customHeight="1">
      <c r="A220" s="36">
        <v>219.0</v>
      </c>
      <c r="B220" s="36">
        <v>5795.0</v>
      </c>
      <c r="C220" s="36" t="s">
        <v>581</v>
      </c>
      <c r="D220" s="36" t="s">
        <v>4660</v>
      </c>
      <c r="E220" s="36" t="s">
        <v>4662</v>
      </c>
      <c r="F220" s="36" t="s">
        <v>4663</v>
      </c>
      <c r="G220" s="42" t="s">
        <v>4664</v>
      </c>
      <c r="H220" s="36" t="s">
        <v>64</v>
      </c>
      <c r="I220" s="36" t="s">
        <v>155</v>
      </c>
      <c r="J220" s="36" t="s">
        <v>62</v>
      </c>
      <c r="K220" s="36" t="s">
        <v>63</v>
      </c>
      <c r="L220" s="36">
        <v>25.0</v>
      </c>
      <c r="M220" s="36" t="s">
        <v>4668</v>
      </c>
      <c r="N220" s="36" t="s">
        <v>66</v>
      </c>
      <c r="O220" s="36" t="s">
        <v>67</v>
      </c>
      <c r="P220" s="36" t="s">
        <v>4670</v>
      </c>
      <c r="Q220" s="36" t="s">
        <v>61</v>
      </c>
      <c r="R220" s="36"/>
      <c r="S220" s="36"/>
      <c r="T220" s="56"/>
      <c r="U220" s="36">
        <v>12.0</v>
      </c>
      <c r="V220" s="36" t="s">
        <v>61</v>
      </c>
      <c r="W220" s="56" t="s">
        <v>4629</v>
      </c>
      <c r="X220" s="57" t="s">
        <v>74</v>
      </c>
      <c r="Y220" s="36" t="s">
        <v>4671</v>
      </c>
      <c r="Z220" s="57" t="s">
        <v>4674</v>
      </c>
      <c r="AA220" s="148" t="s">
        <v>4675</v>
      </c>
      <c r="AB220" s="58">
        <v>46023.0</v>
      </c>
      <c r="AC220" s="146">
        <v>46387.0</v>
      </c>
      <c r="AD220" s="36" t="s">
        <v>4676</v>
      </c>
      <c r="AE220" s="36" t="s">
        <v>79</v>
      </c>
      <c r="AF220" s="65"/>
      <c r="AG220" s="40"/>
      <c r="AH220" s="51"/>
    </row>
    <row r="221" ht="45.75" customHeight="1">
      <c r="A221" s="36">
        <v>220.0</v>
      </c>
      <c r="B221" s="36">
        <v>7121.0</v>
      </c>
      <c r="C221" s="36" t="s">
        <v>581</v>
      </c>
      <c r="D221" s="36" t="s">
        <v>4660</v>
      </c>
      <c r="E221" s="36" t="s">
        <v>4680</v>
      </c>
      <c r="F221" s="36" t="s">
        <v>4682</v>
      </c>
      <c r="G221" s="42" t="s">
        <v>4683</v>
      </c>
      <c r="H221" s="36" t="s">
        <v>64</v>
      </c>
      <c r="I221" s="36" t="s">
        <v>155</v>
      </c>
      <c r="J221" s="36" t="s">
        <v>62</v>
      </c>
      <c r="K221" s="36" t="s">
        <v>111</v>
      </c>
      <c r="L221" s="36">
        <v>100.0</v>
      </c>
      <c r="M221" s="36" t="s">
        <v>4685</v>
      </c>
      <c r="N221" s="36" t="s">
        <v>66</v>
      </c>
      <c r="O221" s="36" t="s">
        <v>72</v>
      </c>
      <c r="P221" s="36" t="s">
        <v>4688</v>
      </c>
      <c r="Q221" s="36" t="s">
        <v>1298</v>
      </c>
      <c r="R221" s="36"/>
      <c r="S221" s="36"/>
      <c r="T221" s="56"/>
      <c r="U221" s="36">
        <v>19.0</v>
      </c>
      <c r="V221" s="36" t="s">
        <v>61</v>
      </c>
      <c r="W221" s="56" t="s">
        <v>4629</v>
      </c>
      <c r="X221" s="57" t="s">
        <v>93</v>
      </c>
      <c r="Y221" s="36" t="s">
        <v>4691</v>
      </c>
      <c r="Z221" s="57" t="s">
        <v>4692</v>
      </c>
      <c r="AA221" s="148" t="s">
        <v>4693</v>
      </c>
      <c r="AB221" s="58">
        <v>46023.0</v>
      </c>
      <c r="AC221" s="146">
        <v>46387.0</v>
      </c>
      <c r="AD221" s="36" t="s">
        <v>4696</v>
      </c>
      <c r="AE221" s="36" t="s">
        <v>79</v>
      </c>
      <c r="AF221" s="36" t="s">
        <v>61</v>
      </c>
      <c r="AG221" s="40"/>
      <c r="AH221" s="51"/>
    </row>
    <row r="222" ht="45.75" customHeight="1">
      <c r="A222" s="36">
        <v>221.0</v>
      </c>
      <c r="B222" s="36">
        <v>3827.0</v>
      </c>
      <c r="C222" s="36" t="s">
        <v>581</v>
      </c>
      <c r="D222" s="36" t="s">
        <v>4660</v>
      </c>
      <c r="E222" s="36" t="s">
        <v>4699</v>
      </c>
      <c r="F222" s="36" t="s">
        <v>4701</v>
      </c>
      <c r="G222" s="42" t="s">
        <v>4702</v>
      </c>
      <c r="H222" s="36" t="s">
        <v>64</v>
      </c>
      <c r="I222" s="36" t="s">
        <v>155</v>
      </c>
      <c r="J222" s="36" t="s">
        <v>62</v>
      </c>
      <c r="K222" s="36" t="s">
        <v>63</v>
      </c>
      <c r="L222" s="36">
        <v>25.0</v>
      </c>
      <c r="M222" s="36" t="s">
        <v>4629</v>
      </c>
      <c r="N222" s="36" t="s">
        <v>66</v>
      </c>
      <c r="O222" s="36" t="s">
        <v>67</v>
      </c>
      <c r="P222" s="36" t="s">
        <v>4706</v>
      </c>
      <c r="Q222" s="36" t="s">
        <v>61</v>
      </c>
      <c r="R222" s="36"/>
      <c r="S222" s="36"/>
      <c r="T222" s="56"/>
      <c r="U222" s="36" t="s">
        <v>61</v>
      </c>
      <c r="V222" s="36" t="s">
        <v>61</v>
      </c>
      <c r="W222" s="56" t="s">
        <v>4629</v>
      </c>
      <c r="X222" s="57" t="s">
        <v>74</v>
      </c>
      <c r="Y222" s="36" t="s">
        <v>4709</v>
      </c>
      <c r="Z222" s="57" t="s">
        <v>4711</v>
      </c>
      <c r="AA222" s="148" t="s">
        <v>4713</v>
      </c>
      <c r="AB222" s="58">
        <v>46023.0</v>
      </c>
      <c r="AC222" s="146">
        <v>46387.0</v>
      </c>
      <c r="AD222" s="36" t="s">
        <v>4714</v>
      </c>
      <c r="AE222" s="36" t="s">
        <v>79</v>
      </c>
      <c r="AF222" s="65"/>
      <c r="AG222" s="40"/>
      <c r="AH222" s="51"/>
    </row>
    <row r="223" ht="45.75" customHeight="1">
      <c r="A223" s="36">
        <v>222.0</v>
      </c>
      <c r="B223" s="36">
        <v>745.0</v>
      </c>
      <c r="C223" s="36" t="s">
        <v>581</v>
      </c>
      <c r="D223" s="36" t="s">
        <v>4717</v>
      </c>
      <c r="E223" s="36" t="s">
        <v>4719</v>
      </c>
      <c r="F223" s="36" t="s">
        <v>4720</v>
      </c>
      <c r="G223" s="42" t="s">
        <v>4722</v>
      </c>
      <c r="H223" s="36" t="s">
        <v>64</v>
      </c>
      <c r="I223" s="36" t="s">
        <v>155</v>
      </c>
      <c r="J223" s="36" t="s">
        <v>62</v>
      </c>
      <c r="K223" s="36" t="s">
        <v>63</v>
      </c>
      <c r="L223" s="36">
        <v>44.0</v>
      </c>
      <c r="M223" s="36" t="s">
        <v>4725</v>
      </c>
      <c r="N223" s="36" t="s">
        <v>66</v>
      </c>
      <c r="O223" s="36" t="s">
        <v>67</v>
      </c>
      <c r="P223" s="36" t="s">
        <v>4726</v>
      </c>
      <c r="Q223" s="36" t="s">
        <v>61</v>
      </c>
      <c r="R223" s="36"/>
      <c r="S223" s="36"/>
      <c r="T223" s="56"/>
      <c r="U223" s="36" t="s">
        <v>61</v>
      </c>
      <c r="V223" s="36" t="s">
        <v>61</v>
      </c>
      <c r="W223" s="56" t="s">
        <v>4629</v>
      </c>
      <c r="X223" s="57" t="s">
        <v>74</v>
      </c>
      <c r="Y223" s="36" t="s">
        <v>4727</v>
      </c>
      <c r="Z223" s="57" t="s">
        <v>4728</v>
      </c>
      <c r="AA223" s="57" t="s">
        <v>4729</v>
      </c>
      <c r="AB223" s="58">
        <v>46023.0</v>
      </c>
      <c r="AC223" s="146">
        <v>46387.0</v>
      </c>
      <c r="AD223" s="36" t="s">
        <v>4730</v>
      </c>
      <c r="AE223" s="36" t="s">
        <v>79</v>
      </c>
      <c r="AF223" s="65"/>
      <c r="AG223" s="40"/>
      <c r="AH223" s="51"/>
    </row>
    <row r="224" ht="45.75" customHeight="1">
      <c r="A224" s="36">
        <v>223.0</v>
      </c>
      <c r="B224" s="36">
        <v>4759.0</v>
      </c>
      <c r="C224" s="36" t="s">
        <v>581</v>
      </c>
      <c r="D224" s="36" t="s">
        <v>4717</v>
      </c>
      <c r="E224" s="36" t="s">
        <v>4733</v>
      </c>
      <c r="F224" s="36" t="s">
        <v>4735</v>
      </c>
      <c r="G224" s="42" t="s">
        <v>4736</v>
      </c>
      <c r="H224" s="36" t="s">
        <v>64</v>
      </c>
      <c r="I224" s="36" t="s">
        <v>155</v>
      </c>
      <c r="J224" s="36" t="s">
        <v>62</v>
      </c>
      <c r="K224" s="36" t="s">
        <v>63</v>
      </c>
      <c r="L224" s="36">
        <v>50.0</v>
      </c>
      <c r="M224" s="40"/>
      <c r="N224" s="36" t="s">
        <v>66</v>
      </c>
      <c r="O224" s="36" t="s">
        <v>67</v>
      </c>
      <c r="P224" s="36" t="s">
        <v>4741</v>
      </c>
      <c r="Q224" s="36" t="s">
        <v>61</v>
      </c>
      <c r="R224" s="36"/>
      <c r="S224" s="36"/>
      <c r="T224" s="56"/>
      <c r="U224" s="36" t="s">
        <v>61</v>
      </c>
      <c r="V224" s="36" t="s">
        <v>61</v>
      </c>
      <c r="W224" s="56" t="s">
        <v>4629</v>
      </c>
      <c r="X224" s="57" t="s">
        <v>74</v>
      </c>
      <c r="Y224" s="36" t="s">
        <v>4744</v>
      </c>
      <c r="Z224" s="57" t="s">
        <v>4745</v>
      </c>
      <c r="AA224" s="148" t="s">
        <v>4746</v>
      </c>
      <c r="AB224" s="58">
        <v>46023.0</v>
      </c>
      <c r="AC224" s="146">
        <v>46387.0</v>
      </c>
      <c r="AD224" s="36" t="s">
        <v>4747</v>
      </c>
      <c r="AE224" s="36" t="s">
        <v>79</v>
      </c>
      <c r="AF224" s="65"/>
      <c r="AG224" s="40"/>
      <c r="AH224" s="51"/>
    </row>
    <row r="225" ht="45.75" customHeight="1">
      <c r="A225" s="36">
        <v>224.0</v>
      </c>
      <c r="B225" s="36">
        <v>419.0</v>
      </c>
      <c r="C225" s="36" t="s">
        <v>581</v>
      </c>
      <c r="D225" s="36" t="s">
        <v>4717</v>
      </c>
      <c r="E225" s="36" t="s">
        <v>4752</v>
      </c>
      <c r="F225" s="36" t="s">
        <v>4753</v>
      </c>
      <c r="G225" s="42" t="s">
        <v>4754</v>
      </c>
      <c r="H225" s="36" t="s">
        <v>64</v>
      </c>
      <c r="I225" s="36" t="s">
        <v>155</v>
      </c>
      <c r="J225" s="36" t="s">
        <v>62</v>
      </c>
      <c r="K225" s="36" t="s">
        <v>63</v>
      </c>
      <c r="L225" s="36">
        <v>50.0</v>
      </c>
      <c r="M225" s="36" t="s">
        <v>4758</v>
      </c>
      <c r="N225" s="36" t="s">
        <v>66</v>
      </c>
      <c r="O225" s="36" t="s">
        <v>67</v>
      </c>
      <c r="P225" s="36" t="s">
        <v>4760</v>
      </c>
      <c r="Q225" s="36" t="s">
        <v>61</v>
      </c>
      <c r="R225" s="36"/>
      <c r="S225" s="36"/>
      <c r="T225" s="56"/>
      <c r="U225" s="36" t="s">
        <v>61</v>
      </c>
      <c r="V225" s="36" t="s">
        <v>61</v>
      </c>
      <c r="W225" s="56" t="s">
        <v>4629</v>
      </c>
      <c r="X225" s="57" t="s">
        <v>74</v>
      </c>
      <c r="Y225" s="36" t="s">
        <v>4765</v>
      </c>
      <c r="Z225" s="57" t="s">
        <v>4766</v>
      </c>
      <c r="AA225" s="148" t="s">
        <v>4767</v>
      </c>
      <c r="AB225" s="58">
        <v>46023.0</v>
      </c>
      <c r="AC225" s="146">
        <v>46387.0</v>
      </c>
      <c r="AD225" s="36" t="s">
        <v>4768</v>
      </c>
      <c r="AE225" s="36" t="s">
        <v>79</v>
      </c>
      <c r="AF225" s="65"/>
      <c r="AG225" s="40"/>
      <c r="AH225" s="51"/>
    </row>
    <row r="226" ht="45.75" customHeight="1">
      <c r="A226" s="36">
        <v>225.0</v>
      </c>
      <c r="B226" s="36">
        <v>5029.0</v>
      </c>
      <c r="C226" s="36" t="s">
        <v>581</v>
      </c>
      <c r="D226" s="36" t="s">
        <v>4717</v>
      </c>
      <c r="E226" s="36" t="s">
        <v>4771</v>
      </c>
      <c r="F226" s="36" t="s">
        <v>4772</v>
      </c>
      <c r="G226" s="42" t="s">
        <v>4773</v>
      </c>
      <c r="H226" s="36" t="s">
        <v>64</v>
      </c>
      <c r="I226" s="36" t="s">
        <v>155</v>
      </c>
      <c r="J226" s="36" t="s">
        <v>62</v>
      </c>
      <c r="K226" s="36" t="s">
        <v>111</v>
      </c>
      <c r="L226" s="36">
        <v>147.0</v>
      </c>
      <c r="M226" s="36" t="s">
        <v>4781</v>
      </c>
      <c r="N226" s="36" t="s">
        <v>66</v>
      </c>
      <c r="O226" s="36" t="s">
        <v>67</v>
      </c>
      <c r="P226" s="36" t="s">
        <v>4782</v>
      </c>
      <c r="Q226" s="36" t="s">
        <v>1298</v>
      </c>
      <c r="R226" s="36"/>
      <c r="S226" s="36"/>
      <c r="T226" s="56"/>
      <c r="U226" s="36">
        <v>10.0</v>
      </c>
      <c r="V226" s="36" t="s">
        <v>61</v>
      </c>
      <c r="W226" s="56" t="s">
        <v>4629</v>
      </c>
      <c r="X226" s="57" t="s">
        <v>93</v>
      </c>
      <c r="Y226" s="36" t="s">
        <v>4784</v>
      </c>
      <c r="Z226" s="57" t="s">
        <v>4787</v>
      </c>
      <c r="AA226" s="57" t="s">
        <v>4788</v>
      </c>
      <c r="AB226" s="58">
        <v>46023.0</v>
      </c>
      <c r="AC226" s="146">
        <v>46387.0</v>
      </c>
      <c r="AD226" s="36" t="s">
        <v>4790</v>
      </c>
      <c r="AE226" s="36" t="s">
        <v>79</v>
      </c>
      <c r="AF226" s="36" t="s">
        <v>61</v>
      </c>
      <c r="AG226" s="40"/>
      <c r="AH226" s="51"/>
    </row>
    <row r="227" ht="45.75" customHeight="1">
      <c r="A227" s="36">
        <v>226.0</v>
      </c>
      <c r="B227" s="36">
        <v>561.0</v>
      </c>
      <c r="C227" s="36" t="s">
        <v>581</v>
      </c>
      <c r="D227" s="36" t="s">
        <v>4794</v>
      </c>
      <c r="E227" s="36" t="s">
        <v>4795</v>
      </c>
      <c r="F227" s="36" t="s">
        <v>4796</v>
      </c>
      <c r="G227" s="42" t="s">
        <v>4798</v>
      </c>
      <c r="H227" s="36" t="s">
        <v>64</v>
      </c>
      <c r="I227" s="36" t="s">
        <v>155</v>
      </c>
      <c r="J227" s="36" t="s">
        <v>62</v>
      </c>
      <c r="K227" s="36" t="s">
        <v>63</v>
      </c>
      <c r="L227" s="36">
        <v>75.0</v>
      </c>
      <c r="M227" s="36" t="s">
        <v>4800</v>
      </c>
      <c r="N227" s="36" t="s">
        <v>66</v>
      </c>
      <c r="O227" s="36" t="s">
        <v>67</v>
      </c>
      <c r="P227" s="36" t="s">
        <v>4803</v>
      </c>
      <c r="Q227" s="36" t="s">
        <v>61</v>
      </c>
      <c r="R227" s="36"/>
      <c r="S227" s="36"/>
      <c r="T227" s="60"/>
      <c r="U227" s="36">
        <v>10.0</v>
      </c>
      <c r="V227" s="36" t="s">
        <v>61</v>
      </c>
      <c r="W227" s="60"/>
      <c r="X227" s="57" t="s">
        <v>74</v>
      </c>
      <c r="Y227" s="36" t="s">
        <v>4806</v>
      </c>
      <c r="Z227" s="57" t="s">
        <v>4808</v>
      </c>
      <c r="AA227" s="148" t="s">
        <v>4810</v>
      </c>
      <c r="AB227" s="58">
        <v>46023.0</v>
      </c>
      <c r="AC227" s="146">
        <v>46387.0</v>
      </c>
      <c r="AD227" s="36" t="s">
        <v>4811</v>
      </c>
      <c r="AE227" s="36" t="s">
        <v>79</v>
      </c>
      <c r="AF227" s="65"/>
      <c r="AG227" s="40"/>
      <c r="AH227" s="51"/>
    </row>
    <row r="228" ht="45.75" customHeight="1">
      <c r="A228" s="36">
        <v>227.0</v>
      </c>
      <c r="B228" s="36">
        <v>5451.0</v>
      </c>
      <c r="C228" s="36" t="s">
        <v>581</v>
      </c>
      <c r="D228" s="36" t="s">
        <v>1274</v>
      </c>
      <c r="E228" s="36" t="s">
        <v>4815</v>
      </c>
      <c r="F228" s="36" t="s">
        <v>4817</v>
      </c>
      <c r="G228" s="42" t="s">
        <v>4819</v>
      </c>
      <c r="H228" s="36" t="s">
        <v>64</v>
      </c>
      <c r="I228" s="36" t="s">
        <v>155</v>
      </c>
      <c r="J228" s="36" t="s">
        <v>62</v>
      </c>
      <c r="K228" s="36" t="s">
        <v>63</v>
      </c>
      <c r="L228" s="36">
        <v>100.0</v>
      </c>
      <c r="M228" s="36" t="s">
        <v>4822</v>
      </c>
      <c r="N228" s="36" t="s">
        <v>66</v>
      </c>
      <c r="O228" s="36" t="s">
        <v>67</v>
      </c>
      <c r="P228" s="36" t="s">
        <v>4823</v>
      </c>
      <c r="Q228" s="36" t="s">
        <v>61</v>
      </c>
      <c r="R228" s="36"/>
      <c r="S228" s="36"/>
      <c r="T228" s="56"/>
      <c r="U228" s="36" t="s">
        <v>61</v>
      </c>
      <c r="V228" s="36" t="s">
        <v>61</v>
      </c>
      <c r="W228" s="56" t="s">
        <v>4629</v>
      </c>
      <c r="X228" s="57" t="s">
        <v>74</v>
      </c>
      <c r="Y228" s="36" t="s">
        <v>4828</v>
      </c>
      <c r="Z228" s="57" t="s">
        <v>4829</v>
      </c>
      <c r="AA228" s="57" t="s">
        <v>4830</v>
      </c>
      <c r="AB228" s="58">
        <v>46023.0</v>
      </c>
      <c r="AC228" s="146">
        <v>46387.0</v>
      </c>
      <c r="AD228" s="36" t="s">
        <v>4831</v>
      </c>
      <c r="AE228" s="36" t="s">
        <v>79</v>
      </c>
      <c r="AF228" s="65"/>
      <c r="AG228" s="40"/>
      <c r="AH228" s="51"/>
    </row>
    <row r="229" ht="45.75" customHeight="1">
      <c r="A229" s="36">
        <v>228.0</v>
      </c>
      <c r="B229" s="36">
        <v>3752.0</v>
      </c>
      <c r="C229" s="36" t="s">
        <v>581</v>
      </c>
      <c r="D229" s="36" t="s">
        <v>1274</v>
      </c>
      <c r="E229" s="36" t="s">
        <v>4834</v>
      </c>
      <c r="F229" s="36" t="s">
        <v>4835</v>
      </c>
      <c r="G229" s="42" t="s">
        <v>4837</v>
      </c>
      <c r="H229" s="36" t="s">
        <v>64</v>
      </c>
      <c r="I229" s="36" t="s">
        <v>155</v>
      </c>
      <c r="J229" s="36" t="s">
        <v>62</v>
      </c>
      <c r="K229" s="36" t="s">
        <v>63</v>
      </c>
      <c r="L229" s="36">
        <v>73.0</v>
      </c>
      <c r="M229" s="36" t="s">
        <v>4841</v>
      </c>
      <c r="N229" s="36" t="s">
        <v>66</v>
      </c>
      <c r="O229" s="36" t="s">
        <v>67</v>
      </c>
      <c r="P229" s="36" t="s">
        <v>4843</v>
      </c>
      <c r="Q229" s="36" t="s">
        <v>61</v>
      </c>
      <c r="R229" s="36"/>
      <c r="S229" s="36"/>
      <c r="T229" s="56"/>
      <c r="U229" s="36" t="s">
        <v>61</v>
      </c>
      <c r="V229" s="36" t="s">
        <v>61</v>
      </c>
      <c r="W229" s="56" t="s">
        <v>4629</v>
      </c>
      <c r="X229" s="57" t="s">
        <v>74</v>
      </c>
      <c r="Y229" s="36" t="s">
        <v>4846</v>
      </c>
      <c r="Z229" s="57" t="s">
        <v>4847</v>
      </c>
      <c r="AA229" s="57" t="s">
        <v>4848</v>
      </c>
      <c r="AB229" s="58">
        <v>46023.0</v>
      </c>
      <c r="AC229" s="146">
        <v>46387.0</v>
      </c>
      <c r="AD229" s="36" t="s">
        <v>4850</v>
      </c>
      <c r="AE229" s="36" t="s">
        <v>79</v>
      </c>
      <c r="AF229" s="65"/>
      <c r="AG229" s="40"/>
      <c r="AH229" s="51"/>
    </row>
    <row r="230" ht="45.75" customHeight="1">
      <c r="A230" s="36">
        <v>229.0</v>
      </c>
      <c r="B230" s="36">
        <v>481.0</v>
      </c>
      <c r="C230" s="36" t="s">
        <v>581</v>
      </c>
      <c r="D230" s="36" t="s">
        <v>1274</v>
      </c>
      <c r="E230" s="36" t="s">
        <v>1277</v>
      </c>
      <c r="F230" s="36" t="s">
        <v>1278</v>
      </c>
      <c r="G230" s="42" t="s">
        <v>1281</v>
      </c>
      <c r="H230" s="36" t="s">
        <v>64</v>
      </c>
      <c r="I230" s="36" t="s">
        <v>65</v>
      </c>
      <c r="J230" s="36" t="s">
        <v>62</v>
      </c>
      <c r="K230" s="36" t="s">
        <v>111</v>
      </c>
      <c r="L230" s="36">
        <v>150.0</v>
      </c>
      <c r="M230" s="36" t="s">
        <v>4859</v>
      </c>
      <c r="N230" s="36" t="s">
        <v>66</v>
      </c>
      <c r="O230" s="36" t="s">
        <v>72</v>
      </c>
      <c r="P230" s="36" t="s">
        <v>4860</v>
      </c>
      <c r="Q230" s="36" t="s">
        <v>61</v>
      </c>
      <c r="R230" s="36"/>
      <c r="S230" s="36"/>
      <c r="T230" s="56"/>
      <c r="U230" s="36" t="s">
        <v>1298</v>
      </c>
      <c r="V230" s="36" t="s">
        <v>61</v>
      </c>
      <c r="W230" s="56" t="s">
        <v>4629</v>
      </c>
      <c r="X230" s="57" t="s">
        <v>93</v>
      </c>
      <c r="Y230" s="36" t="s">
        <v>1301</v>
      </c>
      <c r="Z230" s="57">
        <v>3612004.0</v>
      </c>
      <c r="AA230" s="57" t="s">
        <v>1304</v>
      </c>
      <c r="AB230" s="58">
        <v>46023.0</v>
      </c>
      <c r="AC230" s="146">
        <v>46387.0</v>
      </c>
      <c r="AD230" s="36" t="s">
        <v>4864</v>
      </c>
      <c r="AE230" s="36" t="s">
        <v>79</v>
      </c>
      <c r="AF230" s="36" t="s">
        <v>61</v>
      </c>
      <c r="AG230" s="40"/>
      <c r="AH230" s="51"/>
    </row>
    <row r="231" ht="45.75" customHeight="1">
      <c r="A231" s="36">
        <v>230.0</v>
      </c>
      <c r="B231" s="36">
        <v>424.0</v>
      </c>
      <c r="C231" s="36" t="s">
        <v>581</v>
      </c>
      <c r="D231" s="36" t="s">
        <v>1274</v>
      </c>
      <c r="E231" s="36" t="s">
        <v>4868</v>
      </c>
      <c r="F231" s="36" t="s">
        <v>4869</v>
      </c>
      <c r="G231" s="42" t="s">
        <v>4870</v>
      </c>
      <c r="H231" s="36" t="s">
        <v>64</v>
      </c>
      <c r="I231" s="36" t="s">
        <v>155</v>
      </c>
      <c r="J231" s="36" t="s">
        <v>62</v>
      </c>
      <c r="K231" s="36" t="s">
        <v>63</v>
      </c>
      <c r="L231" s="36">
        <v>25.0</v>
      </c>
      <c r="M231" s="36" t="s">
        <v>1918</v>
      </c>
      <c r="N231" s="36" t="s">
        <v>66</v>
      </c>
      <c r="O231" s="36" t="s">
        <v>67</v>
      </c>
      <c r="P231" s="36" t="s">
        <v>4874</v>
      </c>
      <c r="Q231" s="36" t="s">
        <v>61</v>
      </c>
      <c r="R231" s="36"/>
      <c r="S231" s="36"/>
      <c r="T231" s="56"/>
      <c r="U231" s="36" t="s">
        <v>61</v>
      </c>
      <c r="V231" s="36" t="s">
        <v>61</v>
      </c>
      <c r="W231" s="56" t="s">
        <v>4629</v>
      </c>
      <c r="X231" s="57" t="s">
        <v>74</v>
      </c>
      <c r="Y231" s="36" t="s">
        <v>4878</v>
      </c>
      <c r="Z231" s="57" t="s">
        <v>4879</v>
      </c>
      <c r="AA231" s="57" t="s">
        <v>4881</v>
      </c>
      <c r="AB231" s="58">
        <v>46023.0</v>
      </c>
      <c r="AC231" s="146">
        <v>46387.0</v>
      </c>
      <c r="AD231" s="36" t="s">
        <v>4882</v>
      </c>
      <c r="AE231" s="36" t="s">
        <v>79</v>
      </c>
      <c r="AF231" s="65"/>
      <c r="AG231" s="40"/>
      <c r="AH231" s="51"/>
    </row>
    <row r="232" ht="45.75" customHeight="1">
      <c r="A232" s="36">
        <v>231.0</v>
      </c>
      <c r="B232" s="36">
        <v>7521.0</v>
      </c>
      <c r="C232" s="36" t="s">
        <v>581</v>
      </c>
      <c r="D232" s="36" t="s">
        <v>1274</v>
      </c>
      <c r="E232" s="36" t="s">
        <v>1252</v>
      </c>
      <c r="F232" s="36" t="s">
        <v>4885</v>
      </c>
      <c r="G232" s="42" t="s">
        <v>4886</v>
      </c>
      <c r="H232" s="36" t="s">
        <v>64</v>
      </c>
      <c r="I232" s="36" t="s">
        <v>155</v>
      </c>
      <c r="J232" s="36" t="s">
        <v>62</v>
      </c>
      <c r="K232" s="36" t="s">
        <v>63</v>
      </c>
      <c r="L232" s="36">
        <v>75.0</v>
      </c>
      <c r="M232" s="36" t="s">
        <v>4891</v>
      </c>
      <c r="N232" s="36" t="s">
        <v>66</v>
      </c>
      <c r="O232" s="36" t="s">
        <v>67</v>
      </c>
      <c r="P232" s="36" t="s">
        <v>4894</v>
      </c>
      <c r="Q232" s="36" t="s">
        <v>61</v>
      </c>
      <c r="R232" s="36"/>
      <c r="S232" s="36"/>
      <c r="T232" s="56"/>
      <c r="U232" s="36" t="s">
        <v>61</v>
      </c>
      <c r="V232" s="36" t="s">
        <v>61</v>
      </c>
      <c r="W232" s="56" t="s">
        <v>4629</v>
      </c>
      <c r="X232" s="57" t="s">
        <v>74</v>
      </c>
      <c r="Y232" s="36" t="s">
        <v>4895</v>
      </c>
      <c r="Z232" s="57" t="s">
        <v>4896</v>
      </c>
      <c r="AA232" s="57" t="s">
        <v>4897</v>
      </c>
      <c r="AB232" s="58">
        <v>46023.0</v>
      </c>
      <c r="AC232" s="146">
        <v>46387.0</v>
      </c>
      <c r="AD232" s="36" t="s">
        <v>4899</v>
      </c>
      <c r="AE232" s="36" t="s">
        <v>79</v>
      </c>
      <c r="AF232" s="65"/>
      <c r="AG232" s="40"/>
      <c r="AH232" s="51"/>
    </row>
    <row r="233" ht="45.75" customHeight="1">
      <c r="A233" s="36">
        <v>232.0</v>
      </c>
      <c r="B233" s="36">
        <v>514.0</v>
      </c>
      <c r="C233" s="36" t="s">
        <v>581</v>
      </c>
      <c r="D233" s="36" t="s">
        <v>1274</v>
      </c>
      <c r="E233" s="36" t="s">
        <v>4902</v>
      </c>
      <c r="F233" s="36" t="s">
        <v>4904</v>
      </c>
      <c r="G233" s="42" t="s">
        <v>4906</v>
      </c>
      <c r="H233" s="36" t="s">
        <v>64</v>
      </c>
      <c r="I233" s="36" t="s">
        <v>155</v>
      </c>
      <c r="J233" s="36" t="s">
        <v>62</v>
      </c>
      <c r="K233" s="36" t="s">
        <v>63</v>
      </c>
      <c r="L233" s="36">
        <v>50.0</v>
      </c>
      <c r="M233" s="36" t="s">
        <v>4909</v>
      </c>
      <c r="N233" s="36" t="s">
        <v>66</v>
      </c>
      <c r="O233" s="36" t="s">
        <v>67</v>
      </c>
      <c r="P233" s="36" t="s">
        <v>4911</v>
      </c>
      <c r="Q233" s="36" t="s">
        <v>61</v>
      </c>
      <c r="R233" s="36"/>
      <c r="S233" s="36"/>
      <c r="T233" s="56"/>
      <c r="U233" s="36" t="s">
        <v>61</v>
      </c>
      <c r="V233" s="36" t="s">
        <v>61</v>
      </c>
      <c r="W233" s="56" t="s">
        <v>4629</v>
      </c>
      <c r="X233" s="57" t="s">
        <v>74</v>
      </c>
      <c r="Y233" s="36" t="s">
        <v>4912</v>
      </c>
      <c r="Z233" s="57" t="s">
        <v>4914</v>
      </c>
      <c r="AA233" s="57" t="s">
        <v>4916</v>
      </c>
      <c r="AB233" s="58">
        <v>46023.0</v>
      </c>
      <c r="AC233" s="146">
        <v>46387.0</v>
      </c>
      <c r="AD233" s="36" t="s">
        <v>4917</v>
      </c>
      <c r="AE233" s="36" t="s">
        <v>79</v>
      </c>
      <c r="AF233" s="65"/>
      <c r="AG233" s="40"/>
      <c r="AH233" s="51"/>
    </row>
    <row r="234" ht="45.75" customHeight="1">
      <c r="A234" s="36">
        <v>233.0</v>
      </c>
      <c r="B234" s="36">
        <v>535.0</v>
      </c>
      <c r="C234" s="36" t="s">
        <v>581</v>
      </c>
      <c r="D234" s="36" t="s">
        <v>1274</v>
      </c>
      <c r="E234" s="36" t="s">
        <v>4921</v>
      </c>
      <c r="F234" s="36" t="s">
        <v>4923</v>
      </c>
      <c r="G234" s="42" t="s">
        <v>4925</v>
      </c>
      <c r="H234" s="36" t="s">
        <v>64</v>
      </c>
      <c r="I234" s="36" t="s">
        <v>155</v>
      </c>
      <c r="J234" s="36" t="s">
        <v>62</v>
      </c>
      <c r="K234" s="36" t="s">
        <v>63</v>
      </c>
      <c r="L234" s="36">
        <v>50.0</v>
      </c>
      <c r="M234" s="36" t="s">
        <v>4930</v>
      </c>
      <c r="N234" s="36" t="s">
        <v>66</v>
      </c>
      <c r="O234" s="36" t="s">
        <v>67</v>
      </c>
      <c r="P234" s="36" t="s">
        <v>4931</v>
      </c>
      <c r="Q234" s="36" t="s">
        <v>61</v>
      </c>
      <c r="R234" s="36"/>
      <c r="S234" s="36"/>
      <c r="T234" s="56"/>
      <c r="U234" s="36" t="s">
        <v>61</v>
      </c>
      <c r="V234" s="36" t="s">
        <v>61</v>
      </c>
      <c r="W234" s="56" t="s">
        <v>4629</v>
      </c>
      <c r="X234" s="57" t="s">
        <v>74</v>
      </c>
      <c r="Y234" s="36" t="s">
        <v>4934</v>
      </c>
      <c r="Z234" s="57" t="s">
        <v>4936</v>
      </c>
      <c r="AA234" s="57" t="s">
        <v>4938</v>
      </c>
      <c r="AB234" s="58">
        <v>46023.0</v>
      </c>
      <c r="AC234" s="146">
        <v>46387.0</v>
      </c>
      <c r="AD234" s="36" t="s">
        <v>4940</v>
      </c>
      <c r="AE234" s="36" t="s">
        <v>79</v>
      </c>
      <c r="AF234" s="65"/>
      <c r="AG234" s="40"/>
      <c r="AH234" s="51"/>
    </row>
    <row r="235" ht="45.75" customHeight="1">
      <c r="A235" s="36">
        <v>234.0</v>
      </c>
      <c r="B235" s="36">
        <v>723.0</v>
      </c>
      <c r="C235" s="36" t="s">
        <v>581</v>
      </c>
      <c r="D235" s="36" t="s">
        <v>1274</v>
      </c>
      <c r="E235" s="36" t="s">
        <v>4945</v>
      </c>
      <c r="F235" s="36" t="s">
        <v>4947</v>
      </c>
      <c r="G235" s="42" t="s">
        <v>4948</v>
      </c>
      <c r="H235" s="36" t="s">
        <v>64</v>
      </c>
      <c r="I235" s="36" t="s">
        <v>155</v>
      </c>
      <c r="J235" s="36" t="s">
        <v>62</v>
      </c>
      <c r="K235" s="36" t="s">
        <v>63</v>
      </c>
      <c r="L235" s="36">
        <v>80.0</v>
      </c>
      <c r="M235" s="36" t="s">
        <v>4951</v>
      </c>
      <c r="N235" s="36" t="s">
        <v>66</v>
      </c>
      <c r="O235" s="36" t="s">
        <v>67</v>
      </c>
      <c r="P235" s="36" t="s">
        <v>4954</v>
      </c>
      <c r="Q235" s="36" t="s">
        <v>61</v>
      </c>
      <c r="R235" s="36"/>
      <c r="S235" s="36"/>
      <c r="T235" s="56"/>
      <c r="U235" s="36" t="s">
        <v>61</v>
      </c>
      <c r="V235" s="36" t="s">
        <v>61</v>
      </c>
      <c r="W235" s="56" t="s">
        <v>4629</v>
      </c>
      <c r="X235" s="57" t="s">
        <v>74</v>
      </c>
      <c r="Y235" s="36" t="s">
        <v>4957</v>
      </c>
      <c r="Z235" s="57" t="s">
        <v>4958</v>
      </c>
      <c r="AA235" s="57" t="s">
        <v>4959</v>
      </c>
      <c r="AB235" s="58">
        <v>46023.0</v>
      </c>
      <c r="AC235" s="146">
        <v>46387.0</v>
      </c>
      <c r="AD235" s="36" t="s">
        <v>4960</v>
      </c>
      <c r="AE235" s="36" t="s">
        <v>79</v>
      </c>
      <c r="AF235" s="65"/>
      <c r="AG235" s="40"/>
      <c r="AH235" s="51"/>
    </row>
    <row r="236" ht="45.75" customHeight="1">
      <c r="A236" s="36">
        <v>235.0</v>
      </c>
      <c r="B236" s="40"/>
      <c r="C236" s="36" t="s">
        <v>581</v>
      </c>
      <c r="D236" s="36" t="s">
        <v>1274</v>
      </c>
      <c r="E236" s="36" t="s">
        <v>1316</v>
      </c>
      <c r="F236" s="36" t="s">
        <v>4965</v>
      </c>
      <c r="G236" s="42" t="s">
        <v>4966</v>
      </c>
      <c r="H236" s="36" t="s">
        <v>64</v>
      </c>
      <c r="I236" s="36" t="s">
        <v>3406</v>
      </c>
      <c r="J236" s="36" t="s">
        <v>62</v>
      </c>
      <c r="K236" s="36" t="s">
        <v>68</v>
      </c>
      <c r="L236" s="36">
        <v>300.0</v>
      </c>
      <c r="M236" s="36" t="s">
        <v>4969</v>
      </c>
      <c r="N236" s="36" t="s">
        <v>221</v>
      </c>
      <c r="O236" s="36" t="s">
        <v>72</v>
      </c>
      <c r="P236" s="36" t="s">
        <v>1180</v>
      </c>
      <c r="Q236" s="40"/>
      <c r="R236" s="36"/>
      <c r="S236" s="40"/>
      <c r="T236" s="60"/>
      <c r="U236" s="36">
        <v>20.0</v>
      </c>
      <c r="V236" s="40"/>
      <c r="W236" s="60"/>
      <c r="X236" s="57" t="s">
        <v>93</v>
      </c>
      <c r="Y236" s="36" t="s">
        <v>4972</v>
      </c>
      <c r="Z236" s="57" t="s">
        <v>4973</v>
      </c>
      <c r="AA236" s="57" t="s">
        <v>4975</v>
      </c>
      <c r="AB236" s="58">
        <v>46023.0</v>
      </c>
      <c r="AC236" s="146">
        <v>46387.0</v>
      </c>
      <c r="AD236" s="36" t="s">
        <v>4978</v>
      </c>
      <c r="AE236" s="36" t="s">
        <v>79</v>
      </c>
      <c r="AF236" s="65"/>
      <c r="AG236" s="36" t="s">
        <v>4980</v>
      </c>
      <c r="AH236" s="51"/>
    </row>
    <row r="237" ht="45.75" customHeight="1">
      <c r="A237" s="36">
        <v>236.0</v>
      </c>
      <c r="B237" s="36">
        <v>5034.0</v>
      </c>
      <c r="C237" s="36" t="s">
        <v>581</v>
      </c>
      <c r="D237" s="36" t="s">
        <v>1274</v>
      </c>
      <c r="E237" s="36" t="s">
        <v>1316</v>
      </c>
      <c r="F237" s="36" t="s">
        <v>1318</v>
      </c>
      <c r="G237" s="42" t="s">
        <v>1321</v>
      </c>
      <c r="H237" s="36" t="s">
        <v>64</v>
      </c>
      <c r="I237" s="36" t="s">
        <v>65</v>
      </c>
      <c r="J237" s="36" t="s">
        <v>62</v>
      </c>
      <c r="K237" s="36" t="s">
        <v>68</v>
      </c>
      <c r="L237" s="36">
        <v>691.0</v>
      </c>
      <c r="M237" s="36" t="s">
        <v>1330</v>
      </c>
      <c r="N237" s="36" t="s">
        <v>221</v>
      </c>
      <c r="O237" s="36" t="s">
        <v>72</v>
      </c>
      <c r="P237" s="36" t="s">
        <v>1332</v>
      </c>
      <c r="Q237" s="40"/>
      <c r="R237" s="36"/>
      <c r="S237" s="40"/>
      <c r="T237" s="60"/>
      <c r="U237" s="36">
        <v>56.0</v>
      </c>
      <c r="V237" s="40"/>
      <c r="W237" s="60"/>
      <c r="X237" s="57" t="s">
        <v>93</v>
      </c>
      <c r="Y237" s="36" t="s">
        <v>1345</v>
      </c>
      <c r="Z237" s="57" t="s">
        <v>1347</v>
      </c>
      <c r="AA237" s="57" t="s">
        <v>4991</v>
      </c>
      <c r="AB237" s="58">
        <v>46023.0</v>
      </c>
      <c r="AC237" s="146">
        <v>46387.0</v>
      </c>
      <c r="AD237" s="36" t="s">
        <v>1353</v>
      </c>
      <c r="AE237" s="36" t="s">
        <v>79</v>
      </c>
      <c r="AF237" s="65"/>
      <c r="AG237" s="36" t="s">
        <v>4993</v>
      </c>
      <c r="AH237" s="51"/>
    </row>
    <row r="238" ht="45.75" customHeight="1">
      <c r="A238" s="36">
        <v>237.0</v>
      </c>
      <c r="B238" s="36">
        <v>6572.0</v>
      </c>
      <c r="C238" s="36" t="s">
        <v>581</v>
      </c>
      <c r="D238" s="36" t="s">
        <v>1274</v>
      </c>
      <c r="E238" s="36" t="s">
        <v>4995</v>
      </c>
      <c r="F238" s="36" t="s">
        <v>4997</v>
      </c>
      <c r="G238" s="42" t="s">
        <v>4998</v>
      </c>
      <c r="H238" s="36" t="s">
        <v>64</v>
      </c>
      <c r="I238" s="36" t="s">
        <v>155</v>
      </c>
      <c r="J238" s="36" t="s">
        <v>62</v>
      </c>
      <c r="K238" s="36" t="s">
        <v>63</v>
      </c>
      <c r="L238" s="36">
        <v>50.0</v>
      </c>
      <c r="M238" s="36" t="s">
        <v>5003</v>
      </c>
      <c r="N238" s="36" t="s">
        <v>66</v>
      </c>
      <c r="O238" s="36" t="s">
        <v>67</v>
      </c>
      <c r="P238" s="36" t="s">
        <v>5006</v>
      </c>
      <c r="Q238" s="36" t="s">
        <v>61</v>
      </c>
      <c r="R238" s="36"/>
      <c r="S238" s="36"/>
      <c r="T238" s="56"/>
      <c r="U238" s="36" t="s">
        <v>61</v>
      </c>
      <c r="V238" s="36" t="s">
        <v>61</v>
      </c>
      <c r="W238" s="56" t="s">
        <v>4629</v>
      </c>
      <c r="X238" s="57" t="s">
        <v>74</v>
      </c>
      <c r="Y238" s="36" t="s">
        <v>5007</v>
      </c>
      <c r="Z238" s="57" t="s">
        <v>5009</v>
      </c>
      <c r="AA238" s="162" t="s">
        <v>5011</v>
      </c>
      <c r="AB238" s="58">
        <v>46023.0</v>
      </c>
      <c r="AC238" s="146">
        <v>46387.0</v>
      </c>
      <c r="AD238" s="36" t="s">
        <v>5018</v>
      </c>
      <c r="AE238" s="36" t="s">
        <v>79</v>
      </c>
      <c r="AF238" s="65"/>
      <c r="AG238" s="40"/>
      <c r="AH238" s="51"/>
    </row>
    <row r="239" ht="45.75" customHeight="1">
      <c r="A239" s="36">
        <v>238.0</v>
      </c>
      <c r="B239" s="36">
        <v>515.0</v>
      </c>
      <c r="C239" s="36" t="s">
        <v>581</v>
      </c>
      <c r="D239" s="36" t="s">
        <v>1274</v>
      </c>
      <c r="E239" s="36" t="s">
        <v>5024</v>
      </c>
      <c r="F239" s="36" t="s">
        <v>5026</v>
      </c>
      <c r="G239" s="42" t="s">
        <v>5027</v>
      </c>
      <c r="H239" s="36" t="s">
        <v>64</v>
      </c>
      <c r="I239" s="36" t="s">
        <v>155</v>
      </c>
      <c r="J239" s="36" t="s">
        <v>62</v>
      </c>
      <c r="K239" s="36" t="s">
        <v>63</v>
      </c>
      <c r="L239" s="36">
        <v>50.0</v>
      </c>
      <c r="M239" s="36" t="s">
        <v>5030</v>
      </c>
      <c r="N239" s="36" t="s">
        <v>66</v>
      </c>
      <c r="O239" s="36" t="s">
        <v>67</v>
      </c>
      <c r="P239" s="36" t="s">
        <v>5031</v>
      </c>
      <c r="Q239" s="36" t="s">
        <v>61</v>
      </c>
      <c r="R239" s="36"/>
      <c r="S239" s="36"/>
      <c r="T239" s="56"/>
      <c r="U239" s="36" t="s">
        <v>61</v>
      </c>
      <c r="V239" s="36" t="s">
        <v>61</v>
      </c>
      <c r="W239" s="56" t="s">
        <v>4629</v>
      </c>
      <c r="X239" s="57" t="s">
        <v>74</v>
      </c>
      <c r="Y239" s="36" t="s">
        <v>5034</v>
      </c>
      <c r="Z239" s="57" t="s">
        <v>5035</v>
      </c>
      <c r="AA239" s="57" t="s">
        <v>5037</v>
      </c>
      <c r="AB239" s="58">
        <v>46023.0</v>
      </c>
      <c r="AC239" s="146">
        <v>46387.0</v>
      </c>
      <c r="AD239" s="36" t="s">
        <v>5038</v>
      </c>
      <c r="AE239" s="36" t="s">
        <v>79</v>
      </c>
      <c r="AF239" s="65"/>
      <c r="AG239" s="40"/>
      <c r="AH239" s="51"/>
    </row>
    <row r="240" ht="45.75" customHeight="1">
      <c r="A240" s="36">
        <v>239.0</v>
      </c>
      <c r="B240" s="36">
        <v>487.0</v>
      </c>
      <c r="C240" s="36" t="s">
        <v>581</v>
      </c>
      <c r="D240" s="36" t="s">
        <v>1274</v>
      </c>
      <c r="E240" s="36" t="s">
        <v>5042</v>
      </c>
      <c r="F240" s="36" t="s">
        <v>5043</v>
      </c>
      <c r="G240" s="42" t="s">
        <v>5044</v>
      </c>
      <c r="H240" s="36" t="s">
        <v>64</v>
      </c>
      <c r="I240" s="36" t="s">
        <v>155</v>
      </c>
      <c r="J240" s="36" t="s">
        <v>62</v>
      </c>
      <c r="K240" s="36" t="s">
        <v>63</v>
      </c>
      <c r="L240" s="36">
        <v>50.0</v>
      </c>
      <c r="M240" s="36" t="s">
        <v>1918</v>
      </c>
      <c r="N240" s="36" t="s">
        <v>66</v>
      </c>
      <c r="O240" s="36" t="s">
        <v>67</v>
      </c>
      <c r="P240" s="36" t="s">
        <v>5048</v>
      </c>
      <c r="Q240" s="36" t="s">
        <v>61</v>
      </c>
      <c r="R240" s="36"/>
      <c r="S240" s="36"/>
      <c r="T240" s="56"/>
      <c r="U240" s="36" t="s">
        <v>61</v>
      </c>
      <c r="V240" s="36" t="s">
        <v>61</v>
      </c>
      <c r="W240" s="56" t="s">
        <v>4629</v>
      </c>
      <c r="X240" s="57" t="s">
        <v>74</v>
      </c>
      <c r="Y240" s="36" t="s">
        <v>5053</v>
      </c>
      <c r="Z240" s="57" t="s">
        <v>5054</v>
      </c>
      <c r="AA240" s="57" t="s">
        <v>5055</v>
      </c>
      <c r="AB240" s="58">
        <v>46023.0</v>
      </c>
      <c r="AC240" s="146">
        <v>46387.0</v>
      </c>
      <c r="AD240" s="36" t="s">
        <v>5056</v>
      </c>
      <c r="AE240" s="36" t="s">
        <v>79</v>
      </c>
      <c r="AF240" s="65"/>
      <c r="AG240" s="40"/>
      <c r="AH240" s="51"/>
    </row>
    <row r="241" ht="45.75" customHeight="1">
      <c r="A241" s="36">
        <v>240.0</v>
      </c>
      <c r="B241" s="36">
        <v>575.0</v>
      </c>
      <c r="C241" s="36" t="s">
        <v>581</v>
      </c>
      <c r="D241" s="36" t="s">
        <v>1274</v>
      </c>
      <c r="E241" s="36" t="s">
        <v>5057</v>
      </c>
      <c r="F241" s="36" t="s">
        <v>5058</v>
      </c>
      <c r="G241" s="42" t="s">
        <v>5059</v>
      </c>
      <c r="H241" s="36" t="s">
        <v>64</v>
      </c>
      <c r="I241" s="36" t="s">
        <v>155</v>
      </c>
      <c r="J241" s="36" t="s">
        <v>62</v>
      </c>
      <c r="K241" s="36" t="s">
        <v>111</v>
      </c>
      <c r="L241" s="36">
        <v>175.0</v>
      </c>
      <c r="M241" s="36" t="s">
        <v>5062</v>
      </c>
      <c r="N241" s="36" t="s">
        <v>66</v>
      </c>
      <c r="O241" s="36" t="s">
        <v>72</v>
      </c>
      <c r="P241" s="36" t="s">
        <v>5064</v>
      </c>
      <c r="Q241" s="36" t="s">
        <v>61</v>
      </c>
      <c r="R241" s="36"/>
      <c r="S241" s="36"/>
      <c r="T241" s="56"/>
      <c r="U241" s="36" t="s">
        <v>1298</v>
      </c>
      <c r="V241" s="36" t="s">
        <v>61</v>
      </c>
      <c r="W241" s="56" t="s">
        <v>4629</v>
      </c>
      <c r="X241" s="57" t="s">
        <v>93</v>
      </c>
      <c r="Y241" s="36" t="s">
        <v>5068</v>
      </c>
      <c r="Z241" s="57" t="s">
        <v>5069</v>
      </c>
      <c r="AA241" s="57" t="s">
        <v>5070</v>
      </c>
      <c r="AB241" s="58">
        <v>46023.0</v>
      </c>
      <c r="AC241" s="146">
        <v>46387.0</v>
      </c>
      <c r="AD241" s="36" t="s">
        <v>5072</v>
      </c>
      <c r="AE241" s="36" t="s">
        <v>79</v>
      </c>
      <c r="AF241" s="65"/>
      <c r="AG241" s="40"/>
      <c r="AH241" s="51"/>
    </row>
    <row r="242" ht="45.75" customHeight="1">
      <c r="A242" s="36">
        <v>241.0</v>
      </c>
      <c r="B242" s="36">
        <v>805.0</v>
      </c>
      <c r="C242" s="36" t="s">
        <v>581</v>
      </c>
      <c r="D242" s="36" t="s">
        <v>1274</v>
      </c>
      <c r="E242" s="36" t="s">
        <v>1363</v>
      </c>
      <c r="F242" s="36" t="s">
        <v>1365</v>
      </c>
      <c r="G242" s="42" t="s">
        <v>1367</v>
      </c>
      <c r="H242" s="36" t="s">
        <v>64</v>
      </c>
      <c r="I242" s="36" t="s">
        <v>65</v>
      </c>
      <c r="J242" s="36" t="s">
        <v>62</v>
      </c>
      <c r="K242" s="36" t="s">
        <v>111</v>
      </c>
      <c r="L242" s="36">
        <v>100.0</v>
      </c>
      <c r="M242" s="36" t="s">
        <v>5077</v>
      </c>
      <c r="N242" s="36" t="s">
        <v>66</v>
      </c>
      <c r="O242" s="36" t="s">
        <v>67</v>
      </c>
      <c r="P242" s="36" t="s">
        <v>5078</v>
      </c>
      <c r="Q242" s="36" t="s">
        <v>61</v>
      </c>
      <c r="R242" s="36"/>
      <c r="S242" s="36"/>
      <c r="T242" s="56"/>
      <c r="U242" s="36" t="s">
        <v>61</v>
      </c>
      <c r="V242" s="36" t="s">
        <v>61</v>
      </c>
      <c r="W242" s="56" t="s">
        <v>4629</v>
      </c>
      <c r="X242" s="57" t="s">
        <v>93</v>
      </c>
      <c r="Y242" s="36" t="s">
        <v>1391</v>
      </c>
      <c r="Z242" s="57" t="s">
        <v>1392</v>
      </c>
      <c r="AA242" s="57" t="s">
        <v>1393</v>
      </c>
      <c r="AB242" s="58">
        <v>46023.0</v>
      </c>
      <c r="AC242" s="146">
        <v>46387.0</v>
      </c>
      <c r="AD242" s="36" t="s">
        <v>5083</v>
      </c>
      <c r="AE242" s="36" t="s">
        <v>79</v>
      </c>
      <c r="AF242" s="65"/>
      <c r="AG242" s="40"/>
      <c r="AH242" s="51"/>
    </row>
    <row r="243" ht="45.75" customHeight="1">
      <c r="A243" s="36">
        <v>242.0</v>
      </c>
      <c r="B243" s="36">
        <v>4914.0</v>
      </c>
      <c r="C243" s="36" t="s">
        <v>581</v>
      </c>
      <c r="D243" s="36" t="s">
        <v>1274</v>
      </c>
      <c r="E243" s="36" t="s">
        <v>5087</v>
      </c>
      <c r="F243" s="36" t="s">
        <v>5088</v>
      </c>
      <c r="G243" s="42" t="s">
        <v>5090</v>
      </c>
      <c r="H243" s="36" t="s">
        <v>64</v>
      </c>
      <c r="I243" s="36" t="s">
        <v>155</v>
      </c>
      <c r="J243" s="36" t="s">
        <v>62</v>
      </c>
      <c r="K243" s="36" t="s">
        <v>63</v>
      </c>
      <c r="L243" s="36">
        <v>74.0</v>
      </c>
      <c r="M243" s="36" t="s">
        <v>5094</v>
      </c>
      <c r="N243" s="36" t="s">
        <v>66</v>
      </c>
      <c r="O243" s="36" t="s">
        <v>67</v>
      </c>
      <c r="P243" s="36" t="s">
        <v>5096</v>
      </c>
      <c r="Q243" s="36" t="s">
        <v>61</v>
      </c>
      <c r="R243" s="36"/>
      <c r="S243" s="36"/>
      <c r="T243" s="56"/>
      <c r="U243" s="36" t="s">
        <v>1298</v>
      </c>
      <c r="V243" s="36" t="s">
        <v>61</v>
      </c>
      <c r="W243" s="56" t="s">
        <v>4629</v>
      </c>
      <c r="X243" s="57" t="s">
        <v>74</v>
      </c>
      <c r="Y243" s="36" t="s">
        <v>5099</v>
      </c>
      <c r="Z243" s="57" t="s">
        <v>5100</v>
      </c>
      <c r="AA243" s="57" t="s">
        <v>5101</v>
      </c>
      <c r="AB243" s="58">
        <v>46023.0</v>
      </c>
      <c r="AC243" s="146">
        <v>46387.0</v>
      </c>
      <c r="AD243" s="36" t="s">
        <v>5102</v>
      </c>
      <c r="AE243" s="36" t="s">
        <v>79</v>
      </c>
      <c r="AF243" s="65"/>
      <c r="AG243" s="40"/>
      <c r="AH243" s="51"/>
    </row>
    <row r="244" ht="45.75" customHeight="1">
      <c r="A244" s="36">
        <v>243.0</v>
      </c>
      <c r="B244" s="36"/>
      <c r="C244" s="36" t="s">
        <v>682</v>
      </c>
      <c r="D244" s="36" t="s">
        <v>1408</v>
      </c>
      <c r="E244" s="36" t="s">
        <v>5106</v>
      </c>
      <c r="F244" s="36" t="s">
        <v>5108</v>
      </c>
      <c r="G244" s="42" t="s">
        <v>5110</v>
      </c>
      <c r="H244" s="36" t="s">
        <v>64</v>
      </c>
      <c r="I244" s="36" t="s">
        <v>155</v>
      </c>
      <c r="J244" s="36" t="s">
        <v>62</v>
      </c>
      <c r="K244" s="36" t="s">
        <v>63</v>
      </c>
      <c r="L244" s="36">
        <v>40.0</v>
      </c>
      <c r="M244" s="36" t="s">
        <v>5112</v>
      </c>
      <c r="N244" s="36" t="s">
        <v>66</v>
      </c>
      <c r="O244" s="36" t="s">
        <v>67</v>
      </c>
      <c r="P244" s="36" t="s">
        <v>5114</v>
      </c>
      <c r="Q244" s="36"/>
      <c r="R244" s="36"/>
      <c r="S244" s="36"/>
      <c r="T244" s="36"/>
      <c r="U244" s="36"/>
      <c r="V244" s="36"/>
      <c r="W244" s="36" t="s">
        <v>61</v>
      </c>
      <c r="X244" s="36" t="s">
        <v>74</v>
      </c>
      <c r="Y244" s="36" t="s">
        <v>5116</v>
      </c>
      <c r="Z244" s="56" t="s">
        <v>5117</v>
      </c>
      <c r="AA244" s="36" t="s">
        <v>5118</v>
      </c>
      <c r="AB244" s="58">
        <v>46023.0</v>
      </c>
      <c r="AC244" s="146">
        <v>46387.0</v>
      </c>
      <c r="AD244" s="57" t="s">
        <v>5122</v>
      </c>
      <c r="AE244" s="36" t="s">
        <v>79</v>
      </c>
      <c r="AF244" s="146"/>
      <c r="AG244" s="57"/>
      <c r="AH244" s="36" t="s">
        <v>2064</v>
      </c>
    </row>
    <row r="245" ht="45.75" customHeight="1">
      <c r="A245" s="36">
        <v>244.0</v>
      </c>
      <c r="B245" s="36"/>
      <c r="C245" s="36" t="s">
        <v>682</v>
      </c>
      <c r="D245" s="36" t="s">
        <v>1408</v>
      </c>
      <c r="E245" s="36" t="s">
        <v>5125</v>
      </c>
      <c r="F245" s="36" t="s">
        <v>5127</v>
      </c>
      <c r="G245" s="42" t="s">
        <v>5128</v>
      </c>
      <c r="H245" s="36" t="s">
        <v>64</v>
      </c>
      <c r="I245" s="36" t="s">
        <v>155</v>
      </c>
      <c r="J245" s="36" t="s">
        <v>62</v>
      </c>
      <c r="K245" s="36" t="s">
        <v>63</v>
      </c>
      <c r="L245" s="36">
        <v>25.0</v>
      </c>
      <c r="M245" s="36" t="s">
        <v>5129</v>
      </c>
      <c r="N245" s="36" t="s">
        <v>66</v>
      </c>
      <c r="O245" s="36" t="s">
        <v>67</v>
      </c>
      <c r="P245" s="36" t="s">
        <v>5131</v>
      </c>
      <c r="Q245" s="36"/>
      <c r="R245" s="36"/>
      <c r="S245" s="36"/>
      <c r="T245" s="36"/>
      <c r="U245" s="36"/>
      <c r="V245" s="36"/>
      <c r="W245" s="36" t="s">
        <v>61</v>
      </c>
      <c r="X245" s="36" t="s">
        <v>74</v>
      </c>
      <c r="Y245" s="36" t="s">
        <v>5136</v>
      </c>
      <c r="Z245" s="56" t="s">
        <v>5137</v>
      </c>
      <c r="AA245" s="36" t="s">
        <v>5138</v>
      </c>
      <c r="AB245" s="58">
        <v>46023.0</v>
      </c>
      <c r="AC245" s="146">
        <v>46387.0</v>
      </c>
      <c r="AD245" s="57" t="s">
        <v>5139</v>
      </c>
      <c r="AE245" s="36" t="s">
        <v>79</v>
      </c>
      <c r="AF245" s="146"/>
      <c r="AG245" s="57"/>
      <c r="AH245" s="36" t="s">
        <v>2064</v>
      </c>
    </row>
    <row r="246" ht="45.75" customHeight="1">
      <c r="A246" s="36">
        <v>245.0</v>
      </c>
      <c r="B246" s="36"/>
      <c r="C246" s="36" t="s">
        <v>682</v>
      </c>
      <c r="D246" s="36" t="s">
        <v>1408</v>
      </c>
      <c r="E246" s="36" t="s">
        <v>5142</v>
      </c>
      <c r="F246" s="36" t="s">
        <v>5143</v>
      </c>
      <c r="G246" s="42" t="s">
        <v>5144</v>
      </c>
      <c r="H246" s="36" t="s">
        <v>64</v>
      </c>
      <c r="I246" s="36" t="s">
        <v>65</v>
      </c>
      <c r="J246" s="36" t="s">
        <v>62</v>
      </c>
      <c r="K246" s="36" t="s">
        <v>111</v>
      </c>
      <c r="L246" s="36">
        <v>50.0</v>
      </c>
      <c r="M246" s="36" t="s">
        <v>5146</v>
      </c>
      <c r="N246" s="36" t="s">
        <v>66</v>
      </c>
      <c r="O246" s="36" t="s">
        <v>67</v>
      </c>
      <c r="P246" s="36"/>
      <c r="Q246" s="36"/>
      <c r="R246" s="36"/>
      <c r="S246" s="36"/>
      <c r="T246" s="36" t="s">
        <v>5150</v>
      </c>
      <c r="U246" s="36"/>
      <c r="V246" s="36" t="s">
        <v>61</v>
      </c>
      <c r="W246" s="36"/>
      <c r="X246" s="36" t="s">
        <v>93</v>
      </c>
      <c r="Y246" s="36" t="s">
        <v>5152</v>
      </c>
      <c r="Z246" s="56" t="s">
        <v>1436</v>
      </c>
      <c r="AA246" s="36" t="s">
        <v>5153</v>
      </c>
      <c r="AB246" s="58">
        <v>46023.0</v>
      </c>
      <c r="AC246" s="146">
        <v>46387.0</v>
      </c>
      <c r="AD246" s="57" t="s">
        <v>5154</v>
      </c>
      <c r="AE246" s="36" t="s">
        <v>79</v>
      </c>
      <c r="AF246" s="146"/>
      <c r="AG246" s="57"/>
      <c r="AH246" s="36"/>
    </row>
    <row r="247" ht="45.75" customHeight="1">
      <c r="A247" s="36">
        <v>246.0</v>
      </c>
      <c r="B247" s="36"/>
      <c r="C247" s="36" t="s">
        <v>682</v>
      </c>
      <c r="D247" s="36" t="s">
        <v>1408</v>
      </c>
      <c r="E247" s="36" t="s">
        <v>5157</v>
      </c>
      <c r="F247" s="36" t="s">
        <v>5159</v>
      </c>
      <c r="G247" s="42" t="s">
        <v>5160</v>
      </c>
      <c r="H247" s="36" t="s">
        <v>64</v>
      </c>
      <c r="I247" s="36" t="s">
        <v>61</v>
      </c>
      <c r="J247" s="36" t="s">
        <v>62</v>
      </c>
      <c r="K247" s="36" t="s">
        <v>63</v>
      </c>
      <c r="L247" s="36">
        <v>25.0</v>
      </c>
      <c r="M247" s="36" t="s">
        <v>5129</v>
      </c>
      <c r="N247" s="36" t="s">
        <v>66</v>
      </c>
      <c r="O247" s="36" t="s">
        <v>67</v>
      </c>
      <c r="P247" s="36" t="s">
        <v>5166</v>
      </c>
      <c r="Q247" s="36"/>
      <c r="R247" s="36"/>
      <c r="S247" s="36"/>
      <c r="T247" s="36"/>
      <c r="U247" s="36"/>
      <c r="V247" s="36"/>
      <c r="W247" s="36" t="s">
        <v>61</v>
      </c>
      <c r="X247" s="36" t="s">
        <v>74</v>
      </c>
      <c r="Y247" s="36" t="s">
        <v>5169</v>
      </c>
      <c r="Z247" s="56" t="s">
        <v>5171</v>
      </c>
      <c r="AA247" s="36" t="s">
        <v>5172</v>
      </c>
      <c r="AB247" s="58">
        <v>46023.0</v>
      </c>
      <c r="AC247" s="146">
        <v>46387.0</v>
      </c>
      <c r="AD247" s="57" t="s">
        <v>5173</v>
      </c>
      <c r="AE247" s="36" t="s">
        <v>79</v>
      </c>
      <c r="AF247" s="146"/>
      <c r="AG247" s="57"/>
      <c r="AH247" s="36" t="s">
        <v>2064</v>
      </c>
    </row>
    <row r="248" ht="45.75" customHeight="1">
      <c r="A248" s="36">
        <v>247.0</v>
      </c>
      <c r="B248" s="36"/>
      <c r="C248" s="36" t="s">
        <v>682</v>
      </c>
      <c r="D248" s="36" t="s">
        <v>1408</v>
      </c>
      <c r="E248" s="36" t="s">
        <v>5177</v>
      </c>
      <c r="F248" s="36" t="s">
        <v>5178</v>
      </c>
      <c r="G248" s="42" t="s">
        <v>5179</v>
      </c>
      <c r="H248" s="36" t="s">
        <v>64</v>
      </c>
      <c r="I248" s="36" t="s">
        <v>155</v>
      </c>
      <c r="J248" s="36" t="s">
        <v>62</v>
      </c>
      <c r="K248" s="36" t="s">
        <v>63</v>
      </c>
      <c r="L248" s="36">
        <v>75.0</v>
      </c>
      <c r="M248" s="36" t="s">
        <v>5129</v>
      </c>
      <c r="N248" s="36" t="s">
        <v>66</v>
      </c>
      <c r="O248" s="36" t="s">
        <v>67</v>
      </c>
      <c r="P248" s="36" t="s">
        <v>5182</v>
      </c>
      <c r="Q248" s="36"/>
      <c r="R248" s="36"/>
      <c r="S248" s="36"/>
      <c r="T248" s="36"/>
      <c r="U248" s="36"/>
      <c r="V248" s="36"/>
      <c r="W248" s="36" t="s">
        <v>61</v>
      </c>
      <c r="X248" s="36" t="s">
        <v>74</v>
      </c>
      <c r="Y248" s="36" t="s">
        <v>5185</v>
      </c>
      <c r="Z248" s="56" t="s">
        <v>5187</v>
      </c>
      <c r="AA248" s="36" t="s">
        <v>5188</v>
      </c>
      <c r="AB248" s="58">
        <v>46023.0</v>
      </c>
      <c r="AC248" s="146">
        <v>46387.0</v>
      </c>
      <c r="AD248" s="57"/>
      <c r="AE248" s="163"/>
      <c r="AF248" s="146"/>
      <c r="AG248" s="57"/>
      <c r="AH248" s="36" t="s">
        <v>2064</v>
      </c>
    </row>
    <row r="249" ht="45.75" customHeight="1">
      <c r="A249" s="36">
        <v>248.0</v>
      </c>
      <c r="B249" s="36"/>
      <c r="C249" s="36" t="s">
        <v>682</v>
      </c>
      <c r="D249" s="36" t="s">
        <v>1408</v>
      </c>
      <c r="E249" s="36" t="s">
        <v>1409</v>
      </c>
      <c r="F249" s="36" t="s">
        <v>1410</v>
      </c>
      <c r="G249" s="42" t="s">
        <v>1412</v>
      </c>
      <c r="H249" s="36" t="s">
        <v>64</v>
      </c>
      <c r="I249" s="36" t="s">
        <v>65</v>
      </c>
      <c r="J249" s="36" t="s">
        <v>62</v>
      </c>
      <c r="K249" s="36" t="s">
        <v>68</v>
      </c>
      <c r="L249" s="36">
        <v>400.0</v>
      </c>
      <c r="M249" s="36" t="s">
        <v>1425</v>
      </c>
      <c r="N249" s="36" t="s">
        <v>71</v>
      </c>
      <c r="O249" s="36" t="s">
        <v>72</v>
      </c>
      <c r="P249" s="36" t="s">
        <v>1428</v>
      </c>
      <c r="Q249" s="36"/>
      <c r="R249" s="36"/>
      <c r="S249" s="36"/>
      <c r="T249" s="36"/>
      <c r="U249" s="36">
        <v>29.0</v>
      </c>
      <c r="V249" s="36"/>
      <c r="W249" s="36" t="s">
        <v>533</v>
      </c>
      <c r="X249" s="36" t="s">
        <v>93</v>
      </c>
      <c r="Y249" s="36" t="s">
        <v>5205</v>
      </c>
      <c r="Z249" s="56" t="s">
        <v>1436</v>
      </c>
      <c r="AA249" s="36" t="s">
        <v>1439</v>
      </c>
      <c r="AB249" s="58">
        <v>46023.0</v>
      </c>
      <c r="AC249" s="146">
        <v>46387.0</v>
      </c>
      <c r="AD249" s="57" t="s">
        <v>1441</v>
      </c>
      <c r="AE249" s="36" t="s">
        <v>79</v>
      </c>
      <c r="AF249" s="146"/>
      <c r="AG249" s="57" t="s">
        <v>5208</v>
      </c>
      <c r="AH249" s="36" t="s">
        <v>2064</v>
      </c>
    </row>
    <row r="250" ht="45.75" customHeight="1">
      <c r="A250" s="36">
        <v>249.0</v>
      </c>
      <c r="B250" s="36"/>
      <c r="C250" s="36" t="s">
        <v>682</v>
      </c>
      <c r="D250" s="36" t="s">
        <v>1408</v>
      </c>
      <c r="E250" s="36" t="s">
        <v>5210</v>
      </c>
      <c r="F250" s="36" t="s">
        <v>5212</v>
      </c>
      <c r="G250" s="42" t="s">
        <v>5213</v>
      </c>
      <c r="H250" s="36" t="s">
        <v>64</v>
      </c>
      <c r="I250" s="36" t="s">
        <v>155</v>
      </c>
      <c r="J250" s="36" t="s">
        <v>62</v>
      </c>
      <c r="K250" s="36" t="s">
        <v>111</v>
      </c>
      <c r="L250" s="36">
        <v>75.0</v>
      </c>
      <c r="M250" s="36" t="s">
        <v>5218</v>
      </c>
      <c r="N250" s="36" t="s">
        <v>5219</v>
      </c>
      <c r="O250" s="36" t="s">
        <v>67</v>
      </c>
      <c r="P250" s="36" t="s">
        <v>5220</v>
      </c>
      <c r="Q250" s="36"/>
      <c r="R250" s="36"/>
      <c r="S250" s="36"/>
      <c r="T250" s="36"/>
      <c r="U250" s="36">
        <v>12.0</v>
      </c>
      <c r="V250" s="36"/>
      <c r="W250" s="36" t="s">
        <v>61</v>
      </c>
      <c r="X250" s="36" t="s">
        <v>93</v>
      </c>
      <c r="Y250" s="36" t="s">
        <v>5223</v>
      </c>
      <c r="Z250" s="56" t="s">
        <v>5224</v>
      </c>
      <c r="AA250" s="36" t="s">
        <v>5226</v>
      </c>
      <c r="AB250" s="58">
        <v>46023.0</v>
      </c>
      <c r="AC250" s="146">
        <v>46387.0</v>
      </c>
      <c r="AD250" s="57" t="s">
        <v>5228</v>
      </c>
      <c r="AE250" s="163"/>
      <c r="AF250" s="146"/>
      <c r="AG250" s="57"/>
      <c r="AH250" s="36" t="s">
        <v>2064</v>
      </c>
    </row>
    <row r="251" ht="45.75" customHeight="1">
      <c r="A251" s="36">
        <v>250.0</v>
      </c>
      <c r="B251" s="36"/>
      <c r="C251" s="36" t="s">
        <v>682</v>
      </c>
      <c r="D251" s="36" t="s">
        <v>1408</v>
      </c>
      <c r="E251" s="36" t="s">
        <v>1452</v>
      </c>
      <c r="F251" s="36" t="s">
        <v>1455</v>
      </c>
      <c r="G251" s="42" t="s">
        <v>1457</v>
      </c>
      <c r="H251" s="36" t="s">
        <v>64</v>
      </c>
      <c r="I251" s="36" t="s">
        <v>65</v>
      </c>
      <c r="J251" s="36" t="s">
        <v>62</v>
      </c>
      <c r="K251" s="36" t="s">
        <v>111</v>
      </c>
      <c r="L251" s="36">
        <v>200.0</v>
      </c>
      <c r="M251" s="36" t="s">
        <v>1466</v>
      </c>
      <c r="N251" s="36" t="s">
        <v>1469</v>
      </c>
      <c r="O251" s="36" t="s">
        <v>72</v>
      </c>
      <c r="P251" s="36" t="s">
        <v>1474</v>
      </c>
      <c r="Q251" s="36"/>
      <c r="R251" s="36"/>
      <c r="S251" s="36"/>
      <c r="T251" s="36"/>
      <c r="U251" s="36"/>
      <c r="V251" s="36"/>
      <c r="W251" s="36" t="s">
        <v>61</v>
      </c>
      <c r="X251" s="36" t="s">
        <v>93</v>
      </c>
      <c r="Y251" s="36" t="s">
        <v>1483</v>
      </c>
      <c r="Z251" s="56" t="s">
        <v>1485</v>
      </c>
      <c r="AA251" s="36" t="s">
        <v>5238</v>
      </c>
      <c r="AB251" s="58">
        <v>46023.0</v>
      </c>
      <c r="AC251" s="146">
        <v>46387.0</v>
      </c>
      <c r="AD251" s="57" t="s">
        <v>5241</v>
      </c>
      <c r="AE251" s="163"/>
      <c r="AF251" s="146"/>
      <c r="AG251" s="57"/>
      <c r="AH251" s="36" t="s">
        <v>2064</v>
      </c>
    </row>
    <row r="252" ht="45.75" customHeight="1">
      <c r="A252" s="36">
        <v>251.0</v>
      </c>
      <c r="B252" s="36"/>
      <c r="C252" s="36" t="s">
        <v>682</v>
      </c>
      <c r="D252" s="36" t="s">
        <v>1498</v>
      </c>
      <c r="E252" s="36" t="s">
        <v>5244</v>
      </c>
      <c r="F252" s="36" t="s">
        <v>5246</v>
      </c>
      <c r="G252" s="42" t="s">
        <v>5248</v>
      </c>
      <c r="H252" s="36" t="s">
        <v>64</v>
      </c>
      <c r="I252" s="36" t="s">
        <v>155</v>
      </c>
      <c r="J252" s="36" t="s">
        <v>62</v>
      </c>
      <c r="K252" s="36" t="s">
        <v>111</v>
      </c>
      <c r="L252" s="36">
        <v>100.0</v>
      </c>
      <c r="M252" s="36" t="s">
        <v>5249</v>
      </c>
      <c r="N252" s="36" t="s">
        <v>66</v>
      </c>
      <c r="O252" s="36" t="s">
        <v>67</v>
      </c>
      <c r="P252" s="36" t="s">
        <v>5250</v>
      </c>
      <c r="Q252" s="36"/>
      <c r="R252" s="36"/>
      <c r="S252" s="36"/>
      <c r="T252" s="36"/>
      <c r="U252" s="36">
        <v>15.0</v>
      </c>
      <c r="V252" s="36"/>
      <c r="W252" s="36" t="s">
        <v>61</v>
      </c>
      <c r="X252" s="36" t="s">
        <v>74</v>
      </c>
      <c r="Y252" s="36" t="s">
        <v>5254</v>
      </c>
      <c r="Z252" s="56" t="s">
        <v>5255</v>
      </c>
      <c r="AA252" s="36" t="s">
        <v>5256</v>
      </c>
      <c r="AB252" s="58">
        <v>46023.0</v>
      </c>
      <c r="AC252" s="146">
        <v>46387.0</v>
      </c>
      <c r="AD252" s="57" t="s">
        <v>5257</v>
      </c>
      <c r="AE252" s="36" t="s">
        <v>79</v>
      </c>
      <c r="AF252" s="146"/>
      <c r="AG252" s="57"/>
      <c r="AH252" s="36" t="s">
        <v>2064</v>
      </c>
    </row>
    <row r="253" ht="45.75" customHeight="1">
      <c r="A253" s="36">
        <v>252.0</v>
      </c>
      <c r="B253" s="36"/>
      <c r="C253" s="36" t="s">
        <v>682</v>
      </c>
      <c r="D253" s="36" t="s">
        <v>1498</v>
      </c>
      <c r="E253" s="36" t="s">
        <v>5261</v>
      </c>
      <c r="F253" s="36" t="s">
        <v>5262</v>
      </c>
      <c r="G253" s="42" t="s">
        <v>5263</v>
      </c>
      <c r="H253" s="36" t="s">
        <v>64</v>
      </c>
      <c r="I253" s="36" t="s">
        <v>155</v>
      </c>
      <c r="J253" s="36" t="s">
        <v>62</v>
      </c>
      <c r="K253" s="36" t="s">
        <v>63</v>
      </c>
      <c r="L253" s="36">
        <v>25.0</v>
      </c>
      <c r="M253" s="36" t="s">
        <v>5112</v>
      </c>
      <c r="N253" s="36" t="s">
        <v>66</v>
      </c>
      <c r="O253" s="36" t="s">
        <v>67</v>
      </c>
      <c r="P253" s="36" t="s">
        <v>5267</v>
      </c>
      <c r="Q253" s="36"/>
      <c r="R253" s="36"/>
      <c r="S253" s="36"/>
      <c r="T253" s="36"/>
      <c r="U253" s="36">
        <v>10.0</v>
      </c>
      <c r="V253" s="36"/>
      <c r="W253" s="36" t="s">
        <v>61</v>
      </c>
      <c r="X253" s="36" t="s">
        <v>74</v>
      </c>
      <c r="Y253" s="36" t="s">
        <v>5271</v>
      </c>
      <c r="Z253" s="56" t="s">
        <v>5272</v>
      </c>
      <c r="AA253" s="36" t="s">
        <v>5273</v>
      </c>
      <c r="AB253" s="58">
        <v>46058.0</v>
      </c>
      <c r="AC253" s="146">
        <v>46387.0</v>
      </c>
      <c r="AD253" s="57" t="s">
        <v>5275</v>
      </c>
      <c r="AE253" s="36" t="s">
        <v>79</v>
      </c>
      <c r="AF253" s="146"/>
      <c r="AG253" s="57"/>
      <c r="AH253" s="36" t="s">
        <v>2064</v>
      </c>
    </row>
    <row r="254" ht="45.75" customHeight="1">
      <c r="A254" s="36">
        <v>253.0</v>
      </c>
      <c r="B254" s="36"/>
      <c r="C254" s="36" t="s">
        <v>682</v>
      </c>
      <c r="D254" s="36" t="s">
        <v>1498</v>
      </c>
      <c r="E254" s="36" t="s">
        <v>5277</v>
      </c>
      <c r="F254" s="36" t="s">
        <v>5278</v>
      </c>
      <c r="G254" s="42" t="s">
        <v>5279</v>
      </c>
      <c r="H254" s="36" t="s">
        <v>64</v>
      </c>
      <c r="I254" s="36" t="s">
        <v>155</v>
      </c>
      <c r="J254" s="36" t="s">
        <v>62</v>
      </c>
      <c r="K254" s="36" t="s">
        <v>111</v>
      </c>
      <c r="L254" s="36">
        <v>100.0</v>
      </c>
      <c r="M254" s="36" t="s">
        <v>5129</v>
      </c>
      <c r="N254" s="36" t="s">
        <v>66</v>
      </c>
      <c r="O254" s="36" t="s">
        <v>67</v>
      </c>
      <c r="P254" s="36" t="s">
        <v>5284</v>
      </c>
      <c r="Q254" s="36"/>
      <c r="R254" s="36"/>
      <c r="S254" s="36"/>
      <c r="T254" s="36"/>
      <c r="U254" s="36">
        <v>15.0</v>
      </c>
      <c r="V254" s="36"/>
      <c r="W254" s="36" t="s">
        <v>61</v>
      </c>
      <c r="X254" s="36" t="s">
        <v>74</v>
      </c>
      <c r="Y254" s="36" t="s">
        <v>5285</v>
      </c>
      <c r="Z254" s="56" t="s">
        <v>5286</v>
      </c>
      <c r="AA254" s="36" t="s">
        <v>5288</v>
      </c>
      <c r="AB254" s="58">
        <v>46023.0</v>
      </c>
      <c r="AC254" s="146">
        <v>46387.0</v>
      </c>
      <c r="AD254" s="57" t="s">
        <v>5290</v>
      </c>
      <c r="AE254" s="36" t="s">
        <v>79</v>
      </c>
      <c r="AF254" s="146"/>
      <c r="AG254" s="57"/>
      <c r="AH254" s="36" t="s">
        <v>2064</v>
      </c>
    </row>
    <row r="255" ht="45.75" customHeight="1">
      <c r="A255" s="36">
        <v>254.0</v>
      </c>
      <c r="B255" s="36"/>
      <c r="C255" s="36" t="s">
        <v>682</v>
      </c>
      <c r="D255" s="36" t="s">
        <v>1498</v>
      </c>
      <c r="E255" s="36" t="s">
        <v>5291</v>
      </c>
      <c r="F255" s="36" t="s">
        <v>5292</v>
      </c>
      <c r="G255" s="42" t="s">
        <v>5293</v>
      </c>
      <c r="H255" s="36" t="s">
        <v>64</v>
      </c>
      <c r="I255" s="36" t="s">
        <v>155</v>
      </c>
      <c r="J255" s="36" t="s">
        <v>62</v>
      </c>
      <c r="K255" s="36" t="s">
        <v>63</v>
      </c>
      <c r="L255" s="36">
        <v>100.0</v>
      </c>
      <c r="M255" s="36" t="s">
        <v>5296</v>
      </c>
      <c r="N255" s="36" t="s">
        <v>66</v>
      </c>
      <c r="O255" s="36" t="s">
        <v>72</v>
      </c>
      <c r="P255" s="36" t="s">
        <v>5298</v>
      </c>
      <c r="Q255" s="36"/>
      <c r="R255" s="36"/>
      <c r="S255" s="36"/>
      <c r="T255" s="36"/>
      <c r="U255" s="36">
        <v>17.0</v>
      </c>
      <c r="V255" s="36"/>
      <c r="W255" s="36" t="s">
        <v>61</v>
      </c>
      <c r="X255" s="36" t="s">
        <v>74</v>
      </c>
      <c r="Y255" s="36" t="s">
        <v>5299</v>
      </c>
      <c r="Z255" s="56" t="s">
        <v>5301</v>
      </c>
      <c r="AA255" s="36" t="s">
        <v>5303</v>
      </c>
      <c r="AB255" s="58">
        <v>46023.0</v>
      </c>
      <c r="AC255" s="146">
        <v>46387.0</v>
      </c>
      <c r="AD255" s="57" t="s">
        <v>5304</v>
      </c>
      <c r="AE255" s="36" t="s">
        <v>79</v>
      </c>
      <c r="AF255" s="146"/>
      <c r="AG255" s="57"/>
      <c r="AH255" s="36" t="s">
        <v>2064</v>
      </c>
    </row>
    <row r="256" ht="45.75" customHeight="1">
      <c r="A256" s="36">
        <v>255.0</v>
      </c>
      <c r="B256" s="36"/>
      <c r="C256" s="36" t="s">
        <v>682</v>
      </c>
      <c r="D256" s="36" t="s">
        <v>1498</v>
      </c>
      <c r="E256" s="36" t="s">
        <v>1499</v>
      </c>
      <c r="F256" s="36" t="s">
        <v>5306</v>
      </c>
      <c r="G256" s="42" t="s">
        <v>5308</v>
      </c>
      <c r="H256" s="36" t="s">
        <v>64</v>
      </c>
      <c r="I256" s="36" t="s">
        <v>2305</v>
      </c>
      <c r="J256" s="36" t="s">
        <v>62</v>
      </c>
      <c r="K256" s="36" t="s">
        <v>63</v>
      </c>
      <c r="L256" s="36">
        <v>25.0</v>
      </c>
      <c r="M256" s="36" t="s">
        <v>5310</v>
      </c>
      <c r="N256" s="36" t="s">
        <v>66</v>
      </c>
      <c r="O256" s="36" t="s">
        <v>67</v>
      </c>
      <c r="P256" s="36" t="s">
        <v>5312</v>
      </c>
      <c r="Q256" s="36"/>
      <c r="R256" s="36"/>
      <c r="S256" s="36"/>
      <c r="T256" s="36"/>
      <c r="U256" s="36"/>
      <c r="V256" s="36"/>
      <c r="W256" s="36" t="s">
        <v>61</v>
      </c>
      <c r="X256" s="36" t="s">
        <v>74</v>
      </c>
      <c r="Y256" s="36" t="s">
        <v>5314</v>
      </c>
      <c r="Z256" s="56" t="s">
        <v>5315</v>
      </c>
      <c r="AA256" s="36" t="s">
        <v>5316</v>
      </c>
      <c r="AB256" s="58">
        <v>46023.0</v>
      </c>
      <c r="AC256" s="146">
        <v>46387.0</v>
      </c>
      <c r="AD256" s="57" t="s">
        <v>5318</v>
      </c>
      <c r="AE256" s="36" t="s">
        <v>79</v>
      </c>
      <c r="AF256" s="146"/>
      <c r="AG256" s="57"/>
      <c r="AH256" s="36" t="s">
        <v>2064</v>
      </c>
    </row>
    <row r="257" ht="45.75" customHeight="1">
      <c r="A257" s="36">
        <v>256.0</v>
      </c>
      <c r="B257" s="36"/>
      <c r="C257" s="36" t="s">
        <v>682</v>
      </c>
      <c r="D257" s="36" t="s">
        <v>1498</v>
      </c>
      <c r="E257" s="36" t="s">
        <v>1499</v>
      </c>
      <c r="F257" s="36" t="s">
        <v>5323</v>
      </c>
      <c r="G257" s="42" t="s">
        <v>5324</v>
      </c>
      <c r="H257" s="36" t="s">
        <v>64</v>
      </c>
      <c r="I257" s="36" t="s">
        <v>155</v>
      </c>
      <c r="J257" s="36" t="s">
        <v>62</v>
      </c>
      <c r="K257" s="36" t="s">
        <v>111</v>
      </c>
      <c r="L257" s="36">
        <v>200.0</v>
      </c>
      <c r="M257" s="36" t="s">
        <v>5328</v>
      </c>
      <c r="N257" s="36" t="s">
        <v>66</v>
      </c>
      <c r="O257" s="36" t="s">
        <v>67</v>
      </c>
      <c r="P257" s="36" t="s">
        <v>5330</v>
      </c>
      <c r="Q257" s="36"/>
      <c r="R257" s="36"/>
      <c r="S257" s="36"/>
      <c r="T257" s="36"/>
      <c r="U257" s="36"/>
      <c r="V257" s="36"/>
      <c r="W257" s="36" t="s">
        <v>61</v>
      </c>
      <c r="X257" s="36" t="s">
        <v>93</v>
      </c>
      <c r="Y257" s="36" t="s">
        <v>5333</v>
      </c>
      <c r="Z257" s="56" t="s">
        <v>5334</v>
      </c>
      <c r="AA257" s="36" t="s">
        <v>5336</v>
      </c>
      <c r="AB257" s="58">
        <v>46023.0</v>
      </c>
      <c r="AC257" s="146">
        <v>46387.0</v>
      </c>
      <c r="AD257" s="57" t="s">
        <v>5338</v>
      </c>
      <c r="AE257" s="36" t="s">
        <v>79</v>
      </c>
      <c r="AF257" s="146"/>
      <c r="AG257" s="57"/>
      <c r="AH257" s="36" t="s">
        <v>2064</v>
      </c>
    </row>
    <row r="258" ht="45.75" customHeight="1">
      <c r="A258" s="36">
        <v>257.0</v>
      </c>
      <c r="B258" s="36"/>
      <c r="C258" s="36" t="s">
        <v>682</v>
      </c>
      <c r="D258" s="36" t="s">
        <v>1498</v>
      </c>
      <c r="E258" s="36" t="s">
        <v>1499</v>
      </c>
      <c r="F258" s="36" t="s">
        <v>1502</v>
      </c>
      <c r="G258" s="42" t="s">
        <v>1505</v>
      </c>
      <c r="H258" s="36" t="s">
        <v>64</v>
      </c>
      <c r="I258" s="36" t="s">
        <v>65</v>
      </c>
      <c r="J258" s="36" t="s">
        <v>62</v>
      </c>
      <c r="K258" s="36" t="s">
        <v>111</v>
      </c>
      <c r="L258" s="36">
        <v>100.0</v>
      </c>
      <c r="M258" s="36" t="s">
        <v>1512</v>
      </c>
      <c r="N258" s="36" t="s">
        <v>66</v>
      </c>
      <c r="O258" s="36" t="s">
        <v>67</v>
      </c>
      <c r="P258" s="36" t="s">
        <v>1517</v>
      </c>
      <c r="Q258" s="36"/>
      <c r="R258" s="36"/>
      <c r="S258" s="36"/>
      <c r="T258" s="36"/>
      <c r="U258" s="36"/>
      <c r="V258" s="36"/>
      <c r="W258" s="36" t="s">
        <v>61</v>
      </c>
      <c r="X258" s="36" t="s">
        <v>74</v>
      </c>
      <c r="Y258" s="36" t="s">
        <v>1541</v>
      </c>
      <c r="Z258" s="56" t="s">
        <v>1545</v>
      </c>
      <c r="AA258" s="36" t="s">
        <v>5352</v>
      </c>
      <c r="AB258" s="58">
        <v>46023.0</v>
      </c>
      <c r="AC258" s="146">
        <v>46387.0</v>
      </c>
      <c r="AD258" s="57" t="s">
        <v>5353</v>
      </c>
      <c r="AE258" s="163"/>
      <c r="AF258" s="146"/>
      <c r="AG258" s="57"/>
      <c r="AH258" s="36" t="s">
        <v>2064</v>
      </c>
    </row>
    <row r="259" ht="45.75" customHeight="1">
      <c r="A259" s="36">
        <v>258.0</v>
      </c>
      <c r="B259" s="36"/>
      <c r="C259" s="36" t="s">
        <v>682</v>
      </c>
      <c r="D259" s="36" t="s">
        <v>1498</v>
      </c>
      <c r="E259" s="36" t="s">
        <v>1499</v>
      </c>
      <c r="F259" s="36" t="s">
        <v>1603</v>
      </c>
      <c r="G259" s="42" t="s">
        <v>1609</v>
      </c>
      <c r="H259" s="36" t="s">
        <v>64</v>
      </c>
      <c r="I259" s="36" t="s">
        <v>65</v>
      </c>
      <c r="J259" s="36" t="s">
        <v>62</v>
      </c>
      <c r="K259" s="36" t="s">
        <v>68</v>
      </c>
      <c r="L259" s="36">
        <v>1500.0</v>
      </c>
      <c r="M259" s="36" t="s">
        <v>1624</v>
      </c>
      <c r="N259" s="36" t="s">
        <v>71</v>
      </c>
      <c r="O259" s="36" t="s">
        <v>72</v>
      </c>
      <c r="P259" s="36" t="s">
        <v>1428</v>
      </c>
      <c r="Q259" s="36"/>
      <c r="R259" s="36"/>
      <c r="S259" s="36"/>
      <c r="T259" s="36"/>
      <c r="U259" s="36">
        <v>15.0</v>
      </c>
      <c r="V259" s="36"/>
      <c r="W259" s="36" t="s">
        <v>61</v>
      </c>
      <c r="X259" s="36" t="s">
        <v>93</v>
      </c>
      <c r="Y259" s="36" t="s">
        <v>1652</v>
      </c>
      <c r="Z259" s="56" t="s">
        <v>1655</v>
      </c>
      <c r="AA259" s="36" t="s">
        <v>1657</v>
      </c>
      <c r="AB259" s="58">
        <v>46023.0</v>
      </c>
      <c r="AC259" s="146">
        <v>46387.0</v>
      </c>
      <c r="AD259" s="57" t="s">
        <v>1662</v>
      </c>
      <c r="AE259" s="36" t="s">
        <v>79</v>
      </c>
      <c r="AF259" s="146"/>
      <c r="AG259" s="57"/>
      <c r="AH259" s="36" t="s">
        <v>2064</v>
      </c>
    </row>
    <row r="260" ht="45.75" customHeight="1">
      <c r="A260" s="36">
        <v>259.0</v>
      </c>
      <c r="B260" s="36"/>
      <c r="C260" s="36" t="s">
        <v>682</v>
      </c>
      <c r="D260" s="36" t="s">
        <v>1498</v>
      </c>
      <c r="E260" s="36" t="s">
        <v>5365</v>
      </c>
      <c r="F260" s="36" t="s">
        <v>5366</v>
      </c>
      <c r="G260" s="42" t="s">
        <v>5367</v>
      </c>
      <c r="H260" s="36" t="s">
        <v>64</v>
      </c>
      <c r="I260" s="36" t="s">
        <v>155</v>
      </c>
      <c r="J260" s="36" t="s">
        <v>62</v>
      </c>
      <c r="K260" s="36" t="s">
        <v>63</v>
      </c>
      <c r="L260" s="36">
        <v>100.0</v>
      </c>
      <c r="M260" s="36" t="s">
        <v>5112</v>
      </c>
      <c r="N260" s="36" t="s">
        <v>66</v>
      </c>
      <c r="O260" s="36" t="s">
        <v>67</v>
      </c>
      <c r="P260" s="36" t="s">
        <v>5371</v>
      </c>
      <c r="Q260" s="36"/>
      <c r="R260" s="36"/>
      <c r="S260" s="36"/>
      <c r="T260" s="36"/>
      <c r="U260" s="36">
        <v>15.0</v>
      </c>
      <c r="V260" s="36"/>
      <c r="W260" s="36" t="s">
        <v>61</v>
      </c>
      <c r="X260" s="36" t="s">
        <v>93</v>
      </c>
      <c r="Y260" s="36" t="s">
        <v>5375</v>
      </c>
      <c r="Z260" s="56" t="s">
        <v>5377</v>
      </c>
      <c r="AA260" s="36" t="s">
        <v>5378</v>
      </c>
      <c r="AB260" s="58">
        <v>46023.0</v>
      </c>
      <c r="AC260" s="146">
        <v>46387.0</v>
      </c>
      <c r="AD260" s="57" t="s">
        <v>5380</v>
      </c>
      <c r="AE260" s="36" t="s">
        <v>79</v>
      </c>
      <c r="AF260" s="146"/>
      <c r="AG260" s="57"/>
      <c r="AH260" s="36" t="s">
        <v>2064</v>
      </c>
    </row>
    <row r="261" ht="45.75" customHeight="1">
      <c r="A261" s="36">
        <v>260.0</v>
      </c>
      <c r="B261" s="36"/>
      <c r="C261" s="36" t="s">
        <v>682</v>
      </c>
      <c r="D261" s="36" t="s">
        <v>1498</v>
      </c>
      <c r="E261" s="36" t="s">
        <v>5385</v>
      </c>
      <c r="F261" s="36" t="s">
        <v>5386</v>
      </c>
      <c r="G261" s="42" t="s">
        <v>5387</v>
      </c>
      <c r="H261" s="36" t="s">
        <v>64</v>
      </c>
      <c r="I261" s="36" t="s">
        <v>155</v>
      </c>
      <c r="J261" s="36" t="s">
        <v>62</v>
      </c>
      <c r="K261" s="36" t="s">
        <v>63</v>
      </c>
      <c r="L261" s="36">
        <v>50.0</v>
      </c>
      <c r="M261" s="36" t="s">
        <v>5390</v>
      </c>
      <c r="N261" s="36" t="s">
        <v>66</v>
      </c>
      <c r="O261" s="36" t="s">
        <v>67</v>
      </c>
      <c r="P261" s="36" t="s">
        <v>5391</v>
      </c>
      <c r="Q261" s="36"/>
      <c r="R261" s="36"/>
      <c r="S261" s="36"/>
      <c r="T261" s="36"/>
      <c r="U261" s="36"/>
      <c r="V261" s="36"/>
      <c r="W261" s="36" t="s">
        <v>61</v>
      </c>
      <c r="X261" s="36" t="s">
        <v>74</v>
      </c>
      <c r="Y261" s="36" t="s">
        <v>5395</v>
      </c>
      <c r="Z261" s="56" t="s">
        <v>5397</v>
      </c>
      <c r="AA261" s="36" t="s">
        <v>5398</v>
      </c>
      <c r="AB261" s="58">
        <v>46023.0</v>
      </c>
      <c r="AC261" s="146">
        <v>46387.0</v>
      </c>
      <c r="AD261" s="57" t="s">
        <v>5399</v>
      </c>
      <c r="AE261" s="36" t="s">
        <v>79</v>
      </c>
      <c r="AF261" s="146"/>
      <c r="AG261" s="57"/>
      <c r="AH261" s="36" t="s">
        <v>2064</v>
      </c>
    </row>
    <row r="262" ht="45.75" customHeight="1">
      <c r="A262" s="36">
        <v>261.0</v>
      </c>
      <c r="B262" s="36"/>
      <c r="C262" s="36" t="s">
        <v>682</v>
      </c>
      <c r="D262" s="36" t="s">
        <v>1498</v>
      </c>
      <c r="E262" s="36" t="s">
        <v>1673</v>
      </c>
      <c r="F262" s="36" t="s">
        <v>1674</v>
      </c>
      <c r="G262" s="42" t="s">
        <v>1678</v>
      </c>
      <c r="H262" s="36" t="s">
        <v>64</v>
      </c>
      <c r="I262" s="36" t="s">
        <v>65</v>
      </c>
      <c r="J262" s="36" t="s">
        <v>62</v>
      </c>
      <c r="K262" s="36" t="s">
        <v>111</v>
      </c>
      <c r="L262" s="36">
        <v>200.0</v>
      </c>
      <c r="M262" s="36" t="s">
        <v>1689</v>
      </c>
      <c r="N262" s="36" t="s">
        <v>66</v>
      </c>
      <c r="O262" s="36" t="s">
        <v>67</v>
      </c>
      <c r="P262" s="36" t="s">
        <v>1693</v>
      </c>
      <c r="Q262" s="36"/>
      <c r="R262" s="36"/>
      <c r="S262" s="36"/>
      <c r="T262" s="36"/>
      <c r="U262" s="36">
        <v>10.0</v>
      </c>
      <c r="V262" s="36"/>
      <c r="W262" s="36" t="s">
        <v>61</v>
      </c>
      <c r="X262" s="36" t="s">
        <v>93</v>
      </c>
      <c r="Y262" s="36" t="s">
        <v>1701</v>
      </c>
      <c r="Z262" s="56" t="s">
        <v>1704</v>
      </c>
      <c r="AA262" s="36" t="s">
        <v>1706</v>
      </c>
      <c r="AB262" s="58">
        <v>46023.0</v>
      </c>
      <c r="AC262" s="146">
        <v>46387.0</v>
      </c>
      <c r="AD262" s="57" t="s">
        <v>5338</v>
      </c>
      <c r="AE262" s="36" t="s">
        <v>79</v>
      </c>
      <c r="AF262" s="146"/>
      <c r="AG262" s="57"/>
      <c r="AH262" s="36" t="s">
        <v>2064</v>
      </c>
    </row>
    <row r="263" ht="45.75" customHeight="1">
      <c r="A263" s="36">
        <v>262.0</v>
      </c>
      <c r="B263" s="36"/>
      <c r="C263" s="36" t="s">
        <v>682</v>
      </c>
      <c r="D263" s="36" t="s">
        <v>1498</v>
      </c>
      <c r="E263" s="36" t="s">
        <v>1673</v>
      </c>
      <c r="F263" s="36" t="s">
        <v>5415</v>
      </c>
      <c r="G263" s="42" t="s">
        <v>5416</v>
      </c>
      <c r="H263" s="36" t="s">
        <v>64</v>
      </c>
      <c r="I263" s="36" t="s">
        <v>155</v>
      </c>
      <c r="J263" s="36" t="s">
        <v>62</v>
      </c>
      <c r="K263" s="36" t="s">
        <v>63</v>
      </c>
      <c r="L263" s="36">
        <v>25.0</v>
      </c>
      <c r="M263" s="36" t="s">
        <v>5129</v>
      </c>
      <c r="N263" s="36" t="s">
        <v>66</v>
      </c>
      <c r="O263" s="36" t="s">
        <v>67</v>
      </c>
      <c r="P263" s="36" t="s">
        <v>5419</v>
      </c>
      <c r="Q263" s="36"/>
      <c r="R263" s="36"/>
      <c r="S263" s="36"/>
      <c r="T263" s="36"/>
      <c r="U263" s="36"/>
      <c r="V263" s="36"/>
      <c r="W263" s="36" t="s">
        <v>61</v>
      </c>
      <c r="X263" s="36" t="s">
        <v>74</v>
      </c>
      <c r="Y263" s="36" t="s">
        <v>5422</v>
      </c>
      <c r="Z263" s="56" t="s">
        <v>5424</v>
      </c>
      <c r="AA263" s="36" t="s">
        <v>5426</v>
      </c>
      <c r="AB263" s="58">
        <v>46023.0</v>
      </c>
      <c r="AC263" s="146">
        <v>46387.0</v>
      </c>
      <c r="AD263" s="57" t="s">
        <v>5427</v>
      </c>
      <c r="AE263" s="36" t="s">
        <v>79</v>
      </c>
      <c r="AF263" s="146"/>
      <c r="AG263" s="57" t="s">
        <v>5429</v>
      </c>
      <c r="AH263" s="36" t="s">
        <v>2064</v>
      </c>
    </row>
    <row r="264" ht="45.75" customHeight="1">
      <c r="A264" s="36">
        <v>263.0</v>
      </c>
      <c r="B264" s="36"/>
      <c r="C264" s="36" t="s">
        <v>682</v>
      </c>
      <c r="D264" s="36" t="s">
        <v>1498</v>
      </c>
      <c r="E264" s="36" t="s">
        <v>3760</v>
      </c>
      <c r="F264" s="36" t="s">
        <v>5433</v>
      </c>
      <c r="G264" s="42" t="s">
        <v>5434</v>
      </c>
      <c r="H264" s="36" t="s">
        <v>64</v>
      </c>
      <c r="I264" s="36" t="s">
        <v>155</v>
      </c>
      <c r="J264" s="36" t="s">
        <v>62</v>
      </c>
      <c r="K264" s="36" t="s">
        <v>63</v>
      </c>
      <c r="L264" s="36">
        <v>25.0</v>
      </c>
      <c r="M264" s="36" t="s">
        <v>5437</v>
      </c>
      <c r="N264" s="36" t="s">
        <v>66</v>
      </c>
      <c r="O264" s="36" t="s">
        <v>67</v>
      </c>
      <c r="P264" s="36" t="s">
        <v>5441</v>
      </c>
      <c r="Q264" s="36"/>
      <c r="R264" s="36"/>
      <c r="S264" s="36"/>
      <c r="T264" s="36"/>
      <c r="U264" s="36">
        <v>10.0</v>
      </c>
      <c r="V264" s="36"/>
      <c r="W264" s="36" t="s">
        <v>61</v>
      </c>
      <c r="X264" s="36" t="s">
        <v>74</v>
      </c>
      <c r="Y264" s="36" t="s">
        <v>5445</v>
      </c>
      <c r="Z264" s="56" t="s">
        <v>5446</v>
      </c>
      <c r="AA264" s="36" t="s">
        <v>5447</v>
      </c>
      <c r="AB264" s="58">
        <v>46023.0</v>
      </c>
      <c r="AC264" s="146">
        <v>46387.0</v>
      </c>
      <c r="AD264" s="57" t="s">
        <v>5448</v>
      </c>
      <c r="AE264" s="36" t="s">
        <v>79</v>
      </c>
      <c r="AF264" s="146"/>
      <c r="AG264" s="57"/>
      <c r="AH264" s="36" t="s">
        <v>2064</v>
      </c>
    </row>
    <row r="265" ht="45.75" customHeight="1">
      <c r="A265" s="36">
        <v>264.0</v>
      </c>
      <c r="B265" s="36"/>
      <c r="C265" s="36" t="s">
        <v>682</v>
      </c>
      <c r="D265" s="36" t="s">
        <v>1498</v>
      </c>
      <c r="E265" s="36" t="s">
        <v>1720</v>
      </c>
      <c r="F265" s="36" t="s">
        <v>1723</v>
      </c>
      <c r="G265" s="42" t="s">
        <v>1727</v>
      </c>
      <c r="H265" s="36" t="s">
        <v>64</v>
      </c>
      <c r="I265" s="36" t="s">
        <v>65</v>
      </c>
      <c r="J265" s="36" t="s">
        <v>62</v>
      </c>
      <c r="K265" s="36" t="s">
        <v>68</v>
      </c>
      <c r="L265" s="36">
        <v>201.0</v>
      </c>
      <c r="M265" s="36" t="s">
        <v>5454</v>
      </c>
      <c r="N265" s="36" t="s">
        <v>221</v>
      </c>
      <c r="O265" s="36" t="s">
        <v>72</v>
      </c>
      <c r="P265" s="36" t="s">
        <v>5457</v>
      </c>
      <c r="Q265" s="36"/>
      <c r="R265" s="36"/>
      <c r="S265" s="36"/>
      <c r="T265" s="36"/>
      <c r="U265" s="36"/>
      <c r="V265" s="36"/>
      <c r="W265" s="36" t="s">
        <v>61</v>
      </c>
      <c r="X265" s="36" t="s">
        <v>93</v>
      </c>
      <c r="Y265" s="36" t="s">
        <v>1747</v>
      </c>
      <c r="Z265" s="56" t="s">
        <v>1750</v>
      </c>
      <c r="AA265" s="36" t="s">
        <v>1753</v>
      </c>
      <c r="AB265" s="58">
        <v>46023.0</v>
      </c>
      <c r="AC265" s="146">
        <v>46387.0</v>
      </c>
      <c r="AD265" s="57" t="s">
        <v>1757</v>
      </c>
      <c r="AE265" s="36" t="s">
        <v>79</v>
      </c>
      <c r="AF265" s="146"/>
      <c r="AG265" s="57"/>
      <c r="AH265" s="36" t="s">
        <v>2064</v>
      </c>
    </row>
    <row r="266" ht="45.75" customHeight="1">
      <c r="A266" s="36">
        <v>265.0</v>
      </c>
      <c r="B266" s="36"/>
      <c r="C266" s="36" t="s">
        <v>682</v>
      </c>
      <c r="D266" s="36" t="s">
        <v>1498</v>
      </c>
      <c r="E266" s="36" t="s">
        <v>5464</v>
      </c>
      <c r="F266" s="36" t="s">
        <v>5465</v>
      </c>
      <c r="G266" s="42" t="s">
        <v>5466</v>
      </c>
      <c r="H266" s="36" t="s">
        <v>64</v>
      </c>
      <c r="I266" s="36" t="s">
        <v>155</v>
      </c>
      <c r="J266" s="36" t="s">
        <v>62</v>
      </c>
      <c r="K266" s="36" t="s">
        <v>63</v>
      </c>
      <c r="L266" s="36">
        <v>75.0</v>
      </c>
      <c r="M266" s="36" t="s">
        <v>5469</v>
      </c>
      <c r="N266" s="36" t="s">
        <v>66</v>
      </c>
      <c r="O266" s="36" t="s">
        <v>67</v>
      </c>
      <c r="P266" s="36" t="s">
        <v>5470</v>
      </c>
      <c r="Q266" s="36"/>
      <c r="R266" s="36"/>
      <c r="S266" s="36"/>
      <c r="T266" s="36"/>
      <c r="U266" s="36"/>
      <c r="V266" s="36"/>
      <c r="W266" s="36" t="s">
        <v>61</v>
      </c>
      <c r="X266" s="36" t="s">
        <v>74</v>
      </c>
      <c r="Y266" s="36" t="s">
        <v>5475</v>
      </c>
      <c r="Z266" s="56" t="s">
        <v>5477</v>
      </c>
      <c r="AA266" s="36" t="s">
        <v>5478</v>
      </c>
      <c r="AB266" s="58">
        <v>46023.0</v>
      </c>
      <c r="AC266" s="146">
        <v>46387.0</v>
      </c>
      <c r="AD266" s="57" t="s">
        <v>5479</v>
      </c>
      <c r="AE266" s="36" t="s">
        <v>164</v>
      </c>
      <c r="AF266" s="36" t="s">
        <v>643</v>
      </c>
      <c r="AG266" s="57" t="s">
        <v>5482</v>
      </c>
      <c r="AH266" s="36" t="s">
        <v>2064</v>
      </c>
    </row>
    <row r="267" ht="45.75" customHeight="1">
      <c r="A267" s="36">
        <v>266.0</v>
      </c>
      <c r="B267" s="36" t="s">
        <v>5483</v>
      </c>
      <c r="C267" s="36" t="s">
        <v>764</v>
      </c>
      <c r="D267" s="36" t="s">
        <v>5485</v>
      </c>
      <c r="E267" s="36" t="s">
        <v>5486</v>
      </c>
      <c r="F267" s="36" t="s">
        <v>5487</v>
      </c>
      <c r="G267" s="42" t="s">
        <v>5489</v>
      </c>
      <c r="H267" s="36" t="s">
        <v>64</v>
      </c>
      <c r="I267" s="36" t="s">
        <v>155</v>
      </c>
      <c r="J267" s="36" t="s">
        <v>62</v>
      </c>
      <c r="K267" s="36" t="s">
        <v>63</v>
      </c>
      <c r="L267" s="36">
        <v>120.0</v>
      </c>
      <c r="M267" s="36" t="s">
        <v>5492</v>
      </c>
      <c r="N267" s="36" t="s">
        <v>66</v>
      </c>
      <c r="O267" s="36" t="s">
        <v>72</v>
      </c>
      <c r="P267" s="36" t="s">
        <v>5493</v>
      </c>
      <c r="Q267" s="36"/>
      <c r="R267" s="36"/>
      <c r="S267" s="36"/>
      <c r="T267" s="36" t="s">
        <v>61</v>
      </c>
      <c r="U267" s="36">
        <v>9.0</v>
      </c>
      <c r="V267" s="36" t="s">
        <v>61</v>
      </c>
      <c r="W267" s="56"/>
      <c r="X267" s="36" t="s">
        <v>93</v>
      </c>
      <c r="Y267" s="36" t="s">
        <v>5497</v>
      </c>
      <c r="Z267" s="56">
        <v>9.173085299E9</v>
      </c>
      <c r="AA267" s="57" t="s">
        <v>5499</v>
      </c>
      <c r="AB267" s="58">
        <v>46023.0</v>
      </c>
      <c r="AC267" s="146">
        <v>46387.0</v>
      </c>
      <c r="AD267" s="57" t="s">
        <v>5500</v>
      </c>
      <c r="AE267" s="36" t="s">
        <v>79</v>
      </c>
      <c r="AF267" s="146"/>
      <c r="AG267" s="36"/>
      <c r="AH267" s="36"/>
    </row>
    <row r="268" ht="45.75" customHeight="1">
      <c r="A268" s="36">
        <v>267.0</v>
      </c>
      <c r="B268" s="36" t="s">
        <v>5505</v>
      </c>
      <c r="C268" s="36" t="s">
        <v>764</v>
      </c>
      <c r="D268" s="36" t="s">
        <v>5506</v>
      </c>
      <c r="E268" s="36" t="s">
        <v>5507</v>
      </c>
      <c r="F268" s="36" t="s">
        <v>5508</v>
      </c>
      <c r="G268" s="42" t="s">
        <v>5511</v>
      </c>
      <c r="H268" s="36" t="s">
        <v>64</v>
      </c>
      <c r="I268" s="36" t="s">
        <v>155</v>
      </c>
      <c r="J268" s="36" t="s">
        <v>62</v>
      </c>
      <c r="K268" s="36" t="s">
        <v>111</v>
      </c>
      <c r="L268" s="36">
        <v>100.0</v>
      </c>
      <c r="M268" s="36" t="s">
        <v>5513</v>
      </c>
      <c r="N268" s="131" t="s">
        <v>66</v>
      </c>
      <c r="O268" s="36"/>
      <c r="P268" s="36" t="s">
        <v>5515</v>
      </c>
      <c r="Q268" s="36"/>
      <c r="R268" s="36"/>
      <c r="S268" s="36"/>
      <c r="T268" s="36"/>
      <c r="U268" s="36">
        <v>11.0</v>
      </c>
      <c r="V268" s="36"/>
      <c r="W268" s="56"/>
      <c r="X268" s="36" t="s">
        <v>93</v>
      </c>
      <c r="Y268" s="36" t="s">
        <v>5520</v>
      </c>
      <c r="Z268" s="56">
        <v>9.661823373E9</v>
      </c>
      <c r="AA268" s="57" t="s">
        <v>5522</v>
      </c>
      <c r="AB268" s="58">
        <v>46023.0</v>
      </c>
      <c r="AC268" s="146">
        <v>46387.0</v>
      </c>
      <c r="AD268" s="57" t="s">
        <v>5523</v>
      </c>
      <c r="AE268" s="36" t="s">
        <v>79</v>
      </c>
      <c r="AF268" s="146"/>
      <c r="AG268" s="36"/>
      <c r="AH268" s="36"/>
    </row>
    <row r="269" ht="45.75" customHeight="1">
      <c r="A269" s="36">
        <v>268.0</v>
      </c>
      <c r="B269" s="36" t="s">
        <v>5526</v>
      </c>
      <c r="C269" s="36" t="s">
        <v>764</v>
      </c>
      <c r="D269" s="36" t="s">
        <v>5506</v>
      </c>
      <c r="E269" s="36" t="s">
        <v>5528</v>
      </c>
      <c r="F269" s="36" t="s">
        <v>5529</v>
      </c>
      <c r="G269" s="42" t="s">
        <v>5531</v>
      </c>
      <c r="H269" s="36" t="s">
        <v>64</v>
      </c>
      <c r="I269" s="36" t="s">
        <v>155</v>
      </c>
      <c r="J269" s="36" t="s">
        <v>62</v>
      </c>
      <c r="K269" s="36" t="s">
        <v>63</v>
      </c>
      <c r="L269" s="36">
        <v>12.0</v>
      </c>
      <c r="M269" s="36" t="s">
        <v>61</v>
      </c>
      <c r="N269" s="36" t="s">
        <v>66</v>
      </c>
      <c r="O269" s="36" t="s">
        <v>67</v>
      </c>
      <c r="P269" s="36" t="s">
        <v>5536</v>
      </c>
      <c r="Q269" s="36"/>
      <c r="R269" s="36"/>
      <c r="S269" s="36"/>
      <c r="T269" s="36" t="s">
        <v>61</v>
      </c>
      <c r="U269" s="36" t="s">
        <v>61</v>
      </c>
      <c r="V269" s="36" t="s">
        <v>61</v>
      </c>
      <c r="W269" s="56"/>
      <c r="X269" s="36" t="s">
        <v>74</v>
      </c>
      <c r="Y269" s="36" t="s">
        <v>5538</v>
      </c>
      <c r="Z269" s="56">
        <v>9.177049188E9</v>
      </c>
      <c r="AA269" s="57" t="s">
        <v>5539</v>
      </c>
      <c r="AB269" s="58">
        <v>46023.0</v>
      </c>
      <c r="AC269" s="146">
        <v>46387.0</v>
      </c>
      <c r="AD269" s="57" t="s">
        <v>5542</v>
      </c>
      <c r="AE269" s="36" t="s">
        <v>79</v>
      </c>
      <c r="AF269" s="146"/>
      <c r="AG269" s="36"/>
      <c r="AH269" s="36"/>
    </row>
    <row r="270" ht="45.75" customHeight="1">
      <c r="A270" s="36">
        <v>269.0</v>
      </c>
      <c r="B270" s="36" t="s">
        <v>5543</v>
      </c>
      <c r="C270" s="36" t="s">
        <v>764</v>
      </c>
      <c r="D270" s="36" t="s">
        <v>1766</v>
      </c>
      <c r="E270" s="36" t="s">
        <v>5545</v>
      </c>
      <c r="F270" s="36" t="s">
        <v>5546</v>
      </c>
      <c r="G270" s="42" t="s">
        <v>5547</v>
      </c>
      <c r="H270" s="36" t="s">
        <v>64</v>
      </c>
      <c r="I270" s="36" t="s">
        <v>155</v>
      </c>
      <c r="J270" s="36" t="s">
        <v>62</v>
      </c>
      <c r="K270" s="36" t="s">
        <v>63</v>
      </c>
      <c r="L270" s="36">
        <v>30.0</v>
      </c>
      <c r="M270" s="36" t="s">
        <v>61</v>
      </c>
      <c r="N270" s="36" t="s">
        <v>66</v>
      </c>
      <c r="O270" s="36" t="s">
        <v>67</v>
      </c>
      <c r="P270" s="36" t="s">
        <v>61</v>
      </c>
      <c r="Q270" s="36"/>
      <c r="R270" s="36"/>
      <c r="S270" s="36"/>
      <c r="T270" s="36" t="s">
        <v>5552</v>
      </c>
      <c r="U270" s="36" t="s">
        <v>61</v>
      </c>
      <c r="V270" s="36" t="s">
        <v>61</v>
      </c>
      <c r="W270" s="56"/>
      <c r="X270" s="36" t="s">
        <v>74</v>
      </c>
      <c r="Y270" s="36" t="s">
        <v>5554</v>
      </c>
      <c r="Z270" s="56">
        <v>9.778213692E9</v>
      </c>
      <c r="AA270" s="57" t="s">
        <v>5555</v>
      </c>
      <c r="AB270" s="58">
        <v>46023.0</v>
      </c>
      <c r="AC270" s="146">
        <v>46387.0</v>
      </c>
      <c r="AD270" s="57" t="s">
        <v>5557</v>
      </c>
      <c r="AE270" s="36" t="s">
        <v>79</v>
      </c>
      <c r="AF270" s="146"/>
      <c r="AG270" s="36"/>
      <c r="AH270" s="36"/>
    </row>
    <row r="271" ht="45.75" customHeight="1">
      <c r="A271" s="36">
        <v>270.0</v>
      </c>
      <c r="B271" s="36" t="s">
        <v>5560</v>
      </c>
      <c r="C271" s="36" t="s">
        <v>764</v>
      </c>
      <c r="D271" s="36" t="s">
        <v>1766</v>
      </c>
      <c r="E271" s="36" t="s">
        <v>5562</v>
      </c>
      <c r="F271" s="36" t="s">
        <v>5563</v>
      </c>
      <c r="G271" s="42" t="s">
        <v>5565</v>
      </c>
      <c r="H271" s="36" t="s">
        <v>64</v>
      </c>
      <c r="I271" s="36" t="s">
        <v>155</v>
      </c>
      <c r="J271" s="36" t="s">
        <v>62</v>
      </c>
      <c r="K271" s="36" t="s">
        <v>63</v>
      </c>
      <c r="L271" s="36">
        <v>50.0</v>
      </c>
      <c r="M271" s="36" t="s">
        <v>5569</v>
      </c>
      <c r="N271" s="36" t="s">
        <v>66</v>
      </c>
      <c r="O271" s="36" t="s">
        <v>67</v>
      </c>
      <c r="P271" s="36" t="s">
        <v>5570</v>
      </c>
      <c r="Q271" s="36"/>
      <c r="R271" s="36"/>
      <c r="S271" s="36"/>
      <c r="T271" s="36" t="s">
        <v>61</v>
      </c>
      <c r="U271" s="36" t="s">
        <v>61</v>
      </c>
      <c r="V271" s="36" t="s">
        <v>61</v>
      </c>
      <c r="W271" s="56"/>
      <c r="X271" s="36" t="s">
        <v>74</v>
      </c>
      <c r="Y271" s="36" t="s">
        <v>5573</v>
      </c>
      <c r="Z271" s="56">
        <v>9.757707682E9</v>
      </c>
      <c r="AA271" s="57" t="s">
        <v>5574</v>
      </c>
      <c r="AB271" s="58">
        <v>46023.0</v>
      </c>
      <c r="AC271" s="146">
        <v>46387.0</v>
      </c>
      <c r="AD271" s="57" t="s">
        <v>5575</v>
      </c>
      <c r="AE271" s="36" t="s">
        <v>79</v>
      </c>
      <c r="AF271" s="146"/>
      <c r="AG271" s="36"/>
      <c r="AH271" s="36"/>
    </row>
    <row r="272" ht="45.75" customHeight="1">
      <c r="A272" s="36">
        <v>271.0</v>
      </c>
      <c r="B272" s="36" t="s">
        <v>5577</v>
      </c>
      <c r="C272" s="36" t="s">
        <v>764</v>
      </c>
      <c r="D272" s="36" t="s">
        <v>1766</v>
      </c>
      <c r="E272" s="36" t="s">
        <v>5578</v>
      </c>
      <c r="F272" s="36" t="s">
        <v>5579</v>
      </c>
      <c r="G272" s="42" t="s">
        <v>5581</v>
      </c>
      <c r="H272" s="36" t="s">
        <v>64</v>
      </c>
      <c r="I272" s="36" t="s">
        <v>155</v>
      </c>
      <c r="J272" s="36" t="s">
        <v>62</v>
      </c>
      <c r="K272" s="36" t="s">
        <v>63</v>
      </c>
      <c r="L272" s="36">
        <v>30.0</v>
      </c>
      <c r="M272" s="36" t="s">
        <v>61</v>
      </c>
      <c r="N272" s="36" t="s">
        <v>66</v>
      </c>
      <c r="O272" s="36" t="s">
        <v>67</v>
      </c>
      <c r="P272" s="36" t="s">
        <v>5582</v>
      </c>
      <c r="Q272" s="36"/>
      <c r="R272" s="36"/>
      <c r="S272" s="36"/>
      <c r="T272" s="36" t="s">
        <v>61</v>
      </c>
      <c r="U272" s="36" t="s">
        <v>61</v>
      </c>
      <c r="V272" s="36" t="s">
        <v>61</v>
      </c>
      <c r="W272" s="56"/>
      <c r="X272" s="36" t="s">
        <v>74</v>
      </c>
      <c r="Y272" s="36" t="s">
        <v>5583</v>
      </c>
      <c r="Z272" s="56">
        <v>9.445647455E9</v>
      </c>
      <c r="AA272" s="57" t="s">
        <v>5584</v>
      </c>
      <c r="AB272" s="58">
        <v>46023.0</v>
      </c>
      <c r="AC272" s="146">
        <v>46387.0</v>
      </c>
      <c r="AD272" s="57" t="s">
        <v>5585</v>
      </c>
      <c r="AE272" s="36" t="s">
        <v>79</v>
      </c>
      <c r="AF272" s="146"/>
      <c r="AG272" s="36"/>
      <c r="AH272" s="36"/>
    </row>
    <row r="273" ht="45.75" customHeight="1">
      <c r="A273" s="36">
        <v>272.0</v>
      </c>
      <c r="B273" s="36" t="s">
        <v>5586</v>
      </c>
      <c r="C273" s="36" t="s">
        <v>764</v>
      </c>
      <c r="D273" s="36" t="s">
        <v>1766</v>
      </c>
      <c r="E273" s="36" t="s">
        <v>5587</v>
      </c>
      <c r="F273" s="36" t="s">
        <v>5588</v>
      </c>
      <c r="G273" s="42" t="s">
        <v>5589</v>
      </c>
      <c r="H273" s="36" t="s">
        <v>64</v>
      </c>
      <c r="I273" s="36" t="s">
        <v>155</v>
      </c>
      <c r="J273" s="36" t="s">
        <v>62</v>
      </c>
      <c r="K273" s="36" t="s">
        <v>63</v>
      </c>
      <c r="L273" s="36">
        <v>25.0</v>
      </c>
      <c r="M273" s="36" t="s">
        <v>61</v>
      </c>
      <c r="N273" s="36" t="s">
        <v>66</v>
      </c>
      <c r="O273" s="36" t="s">
        <v>67</v>
      </c>
      <c r="P273" s="36" t="s">
        <v>5590</v>
      </c>
      <c r="Q273" s="36"/>
      <c r="R273" s="36"/>
      <c r="S273" s="36"/>
      <c r="T273" s="36" t="s">
        <v>61</v>
      </c>
      <c r="U273" s="36" t="s">
        <v>61</v>
      </c>
      <c r="V273" s="36" t="s">
        <v>61</v>
      </c>
      <c r="W273" s="56"/>
      <c r="X273" s="36" t="s">
        <v>74</v>
      </c>
      <c r="Y273" s="36" t="s">
        <v>5591</v>
      </c>
      <c r="Z273" s="56">
        <v>9.202617623E9</v>
      </c>
      <c r="AA273" s="57" t="s">
        <v>5592</v>
      </c>
      <c r="AB273" s="58">
        <v>46023.0</v>
      </c>
      <c r="AC273" s="146">
        <v>46387.0</v>
      </c>
      <c r="AD273" s="57" t="s">
        <v>5593</v>
      </c>
      <c r="AE273" s="36" t="s">
        <v>79</v>
      </c>
      <c r="AF273" s="146"/>
      <c r="AG273" s="36"/>
      <c r="AH273" s="36"/>
    </row>
    <row r="274" ht="45.75" customHeight="1">
      <c r="A274" s="36">
        <v>273.0</v>
      </c>
      <c r="B274" s="36" t="s">
        <v>5594</v>
      </c>
      <c r="C274" s="36" t="s">
        <v>764</v>
      </c>
      <c r="D274" s="36" t="s">
        <v>1766</v>
      </c>
      <c r="E274" s="36" t="s">
        <v>5595</v>
      </c>
      <c r="F274" s="36" t="s">
        <v>5596</v>
      </c>
      <c r="G274" s="42" t="s">
        <v>5598</v>
      </c>
      <c r="H274" s="36" t="s">
        <v>64</v>
      </c>
      <c r="I274" s="36" t="s">
        <v>155</v>
      </c>
      <c r="J274" s="36" t="s">
        <v>62</v>
      </c>
      <c r="K274" s="36" t="s">
        <v>63</v>
      </c>
      <c r="L274" s="36">
        <v>25.0</v>
      </c>
      <c r="M274" s="36" t="s">
        <v>61</v>
      </c>
      <c r="N274" s="36" t="s">
        <v>66</v>
      </c>
      <c r="O274" s="36" t="s">
        <v>67</v>
      </c>
      <c r="P274" s="36" t="s">
        <v>5600</v>
      </c>
      <c r="Q274" s="36"/>
      <c r="R274" s="36"/>
      <c r="S274" s="36"/>
      <c r="T274" s="36" t="s">
        <v>61</v>
      </c>
      <c r="U274" s="36" t="s">
        <v>61</v>
      </c>
      <c r="V274" s="36" t="s">
        <v>61</v>
      </c>
      <c r="W274" s="56"/>
      <c r="X274" s="36" t="s">
        <v>74</v>
      </c>
      <c r="Y274" s="36" t="s">
        <v>5604</v>
      </c>
      <c r="Z274" s="56">
        <v>9.95478392E9</v>
      </c>
      <c r="AA274" s="57" t="s">
        <v>5606</v>
      </c>
      <c r="AB274" s="58">
        <v>46023.0</v>
      </c>
      <c r="AC274" s="146">
        <v>46387.0</v>
      </c>
      <c r="AD274" s="57" t="s">
        <v>5607</v>
      </c>
      <c r="AE274" s="36" t="s">
        <v>79</v>
      </c>
      <c r="AF274" s="146"/>
      <c r="AG274" s="36"/>
      <c r="AH274" s="36"/>
    </row>
    <row r="275" ht="45.75" customHeight="1">
      <c r="A275" s="36">
        <v>274.0</v>
      </c>
      <c r="B275" s="36" t="s">
        <v>5611</v>
      </c>
      <c r="C275" s="36" t="s">
        <v>764</v>
      </c>
      <c r="D275" s="36" t="s">
        <v>1766</v>
      </c>
      <c r="E275" s="36" t="s">
        <v>5613</v>
      </c>
      <c r="F275" s="36" t="s">
        <v>5614</v>
      </c>
      <c r="G275" s="42" t="s">
        <v>5615</v>
      </c>
      <c r="H275" s="36" t="s">
        <v>64</v>
      </c>
      <c r="I275" s="36" t="s">
        <v>155</v>
      </c>
      <c r="J275" s="36" t="s">
        <v>62</v>
      </c>
      <c r="K275" s="36" t="s">
        <v>63</v>
      </c>
      <c r="L275" s="36">
        <v>100.0</v>
      </c>
      <c r="M275" s="36" t="s">
        <v>61</v>
      </c>
      <c r="N275" s="36" t="s">
        <v>66</v>
      </c>
      <c r="O275" s="36" t="s">
        <v>67</v>
      </c>
      <c r="P275" s="36" t="s">
        <v>5618</v>
      </c>
      <c r="Q275" s="36"/>
      <c r="R275" s="36"/>
      <c r="S275" s="36"/>
      <c r="T275" s="36" t="s">
        <v>61</v>
      </c>
      <c r="U275" s="36" t="s">
        <v>61</v>
      </c>
      <c r="V275" s="36" t="s">
        <v>61</v>
      </c>
      <c r="W275" s="56"/>
      <c r="X275" s="36" t="s">
        <v>74</v>
      </c>
      <c r="Y275" s="36" t="s">
        <v>5621</v>
      </c>
      <c r="Z275" s="56">
        <v>9.165197314E9</v>
      </c>
      <c r="AA275" s="57" t="s">
        <v>5623</v>
      </c>
      <c r="AB275" s="58">
        <v>46023.0</v>
      </c>
      <c r="AC275" s="146">
        <v>46387.0</v>
      </c>
      <c r="AD275" s="57" t="s">
        <v>5624</v>
      </c>
      <c r="AE275" s="36" t="s">
        <v>79</v>
      </c>
      <c r="AF275" s="146"/>
      <c r="AG275" s="36"/>
      <c r="AH275" s="36"/>
    </row>
    <row r="276" ht="45.75" customHeight="1">
      <c r="A276" s="36">
        <v>275.0</v>
      </c>
      <c r="B276" s="36" t="s">
        <v>1761</v>
      </c>
      <c r="C276" s="36" t="s">
        <v>764</v>
      </c>
      <c r="D276" s="36" t="s">
        <v>1766</v>
      </c>
      <c r="E276" s="36" t="s">
        <v>1768</v>
      </c>
      <c r="F276" s="36" t="s">
        <v>1769</v>
      </c>
      <c r="G276" s="42" t="s">
        <v>1773</v>
      </c>
      <c r="H276" s="36" t="s">
        <v>64</v>
      </c>
      <c r="I276" s="36" t="s">
        <v>65</v>
      </c>
      <c r="J276" s="36" t="s">
        <v>62</v>
      </c>
      <c r="K276" s="36" t="s">
        <v>63</v>
      </c>
      <c r="L276" s="36">
        <v>100.0</v>
      </c>
      <c r="M276" s="36" t="s">
        <v>4440</v>
      </c>
      <c r="N276" s="36" t="s">
        <v>66</v>
      </c>
      <c r="O276" s="36" t="s">
        <v>67</v>
      </c>
      <c r="P276" s="36" t="s">
        <v>5631</v>
      </c>
      <c r="Q276" s="36"/>
      <c r="R276" s="36"/>
      <c r="S276" s="36"/>
      <c r="T276" s="36" t="s">
        <v>61</v>
      </c>
      <c r="U276" s="36">
        <v>10.0</v>
      </c>
      <c r="V276" s="36" t="s">
        <v>61</v>
      </c>
      <c r="W276" s="56"/>
      <c r="X276" s="36" t="s">
        <v>93</v>
      </c>
      <c r="Y276" s="36" t="s">
        <v>1828</v>
      </c>
      <c r="Z276" s="56">
        <v>9.981538188E9</v>
      </c>
      <c r="AA276" s="57" t="s">
        <v>1832</v>
      </c>
      <c r="AB276" s="58">
        <v>46023.0</v>
      </c>
      <c r="AC276" s="146">
        <v>46387.0</v>
      </c>
      <c r="AD276" s="57" t="s">
        <v>5638</v>
      </c>
      <c r="AE276" s="36" t="s">
        <v>79</v>
      </c>
      <c r="AF276" s="146"/>
      <c r="AG276" s="36"/>
      <c r="AH276" s="36"/>
    </row>
    <row r="277" ht="45.75" customHeight="1">
      <c r="A277" s="36">
        <v>276.0</v>
      </c>
      <c r="B277" s="36" t="s">
        <v>5640</v>
      </c>
      <c r="C277" s="36" t="s">
        <v>764</v>
      </c>
      <c r="D277" s="36" t="s">
        <v>1766</v>
      </c>
      <c r="E277" s="36" t="s">
        <v>1768</v>
      </c>
      <c r="F277" s="36" t="s">
        <v>5643</v>
      </c>
      <c r="G277" s="42" t="s">
        <v>5645</v>
      </c>
      <c r="H277" s="36" t="s">
        <v>64</v>
      </c>
      <c r="I277" s="36" t="s">
        <v>155</v>
      </c>
      <c r="J277" s="36" t="s">
        <v>62</v>
      </c>
      <c r="K277" s="36" t="s">
        <v>63</v>
      </c>
      <c r="L277" s="36">
        <v>50.0</v>
      </c>
      <c r="M277" s="36" t="s">
        <v>956</v>
      </c>
      <c r="N277" s="36" t="s">
        <v>66</v>
      </c>
      <c r="O277" s="36" t="s">
        <v>67</v>
      </c>
      <c r="P277" s="36" t="s">
        <v>5648</v>
      </c>
      <c r="Q277" s="36"/>
      <c r="R277" s="36"/>
      <c r="S277" s="36"/>
      <c r="T277" s="36" t="s">
        <v>61</v>
      </c>
      <c r="U277" s="36" t="s">
        <v>61</v>
      </c>
      <c r="V277" s="36" t="s">
        <v>61</v>
      </c>
      <c r="W277" s="56"/>
      <c r="X277" s="36" t="s">
        <v>74</v>
      </c>
      <c r="Y277" s="36" t="s">
        <v>5653</v>
      </c>
      <c r="Z277" s="56">
        <v>9.17104207E9</v>
      </c>
      <c r="AA277" s="57" t="s">
        <v>5654</v>
      </c>
      <c r="AB277" s="58">
        <v>46023.0</v>
      </c>
      <c r="AC277" s="146">
        <v>46387.0</v>
      </c>
      <c r="AD277" s="57" t="s">
        <v>5656</v>
      </c>
      <c r="AE277" s="36" t="s">
        <v>79</v>
      </c>
      <c r="AF277" s="146"/>
      <c r="AG277" s="36"/>
      <c r="AH277" s="36"/>
    </row>
    <row r="278" ht="45.75" customHeight="1">
      <c r="A278" s="36">
        <v>277.0</v>
      </c>
      <c r="B278" s="36" t="s">
        <v>1842</v>
      </c>
      <c r="C278" s="36" t="s">
        <v>764</v>
      </c>
      <c r="D278" s="36" t="s">
        <v>1766</v>
      </c>
      <c r="E278" s="36" t="s">
        <v>1846</v>
      </c>
      <c r="F278" s="36" t="s">
        <v>1848</v>
      </c>
      <c r="G278" s="42" t="s">
        <v>1849</v>
      </c>
      <c r="H278" s="36" t="s">
        <v>64</v>
      </c>
      <c r="I278" s="36" t="s">
        <v>65</v>
      </c>
      <c r="J278" s="36" t="s">
        <v>62</v>
      </c>
      <c r="K278" s="36" t="s">
        <v>68</v>
      </c>
      <c r="L278" s="36">
        <v>629.0</v>
      </c>
      <c r="M278" s="36" t="s">
        <v>5659</v>
      </c>
      <c r="N278" s="36" t="s">
        <v>71</v>
      </c>
      <c r="O278" s="36"/>
      <c r="P278" s="36" t="s">
        <v>5661</v>
      </c>
      <c r="Q278" s="36"/>
      <c r="R278" s="36"/>
      <c r="S278" s="36"/>
      <c r="T278" s="36"/>
      <c r="U278" s="36">
        <v>30.0</v>
      </c>
      <c r="V278" s="36"/>
      <c r="W278" s="56"/>
      <c r="X278" s="36" t="s">
        <v>93</v>
      </c>
      <c r="Y278" s="36" t="s">
        <v>1865</v>
      </c>
      <c r="Z278" s="56" t="s">
        <v>1867</v>
      </c>
      <c r="AA278" s="57" t="s">
        <v>1869</v>
      </c>
      <c r="AB278" s="58">
        <v>46023.0</v>
      </c>
      <c r="AC278" s="146">
        <v>46387.0</v>
      </c>
      <c r="AD278" s="57" t="s">
        <v>5666</v>
      </c>
      <c r="AE278" s="36" t="s">
        <v>79</v>
      </c>
      <c r="AF278" s="146"/>
      <c r="AG278" s="36"/>
      <c r="AH278" s="36"/>
    </row>
    <row r="279" ht="45.75" customHeight="1">
      <c r="A279" s="36">
        <v>278.0</v>
      </c>
      <c r="B279" s="36" t="s">
        <v>5669</v>
      </c>
      <c r="C279" s="36" t="s">
        <v>764</v>
      </c>
      <c r="D279" s="36" t="s">
        <v>1766</v>
      </c>
      <c r="E279" s="36" t="s">
        <v>1846</v>
      </c>
      <c r="F279" s="36" t="s">
        <v>5670</v>
      </c>
      <c r="G279" s="42" t="s">
        <v>5671</v>
      </c>
      <c r="H279" s="36" t="s">
        <v>64</v>
      </c>
      <c r="I279" s="36" t="s">
        <v>155</v>
      </c>
      <c r="J279" s="36" t="s">
        <v>62</v>
      </c>
      <c r="K279" s="36" t="s">
        <v>63</v>
      </c>
      <c r="L279" s="36">
        <v>25.0</v>
      </c>
      <c r="M279" s="36" t="s">
        <v>61</v>
      </c>
      <c r="N279" s="36" t="s">
        <v>66</v>
      </c>
      <c r="O279" s="36" t="s">
        <v>67</v>
      </c>
      <c r="P279" s="36" t="s">
        <v>5676</v>
      </c>
      <c r="Q279" s="36"/>
      <c r="R279" s="36"/>
      <c r="S279" s="36"/>
      <c r="T279" s="36" t="s">
        <v>61</v>
      </c>
      <c r="U279" s="36" t="s">
        <v>61</v>
      </c>
      <c r="V279" s="36" t="s">
        <v>61</v>
      </c>
      <c r="W279" s="56"/>
      <c r="X279" s="36" t="s">
        <v>74</v>
      </c>
      <c r="Y279" s="36" t="s">
        <v>5679</v>
      </c>
      <c r="Z279" s="56">
        <v>9.273794685E9</v>
      </c>
      <c r="AA279" s="57" t="s">
        <v>5681</v>
      </c>
      <c r="AB279" s="58">
        <v>46023.0</v>
      </c>
      <c r="AC279" s="146">
        <v>46387.0</v>
      </c>
      <c r="AD279" s="57" t="s">
        <v>5682</v>
      </c>
      <c r="AE279" s="36" t="s">
        <v>79</v>
      </c>
      <c r="AF279" s="146"/>
      <c r="AG279" s="36"/>
      <c r="AH279" s="36"/>
    </row>
    <row r="280" ht="45.75" customHeight="1">
      <c r="A280" s="36">
        <v>279.0</v>
      </c>
      <c r="B280" s="36" t="s">
        <v>5684</v>
      </c>
      <c r="C280" s="36" t="s">
        <v>764</v>
      </c>
      <c r="D280" s="36" t="s">
        <v>5685</v>
      </c>
      <c r="E280" s="36" t="s">
        <v>5686</v>
      </c>
      <c r="F280" s="36" t="s">
        <v>5688</v>
      </c>
      <c r="G280" s="42" t="s">
        <v>5689</v>
      </c>
      <c r="H280" s="36" t="s">
        <v>64</v>
      </c>
      <c r="I280" s="36" t="s">
        <v>155</v>
      </c>
      <c r="J280" s="36" t="s">
        <v>62</v>
      </c>
      <c r="K280" s="36" t="s">
        <v>63</v>
      </c>
      <c r="L280" s="36">
        <v>50.0</v>
      </c>
      <c r="M280" s="36" t="s">
        <v>61</v>
      </c>
      <c r="N280" s="36" t="s">
        <v>66</v>
      </c>
      <c r="O280" s="36" t="s">
        <v>67</v>
      </c>
      <c r="P280" s="36" t="s">
        <v>5693</v>
      </c>
      <c r="Q280" s="36"/>
      <c r="R280" s="36"/>
      <c r="S280" s="36"/>
      <c r="T280" s="36" t="s">
        <v>61</v>
      </c>
      <c r="U280" s="36" t="s">
        <v>61</v>
      </c>
      <c r="V280" s="36" t="s">
        <v>61</v>
      </c>
      <c r="W280" s="56"/>
      <c r="X280" s="36" t="s">
        <v>74</v>
      </c>
      <c r="Y280" s="36" t="s">
        <v>5696</v>
      </c>
      <c r="Z280" s="56">
        <v>9.171667765E9</v>
      </c>
      <c r="AA280" s="57" t="s">
        <v>5698</v>
      </c>
      <c r="AB280" s="58">
        <v>46023.0</v>
      </c>
      <c r="AC280" s="146">
        <v>46387.0</v>
      </c>
      <c r="AD280" s="57" t="s">
        <v>5699</v>
      </c>
      <c r="AE280" s="36" t="s">
        <v>79</v>
      </c>
      <c r="AF280" s="146"/>
      <c r="AG280" s="36"/>
      <c r="AH280" s="36"/>
    </row>
    <row r="281" ht="45.75" customHeight="1">
      <c r="A281" s="36">
        <v>280.0</v>
      </c>
      <c r="B281" s="36" t="s">
        <v>5701</v>
      </c>
      <c r="C281" s="36" t="s">
        <v>764</v>
      </c>
      <c r="D281" s="36" t="s">
        <v>5685</v>
      </c>
      <c r="E281" s="36" t="s">
        <v>5703</v>
      </c>
      <c r="F281" s="36" t="s">
        <v>5704</v>
      </c>
      <c r="G281" s="42" t="s">
        <v>5705</v>
      </c>
      <c r="H281" s="36" t="s">
        <v>64</v>
      </c>
      <c r="I281" s="36" t="s">
        <v>155</v>
      </c>
      <c r="J281" s="36" t="s">
        <v>62</v>
      </c>
      <c r="K281" s="36" t="s">
        <v>63</v>
      </c>
      <c r="L281" s="36">
        <v>150.0</v>
      </c>
      <c r="M281" s="36" t="s">
        <v>5707</v>
      </c>
      <c r="N281" s="36" t="s">
        <v>221</v>
      </c>
      <c r="O281" s="36" t="s">
        <v>72</v>
      </c>
      <c r="P281" s="36" t="s">
        <v>5708</v>
      </c>
      <c r="Q281" s="36"/>
      <c r="R281" s="36"/>
      <c r="S281" s="36"/>
      <c r="T281" s="36" t="s">
        <v>61</v>
      </c>
      <c r="U281" s="36">
        <v>9.0</v>
      </c>
      <c r="V281" s="36" t="s">
        <v>61</v>
      </c>
      <c r="W281" s="56"/>
      <c r="X281" s="36" t="s">
        <v>74</v>
      </c>
      <c r="Y281" s="36" t="s">
        <v>5710</v>
      </c>
      <c r="Z281" s="56">
        <v>9.194709978E9</v>
      </c>
      <c r="AA281" s="57" t="s">
        <v>5712</v>
      </c>
      <c r="AB281" s="58">
        <v>46023.0</v>
      </c>
      <c r="AC281" s="146">
        <v>46387.0</v>
      </c>
      <c r="AD281" s="57" t="s">
        <v>5714</v>
      </c>
      <c r="AE281" s="36" t="s">
        <v>79</v>
      </c>
      <c r="AF281" s="146"/>
      <c r="AG281" s="36"/>
      <c r="AH281" s="36"/>
    </row>
    <row r="282" ht="45.75" customHeight="1">
      <c r="A282" s="36">
        <v>281.0</v>
      </c>
      <c r="B282" s="36" t="s">
        <v>5716</v>
      </c>
      <c r="C282" s="36" t="s">
        <v>764</v>
      </c>
      <c r="D282" s="36" t="s">
        <v>5718</v>
      </c>
      <c r="E282" s="36" t="s">
        <v>5719</v>
      </c>
      <c r="F282" s="36" t="s">
        <v>5720</v>
      </c>
      <c r="G282" s="42" t="s">
        <v>5721</v>
      </c>
      <c r="H282" s="36" t="s">
        <v>64</v>
      </c>
      <c r="I282" s="36" t="s">
        <v>155</v>
      </c>
      <c r="J282" s="36" t="s">
        <v>62</v>
      </c>
      <c r="K282" s="36" t="s">
        <v>63</v>
      </c>
      <c r="L282" s="36">
        <v>35.0</v>
      </c>
      <c r="M282" s="36" t="s">
        <v>61</v>
      </c>
      <c r="N282" s="36" t="s">
        <v>66</v>
      </c>
      <c r="O282" s="36" t="s">
        <v>67</v>
      </c>
      <c r="P282" s="36" t="s">
        <v>5725</v>
      </c>
      <c r="Q282" s="36"/>
      <c r="R282" s="36"/>
      <c r="S282" s="36"/>
      <c r="T282" s="36" t="s">
        <v>61</v>
      </c>
      <c r="U282" s="36" t="s">
        <v>61</v>
      </c>
      <c r="V282" s="36" t="s">
        <v>61</v>
      </c>
      <c r="W282" s="56"/>
      <c r="X282" s="36" t="s">
        <v>74</v>
      </c>
      <c r="Y282" s="36" t="s">
        <v>5728</v>
      </c>
      <c r="Z282" s="56">
        <v>9.159142014E9</v>
      </c>
      <c r="AA282" s="57" t="s">
        <v>5731</v>
      </c>
      <c r="AB282" s="58">
        <v>46023.0</v>
      </c>
      <c r="AC282" s="146">
        <v>46387.0</v>
      </c>
      <c r="AD282" s="57" t="s">
        <v>5733</v>
      </c>
      <c r="AE282" s="36" t="s">
        <v>79</v>
      </c>
      <c r="AF282" s="146"/>
      <c r="AG282" s="36"/>
      <c r="AH282" s="36"/>
    </row>
    <row r="283" ht="45.75" customHeight="1">
      <c r="A283" s="36">
        <v>282.0</v>
      </c>
      <c r="B283" s="36" t="s">
        <v>5735</v>
      </c>
      <c r="C283" s="36" t="s">
        <v>764</v>
      </c>
      <c r="D283" s="36" t="s">
        <v>5718</v>
      </c>
      <c r="E283" s="36" t="s">
        <v>5736</v>
      </c>
      <c r="F283" s="36" t="s">
        <v>5737</v>
      </c>
      <c r="G283" s="42" t="s">
        <v>5738</v>
      </c>
      <c r="H283" s="36" t="s">
        <v>64</v>
      </c>
      <c r="I283" s="36" t="s">
        <v>155</v>
      </c>
      <c r="J283" s="36" t="s">
        <v>62</v>
      </c>
      <c r="K283" s="36" t="s">
        <v>63</v>
      </c>
      <c r="L283" s="36">
        <v>75.0</v>
      </c>
      <c r="M283" s="36" t="s">
        <v>5513</v>
      </c>
      <c r="N283" s="36" t="s">
        <v>66</v>
      </c>
      <c r="O283" s="36" t="s">
        <v>67</v>
      </c>
      <c r="P283" s="36" t="s">
        <v>5741</v>
      </c>
      <c r="Q283" s="36"/>
      <c r="R283" s="36"/>
      <c r="S283" s="36"/>
      <c r="T283" s="36"/>
      <c r="U283" s="36">
        <v>6.0</v>
      </c>
      <c r="V283" s="36" t="s">
        <v>61</v>
      </c>
      <c r="W283" s="56"/>
      <c r="X283" s="36" t="s">
        <v>74</v>
      </c>
      <c r="Y283" s="36" t="s">
        <v>5744</v>
      </c>
      <c r="Z283" s="56">
        <v>9.177901587E9</v>
      </c>
      <c r="AA283" s="57" t="s">
        <v>5745</v>
      </c>
      <c r="AB283" s="58">
        <v>46023.0</v>
      </c>
      <c r="AC283" s="146">
        <v>46387.0</v>
      </c>
      <c r="AD283" s="57" t="s">
        <v>5747</v>
      </c>
      <c r="AE283" s="36" t="s">
        <v>79</v>
      </c>
      <c r="AF283" s="146"/>
      <c r="AG283" s="36"/>
      <c r="AH283" s="36"/>
    </row>
    <row r="284" ht="45.75" customHeight="1">
      <c r="A284" s="36">
        <v>283.0</v>
      </c>
      <c r="B284" s="36" t="s">
        <v>5751</v>
      </c>
      <c r="C284" s="36" t="s">
        <v>764</v>
      </c>
      <c r="D284" s="36" t="s">
        <v>5718</v>
      </c>
      <c r="E284" s="36" t="s">
        <v>5752</v>
      </c>
      <c r="F284" s="36" t="s">
        <v>5754</v>
      </c>
      <c r="G284" s="42" t="s">
        <v>5756</v>
      </c>
      <c r="H284" s="36" t="s">
        <v>64</v>
      </c>
      <c r="I284" s="36" t="s">
        <v>155</v>
      </c>
      <c r="J284" s="36" t="s">
        <v>62</v>
      </c>
      <c r="K284" s="36" t="s">
        <v>63</v>
      </c>
      <c r="L284" s="36">
        <v>100.0</v>
      </c>
      <c r="M284" s="36" t="s">
        <v>956</v>
      </c>
      <c r="N284" s="36" t="s">
        <v>66</v>
      </c>
      <c r="O284" s="36" t="s">
        <v>67</v>
      </c>
      <c r="P284" s="36" t="s">
        <v>5759</v>
      </c>
      <c r="Q284" s="36"/>
      <c r="R284" s="36"/>
      <c r="S284" s="36"/>
      <c r="T284" s="36" t="s">
        <v>61</v>
      </c>
      <c r="U284" s="36" t="s">
        <v>61</v>
      </c>
      <c r="V284" s="36" t="s">
        <v>61</v>
      </c>
      <c r="W284" s="56"/>
      <c r="X284" s="36" t="s">
        <v>74</v>
      </c>
      <c r="Y284" s="36" t="s">
        <v>5764</v>
      </c>
      <c r="Z284" s="56">
        <v>9.269806501E9</v>
      </c>
      <c r="AA284" s="57" t="s">
        <v>5765</v>
      </c>
      <c r="AB284" s="58">
        <v>46023.0</v>
      </c>
      <c r="AC284" s="146">
        <v>46387.0</v>
      </c>
      <c r="AD284" s="57" t="s">
        <v>5766</v>
      </c>
      <c r="AE284" s="36" t="s">
        <v>79</v>
      </c>
      <c r="AF284" s="146"/>
      <c r="AG284" s="36"/>
      <c r="AH284" s="36"/>
    </row>
    <row r="285" ht="45.75" customHeight="1">
      <c r="A285" s="36">
        <v>284.0</v>
      </c>
      <c r="B285" s="36" t="s">
        <v>5769</v>
      </c>
      <c r="C285" s="36" t="s">
        <v>764</v>
      </c>
      <c r="D285" s="36" t="s">
        <v>5770</v>
      </c>
      <c r="E285" s="36" t="s">
        <v>5772</v>
      </c>
      <c r="F285" s="36" t="s">
        <v>5773</v>
      </c>
      <c r="G285" s="42" t="s">
        <v>5774</v>
      </c>
      <c r="H285" s="36" t="s">
        <v>64</v>
      </c>
      <c r="I285" s="36" t="s">
        <v>155</v>
      </c>
      <c r="J285" s="36" t="s">
        <v>62</v>
      </c>
      <c r="K285" s="36" t="s">
        <v>63</v>
      </c>
      <c r="L285" s="36">
        <v>50.0</v>
      </c>
      <c r="M285" s="36" t="s">
        <v>61</v>
      </c>
      <c r="N285" s="36" t="s">
        <v>66</v>
      </c>
      <c r="O285" s="36" t="s">
        <v>67</v>
      </c>
      <c r="P285" s="36" t="s">
        <v>5779</v>
      </c>
      <c r="Q285" s="36"/>
      <c r="R285" s="36"/>
      <c r="S285" s="36"/>
      <c r="T285" s="36" t="s">
        <v>61</v>
      </c>
      <c r="U285" s="36" t="s">
        <v>61</v>
      </c>
      <c r="V285" s="36" t="s">
        <v>61</v>
      </c>
      <c r="W285" s="56"/>
      <c r="X285" s="36" t="s">
        <v>74</v>
      </c>
      <c r="Y285" s="36" t="s">
        <v>5780</v>
      </c>
      <c r="Z285" s="56">
        <v>9.534773832E9</v>
      </c>
      <c r="AA285" s="57" t="s">
        <v>5781</v>
      </c>
      <c r="AB285" s="58">
        <v>46023.0</v>
      </c>
      <c r="AC285" s="146">
        <v>46387.0</v>
      </c>
      <c r="AD285" s="57" t="s">
        <v>5782</v>
      </c>
      <c r="AE285" s="36" t="s">
        <v>79</v>
      </c>
      <c r="AF285" s="146"/>
      <c r="AG285" s="36"/>
      <c r="AH285" s="36"/>
    </row>
    <row r="286" ht="45.75" customHeight="1">
      <c r="A286" s="36">
        <v>285.0</v>
      </c>
      <c r="B286" s="36" t="s">
        <v>5783</v>
      </c>
      <c r="C286" s="36" t="s">
        <v>764</v>
      </c>
      <c r="D286" s="36" t="s">
        <v>5770</v>
      </c>
      <c r="E286" s="36" t="s">
        <v>5786</v>
      </c>
      <c r="F286" s="36" t="s">
        <v>5788</v>
      </c>
      <c r="G286" s="42" t="s">
        <v>5789</v>
      </c>
      <c r="H286" s="36" t="s">
        <v>64</v>
      </c>
      <c r="I286" s="36" t="s">
        <v>155</v>
      </c>
      <c r="J286" s="36" t="s">
        <v>62</v>
      </c>
      <c r="K286" s="36" t="s">
        <v>63</v>
      </c>
      <c r="L286" s="36">
        <v>100.0</v>
      </c>
      <c r="M286" s="36" t="s">
        <v>4440</v>
      </c>
      <c r="N286" s="36" t="s">
        <v>66</v>
      </c>
      <c r="O286" s="36" t="s">
        <v>72</v>
      </c>
      <c r="P286" s="36" t="s">
        <v>5791</v>
      </c>
      <c r="Q286" s="36"/>
      <c r="R286" s="36"/>
      <c r="S286" s="36"/>
      <c r="T286" s="36" t="s">
        <v>61</v>
      </c>
      <c r="U286" s="36">
        <v>10.0</v>
      </c>
      <c r="V286" s="36"/>
      <c r="W286" s="56"/>
      <c r="X286" s="36" t="s">
        <v>74</v>
      </c>
      <c r="Y286" s="36" t="s">
        <v>5794</v>
      </c>
      <c r="Z286" s="56">
        <v>9.619202116E9</v>
      </c>
      <c r="AA286" s="57" t="s">
        <v>5796</v>
      </c>
      <c r="AB286" s="58">
        <v>46023.0</v>
      </c>
      <c r="AC286" s="146">
        <v>46387.0</v>
      </c>
      <c r="AD286" s="57" t="s">
        <v>5798</v>
      </c>
      <c r="AE286" s="36" t="s">
        <v>79</v>
      </c>
      <c r="AF286" s="146"/>
      <c r="AG286" s="36"/>
      <c r="AH286" s="36"/>
    </row>
    <row r="287" ht="45.75" customHeight="1">
      <c r="A287" s="36">
        <v>286.0</v>
      </c>
      <c r="B287" s="36" t="s">
        <v>5800</v>
      </c>
      <c r="C287" s="36" t="s">
        <v>764</v>
      </c>
      <c r="D287" s="36" t="s">
        <v>5770</v>
      </c>
      <c r="E287" s="36" t="s">
        <v>5803</v>
      </c>
      <c r="F287" s="36" t="s">
        <v>5804</v>
      </c>
      <c r="G287" s="42" t="s">
        <v>5805</v>
      </c>
      <c r="H287" s="36" t="s">
        <v>64</v>
      </c>
      <c r="I287" s="36" t="s">
        <v>155</v>
      </c>
      <c r="J287" s="36" t="s">
        <v>62</v>
      </c>
      <c r="K287" s="36" t="s">
        <v>63</v>
      </c>
      <c r="L287" s="36">
        <v>25.0</v>
      </c>
      <c r="M287" s="36" t="s">
        <v>61</v>
      </c>
      <c r="N287" s="36" t="s">
        <v>66</v>
      </c>
      <c r="O287" s="36" t="s">
        <v>67</v>
      </c>
      <c r="P287" s="36" t="s">
        <v>61</v>
      </c>
      <c r="Q287" s="36"/>
      <c r="R287" s="36"/>
      <c r="S287" s="36"/>
      <c r="T287" s="36" t="s">
        <v>5811</v>
      </c>
      <c r="U287" s="36" t="s">
        <v>61</v>
      </c>
      <c r="V287" s="36" t="s">
        <v>61</v>
      </c>
      <c r="W287" s="56"/>
      <c r="X287" s="36" t="s">
        <v>74</v>
      </c>
      <c r="Y287" s="36" t="s">
        <v>5813</v>
      </c>
      <c r="Z287" s="56">
        <v>9.706348435E9</v>
      </c>
      <c r="AA287" s="57" t="s">
        <v>5814</v>
      </c>
      <c r="AB287" s="58">
        <v>46023.0</v>
      </c>
      <c r="AC287" s="146">
        <v>46387.0</v>
      </c>
      <c r="AD287" s="57" t="s">
        <v>5816</v>
      </c>
      <c r="AE287" s="36" t="s">
        <v>79</v>
      </c>
      <c r="AF287" s="146"/>
      <c r="AG287" s="36"/>
      <c r="AH287" s="36"/>
    </row>
    <row r="288" ht="45.75" customHeight="1">
      <c r="A288" s="36">
        <v>287.0</v>
      </c>
      <c r="B288" s="40"/>
      <c r="C288" s="36" t="s">
        <v>808</v>
      </c>
      <c r="D288" s="36" t="s">
        <v>2197</v>
      </c>
      <c r="E288" s="36" t="s">
        <v>2199</v>
      </c>
      <c r="F288" s="36" t="s">
        <v>2202</v>
      </c>
      <c r="G288" s="42" t="s">
        <v>2203</v>
      </c>
      <c r="H288" s="36" t="s">
        <v>64</v>
      </c>
      <c r="I288" s="36" t="s">
        <v>65</v>
      </c>
      <c r="J288" s="36" t="s">
        <v>62</v>
      </c>
      <c r="K288" s="36" t="s">
        <v>111</v>
      </c>
      <c r="L288" s="36">
        <v>129.0</v>
      </c>
      <c r="M288" s="40"/>
      <c r="N288" s="36" t="s">
        <v>1469</v>
      </c>
      <c r="O288" s="40"/>
      <c r="P288" s="36" t="s">
        <v>5827</v>
      </c>
      <c r="Q288" s="40"/>
      <c r="R288" s="40"/>
      <c r="S288" s="40"/>
      <c r="T288" s="60"/>
      <c r="U288" s="40"/>
      <c r="V288" s="40"/>
      <c r="W288" s="60"/>
      <c r="X288" s="57" t="s">
        <v>74</v>
      </c>
      <c r="Y288" s="36" t="s">
        <v>5832</v>
      </c>
      <c r="Z288" s="57" t="s">
        <v>5833</v>
      </c>
      <c r="AA288" s="57" t="s">
        <v>2229</v>
      </c>
      <c r="AB288" s="58">
        <v>46023.0</v>
      </c>
      <c r="AC288" s="146">
        <v>46387.0</v>
      </c>
      <c r="AD288" s="36" t="s">
        <v>5835</v>
      </c>
      <c r="AE288" s="36" t="s">
        <v>79</v>
      </c>
      <c r="AF288" s="65"/>
      <c r="AG288" s="40"/>
      <c r="AH288" s="51"/>
    </row>
    <row r="289" ht="45.75" customHeight="1">
      <c r="A289" s="36">
        <v>288.0</v>
      </c>
      <c r="B289" s="40"/>
      <c r="C289" s="36" t="s">
        <v>808</v>
      </c>
      <c r="D289" s="36" t="s">
        <v>2274</v>
      </c>
      <c r="E289" s="36" t="s">
        <v>2276</v>
      </c>
      <c r="F289" s="36" t="s">
        <v>5839</v>
      </c>
      <c r="G289" s="42" t="s">
        <v>5840</v>
      </c>
      <c r="H289" s="36" t="s">
        <v>64</v>
      </c>
      <c r="I289" s="36" t="s">
        <v>155</v>
      </c>
      <c r="J289" s="36" t="s">
        <v>62</v>
      </c>
      <c r="K289" s="36" t="s">
        <v>111</v>
      </c>
      <c r="L289" s="36">
        <v>188.0</v>
      </c>
      <c r="M289" s="36" t="s">
        <v>5844</v>
      </c>
      <c r="N289" s="131" t="s">
        <v>66</v>
      </c>
      <c r="O289" s="40"/>
      <c r="P289" s="36" t="s">
        <v>2147</v>
      </c>
      <c r="Q289" s="40"/>
      <c r="R289" s="40"/>
      <c r="S289" s="40"/>
      <c r="T289" s="60"/>
      <c r="U289" s="40"/>
      <c r="V289" s="40"/>
      <c r="W289" s="60"/>
      <c r="X289" s="57" t="s">
        <v>74</v>
      </c>
      <c r="Y289" s="36" t="s">
        <v>5848</v>
      </c>
      <c r="Z289" s="57">
        <v>9.177144351E9</v>
      </c>
      <c r="AA289" s="57" t="s">
        <v>5849</v>
      </c>
      <c r="AB289" s="58">
        <v>46023.0</v>
      </c>
      <c r="AC289" s="146">
        <v>46387.0</v>
      </c>
      <c r="AD289" s="36" t="s">
        <v>5851</v>
      </c>
      <c r="AE289" s="36" t="s">
        <v>79</v>
      </c>
      <c r="AF289" s="65"/>
      <c r="AG289" s="40"/>
      <c r="AH289" s="51"/>
    </row>
    <row r="290" ht="45.75" customHeight="1">
      <c r="A290" s="36">
        <v>289.0</v>
      </c>
      <c r="B290" s="40"/>
      <c r="C290" s="36" t="s">
        <v>808</v>
      </c>
      <c r="D290" s="36" t="s">
        <v>2274</v>
      </c>
      <c r="E290" s="36" t="s">
        <v>2276</v>
      </c>
      <c r="F290" s="36" t="s">
        <v>2278</v>
      </c>
      <c r="G290" s="42" t="s">
        <v>2280</v>
      </c>
      <c r="H290" s="36" t="s">
        <v>64</v>
      </c>
      <c r="I290" s="36" t="s">
        <v>65</v>
      </c>
      <c r="J290" s="36" t="s">
        <v>62</v>
      </c>
      <c r="K290" s="36" t="s">
        <v>63</v>
      </c>
      <c r="L290" s="36">
        <v>75.0</v>
      </c>
      <c r="M290" s="36" t="s">
        <v>5844</v>
      </c>
      <c r="N290" s="36" t="s">
        <v>71</v>
      </c>
      <c r="O290" s="40"/>
      <c r="P290" s="36" t="s">
        <v>2088</v>
      </c>
      <c r="Q290" s="40"/>
      <c r="R290" s="40"/>
      <c r="S290" s="40"/>
      <c r="T290" s="60"/>
      <c r="U290" s="40"/>
      <c r="V290" s="40"/>
      <c r="W290" s="60"/>
      <c r="X290" s="57" t="s">
        <v>74</v>
      </c>
      <c r="Y290" s="36" t="s">
        <v>2297</v>
      </c>
      <c r="Z290" s="57" t="s">
        <v>5861</v>
      </c>
      <c r="AA290" s="57" t="s">
        <v>2300</v>
      </c>
      <c r="AB290" s="58">
        <v>46023.0</v>
      </c>
      <c r="AC290" s="146">
        <v>46387.0</v>
      </c>
      <c r="AD290" s="36" t="s">
        <v>5865</v>
      </c>
      <c r="AE290" s="36" t="s">
        <v>79</v>
      </c>
      <c r="AF290" s="65"/>
      <c r="AG290" s="40"/>
      <c r="AH290" s="65"/>
    </row>
    <row r="291" ht="45.75" customHeight="1">
      <c r="A291" s="36">
        <v>290.0</v>
      </c>
      <c r="B291" s="40"/>
      <c r="C291" s="36" t="s">
        <v>808</v>
      </c>
      <c r="D291" s="36" t="s">
        <v>2274</v>
      </c>
      <c r="E291" s="36" t="s">
        <v>5867</v>
      </c>
      <c r="F291" s="36" t="s">
        <v>5868</v>
      </c>
      <c r="G291" s="42" t="s">
        <v>5869</v>
      </c>
      <c r="H291" s="36" t="s">
        <v>64</v>
      </c>
      <c r="I291" s="36" t="s">
        <v>5872</v>
      </c>
      <c r="J291" s="36" t="s">
        <v>62</v>
      </c>
      <c r="K291" s="36" t="s">
        <v>63</v>
      </c>
      <c r="L291" s="36">
        <v>25.0</v>
      </c>
      <c r="M291" s="40"/>
      <c r="N291" s="36" t="s">
        <v>66</v>
      </c>
      <c r="O291" s="40"/>
      <c r="P291" s="36" t="s">
        <v>5876</v>
      </c>
      <c r="Q291" s="40"/>
      <c r="R291" s="40"/>
      <c r="S291" s="40"/>
      <c r="T291" s="60"/>
      <c r="U291" s="40"/>
      <c r="V291" s="40"/>
      <c r="W291" s="60"/>
      <c r="X291" s="57" t="s">
        <v>74</v>
      </c>
      <c r="Y291" s="36" t="s">
        <v>5878</v>
      </c>
      <c r="Z291" s="57">
        <v>9.35940908E9</v>
      </c>
      <c r="AA291" s="57" t="s">
        <v>5879</v>
      </c>
      <c r="AB291" s="58">
        <v>46023.0</v>
      </c>
      <c r="AC291" s="146">
        <v>46387.0</v>
      </c>
      <c r="AD291" s="36" t="s">
        <v>5880</v>
      </c>
      <c r="AE291" s="36" t="s">
        <v>79</v>
      </c>
      <c r="AF291" s="65"/>
      <c r="AG291" s="40"/>
      <c r="AH291" s="65"/>
    </row>
    <row r="292" ht="45.75" customHeight="1">
      <c r="A292" s="36">
        <v>291.0</v>
      </c>
      <c r="B292" s="40"/>
      <c r="C292" s="36" t="s">
        <v>808</v>
      </c>
      <c r="D292" s="36" t="s">
        <v>2274</v>
      </c>
      <c r="E292" s="36" t="s">
        <v>5881</v>
      </c>
      <c r="F292" s="36" t="s">
        <v>5882</v>
      </c>
      <c r="G292" s="42" t="s">
        <v>5883</v>
      </c>
      <c r="H292" s="36" t="s">
        <v>64</v>
      </c>
      <c r="I292" s="36" t="s">
        <v>5872</v>
      </c>
      <c r="J292" s="36" t="s">
        <v>62</v>
      </c>
      <c r="K292" s="36" t="s">
        <v>63</v>
      </c>
      <c r="L292" s="36">
        <v>50.0</v>
      </c>
      <c r="M292" s="36" t="s">
        <v>5884</v>
      </c>
      <c r="N292" s="36" t="s">
        <v>66</v>
      </c>
      <c r="O292" s="40"/>
      <c r="P292" s="36" t="s">
        <v>5885</v>
      </c>
      <c r="Q292" s="40"/>
      <c r="R292" s="40"/>
      <c r="S292" s="40"/>
      <c r="T292" s="60"/>
      <c r="U292" s="40"/>
      <c r="V292" s="40"/>
      <c r="W292" s="60"/>
      <c r="X292" s="57" t="s">
        <v>74</v>
      </c>
      <c r="Y292" s="36" t="s">
        <v>5888</v>
      </c>
      <c r="Z292" s="57">
        <v>9.954953091E9</v>
      </c>
      <c r="AA292" s="57" t="s">
        <v>5889</v>
      </c>
      <c r="AB292" s="58">
        <v>46023.0</v>
      </c>
      <c r="AC292" s="146">
        <v>46387.0</v>
      </c>
      <c r="AD292" s="36" t="s">
        <v>5892</v>
      </c>
      <c r="AE292" s="36" t="s">
        <v>79</v>
      </c>
      <c r="AF292" s="65"/>
      <c r="AG292" s="40"/>
      <c r="AH292" s="65"/>
    </row>
    <row r="293" ht="45.75" customHeight="1">
      <c r="A293" s="36">
        <v>292.0</v>
      </c>
      <c r="B293" s="40"/>
      <c r="C293" s="36" t="s">
        <v>808</v>
      </c>
      <c r="D293" s="36" t="s">
        <v>2274</v>
      </c>
      <c r="E293" s="36" t="s">
        <v>5897</v>
      </c>
      <c r="F293" s="36" t="s">
        <v>5898</v>
      </c>
      <c r="G293" s="42" t="s">
        <v>5899</v>
      </c>
      <c r="H293" s="36" t="s">
        <v>64</v>
      </c>
      <c r="I293" s="36" t="s">
        <v>5872</v>
      </c>
      <c r="J293" s="36" t="s">
        <v>62</v>
      </c>
      <c r="K293" s="36" t="s">
        <v>63</v>
      </c>
      <c r="L293" s="36">
        <v>25.0</v>
      </c>
      <c r="M293" s="40"/>
      <c r="N293" s="36" t="s">
        <v>66</v>
      </c>
      <c r="O293" s="40"/>
      <c r="P293" s="36" t="s">
        <v>5903</v>
      </c>
      <c r="Q293" s="40"/>
      <c r="R293" s="40"/>
      <c r="S293" s="40"/>
      <c r="T293" s="60"/>
      <c r="U293" s="40"/>
      <c r="V293" s="40"/>
      <c r="W293" s="60"/>
      <c r="X293" s="164" t="s">
        <v>74</v>
      </c>
      <c r="Y293" s="36" t="s">
        <v>5937</v>
      </c>
      <c r="Z293" s="57">
        <v>9.173264512E9</v>
      </c>
      <c r="AA293" s="57" t="s">
        <v>5939</v>
      </c>
      <c r="AB293" s="58">
        <v>46023.0</v>
      </c>
      <c r="AC293" s="146">
        <v>46387.0</v>
      </c>
      <c r="AD293" s="36" t="s">
        <v>5941</v>
      </c>
      <c r="AE293" s="36" t="s">
        <v>79</v>
      </c>
      <c r="AF293" s="65"/>
      <c r="AG293" s="40"/>
      <c r="AH293" s="65"/>
    </row>
    <row r="294" ht="45.75" customHeight="1">
      <c r="A294" s="36">
        <v>293.0</v>
      </c>
      <c r="B294" s="40"/>
      <c r="C294" s="36" t="s">
        <v>808</v>
      </c>
      <c r="D294" s="36" t="s">
        <v>1952</v>
      </c>
      <c r="E294" s="36" t="s">
        <v>1957</v>
      </c>
      <c r="F294" s="36" t="s">
        <v>1960</v>
      </c>
      <c r="G294" s="42" t="s">
        <v>1964</v>
      </c>
      <c r="H294" s="36" t="s">
        <v>64</v>
      </c>
      <c r="I294" s="36" t="s">
        <v>65</v>
      </c>
      <c r="J294" s="36" t="s">
        <v>62</v>
      </c>
      <c r="K294" s="36" t="s">
        <v>111</v>
      </c>
      <c r="L294" s="36">
        <v>200.0</v>
      </c>
      <c r="M294" s="36" t="s">
        <v>5950</v>
      </c>
      <c r="N294" s="36" t="s">
        <v>5951</v>
      </c>
      <c r="O294" s="40"/>
      <c r="P294" s="36" t="s">
        <v>5953</v>
      </c>
      <c r="Q294" s="40"/>
      <c r="R294" s="36"/>
      <c r="S294" s="40"/>
      <c r="T294" s="60"/>
      <c r="U294" s="36">
        <v>5.0</v>
      </c>
      <c r="V294" s="40"/>
      <c r="W294" s="60"/>
      <c r="X294" s="57" t="s">
        <v>74</v>
      </c>
      <c r="Y294" s="36" t="s">
        <v>2027</v>
      </c>
      <c r="Z294" s="57" t="s">
        <v>2029</v>
      </c>
      <c r="AA294" s="57" t="s">
        <v>2031</v>
      </c>
      <c r="AB294" s="58">
        <v>46023.0</v>
      </c>
      <c r="AC294" s="146">
        <v>46387.0</v>
      </c>
      <c r="AD294" s="36" t="s">
        <v>5958</v>
      </c>
      <c r="AE294" s="36" t="s">
        <v>79</v>
      </c>
      <c r="AF294" s="65"/>
      <c r="AG294" s="40"/>
      <c r="AH294" s="165"/>
    </row>
    <row r="295" ht="45.75" customHeight="1">
      <c r="A295" s="36">
        <v>294.0</v>
      </c>
      <c r="B295" s="40"/>
      <c r="C295" s="36" t="s">
        <v>808</v>
      </c>
      <c r="D295" s="36" t="s">
        <v>1952</v>
      </c>
      <c r="E295" s="36" t="s">
        <v>5966</v>
      </c>
      <c r="F295" s="36" t="s">
        <v>5967</v>
      </c>
      <c r="G295" s="42" t="s">
        <v>5968</v>
      </c>
      <c r="H295" s="36" t="s">
        <v>64</v>
      </c>
      <c r="I295" s="36" t="s">
        <v>155</v>
      </c>
      <c r="J295" s="36" t="s">
        <v>62</v>
      </c>
      <c r="K295" s="36" t="s">
        <v>63</v>
      </c>
      <c r="L295" s="36">
        <v>50.0</v>
      </c>
      <c r="M295" s="36" t="s">
        <v>5972</v>
      </c>
      <c r="N295" s="36" t="s">
        <v>66</v>
      </c>
      <c r="O295" s="36" t="s">
        <v>72</v>
      </c>
      <c r="P295" s="36" t="s">
        <v>5973</v>
      </c>
      <c r="Q295" s="40"/>
      <c r="R295" s="36"/>
      <c r="S295" s="40"/>
      <c r="T295" s="60"/>
      <c r="U295" s="36">
        <v>10.0</v>
      </c>
      <c r="V295" s="40"/>
      <c r="W295" s="60"/>
      <c r="X295" s="57" t="s">
        <v>74</v>
      </c>
      <c r="Y295" s="36" t="s">
        <v>5978</v>
      </c>
      <c r="Z295" s="57" t="s">
        <v>5979</v>
      </c>
      <c r="AA295" s="57" t="s">
        <v>5980</v>
      </c>
      <c r="AB295" s="58">
        <v>46023.0</v>
      </c>
      <c r="AC295" s="146">
        <v>46387.0</v>
      </c>
      <c r="AD295" s="36" t="s">
        <v>5981</v>
      </c>
      <c r="AE295" s="36" t="s">
        <v>79</v>
      </c>
      <c r="AF295" s="65"/>
      <c r="AG295" s="40"/>
      <c r="AH295" s="165"/>
    </row>
    <row r="296" ht="45.75" customHeight="1">
      <c r="A296" s="36">
        <v>295.0</v>
      </c>
      <c r="B296" s="40"/>
      <c r="C296" s="36" t="s">
        <v>808</v>
      </c>
      <c r="D296" s="36" t="s">
        <v>1952</v>
      </c>
      <c r="E296" s="36" t="s">
        <v>5966</v>
      </c>
      <c r="F296" s="36" t="s">
        <v>5984</v>
      </c>
      <c r="G296" s="42" t="s">
        <v>5985</v>
      </c>
      <c r="H296" s="36" t="s">
        <v>64</v>
      </c>
      <c r="I296" s="36" t="s">
        <v>155</v>
      </c>
      <c r="J296" s="36" t="s">
        <v>62</v>
      </c>
      <c r="K296" s="36" t="s">
        <v>111</v>
      </c>
      <c r="L296" s="36">
        <v>146.0</v>
      </c>
      <c r="M296" s="36" t="s">
        <v>5991</v>
      </c>
      <c r="N296" s="36" t="s">
        <v>221</v>
      </c>
      <c r="O296" s="40"/>
      <c r="P296" s="36" t="s">
        <v>2147</v>
      </c>
      <c r="Q296" s="40"/>
      <c r="R296" s="36"/>
      <c r="S296" s="40"/>
      <c r="T296" s="60"/>
      <c r="U296" s="36">
        <v>18.0</v>
      </c>
      <c r="V296" s="40"/>
      <c r="W296" s="60"/>
      <c r="X296" s="57" t="s">
        <v>93</v>
      </c>
      <c r="Y296" s="36" t="s">
        <v>5995</v>
      </c>
      <c r="Z296" s="57" t="s">
        <v>5996</v>
      </c>
      <c r="AA296" s="57" t="s">
        <v>5997</v>
      </c>
      <c r="AB296" s="58">
        <v>46023.0</v>
      </c>
      <c r="AC296" s="146">
        <v>46387.0</v>
      </c>
      <c r="AD296" s="36" t="s">
        <v>5998</v>
      </c>
      <c r="AE296" s="36" t="s">
        <v>79</v>
      </c>
      <c r="AF296" s="65"/>
      <c r="AG296" s="40"/>
      <c r="AH296" s="165"/>
    </row>
    <row r="297" ht="45.75" customHeight="1">
      <c r="A297" s="36">
        <v>296.0</v>
      </c>
      <c r="B297" s="40"/>
      <c r="C297" s="36" t="s">
        <v>808</v>
      </c>
      <c r="D297" s="36" t="s">
        <v>1952</v>
      </c>
      <c r="E297" s="36" t="s">
        <v>6002</v>
      </c>
      <c r="F297" s="36" t="s">
        <v>6003</v>
      </c>
      <c r="G297" s="42" t="s">
        <v>6005</v>
      </c>
      <c r="H297" s="36" t="s">
        <v>64</v>
      </c>
      <c r="I297" s="36" t="s">
        <v>155</v>
      </c>
      <c r="J297" s="36" t="s">
        <v>62</v>
      </c>
      <c r="K297" s="36" t="s">
        <v>63</v>
      </c>
      <c r="L297" s="36">
        <v>18.0</v>
      </c>
      <c r="M297" s="40"/>
      <c r="N297" s="36" t="s">
        <v>66</v>
      </c>
      <c r="O297" s="40"/>
      <c r="P297" s="36" t="s">
        <v>2088</v>
      </c>
      <c r="Q297" s="40"/>
      <c r="R297" s="40"/>
      <c r="S297" s="40"/>
      <c r="T297" s="60"/>
      <c r="U297" s="40"/>
      <c r="V297" s="40"/>
      <c r="W297" s="60"/>
      <c r="X297" s="57" t="s">
        <v>74</v>
      </c>
      <c r="Y297" s="36" t="s">
        <v>6011</v>
      </c>
      <c r="Z297" s="57" t="s">
        <v>6013</v>
      </c>
      <c r="AA297" s="57" t="s">
        <v>6014</v>
      </c>
      <c r="AB297" s="58">
        <v>46023.0</v>
      </c>
      <c r="AC297" s="146">
        <v>46387.0</v>
      </c>
      <c r="AD297" s="36" t="s">
        <v>6017</v>
      </c>
      <c r="AE297" s="36" t="s">
        <v>79</v>
      </c>
      <c r="AF297" s="65"/>
      <c r="AG297" s="40"/>
      <c r="AH297" s="165"/>
    </row>
    <row r="298" ht="45.75" customHeight="1">
      <c r="A298" s="36">
        <v>297.0</v>
      </c>
      <c r="B298" s="38"/>
      <c r="C298" s="36" t="s">
        <v>808</v>
      </c>
      <c r="D298" s="36" t="s">
        <v>2072</v>
      </c>
      <c r="E298" s="36" t="s">
        <v>2074</v>
      </c>
      <c r="F298" s="36" t="s">
        <v>596</v>
      </c>
      <c r="G298" s="42" t="s">
        <v>2077</v>
      </c>
      <c r="H298" s="36" t="s">
        <v>64</v>
      </c>
      <c r="I298" s="36" t="s">
        <v>65</v>
      </c>
      <c r="J298" s="36" t="s">
        <v>62</v>
      </c>
      <c r="K298" s="36" t="s">
        <v>111</v>
      </c>
      <c r="L298" s="36">
        <v>100.0</v>
      </c>
      <c r="M298" s="36" t="s">
        <v>6023</v>
      </c>
      <c r="N298" s="36" t="s">
        <v>71</v>
      </c>
      <c r="O298" s="40"/>
      <c r="P298" s="36" t="s">
        <v>6024</v>
      </c>
      <c r="Q298" s="40"/>
      <c r="R298" s="36"/>
      <c r="S298" s="40"/>
      <c r="T298" s="60"/>
      <c r="U298" s="36">
        <v>14.0</v>
      </c>
      <c r="V298" s="40"/>
      <c r="W298" s="60"/>
      <c r="X298" s="57" t="s">
        <v>74</v>
      </c>
      <c r="Y298" s="36" t="s">
        <v>2102</v>
      </c>
      <c r="Z298" s="57" t="s">
        <v>2103</v>
      </c>
      <c r="AA298" s="57" t="s">
        <v>2105</v>
      </c>
      <c r="AB298" s="58">
        <v>46023.0</v>
      </c>
      <c r="AC298" s="146">
        <v>46387.0</v>
      </c>
      <c r="AD298" s="36" t="s">
        <v>6032</v>
      </c>
      <c r="AE298" s="36" t="s">
        <v>79</v>
      </c>
      <c r="AF298" s="65"/>
      <c r="AG298" s="40"/>
      <c r="AH298" s="165"/>
    </row>
    <row r="299" ht="45.75" customHeight="1">
      <c r="A299" s="36">
        <v>298.0</v>
      </c>
      <c r="B299" s="40"/>
      <c r="C299" s="36" t="s">
        <v>808</v>
      </c>
      <c r="D299" s="36" t="s">
        <v>2072</v>
      </c>
      <c r="E299" s="36" t="s">
        <v>6033</v>
      </c>
      <c r="F299" s="36" t="s">
        <v>4719</v>
      </c>
      <c r="G299" s="42" t="s">
        <v>6034</v>
      </c>
      <c r="H299" s="36" t="s">
        <v>64</v>
      </c>
      <c r="I299" s="36" t="s">
        <v>155</v>
      </c>
      <c r="J299" s="36" t="s">
        <v>62</v>
      </c>
      <c r="K299" s="36" t="s">
        <v>111</v>
      </c>
      <c r="L299" s="36">
        <v>100.0</v>
      </c>
      <c r="M299" s="36" t="s">
        <v>6038</v>
      </c>
      <c r="N299" s="131" t="s">
        <v>66</v>
      </c>
      <c r="O299" s="36" t="s">
        <v>72</v>
      </c>
      <c r="P299" s="36" t="s">
        <v>6041</v>
      </c>
      <c r="Q299" s="40"/>
      <c r="R299" s="36"/>
      <c r="S299" s="40"/>
      <c r="T299" s="60"/>
      <c r="U299" s="36">
        <v>17.0</v>
      </c>
      <c r="V299" s="40"/>
      <c r="W299" s="60"/>
      <c r="X299" s="57" t="s">
        <v>93</v>
      </c>
      <c r="Y299" s="36" t="s">
        <v>6044</v>
      </c>
      <c r="Z299" s="57" t="s">
        <v>6046</v>
      </c>
      <c r="AA299" s="57" t="s">
        <v>6048</v>
      </c>
      <c r="AB299" s="58">
        <v>46023.0</v>
      </c>
      <c r="AC299" s="146">
        <v>46387.0</v>
      </c>
      <c r="AD299" s="36" t="s">
        <v>6050</v>
      </c>
      <c r="AE299" s="36" t="s">
        <v>79</v>
      </c>
      <c r="AF299" s="65"/>
      <c r="AG299" s="40"/>
      <c r="AH299" s="165"/>
    </row>
    <row r="300" ht="45.75" customHeight="1">
      <c r="A300" s="36">
        <v>299.0</v>
      </c>
      <c r="B300" s="40"/>
      <c r="C300" s="36" t="s">
        <v>808</v>
      </c>
      <c r="D300" s="36" t="s">
        <v>2072</v>
      </c>
      <c r="E300" s="36" t="s">
        <v>2132</v>
      </c>
      <c r="F300" s="36" t="s">
        <v>2177</v>
      </c>
      <c r="G300" s="42" t="s">
        <v>2178</v>
      </c>
      <c r="H300" s="36" t="s">
        <v>64</v>
      </c>
      <c r="I300" s="36" t="s">
        <v>65</v>
      </c>
      <c r="J300" s="36" t="s">
        <v>62</v>
      </c>
      <c r="K300" s="36" t="s">
        <v>63</v>
      </c>
      <c r="L300" s="36">
        <v>51.0</v>
      </c>
      <c r="M300" s="40"/>
      <c r="N300" s="36" t="s">
        <v>66</v>
      </c>
      <c r="O300" s="40"/>
      <c r="P300" s="36" t="s">
        <v>6055</v>
      </c>
      <c r="Q300" s="40"/>
      <c r="R300" s="40"/>
      <c r="S300" s="40"/>
      <c r="T300" s="60"/>
      <c r="U300" s="40"/>
      <c r="V300" s="40"/>
      <c r="W300" s="60"/>
      <c r="X300" s="57" t="s">
        <v>74</v>
      </c>
      <c r="Y300" s="36" t="s">
        <v>6060</v>
      </c>
      <c r="Z300" s="57" t="s">
        <v>6062</v>
      </c>
      <c r="AA300" s="57" t="s">
        <v>6063</v>
      </c>
      <c r="AB300" s="58">
        <v>46023.0</v>
      </c>
      <c r="AC300" s="146">
        <v>46387.0</v>
      </c>
      <c r="AD300" s="36" t="s">
        <v>6064</v>
      </c>
      <c r="AE300" s="36" t="s">
        <v>79</v>
      </c>
      <c r="AF300" s="65"/>
      <c r="AG300" s="40"/>
      <c r="AH300" s="165"/>
    </row>
    <row r="301" ht="45.75" customHeight="1">
      <c r="A301" s="36">
        <v>300.0</v>
      </c>
      <c r="B301" s="40"/>
      <c r="C301" s="36" t="s">
        <v>808</v>
      </c>
      <c r="D301" s="36" t="s">
        <v>2072</v>
      </c>
      <c r="E301" s="36" t="s">
        <v>2132</v>
      </c>
      <c r="F301" s="36" t="s">
        <v>2241</v>
      </c>
      <c r="G301" s="42" t="s">
        <v>2243</v>
      </c>
      <c r="H301" s="36" t="s">
        <v>64</v>
      </c>
      <c r="I301" s="36" t="s">
        <v>65</v>
      </c>
      <c r="J301" s="36" t="s">
        <v>62</v>
      </c>
      <c r="K301" s="36" t="s">
        <v>68</v>
      </c>
      <c r="L301" s="36">
        <v>400.0</v>
      </c>
      <c r="M301" s="40"/>
      <c r="N301" s="36" t="s">
        <v>71</v>
      </c>
      <c r="O301" s="36" t="s">
        <v>72</v>
      </c>
      <c r="P301" s="36" t="s">
        <v>6074</v>
      </c>
      <c r="Q301" s="40"/>
      <c r="R301" s="36"/>
      <c r="S301" s="40"/>
      <c r="T301" s="60"/>
      <c r="U301" s="36">
        <v>30.0</v>
      </c>
      <c r="V301" s="40"/>
      <c r="W301" s="60"/>
      <c r="X301" s="57" t="s">
        <v>93</v>
      </c>
      <c r="Y301" s="36" t="s">
        <v>2255</v>
      </c>
      <c r="Z301" s="57" t="s">
        <v>2256</v>
      </c>
      <c r="AA301" s="57" t="s">
        <v>2259</v>
      </c>
      <c r="AB301" s="58">
        <v>46023.0</v>
      </c>
      <c r="AC301" s="146">
        <v>46387.0</v>
      </c>
      <c r="AD301" s="36" t="s">
        <v>2262</v>
      </c>
      <c r="AE301" s="36" t="s">
        <v>79</v>
      </c>
      <c r="AF301" s="65"/>
      <c r="AG301" s="40"/>
      <c r="AH301" s="165"/>
    </row>
    <row r="302" ht="45.75" customHeight="1">
      <c r="A302" s="36">
        <v>301.0</v>
      </c>
      <c r="B302" s="40"/>
      <c r="C302" s="36" t="s">
        <v>808</v>
      </c>
      <c r="D302" s="36" t="s">
        <v>2072</v>
      </c>
      <c r="E302" s="36" t="s">
        <v>2132</v>
      </c>
      <c r="F302" s="36" t="s">
        <v>2134</v>
      </c>
      <c r="G302" s="42" t="s">
        <v>2136</v>
      </c>
      <c r="H302" s="36" t="s">
        <v>64</v>
      </c>
      <c r="I302" s="36" t="s">
        <v>65</v>
      </c>
      <c r="J302" s="36" t="s">
        <v>62</v>
      </c>
      <c r="K302" s="36" t="s">
        <v>111</v>
      </c>
      <c r="L302" s="36">
        <v>100.0</v>
      </c>
      <c r="M302" s="36" t="s">
        <v>2144</v>
      </c>
      <c r="N302" s="131" t="s">
        <v>66</v>
      </c>
      <c r="O302" s="40"/>
      <c r="P302" s="36" t="s">
        <v>6083</v>
      </c>
      <c r="Q302" s="40"/>
      <c r="R302" s="36"/>
      <c r="S302" s="40"/>
      <c r="T302" s="60"/>
      <c r="U302" s="36">
        <v>5.0</v>
      </c>
      <c r="V302" s="40"/>
      <c r="W302" s="60"/>
      <c r="X302" s="57" t="s">
        <v>74</v>
      </c>
      <c r="Y302" s="36" t="s">
        <v>6088</v>
      </c>
      <c r="Z302" s="57" t="s">
        <v>2158</v>
      </c>
      <c r="AA302" s="57" t="s">
        <v>2159</v>
      </c>
      <c r="AB302" s="58">
        <v>46023.0</v>
      </c>
      <c r="AC302" s="146">
        <v>46387.0</v>
      </c>
      <c r="AD302" s="36" t="s">
        <v>6090</v>
      </c>
      <c r="AE302" s="36" t="s">
        <v>79</v>
      </c>
      <c r="AF302" s="65"/>
      <c r="AG302" s="40"/>
      <c r="AH302" s="165"/>
    </row>
    <row r="303" ht="45.75" customHeight="1">
      <c r="A303" s="36">
        <v>302.0</v>
      </c>
      <c r="B303" s="40"/>
      <c r="C303" s="36" t="s">
        <v>808</v>
      </c>
      <c r="D303" s="36" t="s">
        <v>6094</v>
      </c>
      <c r="E303" s="36" t="s">
        <v>1530</v>
      </c>
      <c r="F303" s="36" t="s">
        <v>6096</v>
      </c>
      <c r="G303" s="42" t="s">
        <v>6097</v>
      </c>
      <c r="H303" s="36" t="s">
        <v>64</v>
      </c>
      <c r="I303" s="36" t="s">
        <v>155</v>
      </c>
      <c r="J303" s="36" t="s">
        <v>62</v>
      </c>
      <c r="K303" s="36" t="s">
        <v>63</v>
      </c>
      <c r="L303" s="36">
        <v>100.0</v>
      </c>
      <c r="M303" s="36" t="s">
        <v>956</v>
      </c>
      <c r="N303" s="36" t="s">
        <v>66</v>
      </c>
      <c r="O303" s="36" t="s">
        <v>72</v>
      </c>
      <c r="P303" s="36" t="s">
        <v>6102</v>
      </c>
      <c r="Q303" s="40"/>
      <c r="R303" s="40"/>
      <c r="S303" s="40"/>
      <c r="T303" s="60"/>
      <c r="U303" s="40"/>
      <c r="V303" s="40"/>
      <c r="W303" s="60"/>
      <c r="X303" s="57" t="s">
        <v>74</v>
      </c>
      <c r="Y303" s="36" t="s">
        <v>6105</v>
      </c>
      <c r="Z303" s="57" t="s">
        <v>6107</v>
      </c>
      <c r="AA303" s="57" t="s">
        <v>6108</v>
      </c>
      <c r="AB303" s="58">
        <v>46023.0</v>
      </c>
      <c r="AC303" s="146">
        <v>46387.0</v>
      </c>
      <c r="AD303" s="36" t="s">
        <v>6110</v>
      </c>
      <c r="AE303" s="36" t="s">
        <v>79</v>
      </c>
      <c r="AF303" s="65"/>
      <c r="AG303" s="40"/>
      <c r="AH303" s="165"/>
    </row>
    <row r="304" ht="45.75" customHeight="1">
      <c r="A304" s="36">
        <v>303.0</v>
      </c>
      <c r="B304" s="36">
        <v>3906.0</v>
      </c>
      <c r="C304" s="36" t="s">
        <v>887</v>
      </c>
      <c r="D304" s="36" t="s">
        <v>6115</v>
      </c>
      <c r="E304" s="36" t="s">
        <v>6116</v>
      </c>
      <c r="F304" s="36" t="s">
        <v>6117</v>
      </c>
      <c r="G304" s="42" t="s">
        <v>6118</v>
      </c>
      <c r="H304" s="36" t="s">
        <v>64</v>
      </c>
      <c r="I304" s="36" t="s">
        <v>155</v>
      </c>
      <c r="J304" s="36" t="s">
        <v>62</v>
      </c>
      <c r="K304" s="36" t="s">
        <v>63</v>
      </c>
      <c r="L304" s="36">
        <v>100.0</v>
      </c>
      <c r="M304" s="36" t="s">
        <v>6121</v>
      </c>
      <c r="N304" s="36" t="s">
        <v>66</v>
      </c>
      <c r="O304" s="36" t="s">
        <v>67</v>
      </c>
      <c r="P304" s="36" t="s">
        <v>6124</v>
      </c>
      <c r="Q304" s="64"/>
      <c r="R304" s="64"/>
      <c r="S304" s="64"/>
      <c r="T304" s="40"/>
      <c r="U304" s="36" t="s">
        <v>1752</v>
      </c>
      <c r="V304" s="36" t="s">
        <v>61</v>
      </c>
      <c r="W304" s="60"/>
      <c r="X304" s="36" t="s">
        <v>74</v>
      </c>
      <c r="Y304" s="36" t="s">
        <v>6128</v>
      </c>
      <c r="Z304" s="56" t="s">
        <v>6129</v>
      </c>
      <c r="AA304" s="57" t="s">
        <v>6130</v>
      </c>
      <c r="AB304" s="58">
        <v>46023.0</v>
      </c>
      <c r="AC304" s="146">
        <v>46387.0</v>
      </c>
      <c r="AD304" s="57" t="s">
        <v>6133</v>
      </c>
      <c r="AE304" s="36" t="s">
        <v>79</v>
      </c>
      <c r="AF304" s="146"/>
      <c r="AG304" s="36"/>
      <c r="AH304" s="36" t="s">
        <v>2064</v>
      </c>
    </row>
    <row r="305" ht="45.75" customHeight="1">
      <c r="A305" s="36">
        <v>304.0</v>
      </c>
      <c r="B305" s="36">
        <v>435.0</v>
      </c>
      <c r="C305" s="36" t="s">
        <v>887</v>
      </c>
      <c r="D305" s="36" t="s">
        <v>6115</v>
      </c>
      <c r="E305" s="36" t="s">
        <v>6136</v>
      </c>
      <c r="F305" s="36" t="s">
        <v>6137</v>
      </c>
      <c r="G305" s="42" t="s">
        <v>6138</v>
      </c>
      <c r="H305" s="36" t="s">
        <v>64</v>
      </c>
      <c r="I305" s="36" t="s">
        <v>155</v>
      </c>
      <c r="J305" s="36" t="s">
        <v>62</v>
      </c>
      <c r="K305" s="36" t="s">
        <v>111</v>
      </c>
      <c r="L305" s="36">
        <v>150.0</v>
      </c>
      <c r="M305" s="36" t="s">
        <v>6143</v>
      </c>
      <c r="N305" s="36" t="s">
        <v>71</v>
      </c>
      <c r="O305" s="36" t="s">
        <v>67</v>
      </c>
      <c r="P305" s="36" t="s">
        <v>6144</v>
      </c>
      <c r="Q305" s="64"/>
      <c r="R305" s="64"/>
      <c r="S305" s="64"/>
      <c r="T305" s="40"/>
      <c r="U305" s="36">
        <v>7.0</v>
      </c>
      <c r="V305" s="36" t="s">
        <v>61</v>
      </c>
      <c r="W305" s="60"/>
      <c r="X305" s="36" t="s">
        <v>93</v>
      </c>
      <c r="Y305" s="36" t="s">
        <v>6146</v>
      </c>
      <c r="Z305" s="56" t="s">
        <v>6148</v>
      </c>
      <c r="AA305" s="57" t="s">
        <v>6149</v>
      </c>
      <c r="AB305" s="58">
        <v>46023.0</v>
      </c>
      <c r="AC305" s="146">
        <v>46387.0</v>
      </c>
      <c r="AD305" s="57" t="s">
        <v>6150</v>
      </c>
      <c r="AE305" s="36" t="s">
        <v>164</v>
      </c>
      <c r="AF305" s="36" t="s">
        <v>165</v>
      </c>
      <c r="AG305" s="36" t="s">
        <v>6152</v>
      </c>
      <c r="AH305" s="36" t="s">
        <v>2064</v>
      </c>
    </row>
    <row r="306" ht="45.75" customHeight="1">
      <c r="A306" s="36">
        <v>305.0</v>
      </c>
      <c r="B306" s="36">
        <v>436.0</v>
      </c>
      <c r="C306" s="36" t="s">
        <v>887</v>
      </c>
      <c r="D306" s="36" t="s">
        <v>6115</v>
      </c>
      <c r="E306" s="36" t="s">
        <v>6155</v>
      </c>
      <c r="F306" s="36" t="s">
        <v>2044</v>
      </c>
      <c r="G306" s="42" t="s">
        <v>6158</v>
      </c>
      <c r="H306" s="36" t="s">
        <v>64</v>
      </c>
      <c r="I306" s="36" t="s">
        <v>155</v>
      </c>
      <c r="J306" s="36" t="s">
        <v>62</v>
      </c>
      <c r="K306" s="36" t="s">
        <v>63</v>
      </c>
      <c r="L306" s="36">
        <v>68.0</v>
      </c>
      <c r="M306" s="36" t="s">
        <v>1752</v>
      </c>
      <c r="N306" s="36" t="s">
        <v>66</v>
      </c>
      <c r="O306" s="36" t="s">
        <v>67</v>
      </c>
      <c r="P306" s="36" t="s">
        <v>6160</v>
      </c>
      <c r="Q306" s="64"/>
      <c r="R306" s="64"/>
      <c r="S306" s="64"/>
      <c r="T306" s="40"/>
      <c r="U306" s="36" t="s">
        <v>1752</v>
      </c>
      <c r="V306" s="36" t="s">
        <v>61</v>
      </c>
      <c r="W306" s="60"/>
      <c r="X306" s="36" t="s">
        <v>74</v>
      </c>
      <c r="Y306" s="36" t="s">
        <v>6161</v>
      </c>
      <c r="Z306" s="56" t="s">
        <v>6162</v>
      </c>
      <c r="AA306" s="57" t="s">
        <v>6164</v>
      </c>
      <c r="AB306" s="58">
        <v>46023.0</v>
      </c>
      <c r="AC306" s="146">
        <v>46387.0</v>
      </c>
      <c r="AD306" s="57" t="s">
        <v>6167</v>
      </c>
      <c r="AE306" s="36" t="s">
        <v>79</v>
      </c>
      <c r="AF306" s="146"/>
      <c r="AG306" s="36"/>
      <c r="AH306" s="36" t="s">
        <v>2064</v>
      </c>
    </row>
    <row r="307" ht="45.75" customHeight="1">
      <c r="A307" s="36">
        <v>306.0</v>
      </c>
      <c r="B307" s="36">
        <v>3762.0</v>
      </c>
      <c r="C307" s="36" t="s">
        <v>887</v>
      </c>
      <c r="D307" s="36" t="s">
        <v>6115</v>
      </c>
      <c r="E307" s="36" t="s">
        <v>6171</v>
      </c>
      <c r="F307" s="36"/>
      <c r="G307" s="42" t="s">
        <v>6172</v>
      </c>
      <c r="H307" s="36" t="s">
        <v>64</v>
      </c>
      <c r="I307" s="36" t="s">
        <v>155</v>
      </c>
      <c r="J307" s="36" t="s">
        <v>62</v>
      </c>
      <c r="K307" s="36" t="s">
        <v>111</v>
      </c>
      <c r="L307" s="36">
        <v>130.0</v>
      </c>
      <c r="M307" s="36" t="s">
        <v>6176</v>
      </c>
      <c r="N307" s="36" t="s">
        <v>66</v>
      </c>
      <c r="O307" s="36" t="s">
        <v>67</v>
      </c>
      <c r="P307" s="36" t="s">
        <v>6178</v>
      </c>
      <c r="Q307" s="64"/>
      <c r="R307" s="64"/>
      <c r="S307" s="64"/>
      <c r="T307" s="40"/>
      <c r="U307" s="36" t="s">
        <v>1752</v>
      </c>
      <c r="V307" s="36" t="s">
        <v>61</v>
      </c>
      <c r="W307" s="60"/>
      <c r="X307" s="36" t="s">
        <v>93</v>
      </c>
      <c r="Y307" s="36" t="s">
        <v>6182</v>
      </c>
      <c r="Z307" s="56" t="s">
        <v>6184</v>
      </c>
      <c r="AA307" s="57" t="s">
        <v>6185</v>
      </c>
      <c r="AB307" s="58">
        <v>46023.0</v>
      </c>
      <c r="AC307" s="146">
        <v>46387.0</v>
      </c>
      <c r="AD307" s="57" t="s">
        <v>6186</v>
      </c>
      <c r="AE307" s="36" t="s">
        <v>79</v>
      </c>
      <c r="AF307" s="146"/>
      <c r="AG307" s="36"/>
      <c r="AH307" s="36" t="s">
        <v>2064</v>
      </c>
    </row>
    <row r="308" ht="45.75" customHeight="1">
      <c r="A308" s="36">
        <v>307.0</v>
      </c>
      <c r="B308" s="36">
        <v>5202.0</v>
      </c>
      <c r="C308" s="36" t="s">
        <v>887</v>
      </c>
      <c r="D308" s="36" t="s">
        <v>2310</v>
      </c>
      <c r="E308" s="36" t="s">
        <v>2311</v>
      </c>
      <c r="F308" s="36" t="s">
        <v>2312</v>
      </c>
      <c r="G308" s="42" t="s">
        <v>2314</v>
      </c>
      <c r="H308" s="36" t="s">
        <v>64</v>
      </c>
      <c r="I308" s="36" t="s">
        <v>65</v>
      </c>
      <c r="J308" s="36" t="s">
        <v>62</v>
      </c>
      <c r="K308" s="36" t="s">
        <v>63</v>
      </c>
      <c r="L308" s="36">
        <v>105.0</v>
      </c>
      <c r="M308" s="36" t="s">
        <v>6195</v>
      </c>
      <c r="N308" s="36" t="s">
        <v>66</v>
      </c>
      <c r="O308" s="36" t="s">
        <v>72</v>
      </c>
      <c r="P308" s="36" t="s">
        <v>2323</v>
      </c>
      <c r="Q308" s="64"/>
      <c r="R308" s="64"/>
      <c r="S308" s="64"/>
      <c r="T308" s="40"/>
      <c r="U308" s="36" t="s">
        <v>1752</v>
      </c>
      <c r="V308" s="36" t="s">
        <v>61</v>
      </c>
      <c r="W308" s="60"/>
      <c r="X308" s="36" t="s">
        <v>74</v>
      </c>
      <c r="Y308" s="36" t="s">
        <v>2326</v>
      </c>
      <c r="Z308" s="56" t="s">
        <v>2329</v>
      </c>
      <c r="AA308" s="57" t="s">
        <v>2331</v>
      </c>
      <c r="AB308" s="58">
        <v>46023.0</v>
      </c>
      <c r="AC308" s="146">
        <v>46387.0</v>
      </c>
      <c r="AD308" s="57" t="s">
        <v>6198</v>
      </c>
      <c r="AE308" s="36" t="s">
        <v>79</v>
      </c>
      <c r="AF308" s="146"/>
      <c r="AG308" s="36"/>
      <c r="AH308" s="36" t="s">
        <v>2064</v>
      </c>
    </row>
    <row r="309" ht="45.75" customHeight="1">
      <c r="A309" s="36">
        <v>308.0</v>
      </c>
      <c r="B309" s="36">
        <v>3623.0</v>
      </c>
      <c r="C309" s="36" t="s">
        <v>887</v>
      </c>
      <c r="D309" s="36" t="s">
        <v>6201</v>
      </c>
      <c r="E309" s="36" t="s">
        <v>6202</v>
      </c>
      <c r="F309" s="36" t="s">
        <v>6203</v>
      </c>
      <c r="G309" s="42" t="s">
        <v>6204</v>
      </c>
      <c r="H309" s="36" t="s">
        <v>64</v>
      </c>
      <c r="I309" s="36" t="s">
        <v>155</v>
      </c>
      <c r="J309" s="36" t="s">
        <v>62</v>
      </c>
      <c r="K309" s="36" t="s">
        <v>63</v>
      </c>
      <c r="L309" s="36">
        <v>100.0</v>
      </c>
      <c r="M309" s="36" t="s">
        <v>6207</v>
      </c>
      <c r="N309" s="36" t="s">
        <v>66</v>
      </c>
      <c r="O309" s="36" t="s">
        <v>67</v>
      </c>
      <c r="P309" s="36" t="s">
        <v>6209</v>
      </c>
      <c r="Q309" s="64"/>
      <c r="R309" s="64"/>
      <c r="S309" s="64"/>
      <c r="T309" s="40"/>
      <c r="U309" s="36">
        <v>15.0</v>
      </c>
      <c r="V309" s="36" t="s">
        <v>61</v>
      </c>
      <c r="W309" s="60"/>
      <c r="X309" s="36" t="s">
        <v>74</v>
      </c>
      <c r="Y309" s="36" t="s">
        <v>6213</v>
      </c>
      <c r="Z309" s="56" t="s">
        <v>6214</v>
      </c>
      <c r="AA309" s="57" t="s">
        <v>6216</v>
      </c>
      <c r="AB309" s="58">
        <v>46023.0</v>
      </c>
      <c r="AC309" s="146">
        <v>46387.0</v>
      </c>
      <c r="AD309" s="57" t="s">
        <v>6217</v>
      </c>
      <c r="AE309" s="36" t="s">
        <v>164</v>
      </c>
      <c r="AF309" s="36" t="s">
        <v>165</v>
      </c>
      <c r="AG309" s="36" t="s">
        <v>6218</v>
      </c>
      <c r="AH309" s="36" t="s">
        <v>2064</v>
      </c>
    </row>
    <row r="310" ht="45.75" customHeight="1">
      <c r="A310" s="36">
        <v>309.0</v>
      </c>
      <c r="B310" s="36">
        <v>560.0</v>
      </c>
      <c r="C310" s="36" t="s">
        <v>887</v>
      </c>
      <c r="D310" s="36" t="s">
        <v>6201</v>
      </c>
      <c r="E310" s="36" t="s">
        <v>6221</v>
      </c>
      <c r="F310" s="36" t="s">
        <v>6222</v>
      </c>
      <c r="G310" s="42" t="s">
        <v>6223</v>
      </c>
      <c r="H310" s="36" t="s">
        <v>64</v>
      </c>
      <c r="I310" s="36" t="s">
        <v>155</v>
      </c>
      <c r="J310" s="36" t="s">
        <v>62</v>
      </c>
      <c r="K310" s="36" t="s">
        <v>63</v>
      </c>
      <c r="L310" s="36">
        <v>119.0</v>
      </c>
      <c r="M310" s="36" t="s">
        <v>6227</v>
      </c>
      <c r="N310" s="36" t="s">
        <v>66</v>
      </c>
      <c r="O310" s="36" t="s">
        <v>72</v>
      </c>
      <c r="P310" s="36" t="s">
        <v>6229</v>
      </c>
      <c r="Q310" s="64"/>
      <c r="R310" s="64"/>
      <c r="S310" s="64"/>
      <c r="T310" s="40"/>
      <c r="U310" s="36">
        <v>9.0</v>
      </c>
      <c r="V310" s="36" t="s">
        <v>61</v>
      </c>
      <c r="W310" s="60"/>
      <c r="X310" s="36" t="s">
        <v>74</v>
      </c>
      <c r="Y310" s="36" t="s">
        <v>6232</v>
      </c>
      <c r="Z310" s="56" t="s">
        <v>6233</v>
      </c>
      <c r="AA310" s="57" t="s">
        <v>6234</v>
      </c>
      <c r="AB310" s="58">
        <v>46023.0</v>
      </c>
      <c r="AC310" s="146">
        <v>46387.0</v>
      </c>
      <c r="AD310" s="57" t="s">
        <v>6236</v>
      </c>
      <c r="AE310" s="36" t="s">
        <v>79</v>
      </c>
      <c r="AF310" s="146"/>
      <c r="AG310" s="36"/>
      <c r="AH310" s="36" t="s">
        <v>2064</v>
      </c>
    </row>
    <row r="311" ht="45.75" customHeight="1">
      <c r="A311" s="36">
        <v>310.0</v>
      </c>
      <c r="B311" s="36">
        <v>597.0</v>
      </c>
      <c r="C311" s="36" t="s">
        <v>887</v>
      </c>
      <c r="D311" s="36" t="s">
        <v>6201</v>
      </c>
      <c r="E311" s="36" t="s">
        <v>6241</v>
      </c>
      <c r="F311" s="36" t="s">
        <v>6243</v>
      </c>
      <c r="G311" s="42" t="s">
        <v>6244</v>
      </c>
      <c r="H311" s="36" t="s">
        <v>64</v>
      </c>
      <c r="I311" s="36" t="s">
        <v>155</v>
      </c>
      <c r="J311" s="36" t="s">
        <v>62</v>
      </c>
      <c r="K311" s="36" t="s">
        <v>63</v>
      </c>
      <c r="L311" s="36">
        <v>100.0</v>
      </c>
      <c r="M311" s="36" t="s">
        <v>6246</v>
      </c>
      <c r="N311" s="36" t="s">
        <v>66</v>
      </c>
      <c r="O311" s="36" t="s">
        <v>67</v>
      </c>
      <c r="P311" s="36" t="s">
        <v>6248</v>
      </c>
      <c r="Q311" s="64"/>
      <c r="R311" s="64"/>
      <c r="S311" s="64"/>
      <c r="T311" s="40"/>
      <c r="U311" s="36">
        <v>10.0</v>
      </c>
      <c r="V311" s="36" t="s">
        <v>61</v>
      </c>
      <c r="W311" s="60"/>
      <c r="X311" s="36" t="s">
        <v>74</v>
      </c>
      <c r="Y311" s="36" t="s">
        <v>6251</v>
      </c>
      <c r="Z311" s="56" t="s">
        <v>6252</v>
      </c>
      <c r="AA311" s="57" t="s">
        <v>6254</v>
      </c>
      <c r="AB311" s="58">
        <v>46023.0</v>
      </c>
      <c r="AC311" s="146">
        <v>46387.0</v>
      </c>
      <c r="AD311" s="57" t="s">
        <v>6255</v>
      </c>
      <c r="AE311" s="36" t="s">
        <v>79</v>
      </c>
      <c r="AF311" s="146"/>
      <c r="AG311" s="36"/>
      <c r="AH311" s="36" t="s">
        <v>2064</v>
      </c>
    </row>
    <row r="312" ht="45.75" customHeight="1">
      <c r="A312" s="36">
        <v>311.0</v>
      </c>
      <c r="B312" s="36">
        <v>605.0</v>
      </c>
      <c r="C312" s="36" t="s">
        <v>887</v>
      </c>
      <c r="D312" s="36" t="s">
        <v>6201</v>
      </c>
      <c r="E312" s="36" t="s">
        <v>6256</v>
      </c>
      <c r="F312" s="36" t="s">
        <v>6257</v>
      </c>
      <c r="G312" s="42" t="s">
        <v>6258</v>
      </c>
      <c r="H312" s="36" t="s">
        <v>64</v>
      </c>
      <c r="I312" s="36" t="s">
        <v>155</v>
      </c>
      <c r="J312" s="36" t="s">
        <v>62</v>
      </c>
      <c r="K312" s="36" t="s">
        <v>63</v>
      </c>
      <c r="L312" s="36">
        <v>60.0</v>
      </c>
      <c r="M312" s="36" t="s">
        <v>6261</v>
      </c>
      <c r="N312" s="36" t="s">
        <v>66</v>
      </c>
      <c r="O312" s="36" t="s">
        <v>72</v>
      </c>
      <c r="P312" s="36" t="s">
        <v>6263</v>
      </c>
      <c r="Q312" s="64"/>
      <c r="R312" s="64"/>
      <c r="S312" s="64"/>
      <c r="T312" s="40"/>
      <c r="U312" s="36" t="s">
        <v>1752</v>
      </c>
      <c r="V312" s="36" t="s">
        <v>61</v>
      </c>
      <c r="W312" s="60"/>
      <c r="X312" s="36" t="s">
        <v>74</v>
      </c>
      <c r="Y312" s="36" t="s">
        <v>6266</v>
      </c>
      <c r="Z312" s="56" t="s">
        <v>6267</v>
      </c>
      <c r="AA312" s="57" t="s">
        <v>6268</v>
      </c>
      <c r="AB312" s="58">
        <v>46023.0</v>
      </c>
      <c r="AC312" s="146">
        <v>46387.0</v>
      </c>
      <c r="AD312" s="57" t="s">
        <v>6269</v>
      </c>
      <c r="AE312" s="36" t="s">
        <v>79</v>
      </c>
      <c r="AF312" s="146"/>
      <c r="AG312" s="36"/>
      <c r="AH312" s="36" t="s">
        <v>2064</v>
      </c>
    </row>
    <row r="313" ht="45.75" customHeight="1">
      <c r="A313" s="36">
        <v>312.0</v>
      </c>
      <c r="B313" s="40"/>
      <c r="C313" s="36" t="s">
        <v>887</v>
      </c>
      <c r="D313" s="36" t="s">
        <v>2333</v>
      </c>
      <c r="E313" s="36" t="s">
        <v>2334</v>
      </c>
      <c r="F313" s="36" t="s">
        <v>2336</v>
      </c>
      <c r="G313" s="42" t="s">
        <v>2338</v>
      </c>
      <c r="H313" s="36" t="s">
        <v>64</v>
      </c>
      <c r="I313" s="36" t="s">
        <v>65</v>
      </c>
      <c r="J313" s="36" t="s">
        <v>62</v>
      </c>
      <c r="K313" s="36" t="s">
        <v>68</v>
      </c>
      <c r="L313" s="36">
        <v>438.0</v>
      </c>
      <c r="M313" s="36" t="s">
        <v>2341</v>
      </c>
      <c r="N313" s="36" t="s">
        <v>71</v>
      </c>
      <c r="O313" s="36"/>
      <c r="P313" s="36" t="s">
        <v>1180</v>
      </c>
      <c r="Q313" s="64"/>
      <c r="R313" s="64"/>
      <c r="S313" s="64"/>
      <c r="T313" s="40"/>
      <c r="U313" s="36">
        <v>29.0</v>
      </c>
      <c r="V313" s="40"/>
      <c r="W313" s="60"/>
      <c r="X313" s="36" t="s">
        <v>93</v>
      </c>
      <c r="Y313" s="36" t="s">
        <v>2348</v>
      </c>
      <c r="Z313" s="56" t="s">
        <v>2350</v>
      </c>
      <c r="AA313" s="57" t="s">
        <v>2352</v>
      </c>
      <c r="AB313" s="58">
        <v>46023.0</v>
      </c>
      <c r="AC313" s="146">
        <v>46387.0</v>
      </c>
      <c r="AD313" s="57" t="s">
        <v>2355</v>
      </c>
      <c r="AE313" s="36" t="s">
        <v>79</v>
      </c>
      <c r="AF313" s="146"/>
      <c r="AG313" s="36"/>
      <c r="AH313" s="36" t="s">
        <v>2064</v>
      </c>
    </row>
    <row r="314" ht="45.75" customHeight="1">
      <c r="A314" s="36">
        <v>313.0</v>
      </c>
      <c r="B314" s="36">
        <v>4967.0</v>
      </c>
      <c r="C314" s="36" t="s">
        <v>887</v>
      </c>
      <c r="D314" s="36" t="s">
        <v>2358</v>
      </c>
      <c r="E314" s="36" t="s">
        <v>6283</v>
      </c>
      <c r="F314" s="36" t="s">
        <v>6284</v>
      </c>
      <c r="G314" s="42" t="s">
        <v>6286</v>
      </c>
      <c r="H314" s="36" t="s">
        <v>64</v>
      </c>
      <c r="I314" s="36" t="s">
        <v>155</v>
      </c>
      <c r="J314" s="36" t="s">
        <v>62</v>
      </c>
      <c r="K314" s="36" t="s">
        <v>63</v>
      </c>
      <c r="L314" s="36">
        <v>50.0</v>
      </c>
      <c r="M314" s="36" t="s">
        <v>1752</v>
      </c>
      <c r="N314" s="36" t="s">
        <v>66</v>
      </c>
      <c r="O314" s="36" t="s">
        <v>67</v>
      </c>
      <c r="P314" s="36" t="s">
        <v>1752</v>
      </c>
      <c r="Q314" s="64"/>
      <c r="R314" s="64"/>
      <c r="S314" s="64"/>
      <c r="T314" s="40"/>
      <c r="U314" s="36" t="s">
        <v>1752</v>
      </c>
      <c r="V314" s="36" t="s">
        <v>61</v>
      </c>
      <c r="W314" s="60"/>
      <c r="X314" s="36" t="s">
        <v>74</v>
      </c>
      <c r="Y314" s="36" t="s">
        <v>6292</v>
      </c>
      <c r="Z314" s="56" t="s">
        <v>6293</v>
      </c>
      <c r="AA314" s="57" t="s">
        <v>6294</v>
      </c>
      <c r="AB314" s="58">
        <v>46023.0</v>
      </c>
      <c r="AC314" s="146">
        <v>46387.0</v>
      </c>
      <c r="AD314" s="57" t="s">
        <v>6295</v>
      </c>
      <c r="AE314" s="36" t="s">
        <v>79</v>
      </c>
      <c r="AF314" s="146"/>
      <c r="AG314" s="36"/>
      <c r="AH314" s="36" t="s">
        <v>2064</v>
      </c>
    </row>
    <row r="315" ht="45.75" customHeight="1">
      <c r="A315" s="36">
        <v>314.0</v>
      </c>
      <c r="B315" s="36">
        <v>676.0</v>
      </c>
      <c r="C315" s="36" t="s">
        <v>887</v>
      </c>
      <c r="D315" s="36" t="s">
        <v>2358</v>
      </c>
      <c r="E315" s="36" t="s">
        <v>6296</v>
      </c>
      <c r="F315" s="36" t="s">
        <v>6297</v>
      </c>
      <c r="G315" s="42" t="s">
        <v>6298</v>
      </c>
      <c r="H315" s="36" t="s">
        <v>64</v>
      </c>
      <c r="I315" s="36" t="s">
        <v>155</v>
      </c>
      <c r="J315" s="36" t="s">
        <v>62</v>
      </c>
      <c r="K315" s="36" t="s">
        <v>111</v>
      </c>
      <c r="L315" s="36">
        <v>159.0</v>
      </c>
      <c r="M315" s="36" t="s">
        <v>6299</v>
      </c>
      <c r="N315" s="36" t="s">
        <v>221</v>
      </c>
      <c r="O315" s="36" t="s">
        <v>67</v>
      </c>
      <c r="P315" s="36" t="s">
        <v>6300</v>
      </c>
      <c r="Q315" s="64"/>
      <c r="R315" s="64"/>
      <c r="S315" s="64"/>
      <c r="T315" s="40"/>
      <c r="U315" s="36">
        <v>31.0</v>
      </c>
      <c r="V315" s="36" t="s">
        <v>61</v>
      </c>
      <c r="W315" s="60"/>
      <c r="X315" s="36" t="s">
        <v>93</v>
      </c>
      <c r="Y315" s="36" t="s">
        <v>6301</v>
      </c>
      <c r="Z315" s="56" t="s">
        <v>6302</v>
      </c>
      <c r="AA315" s="57" t="s">
        <v>6304</v>
      </c>
      <c r="AB315" s="58">
        <v>46023.0</v>
      </c>
      <c r="AC315" s="146">
        <v>46387.0</v>
      </c>
      <c r="AD315" s="57" t="s">
        <v>6305</v>
      </c>
      <c r="AE315" s="36" t="s">
        <v>79</v>
      </c>
      <c r="AF315" s="146"/>
      <c r="AG315" s="36"/>
      <c r="AH315" s="36" t="s">
        <v>2064</v>
      </c>
    </row>
    <row r="316" ht="45.75" customHeight="1">
      <c r="A316" s="36">
        <v>315.0</v>
      </c>
      <c r="B316" s="40"/>
      <c r="C316" s="36" t="s">
        <v>887</v>
      </c>
      <c r="D316" s="36" t="s">
        <v>2358</v>
      </c>
      <c r="E316" s="36" t="s">
        <v>2359</v>
      </c>
      <c r="F316" s="36" t="s">
        <v>2360</v>
      </c>
      <c r="G316" s="42" t="s">
        <v>2361</v>
      </c>
      <c r="H316" s="36" t="s">
        <v>64</v>
      </c>
      <c r="I316" s="36" t="s">
        <v>65</v>
      </c>
      <c r="J316" s="36" t="s">
        <v>62</v>
      </c>
      <c r="K316" s="36" t="s">
        <v>68</v>
      </c>
      <c r="L316" s="36">
        <v>550.0</v>
      </c>
      <c r="M316" s="36" t="s">
        <v>6309</v>
      </c>
      <c r="N316" s="36" t="s">
        <v>71</v>
      </c>
      <c r="O316" s="36" t="s">
        <v>72</v>
      </c>
      <c r="P316" s="36" t="s">
        <v>2367</v>
      </c>
      <c r="Q316" s="64"/>
      <c r="R316" s="64"/>
      <c r="S316" s="64"/>
      <c r="T316" s="40"/>
      <c r="U316" s="36">
        <v>28.0</v>
      </c>
      <c r="V316" s="36" t="s">
        <v>61</v>
      </c>
      <c r="W316" s="60"/>
      <c r="X316" s="36" t="s">
        <v>93</v>
      </c>
      <c r="Y316" s="36" t="s">
        <v>6310</v>
      </c>
      <c r="Z316" s="56" t="s">
        <v>2371</v>
      </c>
      <c r="AA316" s="57" t="s">
        <v>2372</v>
      </c>
      <c r="AB316" s="58">
        <v>46023.0</v>
      </c>
      <c r="AC316" s="146">
        <v>46387.0</v>
      </c>
      <c r="AD316" s="57" t="s">
        <v>2374</v>
      </c>
      <c r="AE316" s="36" t="s">
        <v>79</v>
      </c>
      <c r="AF316" s="146"/>
      <c r="AG316" s="36"/>
      <c r="AH316" s="36" t="s">
        <v>2064</v>
      </c>
    </row>
    <row r="317" ht="45.75" customHeight="1">
      <c r="A317" s="36">
        <v>316.0</v>
      </c>
      <c r="B317" s="36">
        <v>2451.0</v>
      </c>
      <c r="C317" s="36" t="s">
        <v>887</v>
      </c>
      <c r="D317" s="36" t="s">
        <v>2358</v>
      </c>
      <c r="E317" s="36" t="s">
        <v>6314</v>
      </c>
      <c r="F317" s="36" t="s">
        <v>6316</v>
      </c>
      <c r="G317" s="42" t="s">
        <v>6318</v>
      </c>
      <c r="H317" s="36" t="s">
        <v>64</v>
      </c>
      <c r="I317" s="36" t="s">
        <v>155</v>
      </c>
      <c r="J317" s="36" t="s">
        <v>62</v>
      </c>
      <c r="K317" s="36" t="s">
        <v>63</v>
      </c>
      <c r="L317" s="36">
        <v>50.0</v>
      </c>
      <c r="M317" s="36" t="s">
        <v>1752</v>
      </c>
      <c r="N317" s="36" t="s">
        <v>66</v>
      </c>
      <c r="O317" s="36" t="s">
        <v>67</v>
      </c>
      <c r="P317" s="36" t="s">
        <v>6321</v>
      </c>
      <c r="Q317" s="64"/>
      <c r="R317" s="64"/>
      <c r="S317" s="64"/>
      <c r="T317" s="40"/>
      <c r="U317" s="36" t="s">
        <v>1752</v>
      </c>
      <c r="V317" s="36" t="s">
        <v>61</v>
      </c>
      <c r="W317" s="60"/>
      <c r="X317" s="36" t="s">
        <v>74</v>
      </c>
      <c r="Y317" s="36" t="s">
        <v>6326</v>
      </c>
      <c r="Z317" s="56" t="s">
        <v>6327</v>
      </c>
      <c r="AA317" s="57" t="s">
        <v>6328</v>
      </c>
      <c r="AB317" s="58">
        <v>46023.0</v>
      </c>
      <c r="AC317" s="146">
        <v>46387.0</v>
      </c>
      <c r="AD317" s="57" t="s">
        <v>6329</v>
      </c>
      <c r="AE317" s="36" t="s">
        <v>79</v>
      </c>
      <c r="AF317" s="146"/>
      <c r="AG317" s="36"/>
      <c r="AH317" s="36" t="s">
        <v>2064</v>
      </c>
    </row>
    <row r="318" ht="45.75" customHeight="1">
      <c r="A318" s="36">
        <v>317.0</v>
      </c>
      <c r="B318" s="36">
        <v>6714.0</v>
      </c>
      <c r="C318" s="36" t="s">
        <v>887</v>
      </c>
      <c r="D318" s="36" t="s">
        <v>2388</v>
      </c>
      <c r="E318" s="36" t="s">
        <v>6332</v>
      </c>
      <c r="F318" s="36" t="s">
        <v>6334</v>
      </c>
      <c r="G318" s="42" t="s">
        <v>6335</v>
      </c>
      <c r="H318" s="36" t="s">
        <v>64</v>
      </c>
      <c r="I318" s="36" t="s">
        <v>155</v>
      </c>
      <c r="J318" s="36" t="s">
        <v>62</v>
      </c>
      <c r="K318" s="36" t="s">
        <v>63</v>
      </c>
      <c r="L318" s="36">
        <v>50.0</v>
      </c>
      <c r="M318" s="36" t="s">
        <v>6338</v>
      </c>
      <c r="N318" s="36" t="s">
        <v>66</v>
      </c>
      <c r="O318" s="36" t="s">
        <v>67</v>
      </c>
      <c r="P318" s="36" t="s">
        <v>6341</v>
      </c>
      <c r="Q318" s="64"/>
      <c r="R318" s="64"/>
      <c r="S318" s="64"/>
      <c r="T318" s="40"/>
      <c r="U318" s="36" t="s">
        <v>1752</v>
      </c>
      <c r="V318" s="36" t="s">
        <v>61</v>
      </c>
      <c r="W318" s="60"/>
      <c r="X318" s="36" t="s">
        <v>74</v>
      </c>
      <c r="Y318" s="36" t="s">
        <v>6344</v>
      </c>
      <c r="Z318" s="56" t="s">
        <v>6345</v>
      </c>
      <c r="AA318" s="57" t="s">
        <v>6346</v>
      </c>
      <c r="AB318" s="58">
        <v>46023.0</v>
      </c>
      <c r="AC318" s="146">
        <v>46387.0</v>
      </c>
      <c r="AD318" s="57" t="s">
        <v>6347</v>
      </c>
      <c r="AE318" s="36" t="s">
        <v>79</v>
      </c>
      <c r="AF318" s="146"/>
      <c r="AG318" s="36"/>
      <c r="AH318" s="36" t="s">
        <v>2064</v>
      </c>
    </row>
    <row r="319" ht="45.75" customHeight="1">
      <c r="A319" s="36">
        <v>318.0</v>
      </c>
      <c r="B319" s="36">
        <v>3778.0</v>
      </c>
      <c r="C319" s="36" t="s">
        <v>887</v>
      </c>
      <c r="D319" s="36" t="s">
        <v>2388</v>
      </c>
      <c r="E319" s="36" t="s">
        <v>2391</v>
      </c>
      <c r="F319" s="36" t="s">
        <v>6352</v>
      </c>
      <c r="G319" s="42" t="s">
        <v>6354</v>
      </c>
      <c r="H319" s="36" t="s">
        <v>64</v>
      </c>
      <c r="I319" s="36" t="s">
        <v>2305</v>
      </c>
      <c r="J319" s="36" t="s">
        <v>62</v>
      </c>
      <c r="K319" s="36" t="s">
        <v>63</v>
      </c>
      <c r="L319" s="36">
        <v>50.0</v>
      </c>
      <c r="M319" s="36" t="s">
        <v>6355</v>
      </c>
      <c r="N319" s="36" t="s">
        <v>66</v>
      </c>
      <c r="O319" s="36" t="s">
        <v>67</v>
      </c>
      <c r="P319" s="36" t="s">
        <v>6358</v>
      </c>
      <c r="Q319" s="64"/>
      <c r="R319" s="64"/>
      <c r="S319" s="64"/>
      <c r="T319" s="40"/>
      <c r="U319" s="36" t="s">
        <v>1752</v>
      </c>
      <c r="V319" s="36" t="s">
        <v>61</v>
      </c>
      <c r="W319" s="60"/>
      <c r="X319" s="36" t="s">
        <v>74</v>
      </c>
      <c r="Y319" s="36" t="s">
        <v>6360</v>
      </c>
      <c r="Z319" s="56" t="s">
        <v>6361</v>
      </c>
      <c r="AA319" s="57" t="s">
        <v>6363</v>
      </c>
      <c r="AB319" s="58">
        <v>46023.0</v>
      </c>
      <c r="AC319" s="146">
        <v>46387.0</v>
      </c>
      <c r="AD319" s="57" t="s">
        <v>6366</v>
      </c>
      <c r="AE319" s="36" t="s">
        <v>79</v>
      </c>
      <c r="AF319" s="146"/>
      <c r="AG319" s="36"/>
      <c r="AH319" s="36" t="s">
        <v>2064</v>
      </c>
    </row>
    <row r="320" ht="45.75" customHeight="1">
      <c r="A320" s="36">
        <v>319.0</v>
      </c>
      <c r="B320" s="36">
        <v>587.0</v>
      </c>
      <c r="C320" s="36" t="s">
        <v>887</v>
      </c>
      <c r="D320" s="36" t="s">
        <v>2388</v>
      </c>
      <c r="E320" s="36" t="s">
        <v>2391</v>
      </c>
      <c r="F320" s="36" t="s">
        <v>6368</v>
      </c>
      <c r="G320" s="42" t="s">
        <v>6370</v>
      </c>
      <c r="H320" s="36" t="s">
        <v>64</v>
      </c>
      <c r="I320" s="36" t="s">
        <v>155</v>
      </c>
      <c r="J320" s="36" t="s">
        <v>62</v>
      </c>
      <c r="K320" s="36" t="s">
        <v>111</v>
      </c>
      <c r="L320" s="36">
        <v>250.0</v>
      </c>
      <c r="M320" s="36" t="s">
        <v>6373</v>
      </c>
      <c r="N320" s="36" t="s">
        <v>66</v>
      </c>
      <c r="O320" s="36" t="s">
        <v>67</v>
      </c>
      <c r="P320" s="36" t="s">
        <v>6376</v>
      </c>
      <c r="Q320" s="64"/>
      <c r="R320" s="64"/>
      <c r="S320" s="64"/>
      <c r="T320" s="40"/>
      <c r="U320" s="36">
        <v>16.0</v>
      </c>
      <c r="V320" s="36" t="s">
        <v>61</v>
      </c>
      <c r="W320" s="60"/>
      <c r="X320" s="36" t="s">
        <v>93</v>
      </c>
      <c r="Y320" s="36" t="s">
        <v>6380</v>
      </c>
      <c r="Z320" s="56">
        <v>9.177937344E9</v>
      </c>
      <c r="AA320" s="57" t="s">
        <v>6381</v>
      </c>
      <c r="AB320" s="58">
        <v>46023.0</v>
      </c>
      <c r="AC320" s="146">
        <v>46387.0</v>
      </c>
      <c r="AD320" s="57" t="s">
        <v>6384</v>
      </c>
      <c r="AE320" s="36" t="s">
        <v>79</v>
      </c>
      <c r="AF320" s="146"/>
      <c r="AG320" s="36"/>
      <c r="AH320" s="36" t="s">
        <v>2064</v>
      </c>
    </row>
    <row r="321" ht="45.75" customHeight="1">
      <c r="A321" s="36">
        <v>320.0</v>
      </c>
      <c r="B321" s="40"/>
      <c r="C321" s="36" t="s">
        <v>887</v>
      </c>
      <c r="D321" s="36" t="s">
        <v>2388</v>
      </c>
      <c r="E321" s="36" t="s">
        <v>2391</v>
      </c>
      <c r="F321" s="36" t="s">
        <v>2392</v>
      </c>
      <c r="G321" s="42" t="s">
        <v>2393</v>
      </c>
      <c r="H321" s="36" t="s">
        <v>64</v>
      </c>
      <c r="I321" s="36" t="s">
        <v>65</v>
      </c>
      <c r="J321" s="36" t="s">
        <v>62</v>
      </c>
      <c r="K321" s="36" t="s">
        <v>68</v>
      </c>
      <c r="L321" s="36">
        <v>600.0</v>
      </c>
      <c r="M321" s="36" t="s">
        <v>2398</v>
      </c>
      <c r="N321" s="36" t="s">
        <v>71</v>
      </c>
      <c r="O321" s="36" t="s">
        <v>72</v>
      </c>
      <c r="P321" s="36" t="s">
        <v>950</v>
      </c>
      <c r="Q321" s="64"/>
      <c r="R321" s="64"/>
      <c r="S321" s="64"/>
      <c r="T321" s="40"/>
      <c r="U321" s="36">
        <v>19.0</v>
      </c>
      <c r="V321" s="40"/>
      <c r="W321" s="60"/>
      <c r="X321" s="36" t="s">
        <v>93</v>
      </c>
      <c r="Y321" s="36" t="s">
        <v>2406</v>
      </c>
      <c r="Z321" s="56" t="s">
        <v>2408</v>
      </c>
      <c r="AA321" s="57" t="s">
        <v>2410</v>
      </c>
      <c r="AB321" s="58">
        <v>46023.0</v>
      </c>
      <c r="AC321" s="146">
        <v>46387.0</v>
      </c>
      <c r="AD321" s="57" t="s">
        <v>2414</v>
      </c>
      <c r="AE321" s="36" t="s">
        <v>79</v>
      </c>
      <c r="AF321" s="146"/>
      <c r="AG321" s="36"/>
      <c r="AH321" s="36" t="s">
        <v>2064</v>
      </c>
    </row>
    <row r="322" ht="45.75" customHeight="1">
      <c r="A322" s="36">
        <v>321.0</v>
      </c>
      <c r="B322" s="36">
        <v>2271.0</v>
      </c>
      <c r="C322" s="36" t="s">
        <v>887</v>
      </c>
      <c r="D322" s="36" t="s">
        <v>2388</v>
      </c>
      <c r="E322" s="36" t="s">
        <v>6398</v>
      </c>
      <c r="F322" s="36" t="s">
        <v>6400</v>
      </c>
      <c r="G322" s="42" t="s">
        <v>6401</v>
      </c>
      <c r="H322" s="36" t="s">
        <v>64</v>
      </c>
      <c r="I322" s="36" t="s">
        <v>155</v>
      </c>
      <c r="J322" s="36" t="s">
        <v>62</v>
      </c>
      <c r="K322" s="36" t="s">
        <v>63</v>
      </c>
      <c r="L322" s="36">
        <v>50.0</v>
      </c>
      <c r="M322" s="36" t="s">
        <v>1752</v>
      </c>
      <c r="N322" s="36" t="s">
        <v>66</v>
      </c>
      <c r="O322" s="36" t="s">
        <v>67</v>
      </c>
      <c r="P322" s="36" t="s">
        <v>6404</v>
      </c>
      <c r="Q322" s="64"/>
      <c r="R322" s="64"/>
      <c r="S322" s="64"/>
      <c r="T322" s="40"/>
      <c r="U322" s="36" t="s">
        <v>1752</v>
      </c>
      <c r="V322" s="36" t="s">
        <v>61</v>
      </c>
      <c r="W322" s="60"/>
      <c r="X322" s="36" t="s">
        <v>74</v>
      </c>
      <c r="Y322" s="36" t="s">
        <v>6405</v>
      </c>
      <c r="Z322" s="56">
        <v>9.177775962E9</v>
      </c>
      <c r="AA322" s="57" t="s">
        <v>6408</v>
      </c>
      <c r="AB322" s="58">
        <v>46027.0</v>
      </c>
      <c r="AC322" s="146">
        <v>46387.0</v>
      </c>
      <c r="AD322" s="57" t="s">
        <v>6410</v>
      </c>
      <c r="AE322" s="36" t="s">
        <v>79</v>
      </c>
      <c r="AF322" s="146"/>
      <c r="AG322" s="36" t="s">
        <v>6412</v>
      </c>
      <c r="AH322" s="36" t="s">
        <v>2064</v>
      </c>
    </row>
    <row r="323" ht="45.75" customHeight="1">
      <c r="A323" s="36">
        <v>322.0</v>
      </c>
      <c r="B323" s="36">
        <v>2732.0</v>
      </c>
      <c r="C323" s="36" t="s">
        <v>887</v>
      </c>
      <c r="D323" s="36" t="s">
        <v>2388</v>
      </c>
      <c r="E323" s="36" t="s">
        <v>6415</v>
      </c>
      <c r="F323" s="36" t="s">
        <v>6417</v>
      </c>
      <c r="G323" s="42" t="s">
        <v>6419</v>
      </c>
      <c r="H323" s="36" t="s">
        <v>64</v>
      </c>
      <c r="I323" s="36" t="s">
        <v>155</v>
      </c>
      <c r="J323" s="36" t="s">
        <v>62</v>
      </c>
      <c r="K323" s="36" t="s">
        <v>63</v>
      </c>
      <c r="L323" s="36">
        <v>25.0</v>
      </c>
      <c r="M323" s="36" t="s">
        <v>6422</v>
      </c>
      <c r="N323" s="36" t="s">
        <v>66</v>
      </c>
      <c r="O323" s="36" t="s">
        <v>67</v>
      </c>
      <c r="P323" s="36" t="s">
        <v>6424</v>
      </c>
      <c r="Q323" s="64"/>
      <c r="R323" s="64"/>
      <c r="S323" s="64"/>
      <c r="T323" s="40"/>
      <c r="U323" s="36" t="s">
        <v>1752</v>
      </c>
      <c r="V323" s="36" t="s">
        <v>61</v>
      </c>
      <c r="W323" s="60"/>
      <c r="X323" s="36" t="s">
        <v>74</v>
      </c>
      <c r="Y323" s="36" t="s">
        <v>6427</v>
      </c>
      <c r="Z323" s="56" t="s">
        <v>6430</v>
      </c>
      <c r="AA323" s="57" t="s">
        <v>6431</v>
      </c>
      <c r="AB323" s="58">
        <v>46034.0</v>
      </c>
      <c r="AC323" s="146">
        <v>46387.0</v>
      </c>
      <c r="AD323" s="57" t="s">
        <v>6432</v>
      </c>
      <c r="AE323" s="36" t="s">
        <v>79</v>
      </c>
      <c r="AF323" s="146"/>
      <c r="AG323" s="36"/>
      <c r="AH323" s="36" t="s">
        <v>2064</v>
      </c>
    </row>
    <row r="324" ht="45.75" customHeight="1">
      <c r="A324" s="36">
        <v>323.0</v>
      </c>
      <c r="B324" s="36">
        <v>3379.0</v>
      </c>
      <c r="C324" s="36" t="s">
        <v>887</v>
      </c>
      <c r="D324" s="36" t="s">
        <v>2388</v>
      </c>
      <c r="E324" s="36" t="s">
        <v>6438</v>
      </c>
      <c r="F324" s="36" t="s">
        <v>596</v>
      </c>
      <c r="G324" s="42" t="s">
        <v>6440</v>
      </c>
      <c r="H324" s="36" t="s">
        <v>64</v>
      </c>
      <c r="I324" s="36" t="s">
        <v>155</v>
      </c>
      <c r="J324" s="36" t="s">
        <v>62</v>
      </c>
      <c r="K324" s="36" t="s">
        <v>63</v>
      </c>
      <c r="L324" s="36">
        <v>25.0</v>
      </c>
      <c r="M324" s="36" t="s">
        <v>1752</v>
      </c>
      <c r="N324" s="36" t="s">
        <v>66</v>
      </c>
      <c r="O324" s="36" t="s">
        <v>67</v>
      </c>
      <c r="P324" s="36" t="s">
        <v>6443</v>
      </c>
      <c r="Q324" s="64"/>
      <c r="R324" s="64"/>
      <c r="S324" s="64"/>
      <c r="T324" s="40"/>
      <c r="U324" s="36" t="s">
        <v>1752</v>
      </c>
      <c r="V324" s="36" t="s">
        <v>61</v>
      </c>
      <c r="W324" s="60"/>
      <c r="X324" s="36" t="s">
        <v>74</v>
      </c>
      <c r="Y324" s="36" t="s">
        <v>6446</v>
      </c>
      <c r="Z324" s="56">
        <v>9.350267612E9</v>
      </c>
      <c r="AA324" s="57" t="s">
        <v>6449</v>
      </c>
      <c r="AB324" s="58">
        <v>46023.0</v>
      </c>
      <c r="AC324" s="146">
        <v>46387.0</v>
      </c>
      <c r="AD324" s="57" t="s">
        <v>6451</v>
      </c>
      <c r="AE324" s="36" t="s">
        <v>79</v>
      </c>
      <c r="AF324" s="146"/>
      <c r="AG324" s="36"/>
      <c r="AH324" s="36" t="s">
        <v>2064</v>
      </c>
    </row>
    <row r="325" ht="45.75" customHeight="1">
      <c r="A325" s="36">
        <v>324.0</v>
      </c>
      <c r="B325" s="36">
        <v>37405.0</v>
      </c>
      <c r="C325" s="36" t="s">
        <v>887</v>
      </c>
      <c r="D325" s="36" t="s">
        <v>2388</v>
      </c>
      <c r="E325" s="36" t="s">
        <v>6454</v>
      </c>
      <c r="F325" s="36" t="s">
        <v>6455</v>
      </c>
      <c r="G325" s="42" t="s">
        <v>6456</v>
      </c>
      <c r="H325" s="36" t="s">
        <v>64</v>
      </c>
      <c r="I325" s="36" t="s">
        <v>155</v>
      </c>
      <c r="J325" s="36" t="s">
        <v>62</v>
      </c>
      <c r="K325" s="36" t="s">
        <v>63</v>
      </c>
      <c r="L325" s="36">
        <v>36.0</v>
      </c>
      <c r="M325" s="36" t="s">
        <v>1752</v>
      </c>
      <c r="N325" s="36" t="s">
        <v>66</v>
      </c>
      <c r="O325" s="36" t="s">
        <v>67</v>
      </c>
      <c r="P325" s="36" t="s">
        <v>6459</v>
      </c>
      <c r="Q325" s="64"/>
      <c r="R325" s="64"/>
      <c r="S325" s="64"/>
      <c r="T325" s="40"/>
      <c r="U325" s="36" t="s">
        <v>1752</v>
      </c>
      <c r="V325" s="36" t="s">
        <v>61</v>
      </c>
      <c r="W325" s="60"/>
      <c r="X325" s="36" t="s">
        <v>74</v>
      </c>
      <c r="Y325" s="36" t="s">
        <v>6463</v>
      </c>
      <c r="Z325" s="56" t="s">
        <v>6464</v>
      </c>
      <c r="AA325" s="57" t="s">
        <v>6465</v>
      </c>
      <c r="AB325" s="58">
        <v>46023.0</v>
      </c>
      <c r="AC325" s="146">
        <v>46387.0</v>
      </c>
      <c r="AD325" s="57" t="s">
        <v>6468</v>
      </c>
      <c r="AE325" s="36" t="s">
        <v>79</v>
      </c>
      <c r="AF325" s="146"/>
      <c r="AG325" s="36"/>
      <c r="AH325" s="36" t="s">
        <v>2064</v>
      </c>
    </row>
    <row r="326" ht="45.75" customHeight="1">
      <c r="A326" s="36">
        <v>325.0</v>
      </c>
      <c r="B326" s="36">
        <v>789.0</v>
      </c>
      <c r="C326" s="36" t="s">
        <v>887</v>
      </c>
      <c r="D326" s="36" t="s">
        <v>2388</v>
      </c>
      <c r="E326" s="36" t="s">
        <v>6469</v>
      </c>
      <c r="F326" s="36" t="s">
        <v>6471</v>
      </c>
      <c r="G326" s="42" t="s">
        <v>6473</v>
      </c>
      <c r="H326" s="36" t="s">
        <v>64</v>
      </c>
      <c r="I326" s="36" t="s">
        <v>155</v>
      </c>
      <c r="J326" s="36" t="s">
        <v>62</v>
      </c>
      <c r="K326" s="36" t="s">
        <v>63</v>
      </c>
      <c r="L326" s="36">
        <v>25.0</v>
      </c>
      <c r="M326" s="36" t="s">
        <v>6476</v>
      </c>
      <c r="N326" s="36" t="s">
        <v>66</v>
      </c>
      <c r="O326" s="36" t="s">
        <v>67</v>
      </c>
      <c r="P326" s="36" t="s">
        <v>6477</v>
      </c>
      <c r="Q326" s="64"/>
      <c r="R326" s="64"/>
      <c r="S326" s="64"/>
      <c r="T326" s="40"/>
      <c r="U326" s="36" t="s">
        <v>1752</v>
      </c>
      <c r="V326" s="36" t="s">
        <v>61</v>
      </c>
      <c r="W326" s="60"/>
      <c r="X326" s="36" t="s">
        <v>74</v>
      </c>
      <c r="Y326" s="36" t="s">
        <v>6480</v>
      </c>
      <c r="Z326" s="56">
        <v>9.171394887E9</v>
      </c>
      <c r="AA326" s="57" t="s">
        <v>6481</v>
      </c>
      <c r="AB326" s="58">
        <v>46023.0</v>
      </c>
      <c r="AC326" s="146">
        <v>46387.0</v>
      </c>
      <c r="AD326" s="57" t="s">
        <v>6482</v>
      </c>
      <c r="AE326" s="36" t="s">
        <v>79</v>
      </c>
      <c r="AF326" s="146"/>
      <c r="AG326" s="36"/>
      <c r="AH326" s="36" t="s">
        <v>2064</v>
      </c>
    </row>
    <row r="327" ht="45.75" customHeight="1">
      <c r="A327" s="36">
        <v>326.0</v>
      </c>
      <c r="B327" s="36">
        <v>7247.0</v>
      </c>
      <c r="C327" s="36" t="s">
        <v>949</v>
      </c>
      <c r="D327" s="36" t="s">
        <v>6487</v>
      </c>
      <c r="E327" s="36" t="s">
        <v>6488</v>
      </c>
      <c r="F327" s="36" t="s">
        <v>6490</v>
      </c>
      <c r="G327" s="42" t="s">
        <v>6492</v>
      </c>
      <c r="H327" s="36" t="s">
        <v>64</v>
      </c>
      <c r="I327" s="36" t="s">
        <v>155</v>
      </c>
      <c r="J327" s="36" t="s">
        <v>62</v>
      </c>
      <c r="K327" s="36" t="s">
        <v>63</v>
      </c>
      <c r="L327" s="36">
        <v>40.0</v>
      </c>
      <c r="M327" s="36" t="s">
        <v>6493</v>
      </c>
      <c r="N327" s="36" t="s">
        <v>66</v>
      </c>
      <c r="O327" s="36" t="s">
        <v>67</v>
      </c>
      <c r="P327" s="36" t="s">
        <v>6494</v>
      </c>
      <c r="Q327" s="36"/>
      <c r="R327" s="36"/>
      <c r="S327" s="36" t="s">
        <v>61</v>
      </c>
      <c r="T327" s="36"/>
      <c r="U327" s="36" t="s">
        <v>61</v>
      </c>
      <c r="V327" s="36" t="s">
        <v>61</v>
      </c>
      <c r="W327" s="56" t="s">
        <v>61</v>
      </c>
      <c r="X327" s="57" t="s">
        <v>74</v>
      </c>
      <c r="Y327" s="36" t="s">
        <v>6496</v>
      </c>
      <c r="Z327" s="57">
        <v>9.688674054E9</v>
      </c>
      <c r="AA327" s="57" t="s">
        <v>6498</v>
      </c>
      <c r="AB327" s="58">
        <v>46023.0</v>
      </c>
      <c r="AC327" s="146">
        <v>46387.0</v>
      </c>
      <c r="AD327" s="36" t="s">
        <v>6499</v>
      </c>
      <c r="AE327" s="36" t="s">
        <v>79</v>
      </c>
      <c r="AF327" s="65"/>
      <c r="AG327" s="51"/>
      <c r="AH327" s="51"/>
    </row>
    <row r="328" ht="45.75" customHeight="1">
      <c r="A328" s="36">
        <v>327.0</v>
      </c>
      <c r="B328" s="36">
        <v>5166.0</v>
      </c>
      <c r="C328" s="36" t="s">
        <v>949</v>
      </c>
      <c r="D328" s="36" t="s">
        <v>6487</v>
      </c>
      <c r="E328" s="36" t="s">
        <v>6503</v>
      </c>
      <c r="F328" s="36" t="s">
        <v>6504</v>
      </c>
      <c r="G328" s="42" t="s">
        <v>6505</v>
      </c>
      <c r="H328" s="36" t="s">
        <v>64</v>
      </c>
      <c r="I328" s="36" t="s">
        <v>61</v>
      </c>
      <c r="J328" s="36" t="s">
        <v>62</v>
      </c>
      <c r="K328" s="36" t="s">
        <v>63</v>
      </c>
      <c r="L328" s="36">
        <v>40.0</v>
      </c>
      <c r="M328" s="40"/>
      <c r="N328" s="36" t="s">
        <v>66</v>
      </c>
      <c r="O328" s="36" t="s">
        <v>67</v>
      </c>
      <c r="P328" s="36" t="s">
        <v>6509</v>
      </c>
      <c r="Q328" s="40"/>
      <c r="R328" s="36"/>
      <c r="S328" s="40"/>
      <c r="T328" s="36"/>
      <c r="U328" s="36" t="s">
        <v>61</v>
      </c>
      <c r="V328" s="36" t="s">
        <v>61</v>
      </c>
      <c r="W328" s="56" t="s">
        <v>61</v>
      </c>
      <c r="X328" s="57" t="s">
        <v>74</v>
      </c>
      <c r="Y328" s="36" t="s">
        <v>6514</v>
      </c>
      <c r="Z328" s="45"/>
      <c r="AA328" s="57" t="s">
        <v>6517</v>
      </c>
      <c r="AB328" s="58">
        <v>46023.0</v>
      </c>
      <c r="AC328" s="146">
        <v>46387.0</v>
      </c>
      <c r="AD328" s="36" t="s">
        <v>6519</v>
      </c>
      <c r="AE328" s="36" t="s">
        <v>79</v>
      </c>
      <c r="AF328" s="65"/>
      <c r="AG328" s="51"/>
      <c r="AH328" s="51"/>
    </row>
    <row r="329" ht="45.75" customHeight="1">
      <c r="A329" s="36">
        <v>328.0</v>
      </c>
      <c r="B329" s="36">
        <v>4410.0</v>
      </c>
      <c r="C329" s="36" t="s">
        <v>949</v>
      </c>
      <c r="D329" s="36" t="s">
        <v>6487</v>
      </c>
      <c r="E329" s="36" t="s">
        <v>6522</v>
      </c>
      <c r="F329" s="36" t="s">
        <v>6523</v>
      </c>
      <c r="G329" s="42" t="s">
        <v>6524</v>
      </c>
      <c r="H329" s="36" t="s">
        <v>64</v>
      </c>
      <c r="I329" s="36" t="s">
        <v>155</v>
      </c>
      <c r="J329" s="36" t="s">
        <v>62</v>
      </c>
      <c r="K329" s="36" t="s">
        <v>63</v>
      </c>
      <c r="L329" s="36">
        <v>160.0</v>
      </c>
      <c r="M329" s="36" t="s">
        <v>6528</v>
      </c>
      <c r="N329" s="36" t="s">
        <v>66</v>
      </c>
      <c r="O329" s="36" t="s">
        <v>72</v>
      </c>
      <c r="P329" s="36" t="s">
        <v>6531</v>
      </c>
      <c r="Q329" s="36"/>
      <c r="R329" s="36"/>
      <c r="S329" s="36" t="s">
        <v>61</v>
      </c>
      <c r="T329" s="36"/>
      <c r="U329" s="36" t="s">
        <v>61</v>
      </c>
      <c r="V329" s="36" t="s">
        <v>61</v>
      </c>
      <c r="W329" s="56" t="s">
        <v>61</v>
      </c>
      <c r="X329" s="57" t="s">
        <v>74</v>
      </c>
      <c r="Y329" s="36" t="s">
        <v>6532</v>
      </c>
      <c r="Z329" s="45"/>
      <c r="AA329" s="57" t="s">
        <v>6533</v>
      </c>
      <c r="AB329" s="58">
        <v>46023.0</v>
      </c>
      <c r="AC329" s="146">
        <v>46387.0</v>
      </c>
      <c r="AD329" s="36" t="s">
        <v>6535</v>
      </c>
      <c r="AE329" s="36" t="s">
        <v>79</v>
      </c>
      <c r="AF329" s="65"/>
      <c r="AG329" s="51"/>
      <c r="AH329" s="51"/>
    </row>
    <row r="330" ht="45.75" customHeight="1">
      <c r="A330" s="36">
        <v>329.0</v>
      </c>
      <c r="B330" s="36">
        <v>253.0</v>
      </c>
      <c r="C330" s="36" t="s">
        <v>949</v>
      </c>
      <c r="D330" s="36" t="s">
        <v>6487</v>
      </c>
      <c r="E330" s="36" t="s">
        <v>6537</v>
      </c>
      <c r="F330" s="36" t="s">
        <v>6538</v>
      </c>
      <c r="G330" s="42" t="s">
        <v>6540</v>
      </c>
      <c r="H330" s="36" t="s">
        <v>64</v>
      </c>
      <c r="I330" s="36" t="s">
        <v>155</v>
      </c>
      <c r="J330" s="36" t="s">
        <v>62</v>
      </c>
      <c r="K330" s="36" t="s">
        <v>63</v>
      </c>
      <c r="L330" s="36">
        <v>100.0</v>
      </c>
      <c r="M330" s="36" t="s">
        <v>6544</v>
      </c>
      <c r="N330" s="36" t="s">
        <v>66</v>
      </c>
      <c r="O330" s="36" t="s">
        <v>67</v>
      </c>
      <c r="P330" s="36" t="s">
        <v>6531</v>
      </c>
      <c r="Q330" s="40"/>
      <c r="R330" s="36"/>
      <c r="S330" s="40"/>
      <c r="T330" s="36"/>
      <c r="U330" s="36" t="s">
        <v>61</v>
      </c>
      <c r="V330" s="36" t="s">
        <v>61</v>
      </c>
      <c r="W330" s="56" t="s">
        <v>61</v>
      </c>
      <c r="X330" s="57" t="s">
        <v>74</v>
      </c>
      <c r="Y330" s="36" t="s">
        <v>6548</v>
      </c>
      <c r="Z330" s="57" t="s">
        <v>6549</v>
      </c>
      <c r="AA330" s="57" t="s">
        <v>6551</v>
      </c>
      <c r="AB330" s="58">
        <v>46023.0</v>
      </c>
      <c r="AC330" s="146">
        <v>46387.0</v>
      </c>
      <c r="AD330" s="36" t="s">
        <v>6552</v>
      </c>
      <c r="AE330" s="36" t="s">
        <v>79</v>
      </c>
      <c r="AF330" s="65"/>
      <c r="AG330" s="51"/>
      <c r="AH330" s="51"/>
    </row>
    <row r="331" ht="45.75" customHeight="1">
      <c r="A331" s="36">
        <v>330.0</v>
      </c>
      <c r="B331" s="36">
        <v>2848.0</v>
      </c>
      <c r="C331" s="36" t="s">
        <v>949</v>
      </c>
      <c r="D331" s="36" t="s">
        <v>2420</v>
      </c>
      <c r="E331" s="36" t="s">
        <v>5106</v>
      </c>
      <c r="F331" s="36" t="s">
        <v>6557</v>
      </c>
      <c r="G331" s="42" t="s">
        <v>6559</v>
      </c>
      <c r="H331" s="36" t="s">
        <v>64</v>
      </c>
      <c r="I331" s="36" t="s">
        <v>155</v>
      </c>
      <c r="J331" s="36" t="s">
        <v>62</v>
      </c>
      <c r="K331" s="36" t="s">
        <v>63</v>
      </c>
      <c r="L331" s="36">
        <v>50.0</v>
      </c>
      <c r="M331" s="36" t="s">
        <v>6561</v>
      </c>
      <c r="N331" s="36" t="s">
        <v>66</v>
      </c>
      <c r="O331" s="36" t="s">
        <v>67</v>
      </c>
      <c r="P331" s="36" t="s">
        <v>6562</v>
      </c>
      <c r="Q331" s="40"/>
      <c r="R331" s="36"/>
      <c r="S331" s="40"/>
      <c r="T331" s="36"/>
      <c r="U331" s="36" t="s">
        <v>61</v>
      </c>
      <c r="V331" s="36" t="s">
        <v>61</v>
      </c>
      <c r="W331" s="56" t="s">
        <v>61</v>
      </c>
      <c r="X331" s="57" t="s">
        <v>74</v>
      </c>
      <c r="Y331" s="36" t="s">
        <v>6565</v>
      </c>
      <c r="Z331" s="57" t="s">
        <v>6567</v>
      </c>
      <c r="AA331" s="57" t="s">
        <v>6569</v>
      </c>
      <c r="AB331" s="58">
        <v>46023.0</v>
      </c>
      <c r="AC331" s="146">
        <v>46387.0</v>
      </c>
      <c r="AD331" s="36" t="s">
        <v>6571</v>
      </c>
      <c r="AE331" s="36" t="s">
        <v>79</v>
      </c>
      <c r="AF331" s="65"/>
      <c r="AG331" s="51"/>
      <c r="AH331" s="51"/>
    </row>
    <row r="332" ht="45.75" customHeight="1">
      <c r="A332" s="36">
        <v>331.0</v>
      </c>
      <c r="B332" s="36">
        <v>2994.0</v>
      </c>
      <c r="C332" s="36" t="s">
        <v>949</v>
      </c>
      <c r="D332" s="36" t="s">
        <v>2420</v>
      </c>
      <c r="E332" s="36" t="s">
        <v>6575</v>
      </c>
      <c r="F332" s="36" t="s">
        <v>6576</v>
      </c>
      <c r="G332" s="42" t="s">
        <v>6577</v>
      </c>
      <c r="H332" s="36" t="s">
        <v>64</v>
      </c>
      <c r="I332" s="36" t="s">
        <v>155</v>
      </c>
      <c r="J332" s="36" t="s">
        <v>62</v>
      </c>
      <c r="K332" s="36" t="s">
        <v>63</v>
      </c>
      <c r="L332" s="36">
        <v>75.0</v>
      </c>
      <c r="M332" s="36" t="s">
        <v>6579</v>
      </c>
      <c r="N332" s="36" t="s">
        <v>66</v>
      </c>
      <c r="O332" s="36" t="s">
        <v>67</v>
      </c>
      <c r="P332" s="36" t="s">
        <v>6581</v>
      </c>
      <c r="Q332" s="40"/>
      <c r="R332" s="36"/>
      <c r="S332" s="40"/>
      <c r="T332" s="36"/>
      <c r="U332" s="36" t="s">
        <v>61</v>
      </c>
      <c r="V332" s="36" t="s">
        <v>61</v>
      </c>
      <c r="W332" s="56" t="s">
        <v>61</v>
      </c>
      <c r="X332" s="57" t="s">
        <v>74</v>
      </c>
      <c r="Y332" s="36" t="s">
        <v>6585</v>
      </c>
      <c r="Z332" s="57" t="s">
        <v>6586</v>
      </c>
      <c r="AA332" s="57" t="s">
        <v>6587</v>
      </c>
      <c r="AB332" s="58">
        <v>46023.0</v>
      </c>
      <c r="AC332" s="146">
        <v>46387.0</v>
      </c>
      <c r="AD332" s="36" t="s">
        <v>6589</v>
      </c>
      <c r="AE332" s="36" t="s">
        <v>79</v>
      </c>
      <c r="AF332" s="65"/>
      <c r="AG332" s="51"/>
      <c r="AH332" s="51"/>
    </row>
    <row r="333" ht="45.75" customHeight="1">
      <c r="A333" s="36">
        <v>332.0</v>
      </c>
      <c r="B333" s="36">
        <v>7482.0</v>
      </c>
      <c r="C333" s="36" t="s">
        <v>949</v>
      </c>
      <c r="D333" s="36" t="s">
        <v>2420</v>
      </c>
      <c r="E333" s="36" t="s">
        <v>6593</v>
      </c>
      <c r="F333" s="36" t="s">
        <v>6594</v>
      </c>
      <c r="G333" s="42" t="s">
        <v>6595</v>
      </c>
      <c r="H333" s="36" t="s">
        <v>64</v>
      </c>
      <c r="I333" s="36" t="s">
        <v>155</v>
      </c>
      <c r="J333" s="36" t="s">
        <v>62</v>
      </c>
      <c r="K333" s="36" t="s">
        <v>63</v>
      </c>
      <c r="L333" s="36">
        <v>50.0</v>
      </c>
      <c r="M333" s="40"/>
      <c r="N333" s="36" t="s">
        <v>66</v>
      </c>
      <c r="O333" s="36" t="s">
        <v>67</v>
      </c>
      <c r="P333" s="36" t="s">
        <v>6602</v>
      </c>
      <c r="Q333" s="40"/>
      <c r="R333" s="36"/>
      <c r="S333" s="40"/>
      <c r="T333" s="36"/>
      <c r="U333" s="36" t="s">
        <v>61</v>
      </c>
      <c r="V333" s="36" t="s">
        <v>61</v>
      </c>
      <c r="W333" s="56" t="s">
        <v>61</v>
      </c>
      <c r="X333" s="57" t="s">
        <v>74</v>
      </c>
      <c r="Y333" s="36" t="s">
        <v>6605</v>
      </c>
      <c r="Z333" s="57" t="s">
        <v>6606</v>
      </c>
      <c r="AA333" s="57" t="s">
        <v>6607</v>
      </c>
      <c r="AB333" s="58">
        <v>46023.0</v>
      </c>
      <c r="AC333" s="146">
        <v>46387.0</v>
      </c>
      <c r="AD333" s="36" t="s">
        <v>6609</v>
      </c>
      <c r="AE333" s="36" t="s">
        <v>79</v>
      </c>
      <c r="AF333" s="65"/>
      <c r="AG333" s="51"/>
      <c r="AH333" s="51"/>
    </row>
    <row r="334" ht="45.75" customHeight="1">
      <c r="A334" s="36">
        <v>333.0</v>
      </c>
      <c r="B334" s="36">
        <v>268.0</v>
      </c>
      <c r="C334" s="36" t="s">
        <v>949</v>
      </c>
      <c r="D334" s="36" t="s">
        <v>2420</v>
      </c>
      <c r="E334" s="36" t="s">
        <v>2421</v>
      </c>
      <c r="F334" s="36" t="s">
        <v>2423</v>
      </c>
      <c r="G334" s="42" t="s">
        <v>2424</v>
      </c>
      <c r="H334" s="36" t="s">
        <v>64</v>
      </c>
      <c r="I334" s="36" t="s">
        <v>65</v>
      </c>
      <c r="J334" s="36" t="s">
        <v>62</v>
      </c>
      <c r="K334" s="36" t="s">
        <v>68</v>
      </c>
      <c r="L334" s="36">
        <v>600.0</v>
      </c>
      <c r="M334" s="36" t="s">
        <v>6617</v>
      </c>
      <c r="N334" s="36" t="s">
        <v>71</v>
      </c>
      <c r="O334" s="36" t="s">
        <v>72</v>
      </c>
      <c r="P334" s="36" t="s">
        <v>6618</v>
      </c>
      <c r="Q334" s="36"/>
      <c r="R334" s="36"/>
      <c r="S334" s="36">
        <v>2.0</v>
      </c>
      <c r="T334" s="36"/>
      <c r="U334" s="36">
        <v>40.0</v>
      </c>
      <c r="V334" s="40"/>
      <c r="W334" s="56" t="s">
        <v>61</v>
      </c>
      <c r="X334" s="57" t="s">
        <v>93</v>
      </c>
      <c r="Y334" s="36" t="s">
        <v>2444</v>
      </c>
      <c r="Z334" s="57" t="s">
        <v>2445</v>
      </c>
      <c r="AA334" s="57" t="s">
        <v>6622</v>
      </c>
      <c r="AB334" s="58">
        <v>46023.0</v>
      </c>
      <c r="AC334" s="146">
        <v>46387.0</v>
      </c>
      <c r="AD334" s="36" t="s">
        <v>2449</v>
      </c>
      <c r="AE334" s="36" t="s">
        <v>79</v>
      </c>
      <c r="AF334" s="65"/>
      <c r="AG334" s="51"/>
      <c r="AH334" s="51"/>
    </row>
    <row r="335" ht="45.75" customHeight="1">
      <c r="A335" s="36">
        <v>334.0</v>
      </c>
      <c r="B335" s="36">
        <v>275.0</v>
      </c>
      <c r="C335" s="36" t="s">
        <v>949</v>
      </c>
      <c r="D335" s="36" t="s">
        <v>2457</v>
      </c>
      <c r="E335" s="36" t="s">
        <v>2461</v>
      </c>
      <c r="F335" s="36" t="s">
        <v>6628</v>
      </c>
      <c r="G335" s="42" t="s">
        <v>2466</v>
      </c>
      <c r="H335" s="36" t="s">
        <v>64</v>
      </c>
      <c r="I335" s="36" t="s">
        <v>65</v>
      </c>
      <c r="J335" s="36" t="s">
        <v>62</v>
      </c>
      <c r="K335" s="36" t="s">
        <v>68</v>
      </c>
      <c r="L335" s="36">
        <v>1200.0</v>
      </c>
      <c r="M335" s="36" t="s">
        <v>6633</v>
      </c>
      <c r="N335" s="36" t="s">
        <v>221</v>
      </c>
      <c r="O335" s="36" t="s">
        <v>72</v>
      </c>
      <c r="P335" s="36" t="s">
        <v>6636</v>
      </c>
      <c r="Q335" s="36"/>
      <c r="R335" s="36"/>
      <c r="S335" s="36">
        <v>3.0</v>
      </c>
      <c r="T335" s="36"/>
      <c r="U335" s="36">
        <v>69.0</v>
      </c>
      <c r="V335" s="40"/>
      <c r="W335" s="56" t="s">
        <v>533</v>
      </c>
      <c r="X335" s="57" t="s">
        <v>93</v>
      </c>
      <c r="Y335" s="36" t="s">
        <v>2481</v>
      </c>
      <c r="Z335" s="57" t="s">
        <v>6639</v>
      </c>
      <c r="AA335" s="57" t="s">
        <v>6640</v>
      </c>
      <c r="AB335" s="58">
        <v>46023.0</v>
      </c>
      <c r="AC335" s="146">
        <v>46387.0</v>
      </c>
      <c r="AD335" s="36" t="s">
        <v>2491</v>
      </c>
      <c r="AE335" s="36" t="s">
        <v>79</v>
      </c>
      <c r="AF335" s="65"/>
      <c r="AG335" s="51"/>
      <c r="AH335" s="51"/>
    </row>
    <row r="336" ht="45.75" customHeight="1">
      <c r="A336" s="36">
        <v>335.0</v>
      </c>
      <c r="B336" s="36">
        <v>2112.0</v>
      </c>
      <c r="C336" s="36" t="s">
        <v>949</v>
      </c>
      <c r="D336" s="36" t="s">
        <v>2457</v>
      </c>
      <c r="E336" s="36" t="s">
        <v>6645</v>
      </c>
      <c r="F336" s="36" t="s">
        <v>6648</v>
      </c>
      <c r="G336" s="42" t="s">
        <v>6649</v>
      </c>
      <c r="H336" s="36" t="s">
        <v>64</v>
      </c>
      <c r="I336" s="36" t="s">
        <v>155</v>
      </c>
      <c r="J336" s="36" t="s">
        <v>62</v>
      </c>
      <c r="K336" s="36" t="s">
        <v>111</v>
      </c>
      <c r="L336" s="36">
        <v>100.0</v>
      </c>
      <c r="M336" s="36" t="s">
        <v>6652</v>
      </c>
      <c r="N336" s="131" t="s">
        <v>66</v>
      </c>
      <c r="O336" s="36" t="s">
        <v>67</v>
      </c>
      <c r="P336" s="36" t="s">
        <v>6655</v>
      </c>
      <c r="Q336" s="40"/>
      <c r="R336" s="36"/>
      <c r="S336" s="40"/>
      <c r="T336" s="36"/>
      <c r="U336" s="36" t="s">
        <v>61</v>
      </c>
      <c r="V336" s="36" t="s">
        <v>61</v>
      </c>
      <c r="W336" s="56" t="s">
        <v>61</v>
      </c>
      <c r="X336" s="57" t="s">
        <v>93</v>
      </c>
      <c r="Y336" s="36" t="s">
        <v>6659</v>
      </c>
      <c r="Z336" s="45"/>
      <c r="AA336" s="45"/>
      <c r="AB336" s="58">
        <v>46023.0</v>
      </c>
      <c r="AC336" s="146">
        <v>46387.0</v>
      </c>
      <c r="AD336" s="36" t="s">
        <v>6660</v>
      </c>
      <c r="AE336" s="36" t="s">
        <v>79</v>
      </c>
      <c r="AF336" s="65"/>
      <c r="AG336" s="51"/>
      <c r="AH336" s="51"/>
    </row>
    <row r="337" ht="45.75" customHeight="1">
      <c r="A337" s="36">
        <v>336.0</v>
      </c>
      <c r="B337" s="36">
        <v>46493.0</v>
      </c>
      <c r="C337" s="36" t="s">
        <v>949</v>
      </c>
      <c r="D337" s="36" t="s">
        <v>2497</v>
      </c>
      <c r="E337" s="36" t="s">
        <v>2499</v>
      </c>
      <c r="F337" s="36" t="s">
        <v>2502</v>
      </c>
      <c r="G337" s="42" t="s">
        <v>2506</v>
      </c>
      <c r="H337" s="36" t="s">
        <v>64</v>
      </c>
      <c r="I337" s="36" t="s">
        <v>65</v>
      </c>
      <c r="J337" s="36" t="s">
        <v>62</v>
      </c>
      <c r="K337" s="36" t="s">
        <v>63</v>
      </c>
      <c r="L337" s="36">
        <v>28.0</v>
      </c>
      <c r="M337" s="40"/>
      <c r="N337" s="36" t="s">
        <v>66</v>
      </c>
      <c r="O337" s="36" t="s">
        <v>67</v>
      </c>
      <c r="P337" s="36" t="s">
        <v>2517</v>
      </c>
      <c r="Q337" s="40"/>
      <c r="R337" s="36"/>
      <c r="S337" s="40"/>
      <c r="T337" s="36"/>
      <c r="U337" s="36" t="s">
        <v>61</v>
      </c>
      <c r="V337" s="36" t="s">
        <v>61</v>
      </c>
      <c r="W337" s="56" t="s">
        <v>61</v>
      </c>
      <c r="X337" s="57" t="s">
        <v>74</v>
      </c>
      <c r="Y337" s="36" t="s">
        <v>2524</v>
      </c>
      <c r="Z337" s="45"/>
      <c r="AA337" s="45"/>
      <c r="AB337" s="58">
        <v>46023.0</v>
      </c>
      <c r="AC337" s="146">
        <v>46387.0</v>
      </c>
      <c r="AD337" s="36" t="s">
        <v>6673</v>
      </c>
      <c r="AE337" s="36" t="s">
        <v>79</v>
      </c>
      <c r="AF337" s="65"/>
      <c r="AG337" s="51"/>
      <c r="AH337" s="51"/>
    </row>
    <row r="338" ht="45.75" customHeight="1">
      <c r="A338" s="36">
        <v>337.0</v>
      </c>
      <c r="B338" s="36">
        <v>5024.0</v>
      </c>
      <c r="C338" s="36" t="s">
        <v>949</v>
      </c>
      <c r="D338" s="36" t="s">
        <v>2497</v>
      </c>
      <c r="E338" s="36" t="s">
        <v>2499</v>
      </c>
      <c r="F338" s="36" t="s">
        <v>6675</v>
      </c>
      <c r="G338" s="42" t="s">
        <v>6676</v>
      </c>
      <c r="H338" s="36" t="s">
        <v>64</v>
      </c>
      <c r="I338" s="36" t="s">
        <v>155</v>
      </c>
      <c r="J338" s="36" t="s">
        <v>62</v>
      </c>
      <c r="K338" s="36" t="s">
        <v>63</v>
      </c>
      <c r="L338" s="36">
        <v>18.0</v>
      </c>
      <c r="M338" s="36" t="s">
        <v>734</v>
      </c>
      <c r="N338" s="36" t="s">
        <v>66</v>
      </c>
      <c r="O338" s="36" t="s">
        <v>67</v>
      </c>
      <c r="P338" s="36" t="s">
        <v>6681</v>
      </c>
      <c r="Q338" s="40"/>
      <c r="R338" s="36"/>
      <c r="S338" s="40"/>
      <c r="T338" s="36"/>
      <c r="U338" s="36" t="s">
        <v>61</v>
      </c>
      <c r="V338" s="36" t="s">
        <v>61</v>
      </c>
      <c r="W338" s="56" t="s">
        <v>61</v>
      </c>
      <c r="X338" s="57" t="s">
        <v>74</v>
      </c>
      <c r="Y338" s="36" t="s">
        <v>6685</v>
      </c>
      <c r="Z338" s="45"/>
      <c r="AA338" s="57" t="s">
        <v>6686</v>
      </c>
      <c r="AB338" s="58">
        <v>46023.0</v>
      </c>
      <c r="AC338" s="146">
        <v>46387.0</v>
      </c>
      <c r="AD338" s="36" t="s">
        <v>6687</v>
      </c>
      <c r="AE338" s="36" t="s">
        <v>79</v>
      </c>
      <c r="AF338" s="65"/>
      <c r="AG338" s="51"/>
      <c r="AH338" s="51"/>
    </row>
    <row r="339" ht="45.75" customHeight="1">
      <c r="A339" s="36">
        <v>338.0</v>
      </c>
      <c r="B339" s="36">
        <v>7488.0</v>
      </c>
      <c r="C339" s="36" t="s">
        <v>949</v>
      </c>
      <c r="D339" s="36" t="s">
        <v>6691</v>
      </c>
      <c r="E339" s="36" t="s">
        <v>6692</v>
      </c>
      <c r="F339" s="36" t="s">
        <v>6694</v>
      </c>
      <c r="G339" s="42" t="s">
        <v>6695</v>
      </c>
      <c r="H339" s="36" t="s">
        <v>64</v>
      </c>
      <c r="I339" s="36" t="s">
        <v>155</v>
      </c>
      <c r="J339" s="36" t="s">
        <v>62</v>
      </c>
      <c r="K339" s="36" t="s">
        <v>111</v>
      </c>
      <c r="L339" s="36">
        <v>100.0</v>
      </c>
      <c r="M339" s="36" t="s">
        <v>6544</v>
      </c>
      <c r="N339" s="36" t="s">
        <v>66</v>
      </c>
      <c r="O339" s="36" t="s">
        <v>67</v>
      </c>
      <c r="P339" s="36">
        <v>3.0</v>
      </c>
      <c r="Q339" s="40"/>
      <c r="R339" s="36"/>
      <c r="S339" s="40"/>
      <c r="T339" s="36"/>
      <c r="U339" s="36" t="s">
        <v>61</v>
      </c>
      <c r="V339" s="36" t="s">
        <v>61</v>
      </c>
      <c r="W339" s="56" t="s">
        <v>61</v>
      </c>
      <c r="X339" s="57" t="s">
        <v>93</v>
      </c>
      <c r="Y339" s="36" t="s">
        <v>6702</v>
      </c>
      <c r="Z339" s="57" t="s">
        <v>6703</v>
      </c>
      <c r="AA339" s="57" t="s">
        <v>6704</v>
      </c>
      <c r="AB339" s="58">
        <v>46023.0</v>
      </c>
      <c r="AC339" s="146">
        <v>46387.0</v>
      </c>
      <c r="AD339" s="36" t="s">
        <v>6706</v>
      </c>
      <c r="AE339" s="36" t="s">
        <v>79</v>
      </c>
      <c r="AF339" s="65"/>
      <c r="AG339" s="51"/>
      <c r="AH339" s="51"/>
    </row>
    <row r="340" ht="45.75" customHeight="1">
      <c r="A340" s="36">
        <v>339.0</v>
      </c>
      <c r="B340" s="36">
        <v>3201.0</v>
      </c>
      <c r="C340" s="36" t="s">
        <v>1026</v>
      </c>
      <c r="D340" s="36" t="s">
        <v>6709</v>
      </c>
      <c r="E340" s="36" t="s">
        <v>6710</v>
      </c>
      <c r="F340" s="36" t="s">
        <v>6711</v>
      </c>
      <c r="G340" s="42" t="s">
        <v>4819</v>
      </c>
      <c r="H340" s="36" t="s">
        <v>64</v>
      </c>
      <c r="I340" s="36" t="s">
        <v>155</v>
      </c>
      <c r="J340" s="36" t="s">
        <v>62</v>
      </c>
      <c r="K340" s="36" t="s">
        <v>63</v>
      </c>
      <c r="L340" s="36">
        <v>25.0</v>
      </c>
      <c r="M340" s="36" t="s">
        <v>2933</v>
      </c>
      <c r="N340" s="36" t="s">
        <v>66</v>
      </c>
      <c r="O340" s="36" t="s">
        <v>67</v>
      </c>
      <c r="P340" s="36" t="s">
        <v>6714</v>
      </c>
      <c r="Q340" s="40"/>
      <c r="R340" s="40"/>
      <c r="S340" s="36"/>
      <c r="T340" s="56"/>
      <c r="U340" s="40"/>
      <c r="V340" s="36"/>
      <c r="W340" s="36" t="s">
        <v>61</v>
      </c>
      <c r="X340" s="56" t="s">
        <v>74</v>
      </c>
      <c r="Y340" s="57" t="s">
        <v>6716</v>
      </c>
      <c r="Z340" s="36">
        <v>9.219637979E9</v>
      </c>
      <c r="AA340" s="57" t="s">
        <v>6717</v>
      </c>
      <c r="AB340" s="58">
        <v>46023.0</v>
      </c>
      <c r="AC340" s="146">
        <v>46387.0</v>
      </c>
      <c r="AD340" s="36" t="s">
        <v>6719</v>
      </c>
      <c r="AE340" s="36" t="s">
        <v>79</v>
      </c>
      <c r="AF340" s="65"/>
      <c r="AG340" s="65"/>
      <c r="AH340" s="51"/>
    </row>
    <row r="341" ht="45.75" customHeight="1">
      <c r="A341" s="36">
        <v>340.0</v>
      </c>
      <c r="B341" s="36" t="s">
        <v>6721</v>
      </c>
      <c r="C341" s="36" t="s">
        <v>1026</v>
      </c>
      <c r="D341" s="36" t="s">
        <v>6724</v>
      </c>
      <c r="E341" s="36" t="s">
        <v>6725</v>
      </c>
      <c r="F341" s="36" t="s">
        <v>6727</v>
      </c>
      <c r="G341" s="42" t="s">
        <v>6728</v>
      </c>
      <c r="H341" s="36" t="s">
        <v>64</v>
      </c>
      <c r="I341" s="36" t="s">
        <v>155</v>
      </c>
      <c r="J341" s="36" t="s">
        <v>62</v>
      </c>
      <c r="K341" s="36" t="s">
        <v>111</v>
      </c>
      <c r="L341" s="36">
        <v>200.0</v>
      </c>
      <c r="M341" s="36" t="s">
        <v>6731</v>
      </c>
      <c r="N341" s="36" t="s">
        <v>66</v>
      </c>
      <c r="O341" s="36" t="s">
        <v>72</v>
      </c>
      <c r="P341" s="36" t="s">
        <v>6732</v>
      </c>
      <c r="Q341" s="40"/>
      <c r="R341" s="36"/>
      <c r="S341" s="36"/>
      <c r="T341" s="56"/>
      <c r="U341" s="36">
        <v>20.0</v>
      </c>
      <c r="V341" s="36"/>
      <c r="W341" s="36" t="s">
        <v>61</v>
      </c>
      <c r="X341" s="56" t="s">
        <v>93</v>
      </c>
      <c r="Y341" s="57" t="s">
        <v>6735</v>
      </c>
      <c r="Z341" s="36" t="s">
        <v>6737</v>
      </c>
      <c r="AA341" s="57" t="s">
        <v>6739</v>
      </c>
      <c r="AB341" s="58">
        <v>46023.0</v>
      </c>
      <c r="AC341" s="146">
        <v>46387.0</v>
      </c>
      <c r="AD341" s="36" t="s">
        <v>6741</v>
      </c>
      <c r="AE341" s="36" t="s">
        <v>79</v>
      </c>
      <c r="AF341" s="65"/>
      <c r="AG341" s="65"/>
      <c r="AH341" s="51"/>
    </row>
    <row r="342" ht="45.75" customHeight="1">
      <c r="A342" s="36">
        <v>341.0</v>
      </c>
      <c r="B342" s="40"/>
      <c r="C342" s="36" t="s">
        <v>1026</v>
      </c>
      <c r="D342" s="36" t="s">
        <v>2538</v>
      </c>
      <c r="E342" s="36" t="s">
        <v>2595</v>
      </c>
      <c r="F342" s="36" t="s">
        <v>2596</v>
      </c>
      <c r="G342" s="42" t="s">
        <v>2598</v>
      </c>
      <c r="H342" s="36" t="s">
        <v>64</v>
      </c>
      <c r="I342" s="36" t="s">
        <v>65</v>
      </c>
      <c r="J342" s="36" t="s">
        <v>62</v>
      </c>
      <c r="K342" s="36" t="s">
        <v>68</v>
      </c>
      <c r="L342" s="36">
        <v>602.0</v>
      </c>
      <c r="M342" s="36" t="s">
        <v>2605</v>
      </c>
      <c r="N342" s="36" t="s">
        <v>71</v>
      </c>
      <c r="O342" s="36" t="s">
        <v>72</v>
      </c>
      <c r="P342" s="36" t="s">
        <v>1180</v>
      </c>
      <c r="Q342" s="40"/>
      <c r="R342" s="36"/>
      <c r="S342" s="36"/>
      <c r="T342" s="56"/>
      <c r="U342" s="36">
        <v>21.0</v>
      </c>
      <c r="V342" s="36"/>
      <c r="W342" s="36" t="s">
        <v>6751</v>
      </c>
      <c r="X342" s="56" t="s">
        <v>93</v>
      </c>
      <c r="Y342" s="57" t="s">
        <v>2609</v>
      </c>
      <c r="Z342" s="36" t="s">
        <v>2610</v>
      </c>
      <c r="AA342" s="57" t="s">
        <v>2611</v>
      </c>
      <c r="AB342" s="58">
        <v>46023.0</v>
      </c>
      <c r="AC342" s="146">
        <v>46387.0</v>
      </c>
      <c r="AD342" s="36" t="s">
        <v>2612</v>
      </c>
      <c r="AE342" s="36" t="s">
        <v>79</v>
      </c>
      <c r="AF342" s="65"/>
      <c r="AG342" s="36" t="s">
        <v>6754</v>
      </c>
      <c r="AH342" s="51"/>
    </row>
    <row r="343" ht="45.75" customHeight="1">
      <c r="A343" s="36">
        <v>342.0</v>
      </c>
      <c r="B343" s="36">
        <v>8577.0</v>
      </c>
      <c r="C343" s="36" t="s">
        <v>1026</v>
      </c>
      <c r="D343" s="36" t="s">
        <v>2538</v>
      </c>
      <c r="E343" s="36" t="s">
        <v>2539</v>
      </c>
      <c r="F343" s="36" t="s">
        <v>2542</v>
      </c>
      <c r="G343" s="42" t="s">
        <v>2544</v>
      </c>
      <c r="H343" s="36" t="s">
        <v>64</v>
      </c>
      <c r="I343" s="36" t="s">
        <v>65</v>
      </c>
      <c r="J343" s="36" t="s">
        <v>62</v>
      </c>
      <c r="K343" s="36" t="s">
        <v>111</v>
      </c>
      <c r="L343" s="36">
        <v>250.0</v>
      </c>
      <c r="M343" s="36" t="s">
        <v>6760</v>
      </c>
      <c r="N343" s="36" t="s">
        <v>66</v>
      </c>
      <c r="O343" s="36" t="s">
        <v>72</v>
      </c>
      <c r="P343" s="36" t="s">
        <v>6761</v>
      </c>
      <c r="Q343" s="40"/>
      <c r="R343" s="36"/>
      <c r="S343" s="36"/>
      <c r="T343" s="56"/>
      <c r="U343" s="36">
        <v>23.0</v>
      </c>
      <c r="V343" s="36"/>
      <c r="W343" s="36" t="s">
        <v>61</v>
      </c>
      <c r="X343" s="56" t="s">
        <v>93</v>
      </c>
      <c r="Y343" s="57" t="s">
        <v>6762</v>
      </c>
      <c r="Z343" s="36" t="s">
        <v>6763</v>
      </c>
      <c r="AA343" s="57" t="s">
        <v>6765</v>
      </c>
      <c r="AB343" s="58">
        <v>46023.0</v>
      </c>
      <c r="AC343" s="146">
        <v>46387.0</v>
      </c>
      <c r="AD343" s="36" t="s">
        <v>6767</v>
      </c>
      <c r="AE343" s="36" t="s">
        <v>79</v>
      </c>
      <c r="AF343" s="65"/>
      <c r="AG343" s="65"/>
      <c r="AH343" s="51"/>
    </row>
    <row r="344" ht="45.75" customHeight="1">
      <c r="A344" s="36">
        <v>343.0</v>
      </c>
      <c r="B344" s="36" t="s">
        <v>6769</v>
      </c>
      <c r="C344" s="36" t="s">
        <v>1026</v>
      </c>
      <c r="D344" s="36" t="s">
        <v>2594</v>
      </c>
      <c r="E344" s="36" t="s">
        <v>5106</v>
      </c>
      <c r="F344" s="36" t="s">
        <v>6772</v>
      </c>
      <c r="G344" s="42" t="s">
        <v>6774</v>
      </c>
      <c r="H344" s="36" t="s">
        <v>64</v>
      </c>
      <c r="I344" s="36" t="s">
        <v>155</v>
      </c>
      <c r="J344" s="36" t="s">
        <v>62</v>
      </c>
      <c r="K344" s="36" t="s">
        <v>63</v>
      </c>
      <c r="L344" s="36">
        <v>24.0</v>
      </c>
      <c r="M344" s="36" t="s">
        <v>6775</v>
      </c>
      <c r="N344" s="36" t="s">
        <v>66</v>
      </c>
      <c r="O344" s="36" t="s">
        <v>67</v>
      </c>
      <c r="P344" s="36" t="s">
        <v>6778</v>
      </c>
      <c r="Q344" s="40"/>
      <c r="R344" s="40"/>
      <c r="S344" s="36"/>
      <c r="T344" s="56"/>
      <c r="U344" s="40"/>
      <c r="V344" s="36"/>
      <c r="W344" s="36" t="s">
        <v>61</v>
      </c>
      <c r="X344" s="56" t="s">
        <v>74</v>
      </c>
      <c r="Y344" s="57" t="s">
        <v>6780</v>
      </c>
      <c r="Z344" s="36" t="s">
        <v>6782</v>
      </c>
      <c r="AA344" s="57" t="s">
        <v>6783</v>
      </c>
      <c r="AB344" s="58">
        <v>46023.0</v>
      </c>
      <c r="AC344" s="146">
        <v>46387.0</v>
      </c>
      <c r="AD344" s="36" t="s">
        <v>6784</v>
      </c>
      <c r="AE344" s="36" t="s">
        <v>79</v>
      </c>
      <c r="AF344" s="65"/>
      <c r="AG344" s="65"/>
      <c r="AH344" s="51"/>
    </row>
    <row r="345" ht="45.75" customHeight="1">
      <c r="A345" s="36">
        <v>344.0</v>
      </c>
      <c r="B345" s="36" t="s">
        <v>6789</v>
      </c>
      <c r="C345" s="36" t="s">
        <v>1026</v>
      </c>
      <c r="D345" s="36" t="s">
        <v>2594</v>
      </c>
      <c r="E345" s="36" t="s">
        <v>6790</v>
      </c>
      <c r="F345" s="36" t="s">
        <v>6791</v>
      </c>
      <c r="G345" s="42" t="s">
        <v>6793</v>
      </c>
      <c r="H345" s="36" t="s">
        <v>64</v>
      </c>
      <c r="I345" s="36" t="s">
        <v>3406</v>
      </c>
      <c r="J345" s="36" t="s">
        <v>62</v>
      </c>
      <c r="K345" s="36" t="s">
        <v>63</v>
      </c>
      <c r="L345" s="36">
        <v>25.0</v>
      </c>
      <c r="M345" s="36" t="s">
        <v>6797</v>
      </c>
      <c r="N345" s="36" t="s">
        <v>66</v>
      </c>
      <c r="O345" s="36" t="s">
        <v>67</v>
      </c>
      <c r="P345" s="36" t="s">
        <v>6801</v>
      </c>
      <c r="Q345" s="40"/>
      <c r="R345" s="40"/>
      <c r="S345" s="36"/>
      <c r="T345" s="56"/>
      <c r="U345" s="40"/>
      <c r="V345" s="36"/>
      <c r="W345" s="36" t="s">
        <v>61</v>
      </c>
      <c r="X345" s="56" t="s">
        <v>74</v>
      </c>
      <c r="Y345" s="57" t="s">
        <v>6803</v>
      </c>
      <c r="Z345" s="36">
        <v>9.542344376E9</v>
      </c>
      <c r="AA345" s="57" t="s">
        <v>6805</v>
      </c>
      <c r="AB345" s="58">
        <v>46023.0</v>
      </c>
      <c r="AC345" s="146">
        <v>46387.0</v>
      </c>
      <c r="AD345" s="36" t="s">
        <v>6807</v>
      </c>
      <c r="AE345" s="36" t="s">
        <v>79</v>
      </c>
      <c r="AF345" s="65"/>
      <c r="AG345" s="65"/>
      <c r="AH345" s="51"/>
    </row>
    <row r="346" ht="45.75" customHeight="1">
      <c r="A346" s="36">
        <v>345.0</v>
      </c>
      <c r="B346" s="36" t="s">
        <v>6810</v>
      </c>
      <c r="C346" s="36" t="s">
        <v>1026</v>
      </c>
      <c r="D346" s="36" t="s">
        <v>2594</v>
      </c>
      <c r="E346" s="36" t="s">
        <v>6811</v>
      </c>
      <c r="F346" s="36" t="s">
        <v>6812</v>
      </c>
      <c r="G346" s="42" t="s">
        <v>6813</v>
      </c>
      <c r="H346" s="36" t="s">
        <v>64</v>
      </c>
      <c r="I346" s="36" t="s">
        <v>155</v>
      </c>
      <c r="J346" s="36" t="s">
        <v>62</v>
      </c>
      <c r="K346" s="36" t="s">
        <v>111</v>
      </c>
      <c r="L346" s="36">
        <v>100.0</v>
      </c>
      <c r="M346" s="36" t="s">
        <v>6818</v>
      </c>
      <c r="N346" s="36" t="s">
        <v>66</v>
      </c>
      <c r="O346" s="36" t="s">
        <v>72</v>
      </c>
      <c r="P346" s="36" t="s">
        <v>6820</v>
      </c>
      <c r="Q346" s="36" t="s">
        <v>61</v>
      </c>
      <c r="R346" s="36"/>
      <c r="S346" s="36"/>
      <c r="T346" s="56"/>
      <c r="U346" s="36">
        <v>9.0</v>
      </c>
      <c r="V346" s="36"/>
      <c r="W346" s="36" t="s">
        <v>61</v>
      </c>
      <c r="X346" s="56" t="s">
        <v>93</v>
      </c>
      <c r="Y346" s="57" t="s">
        <v>6823</v>
      </c>
      <c r="Z346" s="36" t="s">
        <v>6824</v>
      </c>
      <c r="AA346" s="57" t="s">
        <v>6825</v>
      </c>
      <c r="AB346" s="58">
        <v>46023.0</v>
      </c>
      <c r="AC346" s="146">
        <v>46387.0</v>
      </c>
      <c r="AD346" s="36" t="s">
        <v>6827</v>
      </c>
      <c r="AE346" s="36" t="s">
        <v>79</v>
      </c>
      <c r="AF346" s="65"/>
      <c r="AG346" s="65"/>
      <c r="AH346" s="51"/>
    </row>
    <row r="347" ht="45.75" customHeight="1">
      <c r="A347" s="36">
        <v>346.0</v>
      </c>
      <c r="B347" s="36" t="s">
        <v>6831</v>
      </c>
      <c r="C347" s="36" t="s">
        <v>1026</v>
      </c>
      <c r="D347" s="36" t="s">
        <v>2594</v>
      </c>
      <c r="E347" s="36" t="s">
        <v>6832</v>
      </c>
      <c r="F347" s="36" t="s">
        <v>6834</v>
      </c>
      <c r="G347" s="42" t="s">
        <v>6836</v>
      </c>
      <c r="H347" s="36" t="s">
        <v>64</v>
      </c>
      <c r="I347" s="36" t="s">
        <v>155</v>
      </c>
      <c r="J347" s="36" t="s">
        <v>62</v>
      </c>
      <c r="K347" s="36" t="s">
        <v>63</v>
      </c>
      <c r="L347" s="36">
        <v>50.0</v>
      </c>
      <c r="M347" s="36" t="s">
        <v>6839</v>
      </c>
      <c r="N347" s="36" t="s">
        <v>66</v>
      </c>
      <c r="O347" s="36" t="s">
        <v>67</v>
      </c>
      <c r="P347" s="36" t="s">
        <v>6840</v>
      </c>
      <c r="Q347" s="40"/>
      <c r="R347" s="40"/>
      <c r="S347" s="36"/>
      <c r="T347" s="56"/>
      <c r="U347" s="40"/>
      <c r="V347" s="36"/>
      <c r="W347" s="36" t="s">
        <v>61</v>
      </c>
      <c r="X347" s="56" t="s">
        <v>74</v>
      </c>
      <c r="Y347" s="57" t="s">
        <v>6845</v>
      </c>
      <c r="Z347" s="36" t="s">
        <v>6846</v>
      </c>
      <c r="AA347" s="57" t="s">
        <v>6847</v>
      </c>
      <c r="AB347" s="58">
        <v>46023.0</v>
      </c>
      <c r="AC347" s="146">
        <v>46387.0</v>
      </c>
      <c r="AD347" s="36" t="s">
        <v>6848</v>
      </c>
      <c r="AE347" s="36" t="s">
        <v>79</v>
      </c>
      <c r="AF347" s="65"/>
      <c r="AG347" s="65"/>
      <c r="AH347" s="51"/>
    </row>
    <row r="348" ht="45.75" customHeight="1">
      <c r="A348" s="36">
        <v>347.0</v>
      </c>
      <c r="B348" s="36" t="s">
        <v>6851</v>
      </c>
      <c r="C348" s="36" t="s">
        <v>1026</v>
      </c>
      <c r="D348" s="36" t="s">
        <v>2594</v>
      </c>
      <c r="E348" s="36" t="s">
        <v>6854</v>
      </c>
      <c r="F348" s="36" t="s">
        <v>6855</v>
      </c>
      <c r="G348" s="42" t="s">
        <v>6856</v>
      </c>
      <c r="H348" s="36" t="s">
        <v>64</v>
      </c>
      <c r="I348" s="36" t="s">
        <v>155</v>
      </c>
      <c r="J348" s="36" t="s">
        <v>62</v>
      </c>
      <c r="K348" s="36" t="s">
        <v>63</v>
      </c>
      <c r="L348" s="36">
        <v>50.0</v>
      </c>
      <c r="M348" s="36" t="s">
        <v>6861</v>
      </c>
      <c r="N348" s="36" t="s">
        <v>66</v>
      </c>
      <c r="O348" s="36" t="s">
        <v>67</v>
      </c>
      <c r="P348" s="36" t="s">
        <v>6863</v>
      </c>
      <c r="Q348" s="36" t="s">
        <v>61</v>
      </c>
      <c r="R348" s="36"/>
      <c r="S348" s="36"/>
      <c r="T348" s="56"/>
      <c r="U348" s="36">
        <v>8.0</v>
      </c>
      <c r="V348" s="36"/>
      <c r="W348" s="36" t="s">
        <v>61</v>
      </c>
      <c r="X348" s="56" t="s">
        <v>74</v>
      </c>
      <c r="Y348" s="57" t="s">
        <v>6865</v>
      </c>
      <c r="Z348" s="36" t="s">
        <v>6866</v>
      </c>
      <c r="AA348" s="57" t="s">
        <v>6868</v>
      </c>
      <c r="AB348" s="58">
        <v>46023.0</v>
      </c>
      <c r="AC348" s="146">
        <v>46387.0</v>
      </c>
      <c r="AD348" s="36" t="s">
        <v>6870</v>
      </c>
      <c r="AE348" s="36" t="s">
        <v>79</v>
      </c>
      <c r="AF348" s="65"/>
      <c r="AG348" s="65"/>
      <c r="AH348" s="51"/>
    </row>
    <row r="349" ht="45.75" customHeight="1">
      <c r="A349" s="36">
        <v>348.0</v>
      </c>
      <c r="B349" s="36" t="s">
        <v>6873</v>
      </c>
      <c r="C349" s="36" t="s">
        <v>1026</v>
      </c>
      <c r="D349" s="36" t="s">
        <v>6875</v>
      </c>
      <c r="E349" s="36" t="s">
        <v>6877</v>
      </c>
      <c r="F349" s="36" t="s">
        <v>6878</v>
      </c>
      <c r="G349" s="42" t="s">
        <v>6879</v>
      </c>
      <c r="H349" s="36" t="s">
        <v>64</v>
      </c>
      <c r="I349" s="36" t="s">
        <v>155</v>
      </c>
      <c r="J349" s="36" t="s">
        <v>62</v>
      </c>
      <c r="K349" s="36" t="s">
        <v>111</v>
      </c>
      <c r="L349" s="36">
        <v>75.0</v>
      </c>
      <c r="M349" s="36" t="s">
        <v>6883</v>
      </c>
      <c r="N349" s="36" t="s">
        <v>66</v>
      </c>
      <c r="O349" s="36" t="s">
        <v>72</v>
      </c>
      <c r="P349" s="36" t="s">
        <v>6885</v>
      </c>
      <c r="Q349" s="40"/>
      <c r="R349" s="40"/>
      <c r="S349" s="36"/>
      <c r="T349" s="56"/>
      <c r="U349" s="40"/>
      <c r="V349" s="36"/>
      <c r="W349" s="36" t="s">
        <v>61</v>
      </c>
      <c r="X349" s="56" t="s">
        <v>93</v>
      </c>
      <c r="Y349" s="57" t="s">
        <v>6888</v>
      </c>
      <c r="Z349" s="36" t="s">
        <v>6890</v>
      </c>
      <c r="AA349" s="57" t="s">
        <v>6892</v>
      </c>
      <c r="AB349" s="58">
        <v>46023.0</v>
      </c>
      <c r="AC349" s="146">
        <v>46387.0</v>
      </c>
      <c r="AD349" s="36" t="s">
        <v>6893</v>
      </c>
      <c r="AE349" s="36" t="s">
        <v>79</v>
      </c>
      <c r="AF349" s="65"/>
      <c r="AG349" s="65"/>
      <c r="AH349" s="51"/>
    </row>
    <row r="350" ht="45.75" customHeight="1">
      <c r="A350" s="36">
        <v>349.0</v>
      </c>
      <c r="B350" s="36" t="s">
        <v>6896</v>
      </c>
      <c r="C350" s="36" t="s">
        <v>1026</v>
      </c>
      <c r="D350" s="36" t="s">
        <v>6875</v>
      </c>
      <c r="E350" s="36" t="s">
        <v>6897</v>
      </c>
      <c r="F350" s="36" t="s">
        <v>6898</v>
      </c>
      <c r="G350" s="42" t="s">
        <v>6899</v>
      </c>
      <c r="H350" s="36" t="s">
        <v>64</v>
      </c>
      <c r="I350" s="36" t="s">
        <v>155</v>
      </c>
      <c r="J350" s="36" t="s">
        <v>62</v>
      </c>
      <c r="K350" s="36" t="s">
        <v>63</v>
      </c>
      <c r="L350" s="36">
        <v>30.0</v>
      </c>
      <c r="M350" s="36" t="s">
        <v>6861</v>
      </c>
      <c r="N350" s="36" t="s">
        <v>66</v>
      </c>
      <c r="O350" s="36" t="s">
        <v>72</v>
      </c>
      <c r="P350" s="36" t="s">
        <v>6904</v>
      </c>
      <c r="Q350" s="40"/>
      <c r="R350" s="40"/>
      <c r="S350" s="36"/>
      <c r="T350" s="56"/>
      <c r="U350" s="40"/>
      <c r="V350" s="36"/>
      <c r="W350" s="36" t="s">
        <v>61</v>
      </c>
      <c r="X350" s="56" t="s">
        <v>74</v>
      </c>
      <c r="Y350" s="57" t="s">
        <v>6906</v>
      </c>
      <c r="Z350" s="36" t="s">
        <v>6908</v>
      </c>
      <c r="AA350" s="57" t="s">
        <v>6909</v>
      </c>
      <c r="AB350" s="58">
        <v>46023.0</v>
      </c>
      <c r="AC350" s="146">
        <v>46387.0</v>
      </c>
      <c r="AD350" s="36" t="s">
        <v>6911</v>
      </c>
      <c r="AE350" s="36" t="s">
        <v>79</v>
      </c>
      <c r="AF350" s="65"/>
      <c r="AG350" s="65"/>
      <c r="AH350" s="51"/>
    </row>
    <row r="351" ht="45.75" customHeight="1">
      <c r="A351" s="36">
        <v>350.0</v>
      </c>
      <c r="B351" s="36" t="s">
        <v>6913</v>
      </c>
      <c r="C351" s="36" t="s">
        <v>1026</v>
      </c>
      <c r="D351" s="36" t="s">
        <v>6875</v>
      </c>
      <c r="E351" s="36" t="s">
        <v>6915</v>
      </c>
      <c r="F351" s="36" t="s">
        <v>6916</v>
      </c>
      <c r="G351" s="42" t="s">
        <v>6917</v>
      </c>
      <c r="H351" s="36" t="s">
        <v>64</v>
      </c>
      <c r="I351" s="36" t="s">
        <v>155</v>
      </c>
      <c r="J351" s="36" t="s">
        <v>62</v>
      </c>
      <c r="K351" s="36" t="s">
        <v>63</v>
      </c>
      <c r="L351" s="36">
        <v>50.0</v>
      </c>
      <c r="M351" s="36" t="s">
        <v>6922</v>
      </c>
      <c r="N351" s="36" t="s">
        <v>66</v>
      </c>
      <c r="O351" s="36" t="s">
        <v>67</v>
      </c>
      <c r="P351" s="36" t="s">
        <v>6923</v>
      </c>
      <c r="Q351" s="36" t="s">
        <v>61</v>
      </c>
      <c r="R351" s="40"/>
      <c r="S351" s="36"/>
      <c r="T351" s="56"/>
      <c r="U351" s="40"/>
      <c r="V351" s="36"/>
      <c r="W351" s="36" t="s">
        <v>61</v>
      </c>
      <c r="X351" s="56" t="s">
        <v>74</v>
      </c>
      <c r="Y351" s="57" t="s">
        <v>6926</v>
      </c>
      <c r="Z351" s="36" t="s">
        <v>6927</v>
      </c>
      <c r="AA351" s="57" t="s">
        <v>6929</v>
      </c>
      <c r="AB351" s="58">
        <v>46023.0</v>
      </c>
      <c r="AC351" s="146">
        <v>46387.0</v>
      </c>
      <c r="AD351" s="36" t="s">
        <v>6930</v>
      </c>
      <c r="AE351" s="36" t="s">
        <v>79</v>
      </c>
      <c r="AF351" s="65"/>
      <c r="AG351" s="65"/>
      <c r="AH351" s="51"/>
    </row>
    <row r="352" ht="45.75" customHeight="1">
      <c r="A352" s="36">
        <v>351.0</v>
      </c>
      <c r="B352" s="36" t="s">
        <v>6933</v>
      </c>
      <c r="C352" s="36" t="s">
        <v>1026</v>
      </c>
      <c r="D352" s="36" t="s">
        <v>6875</v>
      </c>
      <c r="E352" s="36" t="s">
        <v>6936</v>
      </c>
      <c r="F352" s="36" t="s">
        <v>6938</v>
      </c>
      <c r="G352" s="42" t="s">
        <v>6939</v>
      </c>
      <c r="H352" s="36" t="s">
        <v>64</v>
      </c>
      <c r="I352" s="36" t="s">
        <v>155</v>
      </c>
      <c r="J352" s="36" t="s">
        <v>62</v>
      </c>
      <c r="K352" s="36" t="s">
        <v>63</v>
      </c>
      <c r="L352" s="36">
        <v>25.0</v>
      </c>
      <c r="M352" s="36" t="s">
        <v>6922</v>
      </c>
      <c r="N352" s="36" t="s">
        <v>66</v>
      </c>
      <c r="O352" s="36" t="s">
        <v>67</v>
      </c>
      <c r="P352" s="36" t="s">
        <v>6944</v>
      </c>
      <c r="Q352" s="36" t="s">
        <v>61</v>
      </c>
      <c r="R352" s="40"/>
      <c r="S352" s="36"/>
      <c r="T352" s="56"/>
      <c r="U352" s="40"/>
      <c r="V352" s="36"/>
      <c r="W352" s="36" t="s">
        <v>61</v>
      </c>
      <c r="X352" s="56" t="s">
        <v>74</v>
      </c>
      <c r="Y352" s="57" t="s">
        <v>6948</v>
      </c>
      <c r="Z352" s="36">
        <v>9.633847169E9</v>
      </c>
      <c r="AA352" s="57" t="s">
        <v>6949</v>
      </c>
      <c r="AB352" s="58">
        <v>46023.0</v>
      </c>
      <c r="AC352" s="146">
        <v>46387.0</v>
      </c>
      <c r="AD352" s="36" t="s">
        <v>6950</v>
      </c>
      <c r="AE352" s="36" t="s">
        <v>79</v>
      </c>
      <c r="AF352" s="65"/>
      <c r="AG352" s="65"/>
      <c r="AH352" s="51"/>
    </row>
    <row r="353" ht="45.75" customHeight="1">
      <c r="A353" s="36">
        <v>352.0</v>
      </c>
      <c r="B353" s="36" t="s">
        <v>6953</v>
      </c>
      <c r="C353" s="36" t="s">
        <v>1026</v>
      </c>
      <c r="D353" s="36" t="s">
        <v>2615</v>
      </c>
      <c r="E353" s="36" t="s">
        <v>6954</v>
      </c>
      <c r="F353" s="36" t="s">
        <v>6956</v>
      </c>
      <c r="G353" s="42" t="s">
        <v>6957</v>
      </c>
      <c r="H353" s="36" t="s">
        <v>64</v>
      </c>
      <c r="I353" s="36" t="s">
        <v>155</v>
      </c>
      <c r="J353" s="36" t="s">
        <v>62</v>
      </c>
      <c r="K353" s="36" t="s">
        <v>111</v>
      </c>
      <c r="L353" s="36">
        <v>200.0</v>
      </c>
      <c r="M353" s="36" t="s">
        <v>6965</v>
      </c>
      <c r="N353" s="36" t="s">
        <v>71</v>
      </c>
      <c r="O353" s="36" t="s">
        <v>67</v>
      </c>
      <c r="P353" s="36" t="s">
        <v>6966</v>
      </c>
      <c r="Q353" s="36" t="s">
        <v>61</v>
      </c>
      <c r="R353" s="36"/>
      <c r="S353" s="36"/>
      <c r="T353" s="56"/>
      <c r="U353" s="36">
        <v>10.0</v>
      </c>
      <c r="V353" s="36"/>
      <c r="W353" s="36" t="s">
        <v>61</v>
      </c>
      <c r="X353" s="56" t="s">
        <v>93</v>
      </c>
      <c r="Y353" s="57" t="s">
        <v>6969</v>
      </c>
      <c r="Z353" s="36" t="s">
        <v>6970</v>
      </c>
      <c r="AA353" s="57" t="s">
        <v>6971</v>
      </c>
      <c r="AB353" s="58">
        <v>46023.0</v>
      </c>
      <c r="AC353" s="146">
        <v>46387.0</v>
      </c>
      <c r="AD353" s="36" t="s">
        <v>6974</v>
      </c>
      <c r="AE353" s="36" t="s">
        <v>79</v>
      </c>
      <c r="AF353" s="65"/>
      <c r="AG353" s="65"/>
      <c r="AH353" s="51"/>
    </row>
    <row r="354" ht="45.75" customHeight="1">
      <c r="A354" s="36">
        <v>353.0</v>
      </c>
      <c r="B354" s="36" t="s">
        <v>6977</v>
      </c>
      <c r="C354" s="36" t="s">
        <v>1026</v>
      </c>
      <c r="D354" s="36" t="s">
        <v>2615</v>
      </c>
      <c r="E354" s="36" t="s">
        <v>6980</v>
      </c>
      <c r="F354" s="36" t="s">
        <v>6982</v>
      </c>
      <c r="G354" s="42" t="s">
        <v>6983</v>
      </c>
      <c r="H354" s="36" t="s">
        <v>64</v>
      </c>
      <c r="I354" s="36" t="s">
        <v>155</v>
      </c>
      <c r="J354" s="36" t="s">
        <v>62</v>
      </c>
      <c r="K354" s="36" t="s">
        <v>63</v>
      </c>
      <c r="L354" s="36">
        <v>100.0</v>
      </c>
      <c r="M354" s="36" t="s">
        <v>6989</v>
      </c>
      <c r="N354" s="36" t="s">
        <v>221</v>
      </c>
      <c r="O354" s="36" t="s">
        <v>72</v>
      </c>
      <c r="P354" s="36" t="s">
        <v>6990</v>
      </c>
      <c r="Q354" s="40"/>
      <c r="R354" s="36"/>
      <c r="S354" s="36"/>
      <c r="T354" s="56"/>
      <c r="U354" s="36">
        <v>9.0</v>
      </c>
      <c r="V354" s="36"/>
      <c r="W354" s="36" t="s">
        <v>61</v>
      </c>
      <c r="X354" s="56" t="s">
        <v>74</v>
      </c>
      <c r="Y354" s="57" t="s">
        <v>6993</v>
      </c>
      <c r="Z354" s="36" t="s">
        <v>6994</v>
      </c>
      <c r="AA354" s="57" t="s">
        <v>6995</v>
      </c>
      <c r="AB354" s="58">
        <v>46023.0</v>
      </c>
      <c r="AC354" s="146">
        <v>46387.0</v>
      </c>
      <c r="AD354" s="36" t="s">
        <v>6997</v>
      </c>
      <c r="AE354" s="36" t="s">
        <v>79</v>
      </c>
      <c r="AF354" s="65"/>
      <c r="AG354" s="65"/>
      <c r="AH354" s="51"/>
    </row>
    <row r="355" ht="45.75" customHeight="1">
      <c r="A355" s="36">
        <v>354.0</v>
      </c>
      <c r="B355" s="36" t="s">
        <v>7001</v>
      </c>
      <c r="C355" s="36" t="s">
        <v>1026</v>
      </c>
      <c r="D355" s="36" t="s">
        <v>2615</v>
      </c>
      <c r="E355" s="36" t="s">
        <v>7003</v>
      </c>
      <c r="F355" s="36" t="s">
        <v>7004</v>
      </c>
      <c r="G355" s="42" t="s">
        <v>7005</v>
      </c>
      <c r="H355" s="36" t="s">
        <v>64</v>
      </c>
      <c r="I355" s="36" t="s">
        <v>155</v>
      </c>
      <c r="J355" s="36" t="s">
        <v>62</v>
      </c>
      <c r="K355" s="36" t="s">
        <v>63</v>
      </c>
      <c r="L355" s="36">
        <v>41.0</v>
      </c>
      <c r="M355" s="36" t="s">
        <v>2627</v>
      </c>
      <c r="N355" s="36" t="s">
        <v>66</v>
      </c>
      <c r="O355" s="36" t="s">
        <v>67</v>
      </c>
      <c r="P355" s="36" t="s">
        <v>7012</v>
      </c>
      <c r="Q355" s="40"/>
      <c r="R355" s="40"/>
      <c r="S355" s="36"/>
      <c r="T355" s="56"/>
      <c r="U355" s="40"/>
      <c r="V355" s="36"/>
      <c r="W355" s="36" t="s">
        <v>61</v>
      </c>
      <c r="X355" s="56" t="s">
        <v>74</v>
      </c>
      <c r="Y355" s="57" t="s">
        <v>7015</v>
      </c>
      <c r="Z355" s="36" t="s">
        <v>7016</v>
      </c>
      <c r="AA355" s="57" t="s">
        <v>7018</v>
      </c>
      <c r="AB355" s="58">
        <v>46023.0</v>
      </c>
      <c r="AC355" s="146">
        <v>46387.0</v>
      </c>
      <c r="AD355" s="36" t="s">
        <v>7021</v>
      </c>
      <c r="AE355" s="36" t="s">
        <v>79</v>
      </c>
      <c r="AF355" s="65"/>
      <c r="AG355" s="36" t="s">
        <v>7022</v>
      </c>
      <c r="AH355" s="51"/>
    </row>
    <row r="356" ht="45.75" customHeight="1">
      <c r="A356" s="36">
        <v>355.0</v>
      </c>
      <c r="B356" s="36" t="s">
        <v>7023</v>
      </c>
      <c r="C356" s="36" t="s">
        <v>1026</v>
      </c>
      <c r="D356" s="36" t="s">
        <v>2615</v>
      </c>
      <c r="E356" s="36" t="s">
        <v>2616</v>
      </c>
      <c r="F356" s="36" t="s">
        <v>2617</v>
      </c>
      <c r="G356" s="42" t="s">
        <v>2618</v>
      </c>
      <c r="H356" s="36" t="s">
        <v>64</v>
      </c>
      <c r="I356" s="36" t="s">
        <v>65</v>
      </c>
      <c r="J356" s="36" t="s">
        <v>62</v>
      </c>
      <c r="K356" s="36" t="s">
        <v>111</v>
      </c>
      <c r="L356" s="36">
        <v>75.0</v>
      </c>
      <c r="M356" s="36" t="s">
        <v>6989</v>
      </c>
      <c r="N356" s="36" t="s">
        <v>66</v>
      </c>
      <c r="O356" s="36" t="s">
        <v>67</v>
      </c>
      <c r="P356" s="36" t="s">
        <v>7032</v>
      </c>
      <c r="Q356" s="40"/>
      <c r="R356" s="40"/>
      <c r="S356" s="36"/>
      <c r="T356" s="56"/>
      <c r="U356" s="40"/>
      <c r="V356" s="36"/>
      <c r="W356" s="36" t="s">
        <v>61</v>
      </c>
      <c r="X356" s="56" t="s">
        <v>93</v>
      </c>
      <c r="Y356" s="57" t="s">
        <v>7035</v>
      </c>
      <c r="Z356" s="36" t="s">
        <v>7036</v>
      </c>
      <c r="AA356" s="57" t="s">
        <v>2637</v>
      </c>
      <c r="AB356" s="58">
        <v>46023.0</v>
      </c>
      <c r="AC356" s="146">
        <v>46387.0</v>
      </c>
      <c r="AD356" s="36" t="s">
        <v>7038</v>
      </c>
      <c r="AE356" s="36" t="s">
        <v>164</v>
      </c>
      <c r="AF356" s="36" t="s">
        <v>1462</v>
      </c>
      <c r="AG356" s="65"/>
      <c r="AH356" s="51"/>
    </row>
    <row r="357" ht="45.75" customHeight="1">
      <c r="A357" s="36">
        <v>356.0</v>
      </c>
      <c r="B357" s="36" t="s">
        <v>7043</v>
      </c>
      <c r="C357" s="36" t="s">
        <v>1026</v>
      </c>
      <c r="D357" s="36" t="s">
        <v>2539</v>
      </c>
      <c r="E357" s="36" t="s">
        <v>7044</v>
      </c>
      <c r="F357" s="36" t="s">
        <v>7045</v>
      </c>
      <c r="G357" s="42" t="s">
        <v>7046</v>
      </c>
      <c r="H357" s="36" t="s">
        <v>64</v>
      </c>
      <c r="I357" s="36" t="s">
        <v>155</v>
      </c>
      <c r="J357" s="36" t="s">
        <v>62</v>
      </c>
      <c r="K357" s="36" t="s">
        <v>111</v>
      </c>
      <c r="L357" s="36">
        <v>200.0</v>
      </c>
      <c r="M357" s="36" t="s">
        <v>7050</v>
      </c>
      <c r="N357" s="36" t="s">
        <v>1469</v>
      </c>
      <c r="O357" s="36" t="s">
        <v>72</v>
      </c>
      <c r="P357" s="36" t="s">
        <v>7052</v>
      </c>
      <c r="Q357" s="36" t="s">
        <v>61</v>
      </c>
      <c r="R357" s="40"/>
      <c r="S357" s="36"/>
      <c r="T357" s="56"/>
      <c r="U357" s="40"/>
      <c r="V357" s="36"/>
      <c r="W357" s="36" t="s">
        <v>61</v>
      </c>
      <c r="X357" s="56" t="s">
        <v>93</v>
      </c>
      <c r="Y357" s="57" t="s">
        <v>7057</v>
      </c>
      <c r="Z357" s="36" t="s">
        <v>7058</v>
      </c>
      <c r="AA357" s="57" t="s">
        <v>7059</v>
      </c>
      <c r="AB357" s="58">
        <v>46023.0</v>
      </c>
      <c r="AC357" s="146">
        <v>46387.0</v>
      </c>
      <c r="AD357" s="36" t="s">
        <v>7060</v>
      </c>
      <c r="AE357" s="36" t="s">
        <v>79</v>
      </c>
      <c r="AF357" s="65"/>
      <c r="AG357" s="65"/>
      <c r="AH357" s="51"/>
    </row>
    <row r="358" ht="45.75" customHeight="1">
      <c r="A358" s="36">
        <v>357.0</v>
      </c>
      <c r="B358" s="36" t="s">
        <v>7063</v>
      </c>
      <c r="C358" s="36" t="s">
        <v>1026</v>
      </c>
      <c r="D358" s="36" t="s">
        <v>2539</v>
      </c>
      <c r="E358" s="36" t="s">
        <v>7064</v>
      </c>
      <c r="F358" s="36" t="s">
        <v>7065</v>
      </c>
      <c r="G358" s="42" t="s">
        <v>7066</v>
      </c>
      <c r="H358" s="36" t="s">
        <v>64</v>
      </c>
      <c r="I358" s="36" t="s">
        <v>155</v>
      </c>
      <c r="J358" s="36" t="s">
        <v>62</v>
      </c>
      <c r="K358" s="36" t="s">
        <v>63</v>
      </c>
      <c r="L358" s="36">
        <v>25.0</v>
      </c>
      <c r="M358" s="36" t="s">
        <v>2627</v>
      </c>
      <c r="N358" s="36" t="s">
        <v>66</v>
      </c>
      <c r="O358" s="36" t="s">
        <v>67</v>
      </c>
      <c r="P358" s="36" t="s">
        <v>7072</v>
      </c>
      <c r="Q358" s="40"/>
      <c r="R358" s="40"/>
      <c r="S358" s="36"/>
      <c r="T358" s="56"/>
      <c r="U358" s="40"/>
      <c r="V358" s="36"/>
      <c r="W358" s="36" t="s">
        <v>61</v>
      </c>
      <c r="X358" s="56" t="s">
        <v>74</v>
      </c>
      <c r="Y358" s="57" t="s">
        <v>7076</v>
      </c>
      <c r="Z358" s="36" t="s">
        <v>7077</v>
      </c>
      <c r="AA358" s="57" t="s">
        <v>7078</v>
      </c>
      <c r="AB358" s="58">
        <v>46023.0</v>
      </c>
      <c r="AC358" s="146">
        <v>46387.0</v>
      </c>
      <c r="AD358" s="36" t="s">
        <v>7079</v>
      </c>
      <c r="AE358" s="36" t="s">
        <v>79</v>
      </c>
      <c r="AF358" s="65"/>
      <c r="AG358" s="65"/>
      <c r="AH358" s="51"/>
    </row>
    <row r="359" ht="45.75" customHeight="1">
      <c r="A359" s="36">
        <v>358.0</v>
      </c>
      <c r="B359" s="36">
        <v>5027.0</v>
      </c>
      <c r="C359" s="36" t="s">
        <v>1098</v>
      </c>
      <c r="D359" s="36" t="s">
        <v>7082</v>
      </c>
      <c r="E359" s="36" t="s">
        <v>7083</v>
      </c>
      <c r="F359" s="36" t="s">
        <v>7085</v>
      </c>
      <c r="G359" s="42" t="s">
        <v>7087</v>
      </c>
      <c r="H359" s="36" t="s">
        <v>64</v>
      </c>
      <c r="I359" s="36" t="s">
        <v>155</v>
      </c>
      <c r="J359" s="36" t="s">
        <v>62</v>
      </c>
      <c r="K359" s="36" t="s">
        <v>63</v>
      </c>
      <c r="L359" s="36">
        <v>100.0</v>
      </c>
      <c r="M359" s="36" t="s">
        <v>7092</v>
      </c>
      <c r="N359" s="36" t="s">
        <v>66</v>
      </c>
      <c r="O359" s="36" t="s">
        <v>72</v>
      </c>
      <c r="P359" s="36" t="s">
        <v>7093</v>
      </c>
      <c r="Q359" s="36"/>
      <c r="R359" s="36"/>
      <c r="S359" s="36"/>
      <c r="T359" s="36" t="s">
        <v>61</v>
      </c>
      <c r="U359" s="36" t="s">
        <v>61</v>
      </c>
      <c r="V359" s="36" t="s">
        <v>61</v>
      </c>
      <c r="W359" s="56"/>
      <c r="X359" s="56" t="s">
        <v>74</v>
      </c>
      <c r="Y359" s="57" t="s">
        <v>7097</v>
      </c>
      <c r="Z359" s="36">
        <v>8173390.0</v>
      </c>
      <c r="AA359" s="57" t="s">
        <v>7103</v>
      </c>
      <c r="AB359" s="58">
        <v>46023.0</v>
      </c>
      <c r="AC359" s="146">
        <v>46387.0</v>
      </c>
      <c r="AD359" s="36" t="s">
        <v>7105</v>
      </c>
      <c r="AE359" s="36" t="s">
        <v>79</v>
      </c>
      <c r="AF359" s="65"/>
      <c r="AG359" s="65"/>
      <c r="AH359" s="51"/>
    </row>
    <row r="360" ht="45.75" customHeight="1">
      <c r="A360" s="36">
        <v>359.0</v>
      </c>
      <c r="B360" s="36">
        <v>2143.0</v>
      </c>
      <c r="C360" s="36" t="s">
        <v>1098</v>
      </c>
      <c r="D360" s="36" t="s">
        <v>7082</v>
      </c>
      <c r="E360" s="36" t="s">
        <v>7083</v>
      </c>
      <c r="F360" s="36" t="s">
        <v>7110</v>
      </c>
      <c r="G360" s="42" t="s">
        <v>7111</v>
      </c>
      <c r="H360" s="36" t="s">
        <v>64</v>
      </c>
      <c r="I360" s="36" t="s">
        <v>155</v>
      </c>
      <c r="J360" s="36" t="s">
        <v>62</v>
      </c>
      <c r="K360" s="36" t="s">
        <v>111</v>
      </c>
      <c r="L360" s="36">
        <v>150.0</v>
      </c>
      <c r="M360" s="36" t="s">
        <v>7116</v>
      </c>
      <c r="N360" s="36" t="s">
        <v>5219</v>
      </c>
      <c r="O360" s="36" t="s">
        <v>72</v>
      </c>
      <c r="P360" s="36" t="s">
        <v>1180</v>
      </c>
      <c r="Q360" s="36"/>
      <c r="R360" s="40"/>
      <c r="S360" s="36"/>
      <c r="T360" s="36" t="s">
        <v>61</v>
      </c>
      <c r="U360" s="40"/>
      <c r="V360" s="36" t="s">
        <v>61</v>
      </c>
      <c r="W360" s="56"/>
      <c r="X360" s="56" t="s">
        <v>93</v>
      </c>
      <c r="Y360" s="57" t="s">
        <v>7121</v>
      </c>
      <c r="Z360" s="36" t="s">
        <v>7122</v>
      </c>
      <c r="AA360" s="45"/>
      <c r="AB360" s="58">
        <v>46023.0</v>
      </c>
      <c r="AC360" s="146">
        <v>46387.0</v>
      </c>
      <c r="AD360" s="36" t="s">
        <v>7125</v>
      </c>
      <c r="AE360" s="36" t="s">
        <v>79</v>
      </c>
      <c r="AF360" s="65"/>
      <c r="AG360" s="65"/>
      <c r="AH360" s="51"/>
    </row>
    <row r="361" ht="45.75" customHeight="1">
      <c r="A361" s="36">
        <v>360.0</v>
      </c>
      <c r="B361" s="36">
        <v>3192.0</v>
      </c>
      <c r="C361" s="36" t="s">
        <v>1098</v>
      </c>
      <c r="D361" s="36" t="s">
        <v>7127</v>
      </c>
      <c r="E361" s="36" t="s">
        <v>7128</v>
      </c>
      <c r="F361" s="36" t="s">
        <v>7129</v>
      </c>
      <c r="G361" s="42" t="s">
        <v>7130</v>
      </c>
      <c r="H361" s="36" t="s">
        <v>64</v>
      </c>
      <c r="I361" s="36" t="s">
        <v>155</v>
      </c>
      <c r="J361" s="36" t="s">
        <v>62</v>
      </c>
      <c r="K361" s="36" t="s">
        <v>63</v>
      </c>
      <c r="L361" s="36">
        <v>75.0</v>
      </c>
      <c r="M361" s="36" t="s">
        <v>28</v>
      </c>
      <c r="N361" s="36" t="s">
        <v>66</v>
      </c>
      <c r="O361" s="36" t="s">
        <v>72</v>
      </c>
      <c r="P361" s="36" t="s">
        <v>2647</v>
      </c>
      <c r="Q361" s="40"/>
      <c r="R361" s="40"/>
      <c r="S361" s="36"/>
      <c r="T361" s="40"/>
      <c r="U361" s="40"/>
      <c r="V361" s="36" t="s">
        <v>61</v>
      </c>
      <c r="W361" s="56"/>
      <c r="X361" s="56" t="s">
        <v>74</v>
      </c>
      <c r="Y361" s="57" t="s">
        <v>7137</v>
      </c>
      <c r="Z361" s="36">
        <v>9.3001165777E10</v>
      </c>
      <c r="AA361" s="57" t="s">
        <v>7139</v>
      </c>
      <c r="AB361" s="58">
        <v>46023.0</v>
      </c>
      <c r="AC361" s="146">
        <v>46387.0</v>
      </c>
      <c r="AD361" s="36" t="s">
        <v>7141</v>
      </c>
      <c r="AE361" s="36" t="s">
        <v>79</v>
      </c>
      <c r="AF361" s="65"/>
      <c r="AG361" s="65"/>
      <c r="AH361" s="51"/>
    </row>
    <row r="362" ht="45.75" customHeight="1">
      <c r="A362" s="36">
        <v>361.0</v>
      </c>
      <c r="B362" s="36">
        <v>4611.0</v>
      </c>
      <c r="C362" s="36" t="s">
        <v>1098</v>
      </c>
      <c r="D362" s="36" t="s">
        <v>7127</v>
      </c>
      <c r="E362" s="36" t="s">
        <v>7145</v>
      </c>
      <c r="F362" s="36" t="s">
        <v>7146</v>
      </c>
      <c r="G362" s="42" t="s">
        <v>7147</v>
      </c>
      <c r="H362" s="36" t="s">
        <v>64</v>
      </c>
      <c r="I362" s="36" t="s">
        <v>155</v>
      </c>
      <c r="J362" s="36" t="s">
        <v>62</v>
      </c>
      <c r="K362" s="36" t="s">
        <v>111</v>
      </c>
      <c r="L362" s="36">
        <v>100.0</v>
      </c>
      <c r="M362" s="36" t="s">
        <v>7154</v>
      </c>
      <c r="N362" s="36" t="s">
        <v>221</v>
      </c>
      <c r="O362" s="36" t="s">
        <v>72</v>
      </c>
      <c r="P362" s="36" t="s">
        <v>1180</v>
      </c>
      <c r="Q362" s="36"/>
      <c r="R362" s="36"/>
      <c r="S362" s="40"/>
      <c r="T362" s="36" t="s">
        <v>61</v>
      </c>
      <c r="U362" s="36">
        <v>2.0</v>
      </c>
      <c r="V362" s="40"/>
      <c r="W362" s="56"/>
      <c r="X362" s="56" t="s">
        <v>93</v>
      </c>
      <c r="Y362" s="57" t="s">
        <v>7158</v>
      </c>
      <c r="Z362" s="36" t="s">
        <v>7160</v>
      </c>
      <c r="AA362" s="57" t="s">
        <v>7162</v>
      </c>
      <c r="AB362" s="58">
        <v>46023.0</v>
      </c>
      <c r="AC362" s="146">
        <v>46387.0</v>
      </c>
      <c r="AD362" s="36" t="s">
        <v>7163</v>
      </c>
      <c r="AE362" s="36" t="s">
        <v>79</v>
      </c>
      <c r="AF362" s="65"/>
      <c r="AG362" s="65"/>
      <c r="AH362" s="51"/>
    </row>
    <row r="363" ht="45.75" customHeight="1">
      <c r="A363" s="36">
        <v>362.0</v>
      </c>
      <c r="B363" s="36">
        <v>29798.0</v>
      </c>
      <c r="C363" s="36" t="s">
        <v>1098</v>
      </c>
      <c r="D363" s="36" t="s">
        <v>7127</v>
      </c>
      <c r="E363" s="36" t="s">
        <v>7166</v>
      </c>
      <c r="F363" s="36" t="s">
        <v>7167</v>
      </c>
      <c r="G363" s="42" t="s">
        <v>7168</v>
      </c>
      <c r="H363" s="36" t="s">
        <v>64</v>
      </c>
      <c r="I363" s="36" t="s">
        <v>155</v>
      </c>
      <c r="J363" s="36" t="s">
        <v>62</v>
      </c>
      <c r="K363" s="36" t="s">
        <v>63</v>
      </c>
      <c r="L363" s="36">
        <v>30.0</v>
      </c>
      <c r="M363" s="36" t="s">
        <v>7173</v>
      </c>
      <c r="N363" s="36" t="s">
        <v>66</v>
      </c>
      <c r="O363" s="36" t="s">
        <v>67</v>
      </c>
      <c r="P363" s="36" t="s">
        <v>7175</v>
      </c>
      <c r="Q363" s="36"/>
      <c r="R363" s="36"/>
      <c r="S363" s="36"/>
      <c r="T363" s="36" t="s">
        <v>61</v>
      </c>
      <c r="U363" s="36" t="s">
        <v>61</v>
      </c>
      <c r="V363" s="36" t="s">
        <v>61</v>
      </c>
      <c r="W363" s="56"/>
      <c r="X363" s="56" t="s">
        <v>74</v>
      </c>
      <c r="Y363" s="57" t="s">
        <v>7177</v>
      </c>
      <c r="Z363" s="36">
        <v>9.193638951E9</v>
      </c>
      <c r="AA363" s="57" t="s">
        <v>7179</v>
      </c>
      <c r="AB363" s="58">
        <v>46028.0</v>
      </c>
      <c r="AC363" s="146">
        <v>46387.0</v>
      </c>
      <c r="AD363" s="36" t="s">
        <v>7180</v>
      </c>
      <c r="AE363" s="36" t="s">
        <v>79</v>
      </c>
      <c r="AF363" s="65"/>
      <c r="AG363" s="65"/>
      <c r="AH363" s="51"/>
    </row>
    <row r="364" ht="45.75" customHeight="1">
      <c r="A364" s="36">
        <v>363.0</v>
      </c>
      <c r="B364" s="36">
        <v>6890.0</v>
      </c>
      <c r="C364" s="36" t="s">
        <v>1098</v>
      </c>
      <c r="D364" s="36" t="s">
        <v>2640</v>
      </c>
      <c r="E364" s="36" t="s">
        <v>2641</v>
      </c>
      <c r="F364" s="36" t="s">
        <v>2642</v>
      </c>
      <c r="G364" s="42" t="s">
        <v>2643</v>
      </c>
      <c r="H364" s="36" t="s">
        <v>64</v>
      </c>
      <c r="I364" s="36" t="s">
        <v>65</v>
      </c>
      <c r="J364" s="36" t="s">
        <v>62</v>
      </c>
      <c r="K364" s="36" t="s">
        <v>63</v>
      </c>
      <c r="L364" s="36">
        <v>50.0</v>
      </c>
      <c r="M364" s="36" t="s">
        <v>2646</v>
      </c>
      <c r="N364" s="36" t="s">
        <v>66</v>
      </c>
      <c r="O364" s="40"/>
      <c r="P364" s="131" t="s">
        <v>7192</v>
      </c>
      <c r="Q364" s="131"/>
      <c r="R364" s="131"/>
      <c r="S364" s="36"/>
      <c r="T364" s="36" t="s">
        <v>7193</v>
      </c>
      <c r="U364" s="36" t="s">
        <v>61</v>
      </c>
      <c r="V364" s="36" t="s">
        <v>61</v>
      </c>
      <c r="W364" s="36"/>
      <c r="X364" s="36" t="s">
        <v>74</v>
      </c>
      <c r="Y364" s="36" t="s">
        <v>2653</v>
      </c>
      <c r="Z364" s="36" t="s">
        <v>2654</v>
      </c>
      <c r="AA364" s="36" t="s">
        <v>2655</v>
      </c>
      <c r="AB364" s="58">
        <v>46023.0</v>
      </c>
      <c r="AC364" s="146">
        <v>46387.0</v>
      </c>
      <c r="AD364" s="57" t="s">
        <v>7197</v>
      </c>
      <c r="AE364" s="53" t="s">
        <v>79</v>
      </c>
      <c r="AF364" s="65"/>
      <c r="AG364" s="65"/>
      <c r="AH364" s="51"/>
    </row>
    <row r="365" ht="45.75" customHeight="1">
      <c r="A365" s="36">
        <v>364.0</v>
      </c>
      <c r="B365" s="36">
        <v>6060.0</v>
      </c>
      <c r="C365" s="36" t="s">
        <v>1098</v>
      </c>
      <c r="D365" s="36" t="s">
        <v>2640</v>
      </c>
      <c r="E365" s="36" t="s">
        <v>7201</v>
      </c>
      <c r="F365" s="36" t="s">
        <v>7203</v>
      </c>
      <c r="G365" s="42" t="s">
        <v>7204</v>
      </c>
      <c r="H365" s="36" t="s">
        <v>64</v>
      </c>
      <c r="I365" s="36" t="s">
        <v>155</v>
      </c>
      <c r="J365" s="36" t="s">
        <v>62</v>
      </c>
      <c r="K365" s="36" t="s">
        <v>63</v>
      </c>
      <c r="L365" s="36">
        <v>50.0</v>
      </c>
      <c r="M365" s="36" t="s">
        <v>2646</v>
      </c>
      <c r="N365" s="36" t="s">
        <v>66</v>
      </c>
      <c r="O365" s="36" t="s">
        <v>67</v>
      </c>
      <c r="P365" s="36" t="s">
        <v>7210</v>
      </c>
      <c r="Q365" s="36"/>
      <c r="R365" s="36"/>
      <c r="S365" s="36"/>
      <c r="T365" s="36" t="s">
        <v>61</v>
      </c>
      <c r="U365" s="36" t="s">
        <v>61</v>
      </c>
      <c r="V365" s="36" t="s">
        <v>61</v>
      </c>
      <c r="W365" s="56"/>
      <c r="X365" s="56" t="s">
        <v>74</v>
      </c>
      <c r="Y365" s="57" t="s">
        <v>7214</v>
      </c>
      <c r="Z365" s="36">
        <v>9.4611851146E10</v>
      </c>
      <c r="AA365" s="57" t="s">
        <v>7216</v>
      </c>
      <c r="AB365" s="58">
        <v>46023.0</v>
      </c>
      <c r="AC365" s="146">
        <v>46387.0</v>
      </c>
      <c r="AD365" s="36" t="s">
        <v>7217</v>
      </c>
      <c r="AE365" s="36" t="s">
        <v>79</v>
      </c>
      <c r="AF365" s="65"/>
      <c r="AG365" s="65"/>
      <c r="AH365" s="51"/>
    </row>
    <row r="366" ht="45.75" customHeight="1">
      <c r="A366" s="36">
        <v>365.0</v>
      </c>
      <c r="B366" s="36">
        <v>1918.0</v>
      </c>
      <c r="C366" s="36" t="s">
        <v>1098</v>
      </c>
      <c r="D366" s="36" t="s">
        <v>2640</v>
      </c>
      <c r="E366" s="36" t="s">
        <v>2663</v>
      </c>
      <c r="F366" s="36" t="s">
        <v>2663</v>
      </c>
      <c r="G366" s="42" t="s">
        <v>2665</v>
      </c>
      <c r="H366" s="36" t="s">
        <v>64</v>
      </c>
      <c r="I366" s="36" t="s">
        <v>65</v>
      </c>
      <c r="J366" s="36" t="s">
        <v>62</v>
      </c>
      <c r="K366" s="36" t="s">
        <v>111</v>
      </c>
      <c r="L366" s="36">
        <v>300.0</v>
      </c>
      <c r="M366" s="36" t="s">
        <v>2234</v>
      </c>
      <c r="N366" s="36" t="s">
        <v>71</v>
      </c>
      <c r="O366" s="36" t="s">
        <v>72</v>
      </c>
      <c r="P366" s="36" t="s">
        <v>2670</v>
      </c>
      <c r="Q366" s="36"/>
      <c r="R366" s="36"/>
      <c r="S366" s="36"/>
      <c r="T366" s="36" t="s">
        <v>61</v>
      </c>
      <c r="U366" s="36">
        <v>9.0</v>
      </c>
      <c r="V366" s="36" t="s">
        <v>61</v>
      </c>
      <c r="W366" s="56"/>
      <c r="X366" s="56" t="s">
        <v>93</v>
      </c>
      <c r="Y366" s="57" t="s">
        <v>2673</v>
      </c>
      <c r="Z366" s="36" t="s">
        <v>2675</v>
      </c>
      <c r="AA366" s="57" t="s">
        <v>2677</v>
      </c>
      <c r="AB366" s="58">
        <v>46023.0</v>
      </c>
      <c r="AC366" s="146">
        <v>46387.0</v>
      </c>
      <c r="AD366" s="36" t="s">
        <v>2678</v>
      </c>
      <c r="AE366" s="36" t="s">
        <v>79</v>
      </c>
      <c r="AF366" s="65"/>
      <c r="AG366" s="65"/>
      <c r="AH366" s="51"/>
    </row>
    <row r="367" ht="45.75" customHeight="1">
      <c r="A367" s="36">
        <v>366.0</v>
      </c>
      <c r="B367" s="36">
        <v>2421.0</v>
      </c>
      <c r="C367" s="36" t="s">
        <v>1098</v>
      </c>
      <c r="D367" s="36" t="s">
        <v>2681</v>
      </c>
      <c r="E367" s="36" t="s">
        <v>7237</v>
      </c>
      <c r="F367" s="36" t="s">
        <v>7238</v>
      </c>
      <c r="G367" s="42" t="s">
        <v>7239</v>
      </c>
      <c r="H367" s="36" t="s">
        <v>64</v>
      </c>
      <c r="I367" s="36" t="s">
        <v>155</v>
      </c>
      <c r="J367" s="36" t="s">
        <v>62</v>
      </c>
      <c r="K367" s="36" t="s">
        <v>63</v>
      </c>
      <c r="L367" s="36">
        <v>50.0</v>
      </c>
      <c r="M367" s="36" t="s">
        <v>28</v>
      </c>
      <c r="N367" s="36" t="s">
        <v>66</v>
      </c>
      <c r="O367" s="36" t="s">
        <v>72</v>
      </c>
      <c r="P367" s="36" t="s">
        <v>7249</v>
      </c>
      <c r="Q367" s="36"/>
      <c r="R367" s="36"/>
      <c r="S367" s="36"/>
      <c r="T367" s="36" t="s">
        <v>61</v>
      </c>
      <c r="U367" s="36" t="s">
        <v>61</v>
      </c>
      <c r="V367" s="36" t="s">
        <v>61</v>
      </c>
      <c r="W367" s="56"/>
      <c r="X367" s="56" t="s">
        <v>74</v>
      </c>
      <c r="Y367" s="57" t="s">
        <v>7251</v>
      </c>
      <c r="Z367" s="36" t="s">
        <v>7252</v>
      </c>
      <c r="AA367" s="57" t="s">
        <v>7253</v>
      </c>
      <c r="AB367" s="58">
        <v>46023.0</v>
      </c>
      <c r="AC367" s="146">
        <v>46387.0</v>
      </c>
      <c r="AD367" s="36" t="s">
        <v>7180</v>
      </c>
      <c r="AE367" s="36" t="s">
        <v>79</v>
      </c>
      <c r="AF367" s="65"/>
      <c r="AG367" s="65"/>
      <c r="AH367" s="51"/>
    </row>
    <row r="368" ht="45.75" customHeight="1">
      <c r="A368" s="36">
        <v>367.0</v>
      </c>
      <c r="B368" s="36">
        <v>5079.0</v>
      </c>
      <c r="C368" s="36" t="s">
        <v>1098</v>
      </c>
      <c r="D368" s="36" t="s">
        <v>2681</v>
      </c>
      <c r="E368" s="36" t="s">
        <v>7258</v>
      </c>
      <c r="F368" s="36" t="s">
        <v>7259</v>
      </c>
      <c r="G368" s="42" t="s">
        <v>7260</v>
      </c>
      <c r="H368" s="36" t="s">
        <v>64</v>
      </c>
      <c r="I368" s="36" t="s">
        <v>155</v>
      </c>
      <c r="J368" s="36" t="s">
        <v>62</v>
      </c>
      <c r="K368" s="36" t="s">
        <v>63</v>
      </c>
      <c r="L368" s="36">
        <v>25.0</v>
      </c>
      <c r="M368" s="36" t="s">
        <v>2646</v>
      </c>
      <c r="N368" s="36" t="s">
        <v>66</v>
      </c>
      <c r="O368" s="36" t="s">
        <v>67</v>
      </c>
      <c r="P368" s="36" t="s">
        <v>7265</v>
      </c>
      <c r="Q368" s="36"/>
      <c r="R368" s="36"/>
      <c r="S368" s="36"/>
      <c r="T368" s="36" t="s">
        <v>7193</v>
      </c>
      <c r="U368" s="36" t="s">
        <v>61</v>
      </c>
      <c r="V368" s="36" t="s">
        <v>61</v>
      </c>
      <c r="W368" s="56"/>
      <c r="X368" s="56" t="s">
        <v>74</v>
      </c>
      <c r="Y368" s="57" t="s">
        <v>7268</v>
      </c>
      <c r="Z368" s="36" t="s">
        <v>7269</v>
      </c>
      <c r="AA368" s="57" t="s">
        <v>7270</v>
      </c>
      <c r="AB368" s="58">
        <v>46031.0</v>
      </c>
      <c r="AC368" s="146">
        <v>46387.0</v>
      </c>
      <c r="AD368" s="36" t="s">
        <v>7273</v>
      </c>
      <c r="AE368" s="36" t="s">
        <v>79</v>
      </c>
      <c r="AF368" s="65"/>
      <c r="AG368" s="65"/>
      <c r="AH368" s="51"/>
    </row>
    <row r="369" ht="45.75" customHeight="1">
      <c r="A369" s="36">
        <v>368.0</v>
      </c>
      <c r="B369" s="36">
        <v>3928.0</v>
      </c>
      <c r="C369" s="36" t="s">
        <v>1098</v>
      </c>
      <c r="D369" s="36" t="s">
        <v>2681</v>
      </c>
      <c r="E369" s="36" t="s">
        <v>7276</v>
      </c>
      <c r="F369" s="36" t="s">
        <v>7278</v>
      </c>
      <c r="G369" s="42" t="s">
        <v>7280</v>
      </c>
      <c r="H369" s="36" t="s">
        <v>64</v>
      </c>
      <c r="I369" s="36" t="s">
        <v>155</v>
      </c>
      <c r="J369" s="36" t="s">
        <v>62</v>
      </c>
      <c r="K369" s="36" t="s">
        <v>63</v>
      </c>
      <c r="L369" s="36">
        <v>25.0</v>
      </c>
      <c r="M369" s="36" t="s">
        <v>7284</v>
      </c>
      <c r="N369" s="36" t="s">
        <v>5219</v>
      </c>
      <c r="O369" s="36" t="s">
        <v>72</v>
      </c>
      <c r="P369" s="36" t="s">
        <v>7288</v>
      </c>
      <c r="Q369" s="36"/>
      <c r="R369" s="36"/>
      <c r="S369" s="36"/>
      <c r="T369" s="36" t="s">
        <v>7193</v>
      </c>
      <c r="U369" s="36" t="s">
        <v>61</v>
      </c>
      <c r="V369" s="36" t="s">
        <v>61</v>
      </c>
      <c r="W369" s="56"/>
      <c r="X369" s="56" t="s">
        <v>74</v>
      </c>
      <c r="Y369" s="57" t="s">
        <v>7291</v>
      </c>
      <c r="Z369" s="36">
        <v>9.28394019E9</v>
      </c>
      <c r="AA369" s="57" t="s">
        <v>7292</v>
      </c>
      <c r="AB369" s="58">
        <v>46023.0</v>
      </c>
      <c r="AC369" s="146">
        <v>46387.0</v>
      </c>
      <c r="AD369" s="36" t="s">
        <v>7293</v>
      </c>
      <c r="AE369" s="36" t="s">
        <v>79</v>
      </c>
      <c r="AF369" s="65"/>
      <c r="AG369" s="65"/>
      <c r="AH369" s="51"/>
    </row>
    <row r="370" ht="45.75" customHeight="1">
      <c r="A370" s="36">
        <v>369.0</v>
      </c>
      <c r="B370" s="36">
        <v>4665.0</v>
      </c>
      <c r="C370" s="36" t="s">
        <v>1098</v>
      </c>
      <c r="D370" s="36" t="s">
        <v>2681</v>
      </c>
      <c r="E370" s="36" t="s">
        <v>7296</v>
      </c>
      <c r="F370" s="36" t="s">
        <v>7298</v>
      </c>
      <c r="G370" s="42" t="s">
        <v>7300</v>
      </c>
      <c r="H370" s="36" t="s">
        <v>64</v>
      </c>
      <c r="I370" s="36" t="s">
        <v>155</v>
      </c>
      <c r="J370" s="36" t="s">
        <v>62</v>
      </c>
      <c r="K370" s="36" t="s">
        <v>63</v>
      </c>
      <c r="L370" s="36">
        <v>25.0</v>
      </c>
      <c r="M370" s="36" t="s">
        <v>2646</v>
      </c>
      <c r="N370" s="36" t="s">
        <v>66</v>
      </c>
      <c r="O370" s="36" t="s">
        <v>67</v>
      </c>
      <c r="P370" s="36" t="s">
        <v>7303</v>
      </c>
      <c r="Q370" s="36"/>
      <c r="R370" s="36"/>
      <c r="S370" s="36"/>
      <c r="T370" s="36" t="s">
        <v>7193</v>
      </c>
      <c r="U370" s="36" t="s">
        <v>61</v>
      </c>
      <c r="V370" s="36" t="s">
        <v>61</v>
      </c>
      <c r="W370" s="56"/>
      <c r="X370" s="56" t="s">
        <v>74</v>
      </c>
      <c r="Y370" s="57" t="s">
        <v>7304</v>
      </c>
      <c r="Z370" s="36" t="s">
        <v>7305</v>
      </c>
      <c r="AA370" s="57" t="s">
        <v>7306</v>
      </c>
      <c r="AB370" s="58">
        <v>46023.0</v>
      </c>
      <c r="AC370" s="146">
        <v>46387.0</v>
      </c>
      <c r="AD370" s="36" t="s">
        <v>7308</v>
      </c>
      <c r="AE370" s="36" t="s">
        <v>79</v>
      </c>
      <c r="AF370" s="65"/>
      <c r="AG370" s="65"/>
      <c r="AH370" s="51"/>
    </row>
    <row r="371" ht="45.75" customHeight="1">
      <c r="A371" s="36">
        <v>370.0</v>
      </c>
      <c r="B371" s="36">
        <v>5204.0</v>
      </c>
      <c r="C371" s="36" t="s">
        <v>1098</v>
      </c>
      <c r="D371" s="36" t="s">
        <v>2681</v>
      </c>
      <c r="E371" s="36" t="s">
        <v>7310</v>
      </c>
      <c r="F371" s="36" t="s">
        <v>7311</v>
      </c>
      <c r="G371" s="42" t="s">
        <v>7313</v>
      </c>
      <c r="H371" s="36" t="s">
        <v>64</v>
      </c>
      <c r="I371" s="36" t="s">
        <v>155</v>
      </c>
      <c r="J371" s="36" t="s">
        <v>62</v>
      </c>
      <c r="K371" s="36" t="s">
        <v>63</v>
      </c>
      <c r="L371" s="36">
        <v>25.0</v>
      </c>
      <c r="M371" s="36" t="s">
        <v>2646</v>
      </c>
      <c r="N371" s="36" t="s">
        <v>66</v>
      </c>
      <c r="O371" s="36" t="s">
        <v>67</v>
      </c>
      <c r="P371" s="36" t="s">
        <v>7319</v>
      </c>
      <c r="Q371" s="36"/>
      <c r="R371" s="131"/>
      <c r="S371" s="36"/>
      <c r="T371" s="36" t="s">
        <v>7193</v>
      </c>
      <c r="U371" s="36" t="s">
        <v>61</v>
      </c>
      <c r="V371" s="36" t="s">
        <v>61</v>
      </c>
      <c r="W371" s="56"/>
      <c r="X371" s="56" t="s">
        <v>74</v>
      </c>
      <c r="Y371" s="36" t="s">
        <v>7321</v>
      </c>
      <c r="Z371" s="36">
        <v>9.328895376E9</v>
      </c>
      <c r="AA371" s="36" t="s">
        <v>7323</v>
      </c>
      <c r="AB371" s="58">
        <v>46023.0</v>
      </c>
      <c r="AC371" s="146">
        <v>46387.0</v>
      </c>
      <c r="AD371" s="188" t="s">
        <v>7326</v>
      </c>
      <c r="AE371" s="53" t="s">
        <v>79</v>
      </c>
      <c r="AF371" s="189"/>
      <c r="AG371" s="59"/>
      <c r="AH371" s="51"/>
    </row>
    <row r="372" ht="45.75" customHeight="1">
      <c r="A372" s="36">
        <v>371.0</v>
      </c>
      <c r="B372" s="36">
        <v>4707.0</v>
      </c>
      <c r="C372" s="36" t="s">
        <v>1098</v>
      </c>
      <c r="D372" s="36" t="s">
        <v>2681</v>
      </c>
      <c r="E372" s="36" t="s">
        <v>2682</v>
      </c>
      <c r="F372" s="36" t="s">
        <v>2683</v>
      </c>
      <c r="G372" s="42" t="s">
        <v>2685</v>
      </c>
      <c r="H372" s="36" t="s">
        <v>64</v>
      </c>
      <c r="I372" s="36" t="s">
        <v>65</v>
      </c>
      <c r="J372" s="36" t="s">
        <v>62</v>
      </c>
      <c r="K372" s="36" t="s">
        <v>68</v>
      </c>
      <c r="L372" s="36">
        <v>200.0</v>
      </c>
      <c r="M372" s="36" t="s">
        <v>2691</v>
      </c>
      <c r="N372" s="36" t="s">
        <v>221</v>
      </c>
      <c r="O372" s="40"/>
      <c r="P372" s="40"/>
      <c r="Q372" s="40"/>
      <c r="R372" s="36"/>
      <c r="S372" s="40"/>
      <c r="T372" s="40"/>
      <c r="U372" s="36">
        <v>12.0</v>
      </c>
      <c r="V372" s="40"/>
      <c r="W372" s="56"/>
      <c r="X372" s="56" t="s">
        <v>93</v>
      </c>
      <c r="Y372" s="57" t="s">
        <v>2694</v>
      </c>
      <c r="Z372" s="36" t="s">
        <v>2695</v>
      </c>
      <c r="AA372" s="57" t="s">
        <v>7347</v>
      </c>
      <c r="AB372" s="58">
        <v>46023.0</v>
      </c>
      <c r="AC372" s="146">
        <v>46387.0</v>
      </c>
      <c r="AD372" s="36" t="s">
        <v>2699</v>
      </c>
      <c r="AE372" s="36" t="s">
        <v>79</v>
      </c>
      <c r="AF372" s="65"/>
      <c r="AG372" s="65"/>
      <c r="AH372" s="51"/>
    </row>
    <row r="373" ht="45.75" customHeight="1">
      <c r="A373" s="36">
        <v>372.0</v>
      </c>
      <c r="B373" s="36" t="s">
        <v>7348</v>
      </c>
      <c r="C373" s="36" t="s">
        <v>11</v>
      </c>
      <c r="D373" s="36" t="s">
        <v>2707</v>
      </c>
      <c r="E373" s="36" t="s">
        <v>2708</v>
      </c>
      <c r="F373" s="36" t="s">
        <v>7352</v>
      </c>
      <c r="G373" s="42" t="s">
        <v>7353</v>
      </c>
      <c r="H373" s="36" t="s">
        <v>64</v>
      </c>
      <c r="I373" s="36" t="s">
        <v>155</v>
      </c>
      <c r="J373" s="36" t="s">
        <v>62</v>
      </c>
      <c r="K373" s="36" t="s">
        <v>63</v>
      </c>
      <c r="L373" s="36">
        <v>82.0</v>
      </c>
      <c r="M373" s="36" t="s">
        <v>7360</v>
      </c>
      <c r="N373" s="131" t="s">
        <v>66</v>
      </c>
      <c r="O373" s="131" t="s">
        <v>72</v>
      </c>
      <c r="P373" s="131" t="s">
        <v>7363</v>
      </c>
      <c r="Q373" s="190"/>
      <c r="R373" s="131"/>
      <c r="S373" s="40"/>
      <c r="T373" s="40"/>
      <c r="U373" s="36">
        <v>0.0</v>
      </c>
      <c r="V373" s="40"/>
      <c r="W373" s="40"/>
      <c r="X373" s="36" t="s">
        <v>74</v>
      </c>
      <c r="Y373" s="36" t="s">
        <v>7374</v>
      </c>
      <c r="Z373" s="36" t="s">
        <v>7375</v>
      </c>
      <c r="AA373" s="36" t="s">
        <v>7376</v>
      </c>
      <c r="AB373" s="58">
        <v>46023.0</v>
      </c>
      <c r="AC373" s="146">
        <v>46387.0</v>
      </c>
      <c r="AD373" s="57" t="s">
        <v>7378</v>
      </c>
      <c r="AE373" s="53" t="s">
        <v>79</v>
      </c>
      <c r="AF373" s="65"/>
      <c r="AG373" s="65"/>
      <c r="AH373" s="36"/>
    </row>
    <row r="374" ht="45.75" customHeight="1">
      <c r="A374" s="36">
        <v>373.0</v>
      </c>
      <c r="B374" s="36" t="s">
        <v>7381</v>
      </c>
      <c r="C374" s="36" t="s">
        <v>11</v>
      </c>
      <c r="D374" s="36" t="s">
        <v>2707</v>
      </c>
      <c r="E374" s="36" t="s">
        <v>2708</v>
      </c>
      <c r="F374" s="36" t="s">
        <v>7384</v>
      </c>
      <c r="G374" s="42" t="s">
        <v>7386</v>
      </c>
      <c r="H374" s="36" t="s">
        <v>64</v>
      </c>
      <c r="I374" s="36" t="s">
        <v>155</v>
      </c>
      <c r="J374" s="36" t="s">
        <v>62</v>
      </c>
      <c r="K374" s="36" t="s">
        <v>63</v>
      </c>
      <c r="L374" s="36">
        <v>50.0</v>
      </c>
      <c r="M374" s="36" t="s">
        <v>7392</v>
      </c>
      <c r="N374" s="131" t="s">
        <v>66</v>
      </c>
      <c r="O374" s="131" t="s">
        <v>72</v>
      </c>
      <c r="P374" s="131" t="s">
        <v>7393</v>
      </c>
      <c r="Q374" s="190"/>
      <c r="R374" s="131"/>
      <c r="S374" s="40"/>
      <c r="T374" s="40"/>
      <c r="U374" s="36">
        <v>0.0</v>
      </c>
      <c r="V374" s="40"/>
      <c r="W374" s="40"/>
      <c r="X374" s="36" t="s">
        <v>74</v>
      </c>
      <c r="Y374" s="36" t="s">
        <v>7395</v>
      </c>
      <c r="Z374" s="36" t="s">
        <v>7397</v>
      </c>
      <c r="AA374" s="36" t="s">
        <v>7399</v>
      </c>
      <c r="AB374" s="58">
        <v>46023.0</v>
      </c>
      <c r="AC374" s="146">
        <v>46387.0</v>
      </c>
      <c r="AD374" s="57" t="s">
        <v>7402</v>
      </c>
      <c r="AE374" s="53" t="s">
        <v>79</v>
      </c>
      <c r="AF374" s="65"/>
      <c r="AG374" s="65"/>
      <c r="AH374" s="36"/>
    </row>
    <row r="375" ht="45.75" customHeight="1">
      <c r="A375" s="36">
        <v>374.0</v>
      </c>
      <c r="B375" s="36">
        <v>502.0</v>
      </c>
      <c r="C375" s="36" t="s">
        <v>11</v>
      </c>
      <c r="D375" s="36" t="s">
        <v>2707</v>
      </c>
      <c r="E375" s="36" t="s">
        <v>2708</v>
      </c>
      <c r="F375" s="36" t="s">
        <v>2710</v>
      </c>
      <c r="G375" s="42" t="s">
        <v>2712</v>
      </c>
      <c r="H375" s="36" t="s">
        <v>64</v>
      </c>
      <c r="I375" s="36" t="s">
        <v>65</v>
      </c>
      <c r="J375" s="36" t="s">
        <v>62</v>
      </c>
      <c r="K375" s="36" t="s">
        <v>68</v>
      </c>
      <c r="L375" s="36">
        <v>459.0</v>
      </c>
      <c r="M375" s="36" t="s">
        <v>7410</v>
      </c>
      <c r="N375" s="36" t="s">
        <v>71</v>
      </c>
      <c r="O375" s="36" t="s">
        <v>72</v>
      </c>
      <c r="P375" s="36" t="s">
        <v>7412</v>
      </c>
      <c r="Q375" s="40"/>
      <c r="R375" s="36"/>
      <c r="S375" s="40"/>
      <c r="T375" s="40"/>
      <c r="U375" s="36">
        <v>54.0</v>
      </c>
      <c r="V375" s="40"/>
      <c r="W375" s="40"/>
      <c r="X375" s="56" t="s">
        <v>93</v>
      </c>
      <c r="Y375" s="57" t="s">
        <v>7415</v>
      </c>
      <c r="Z375" s="36" t="s">
        <v>7416</v>
      </c>
      <c r="AA375" s="57" t="s">
        <v>2735</v>
      </c>
      <c r="AB375" s="58">
        <v>46023.0</v>
      </c>
      <c r="AC375" s="53" t="s">
        <v>7419</v>
      </c>
      <c r="AD375" s="36" t="s">
        <v>2740</v>
      </c>
      <c r="AE375" s="36" t="s">
        <v>79</v>
      </c>
      <c r="AF375" s="65"/>
      <c r="AG375" s="65"/>
      <c r="AH375" s="36"/>
    </row>
    <row r="376" ht="45.75" customHeight="1">
      <c r="A376" s="36">
        <v>375.0</v>
      </c>
      <c r="B376" s="36">
        <v>615.0</v>
      </c>
      <c r="C376" s="36" t="s">
        <v>11</v>
      </c>
      <c r="D376" s="36" t="s">
        <v>2707</v>
      </c>
      <c r="E376" s="36" t="s">
        <v>2746</v>
      </c>
      <c r="F376" s="36" t="s">
        <v>2748</v>
      </c>
      <c r="G376" s="42" t="s">
        <v>2751</v>
      </c>
      <c r="H376" s="36" t="s">
        <v>64</v>
      </c>
      <c r="I376" s="36" t="s">
        <v>65</v>
      </c>
      <c r="J376" s="36" t="s">
        <v>62</v>
      </c>
      <c r="K376" s="36" t="s">
        <v>68</v>
      </c>
      <c r="L376" s="36">
        <v>418.0</v>
      </c>
      <c r="M376" s="36" t="s">
        <v>7427</v>
      </c>
      <c r="N376" s="36" t="s">
        <v>71</v>
      </c>
      <c r="O376" s="36" t="s">
        <v>72</v>
      </c>
      <c r="P376" s="36" t="s">
        <v>7428</v>
      </c>
      <c r="Q376" s="40"/>
      <c r="R376" s="36"/>
      <c r="S376" s="40"/>
      <c r="T376" s="40"/>
      <c r="U376" s="36">
        <v>11.0</v>
      </c>
      <c r="V376" s="40"/>
      <c r="W376" s="40"/>
      <c r="X376" s="56" t="s">
        <v>93</v>
      </c>
      <c r="Y376" s="57" t="s">
        <v>7430</v>
      </c>
      <c r="Z376" s="36">
        <v>8730556.0</v>
      </c>
      <c r="AA376" s="57" t="s">
        <v>7433</v>
      </c>
      <c r="AB376" s="58">
        <v>46023.0</v>
      </c>
      <c r="AC376" s="53" t="s">
        <v>7419</v>
      </c>
      <c r="AD376" s="36" t="s">
        <v>2774</v>
      </c>
      <c r="AE376" s="36" t="s">
        <v>79</v>
      </c>
      <c r="AF376" s="65"/>
      <c r="AG376" s="65"/>
      <c r="AH376" s="36"/>
    </row>
    <row r="377" ht="45.75" customHeight="1">
      <c r="A377" s="36">
        <v>376.0</v>
      </c>
      <c r="B377" s="36">
        <v>5830.0</v>
      </c>
      <c r="C377" s="36" t="s">
        <v>11</v>
      </c>
      <c r="D377" s="36" t="s">
        <v>2707</v>
      </c>
      <c r="E377" s="36" t="s">
        <v>7438</v>
      </c>
      <c r="F377" s="36" t="s">
        <v>7439</v>
      </c>
      <c r="G377" s="42" t="s">
        <v>7440</v>
      </c>
      <c r="H377" s="36" t="s">
        <v>64</v>
      </c>
      <c r="I377" s="36" t="s">
        <v>155</v>
      </c>
      <c r="J377" s="36" t="s">
        <v>62</v>
      </c>
      <c r="K377" s="36" t="s">
        <v>68</v>
      </c>
      <c r="L377" s="36">
        <v>300.0</v>
      </c>
      <c r="M377" s="36" t="s">
        <v>7444</v>
      </c>
      <c r="N377" s="36" t="s">
        <v>71</v>
      </c>
      <c r="O377" s="36" t="s">
        <v>72</v>
      </c>
      <c r="P377" s="36" t="s">
        <v>7448</v>
      </c>
      <c r="Q377" s="40"/>
      <c r="R377" s="36"/>
      <c r="S377" s="40"/>
      <c r="T377" s="40"/>
      <c r="U377" s="36">
        <v>10.0</v>
      </c>
      <c r="V377" s="40"/>
      <c r="W377" s="40"/>
      <c r="X377" s="56" t="s">
        <v>93</v>
      </c>
      <c r="Y377" s="57" t="s">
        <v>7450</v>
      </c>
      <c r="Z377" s="36" t="s">
        <v>7452</v>
      </c>
      <c r="AA377" s="57" t="s">
        <v>7453</v>
      </c>
      <c r="AB377" s="58">
        <v>46023.0</v>
      </c>
      <c r="AC377" s="146">
        <v>46387.0</v>
      </c>
      <c r="AD377" s="36" t="s">
        <v>7454</v>
      </c>
      <c r="AE377" s="36" t="s">
        <v>79</v>
      </c>
      <c r="AF377" s="65"/>
      <c r="AG377" s="65"/>
      <c r="AH377" s="36"/>
    </row>
    <row r="378" ht="45.75" customHeight="1">
      <c r="A378" s="36">
        <v>377.0</v>
      </c>
      <c r="B378" s="36" t="s">
        <v>7457</v>
      </c>
      <c r="C378" s="36" t="s">
        <v>11</v>
      </c>
      <c r="D378" s="36" t="s">
        <v>2707</v>
      </c>
      <c r="E378" s="36" t="s">
        <v>2788</v>
      </c>
      <c r="F378" s="36" t="s">
        <v>7461</v>
      </c>
      <c r="G378" s="42" t="s">
        <v>7462</v>
      </c>
      <c r="H378" s="36" t="s">
        <v>64</v>
      </c>
      <c r="I378" s="36" t="s">
        <v>155</v>
      </c>
      <c r="J378" s="36" t="s">
        <v>62</v>
      </c>
      <c r="K378" s="36" t="s">
        <v>63</v>
      </c>
      <c r="L378" s="36">
        <v>34.0</v>
      </c>
      <c r="M378" s="40"/>
      <c r="N378" s="36" t="s">
        <v>66</v>
      </c>
      <c r="O378" s="36" t="s">
        <v>67</v>
      </c>
      <c r="P378" s="36" t="s">
        <v>7466</v>
      </c>
      <c r="Q378" s="40"/>
      <c r="R378" s="36"/>
      <c r="S378" s="40"/>
      <c r="T378" s="40"/>
      <c r="U378" s="36">
        <v>0.0</v>
      </c>
      <c r="V378" s="40"/>
      <c r="W378" s="40"/>
      <c r="X378" s="56" t="s">
        <v>74</v>
      </c>
      <c r="Y378" s="57" t="s">
        <v>7469</v>
      </c>
      <c r="Z378" s="36" t="s">
        <v>7470</v>
      </c>
      <c r="AA378" s="57" t="s">
        <v>7472</v>
      </c>
      <c r="AB378" s="58">
        <v>46023.0</v>
      </c>
      <c r="AC378" s="53" t="s">
        <v>7419</v>
      </c>
      <c r="AD378" s="36" t="s">
        <v>7475</v>
      </c>
      <c r="AE378" s="36" t="s">
        <v>79</v>
      </c>
      <c r="AF378" s="65"/>
      <c r="AG378" s="65"/>
      <c r="AH378" s="36"/>
    </row>
    <row r="379" ht="45.75" customHeight="1">
      <c r="A379" s="36">
        <v>378.0</v>
      </c>
      <c r="B379" s="36" t="s">
        <v>7477</v>
      </c>
      <c r="C379" s="36" t="s">
        <v>11</v>
      </c>
      <c r="D379" s="36" t="s">
        <v>2707</v>
      </c>
      <c r="E379" s="36" t="s">
        <v>2788</v>
      </c>
      <c r="F379" s="36" t="s">
        <v>2792</v>
      </c>
      <c r="G379" s="42" t="s">
        <v>2795</v>
      </c>
      <c r="H379" s="36" t="s">
        <v>64</v>
      </c>
      <c r="I379" s="36" t="s">
        <v>65</v>
      </c>
      <c r="J379" s="36" t="s">
        <v>62</v>
      </c>
      <c r="K379" s="36" t="s">
        <v>63</v>
      </c>
      <c r="L379" s="36">
        <v>10.0</v>
      </c>
      <c r="M379" s="40"/>
      <c r="N379" s="131" t="s">
        <v>66</v>
      </c>
      <c r="O379" s="131" t="s">
        <v>67</v>
      </c>
      <c r="P379" s="131" t="s">
        <v>2816</v>
      </c>
      <c r="Q379" s="190"/>
      <c r="R379" s="131"/>
      <c r="S379" s="40"/>
      <c r="T379" s="40"/>
      <c r="U379" s="36">
        <v>0.0</v>
      </c>
      <c r="V379" s="40"/>
      <c r="W379" s="40"/>
      <c r="X379" s="36" t="s">
        <v>74</v>
      </c>
      <c r="Y379" s="36" t="s">
        <v>2823</v>
      </c>
      <c r="Z379" s="36">
        <v>8.2944853E7</v>
      </c>
      <c r="AA379" s="36" t="s">
        <v>2826</v>
      </c>
      <c r="AB379" s="58">
        <v>46023.0</v>
      </c>
      <c r="AC379" s="146">
        <v>46387.0</v>
      </c>
      <c r="AD379" s="57" t="s">
        <v>7486</v>
      </c>
      <c r="AE379" s="53" t="s">
        <v>79</v>
      </c>
      <c r="AF379" s="65"/>
      <c r="AG379" s="65"/>
      <c r="AH379" s="36"/>
    </row>
    <row r="380" ht="45.75" customHeight="1">
      <c r="A380" s="36">
        <v>379.0</v>
      </c>
      <c r="B380" s="36" t="s">
        <v>7487</v>
      </c>
      <c r="C380" s="36" t="s">
        <v>11</v>
      </c>
      <c r="D380" s="36" t="s">
        <v>2707</v>
      </c>
      <c r="E380" s="36" t="s">
        <v>2844</v>
      </c>
      <c r="F380" s="36" t="s">
        <v>7488</v>
      </c>
      <c r="G380" s="42" t="s">
        <v>7489</v>
      </c>
      <c r="H380" s="36" t="s">
        <v>64</v>
      </c>
      <c r="I380" s="36" t="s">
        <v>155</v>
      </c>
      <c r="J380" s="36" t="s">
        <v>62</v>
      </c>
      <c r="K380" s="36" t="s">
        <v>111</v>
      </c>
      <c r="L380" s="36">
        <v>200.0</v>
      </c>
      <c r="M380" s="40"/>
      <c r="N380" s="131" t="s">
        <v>66</v>
      </c>
      <c r="O380" s="131" t="s">
        <v>67</v>
      </c>
      <c r="P380" s="131" t="s">
        <v>7490</v>
      </c>
      <c r="Q380" s="190"/>
      <c r="R380" s="131"/>
      <c r="S380" s="40"/>
      <c r="T380" s="40"/>
      <c r="U380" s="36">
        <v>3.0</v>
      </c>
      <c r="V380" s="40"/>
      <c r="W380" s="40"/>
      <c r="X380" s="36" t="s">
        <v>93</v>
      </c>
      <c r="Y380" s="36" t="s">
        <v>7493</v>
      </c>
      <c r="Z380" s="36">
        <v>8.53955E7</v>
      </c>
      <c r="AA380" s="36" t="s">
        <v>7494</v>
      </c>
      <c r="AB380" s="58">
        <v>46023.0</v>
      </c>
      <c r="AC380" s="146">
        <v>46387.0</v>
      </c>
      <c r="AD380" s="57" t="s">
        <v>7495</v>
      </c>
      <c r="AE380" s="53" t="s">
        <v>79</v>
      </c>
      <c r="AF380" s="65"/>
      <c r="AG380" s="65"/>
      <c r="AH380" s="36"/>
    </row>
    <row r="381" ht="45.75" customHeight="1">
      <c r="A381" s="36">
        <v>380.0</v>
      </c>
      <c r="B381" s="36">
        <v>7359.0</v>
      </c>
      <c r="C381" s="36" t="s">
        <v>11</v>
      </c>
      <c r="D381" s="36" t="s">
        <v>2707</v>
      </c>
      <c r="E381" s="36" t="s">
        <v>2844</v>
      </c>
      <c r="F381" s="36" t="s">
        <v>2847</v>
      </c>
      <c r="G381" s="42" t="s">
        <v>2848</v>
      </c>
      <c r="H381" s="36" t="s">
        <v>64</v>
      </c>
      <c r="I381" s="36" t="s">
        <v>65</v>
      </c>
      <c r="J381" s="36" t="s">
        <v>663</v>
      </c>
      <c r="K381" s="36" t="s">
        <v>68</v>
      </c>
      <c r="L381" s="36">
        <v>4200.0</v>
      </c>
      <c r="M381" s="36" t="s">
        <v>7501</v>
      </c>
      <c r="N381" s="36" t="s">
        <v>221</v>
      </c>
      <c r="O381" s="36" t="s">
        <v>72</v>
      </c>
      <c r="P381" s="36">
        <v>1.0</v>
      </c>
      <c r="Q381" s="40"/>
      <c r="R381" s="36"/>
      <c r="S381" s="40"/>
      <c r="T381" s="40"/>
      <c r="U381" s="36">
        <v>10.0</v>
      </c>
      <c r="V381" s="40"/>
      <c r="W381" s="40"/>
      <c r="X381" s="56" t="s">
        <v>93</v>
      </c>
      <c r="Y381" s="57" t="s">
        <v>7503</v>
      </c>
      <c r="Z381" s="36">
        <v>8.5319001E7</v>
      </c>
      <c r="AA381" s="57" t="s">
        <v>7505</v>
      </c>
      <c r="AB381" s="58">
        <v>46023.0</v>
      </c>
      <c r="AC381" s="53" t="s">
        <v>7419</v>
      </c>
      <c r="AD381" s="36" t="s">
        <v>2899</v>
      </c>
      <c r="AE381" s="36" t="s">
        <v>79</v>
      </c>
      <c r="AF381" s="65"/>
      <c r="AG381" s="65"/>
      <c r="AH381" s="36"/>
    </row>
    <row r="382" ht="45.75" customHeight="1">
      <c r="A382" s="36">
        <v>381.0</v>
      </c>
      <c r="B382" s="36">
        <v>499.0</v>
      </c>
      <c r="C382" s="36" t="s">
        <v>11</v>
      </c>
      <c r="D382" s="36" t="s">
        <v>2707</v>
      </c>
      <c r="E382" s="36" t="s">
        <v>2914</v>
      </c>
      <c r="F382" s="36" t="s">
        <v>7509</v>
      </c>
      <c r="G382" s="42" t="s">
        <v>2921</v>
      </c>
      <c r="H382" s="36" t="s">
        <v>64</v>
      </c>
      <c r="I382" s="36" t="s">
        <v>65</v>
      </c>
      <c r="J382" s="36" t="s">
        <v>663</v>
      </c>
      <c r="K382" s="36" t="s">
        <v>68</v>
      </c>
      <c r="L382" s="36">
        <v>700.0</v>
      </c>
      <c r="M382" s="36" t="s">
        <v>7515</v>
      </c>
      <c r="N382" s="36" t="s">
        <v>71</v>
      </c>
      <c r="O382" s="40"/>
      <c r="P382" s="36">
        <v>1.0</v>
      </c>
      <c r="Q382" s="40"/>
      <c r="R382" s="40"/>
      <c r="S382" s="40"/>
      <c r="T382" s="40"/>
      <c r="U382" s="40"/>
      <c r="V382" s="40"/>
      <c r="W382" s="40"/>
      <c r="X382" s="56" t="s">
        <v>3770</v>
      </c>
      <c r="Y382" s="57" t="s">
        <v>2950</v>
      </c>
      <c r="Z382" s="36">
        <v>9.175259952E9</v>
      </c>
      <c r="AA382" s="57" t="s">
        <v>7519</v>
      </c>
      <c r="AB382" s="58">
        <v>46023.0</v>
      </c>
      <c r="AC382" s="53" t="s">
        <v>7419</v>
      </c>
      <c r="AD382" s="36" t="s">
        <v>2960</v>
      </c>
      <c r="AE382" s="36" t="s">
        <v>79</v>
      </c>
      <c r="AF382" s="65"/>
      <c r="AG382" s="65"/>
      <c r="AH382" s="36"/>
    </row>
    <row r="383" ht="45.75" customHeight="1">
      <c r="A383" s="36">
        <v>382.0</v>
      </c>
      <c r="B383" s="36" t="s">
        <v>7523</v>
      </c>
      <c r="C383" s="36" t="s">
        <v>11</v>
      </c>
      <c r="D383" s="36" t="s">
        <v>2707</v>
      </c>
      <c r="E383" s="36" t="s">
        <v>2914</v>
      </c>
      <c r="F383" s="36" t="s">
        <v>7527</v>
      </c>
      <c r="G383" s="42" t="s">
        <v>7528</v>
      </c>
      <c r="H383" s="36" t="s">
        <v>64</v>
      </c>
      <c r="I383" s="36" t="s">
        <v>155</v>
      </c>
      <c r="J383" s="36" t="s">
        <v>62</v>
      </c>
      <c r="K383" s="36" t="s">
        <v>63</v>
      </c>
      <c r="L383" s="36">
        <v>150.0</v>
      </c>
      <c r="M383" s="36" t="s">
        <v>7533</v>
      </c>
      <c r="N383" s="131" t="s">
        <v>66</v>
      </c>
      <c r="O383" s="131" t="s">
        <v>72</v>
      </c>
      <c r="P383" s="131" t="s">
        <v>7534</v>
      </c>
      <c r="Q383" s="190"/>
      <c r="R383" s="131"/>
      <c r="S383" s="40"/>
      <c r="T383" s="40"/>
      <c r="U383" s="36">
        <v>0.0</v>
      </c>
      <c r="V383" s="40"/>
      <c r="W383" s="40"/>
      <c r="X383" s="36" t="s">
        <v>74</v>
      </c>
      <c r="Y383" s="36" t="s">
        <v>7537</v>
      </c>
      <c r="Z383" s="36">
        <v>8.2438845E7</v>
      </c>
      <c r="AA383" s="36" t="s">
        <v>7538</v>
      </c>
      <c r="AB383" s="58">
        <v>46023.0</v>
      </c>
      <c r="AC383" s="146">
        <v>46387.0</v>
      </c>
      <c r="AD383" s="57" t="s">
        <v>7539</v>
      </c>
      <c r="AE383" s="53" t="s">
        <v>79</v>
      </c>
      <c r="AF383" s="65"/>
      <c r="AG383" s="65"/>
      <c r="AH383" s="36"/>
    </row>
    <row r="384" ht="45.75" customHeight="1">
      <c r="A384" s="36">
        <v>383.0</v>
      </c>
      <c r="B384" s="36">
        <v>586.0</v>
      </c>
      <c r="C384" s="36" t="s">
        <v>11</v>
      </c>
      <c r="D384" s="36" t="s">
        <v>2707</v>
      </c>
      <c r="E384" s="36" t="s">
        <v>2914</v>
      </c>
      <c r="F384" s="36" t="s">
        <v>2974</v>
      </c>
      <c r="G384" s="42" t="s">
        <v>2977</v>
      </c>
      <c r="H384" s="36" t="s">
        <v>64</v>
      </c>
      <c r="I384" s="36" t="s">
        <v>65</v>
      </c>
      <c r="J384" s="36" t="s">
        <v>62</v>
      </c>
      <c r="K384" s="36" t="s">
        <v>68</v>
      </c>
      <c r="L384" s="36">
        <v>450.0</v>
      </c>
      <c r="M384" s="36" t="s">
        <v>7545</v>
      </c>
      <c r="N384" s="36" t="s">
        <v>71</v>
      </c>
      <c r="O384" s="36" t="s">
        <v>72</v>
      </c>
      <c r="P384" s="36" t="s">
        <v>7548</v>
      </c>
      <c r="Q384" s="40"/>
      <c r="R384" s="36"/>
      <c r="S384" s="40"/>
      <c r="T384" s="40"/>
      <c r="U384" s="36">
        <v>12.0</v>
      </c>
      <c r="V384" s="40"/>
      <c r="W384" s="40"/>
      <c r="X384" s="56" t="s">
        <v>93</v>
      </c>
      <c r="Y384" s="57" t="s">
        <v>7550</v>
      </c>
      <c r="Z384" s="36" t="s">
        <v>3002</v>
      </c>
      <c r="AA384" s="57" t="s">
        <v>7551</v>
      </c>
      <c r="AB384" s="58">
        <v>46023.0</v>
      </c>
      <c r="AC384" s="53" t="s">
        <v>7419</v>
      </c>
      <c r="AD384" s="36" t="s">
        <v>3013</v>
      </c>
      <c r="AE384" s="36" t="s">
        <v>79</v>
      </c>
      <c r="AF384" s="65"/>
      <c r="AG384" s="65"/>
      <c r="AH384" s="36"/>
    </row>
    <row r="385" ht="45.75" customHeight="1">
      <c r="A385" s="36">
        <v>384.0</v>
      </c>
      <c r="B385" s="36" t="s">
        <v>7558</v>
      </c>
      <c r="C385" s="36" t="s">
        <v>11</v>
      </c>
      <c r="D385" s="36" t="s">
        <v>2707</v>
      </c>
      <c r="E385" s="36" t="s">
        <v>2914</v>
      </c>
      <c r="F385" s="36" t="s">
        <v>7561</v>
      </c>
      <c r="G385" s="42" t="s">
        <v>7562</v>
      </c>
      <c r="H385" s="36" t="s">
        <v>64</v>
      </c>
      <c r="I385" s="36" t="s">
        <v>155</v>
      </c>
      <c r="J385" s="36" t="s">
        <v>62</v>
      </c>
      <c r="K385" s="36" t="s">
        <v>63</v>
      </c>
      <c r="L385" s="36">
        <v>150.0</v>
      </c>
      <c r="M385" s="36" t="s">
        <v>7567</v>
      </c>
      <c r="N385" s="131" t="s">
        <v>66</v>
      </c>
      <c r="O385" s="131" t="s">
        <v>72</v>
      </c>
      <c r="P385" s="131" t="s">
        <v>7569</v>
      </c>
      <c r="Q385" s="190"/>
      <c r="R385" s="131"/>
      <c r="S385" s="40"/>
      <c r="T385" s="40"/>
      <c r="U385" s="36">
        <v>0.0</v>
      </c>
      <c r="V385" s="40"/>
      <c r="W385" s="40"/>
      <c r="X385" s="36" t="s">
        <v>93</v>
      </c>
      <c r="Y385" s="36" t="s">
        <v>7572</v>
      </c>
      <c r="Z385" s="36" t="s">
        <v>7573</v>
      </c>
      <c r="AA385" s="36" t="s">
        <v>7574</v>
      </c>
      <c r="AB385" s="58">
        <v>46023.0</v>
      </c>
      <c r="AC385" s="146">
        <v>46387.0</v>
      </c>
      <c r="AD385" s="57" t="s">
        <v>7576</v>
      </c>
      <c r="AE385" s="53" t="s">
        <v>79</v>
      </c>
      <c r="AF385" s="65"/>
      <c r="AG385" s="65"/>
      <c r="AH385" s="36"/>
    </row>
    <row r="386" ht="45.75" customHeight="1">
      <c r="A386" s="36">
        <v>385.0</v>
      </c>
      <c r="B386" s="36">
        <v>3498.0</v>
      </c>
      <c r="C386" s="36" t="s">
        <v>11</v>
      </c>
      <c r="D386" s="36" t="s">
        <v>2707</v>
      </c>
      <c r="E386" s="36" t="s">
        <v>2914</v>
      </c>
      <c r="F386" s="36" t="s">
        <v>7580</v>
      </c>
      <c r="G386" s="42" t="s">
        <v>7582</v>
      </c>
      <c r="H386" s="36" t="s">
        <v>64</v>
      </c>
      <c r="I386" s="36" t="s">
        <v>155</v>
      </c>
      <c r="J386" s="36" t="s">
        <v>62</v>
      </c>
      <c r="K386" s="36" t="s">
        <v>68</v>
      </c>
      <c r="L386" s="36">
        <v>300.0</v>
      </c>
      <c r="M386" s="36" t="s">
        <v>7586</v>
      </c>
      <c r="N386" s="36" t="s">
        <v>71</v>
      </c>
      <c r="O386" s="36" t="s">
        <v>72</v>
      </c>
      <c r="P386" s="36">
        <v>2.0</v>
      </c>
      <c r="Q386" s="40"/>
      <c r="R386" s="36"/>
      <c r="S386" s="40"/>
      <c r="T386" s="40"/>
      <c r="U386" s="36">
        <v>22.0</v>
      </c>
      <c r="V386" s="40"/>
      <c r="W386" s="40"/>
      <c r="X386" s="56" t="s">
        <v>93</v>
      </c>
      <c r="Y386" s="57" t="s">
        <v>7587</v>
      </c>
      <c r="Z386" s="36" t="s">
        <v>7588</v>
      </c>
      <c r="AA386" s="57" t="s">
        <v>7589</v>
      </c>
      <c r="AB386" s="58">
        <v>46023.0</v>
      </c>
      <c r="AC386" s="146">
        <v>46387.0</v>
      </c>
      <c r="AD386" s="36" t="s">
        <v>7592</v>
      </c>
      <c r="AE386" s="36" t="s">
        <v>79</v>
      </c>
      <c r="AF386" s="65"/>
      <c r="AG386" s="36" t="s">
        <v>7594</v>
      </c>
      <c r="AH386" s="36"/>
    </row>
    <row r="387" ht="45.75" customHeight="1">
      <c r="A387" s="36">
        <v>386.0</v>
      </c>
      <c r="B387" s="42" t="s">
        <v>7595</v>
      </c>
      <c r="C387" s="36" t="s">
        <v>11</v>
      </c>
      <c r="D387" s="36" t="s">
        <v>2707</v>
      </c>
      <c r="E387" s="36" t="s">
        <v>2914</v>
      </c>
      <c r="F387" s="36" t="s">
        <v>7596</v>
      </c>
      <c r="G387" s="42" t="s">
        <v>7597</v>
      </c>
      <c r="H387" s="36" t="s">
        <v>64</v>
      </c>
      <c r="I387" s="36" t="s">
        <v>155</v>
      </c>
      <c r="J387" s="36" t="s">
        <v>62</v>
      </c>
      <c r="K387" s="36" t="s">
        <v>63</v>
      </c>
      <c r="L387" s="36">
        <v>50.0</v>
      </c>
      <c r="M387" s="40"/>
      <c r="N387" s="131" t="s">
        <v>66</v>
      </c>
      <c r="O387" s="131" t="s">
        <v>67</v>
      </c>
      <c r="P387" s="131" t="s">
        <v>7602</v>
      </c>
      <c r="Q387" s="190"/>
      <c r="R387" s="131"/>
      <c r="S387" s="40"/>
      <c r="T387" s="40"/>
      <c r="U387" s="36">
        <v>0.0</v>
      </c>
      <c r="V387" s="40"/>
      <c r="W387" s="40"/>
      <c r="X387" s="36" t="s">
        <v>74</v>
      </c>
      <c r="Y387" s="36" t="s">
        <v>7604</v>
      </c>
      <c r="Z387" s="36" t="s">
        <v>7606</v>
      </c>
      <c r="AA387" s="36" t="s">
        <v>7607</v>
      </c>
      <c r="AB387" s="58">
        <v>46023.0</v>
      </c>
      <c r="AC387" s="146">
        <v>46387.0</v>
      </c>
      <c r="AD387" s="57" t="s">
        <v>7610</v>
      </c>
      <c r="AE387" s="53" t="s">
        <v>79</v>
      </c>
      <c r="AF387" s="65"/>
      <c r="AG387" s="65"/>
      <c r="AH387" s="36"/>
    </row>
    <row r="388" ht="45.75" customHeight="1">
      <c r="A388" s="36">
        <v>387.0</v>
      </c>
      <c r="B388" s="36" t="s">
        <v>7612</v>
      </c>
      <c r="C388" s="36" t="s">
        <v>11</v>
      </c>
      <c r="D388" s="36" t="s">
        <v>2707</v>
      </c>
      <c r="E388" s="36" t="s">
        <v>2914</v>
      </c>
      <c r="F388" s="36" t="s">
        <v>7615</v>
      </c>
      <c r="G388" s="42" t="s">
        <v>7616</v>
      </c>
      <c r="H388" s="36" t="s">
        <v>64</v>
      </c>
      <c r="I388" s="36" t="s">
        <v>155</v>
      </c>
      <c r="J388" s="36" t="s">
        <v>62</v>
      </c>
      <c r="K388" s="36" t="s">
        <v>63</v>
      </c>
      <c r="L388" s="36">
        <v>50.0</v>
      </c>
      <c r="M388" s="36"/>
      <c r="N388" s="131" t="s">
        <v>66</v>
      </c>
      <c r="O388" s="131" t="s">
        <v>67</v>
      </c>
      <c r="P388" s="131" t="s">
        <v>7620</v>
      </c>
      <c r="Q388" s="190"/>
      <c r="R388" s="131"/>
      <c r="S388" s="40"/>
      <c r="T388" s="40"/>
      <c r="U388" s="36">
        <v>0.0</v>
      </c>
      <c r="V388" s="40"/>
      <c r="W388" s="40"/>
      <c r="X388" s="36" t="s">
        <v>74</v>
      </c>
      <c r="Y388" s="36" t="s">
        <v>7622</v>
      </c>
      <c r="Z388" s="36" t="s">
        <v>7624</v>
      </c>
      <c r="AA388" s="36" t="s">
        <v>7625</v>
      </c>
      <c r="AB388" s="58">
        <v>46023.0</v>
      </c>
      <c r="AC388" s="146">
        <v>46387.0</v>
      </c>
      <c r="AD388" s="57" t="s">
        <v>7627</v>
      </c>
      <c r="AE388" s="53" t="s">
        <v>79</v>
      </c>
      <c r="AF388" s="65"/>
      <c r="AG388" s="65"/>
      <c r="AH388" s="36"/>
    </row>
    <row r="389" ht="45.75" customHeight="1">
      <c r="A389" s="36">
        <v>388.0</v>
      </c>
      <c r="B389" s="36">
        <v>4799.0</v>
      </c>
      <c r="C389" s="36" t="s">
        <v>11</v>
      </c>
      <c r="D389" s="36" t="s">
        <v>2707</v>
      </c>
      <c r="E389" s="36" t="s">
        <v>2914</v>
      </c>
      <c r="F389" s="36" t="s">
        <v>3026</v>
      </c>
      <c r="G389" s="42" t="s">
        <v>3029</v>
      </c>
      <c r="H389" s="36" t="s">
        <v>64</v>
      </c>
      <c r="I389" s="36" t="s">
        <v>65</v>
      </c>
      <c r="J389" s="36" t="s">
        <v>663</v>
      </c>
      <c r="K389" s="36" t="s">
        <v>68</v>
      </c>
      <c r="L389" s="36">
        <v>363.0</v>
      </c>
      <c r="M389" s="36" t="s">
        <v>7427</v>
      </c>
      <c r="N389" s="36" t="s">
        <v>71</v>
      </c>
      <c r="O389" s="40"/>
      <c r="P389" s="36">
        <v>1.0</v>
      </c>
      <c r="Q389" s="40"/>
      <c r="R389" s="36"/>
      <c r="S389" s="40"/>
      <c r="T389" s="40"/>
      <c r="U389" s="36">
        <v>6.0</v>
      </c>
      <c r="V389" s="40"/>
      <c r="W389" s="40"/>
      <c r="X389" s="56" t="s">
        <v>93</v>
      </c>
      <c r="Y389" s="57" t="s">
        <v>7634</v>
      </c>
      <c r="Z389" s="36" t="s">
        <v>7635</v>
      </c>
      <c r="AA389" s="57" t="s">
        <v>7637</v>
      </c>
      <c r="AB389" s="58">
        <v>46023.0</v>
      </c>
      <c r="AC389" s="53" t="s">
        <v>7419</v>
      </c>
      <c r="AD389" s="36" t="s">
        <v>3081</v>
      </c>
      <c r="AE389" s="36" t="s">
        <v>79</v>
      </c>
      <c r="AF389" s="65"/>
      <c r="AG389" s="65"/>
      <c r="AH389" s="36"/>
    </row>
    <row r="390" ht="45.75" customHeight="1">
      <c r="A390" s="36">
        <v>389.0</v>
      </c>
      <c r="B390" s="36">
        <v>22598.0</v>
      </c>
      <c r="C390" s="36" t="s">
        <v>11</v>
      </c>
      <c r="D390" s="36" t="s">
        <v>2707</v>
      </c>
      <c r="E390" s="36" t="s">
        <v>2914</v>
      </c>
      <c r="F390" s="36" t="s">
        <v>7641</v>
      </c>
      <c r="G390" s="42" t="s">
        <v>7642</v>
      </c>
      <c r="H390" s="36" t="s">
        <v>64</v>
      </c>
      <c r="I390" s="36" t="s">
        <v>155</v>
      </c>
      <c r="J390" s="36" t="s">
        <v>62</v>
      </c>
      <c r="K390" s="36" t="s">
        <v>68</v>
      </c>
      <c r="L390" s="36">
        <v>300.0</v>
      </c>
      <c r="M390" s="36" t="s">
        <v>7648</v>
      </c>
      <c r="N390" s="36" t="s">
        <v>71</v>
      </c>
      <c r="O390" s="36" t="s">
        <v>72</v>
      </c>
      <c r="P390" s="36" t="s">
        <v>7655</v>
      </c>
      <c r="Q390" s="36"/>
      <c r="R390" s="36"/>
      <c r="S390" s="36"/>
      <c r="T390" s="36"/>
      <c r="U390" s="36">
        <v>11.0</v>
      </c>
      <c r="V390" s="36"/>
      <c r="W390" s="36" t="s">
        <v>7659</v>
      </c>
      <c r="X390" s="56" t="s">
        <v>93</v>
      </c>
      <c r="Y390" s="57" t="s">
        <v>7660</v>
      </c>
      <c r="Z390" s="36" t="s">
        <v>7661</v>
      </c>
      <c r="AA390" s="57" t="s">
        <v>7662</v>
      </c>
      <c r="AB390" s="58">
        <v>46023.0</v>
      </c>
      <c r="AC390" s="146">
        <v>46387.0</v>
      </c>
      <c r="AD390" s="36" t="s">
        <v>7663</v>
      </c>
      <c r="AE390" s="36" t="s">
        <v>79</v>
      </c>
      <c r="AF390" s="65"/>
      <c r="AG390" s="65"/>
      <c r="AH390" s="36"/>
    </row>
    <row r="391" ht="45.75" customHeight="1">
      <c r="A391" s="36">
        <v>390.0</v>
      </c>
      <c r="B391" s="36">
        <v>6596.0</v>
      </c>
      <c r="C391" s="36" t="s">
        <v>11</v>
      </c>
      <c r="D391" s="36" t="s">
        <v>2707</v>
      </c>
      <c r="E391" s="36" t="s">
        <v>2914</v>
      </c>
      <c r="F391" s="36" t="s">
        <v>3115</v>
      </c>
      <c r="G391" s="42" t="s">
        <v>3126</v>
      </c>
      <c r="H391" s="36" t="s">
        <v>64</v>
      </c>
      <c r="I391" s="36" t="s">
        <v>65</v>
      </c>
      <c r="J391" s="36" t="s">
        <v>62</v>
      </c>
      <c r="K391" s="36" t="s">
        <v>68</v>
      </c>
      <c r="L391" s="36">
        <v>300.0</v>
      </c>
      <c r="M391" s="36" t="s">
        <v>3140</v>
      </c>
      <c r="N391" s="36" t="s">
        <v>71</v>
      </c>
      <c r="O391" s="36" t="s">
        <v>72</v>
      </c>
      <c r="P391" s="36" t="s">
        <v>7671</v>
      </c>
      <c r="Q391" s="40"/>
      <c r="R391" s="36"/>
      <c r="S391" s="40"/>
      <c r="T391" s="40"/>
      <c r="U391" s="36">
        <v>12.0</v>
      </c>
      <c r="V391" s="40"/>
      <c r="W391" s="40"/>
      <c r="X391" s="56" t="s">
        <v>93</v>
      </c>
      <c r="Y391" s="57" t="s">
        <v>7675</v>
      </c>
      <c r="Z391" s="36">
        <v>9.209257431E9</v>
      </c>
      <c r="AA391" s="57" t="s">
        <v>7677</v>
      </c>
      <c r="AB391" s="58">
        <v>46023.0</v>
      </c>
      <c r="AC391" s="53" t="s">
        <v>7419</v>
      </c>
      <c r="AD391" s="36" t="s">
        <v>3181</v>
      </c>
      <c r="AE391" s="36" t="s">
        <v>79</v>
      </c>
      <c r="AF391" s="65"/>
      <c r="AG391" s="65"/>
      <c r="AH391" s="36"/>
    </row>
    <row r="392" ht="45.75" customHeight="1">
      <c r="A392" s="36">
        <v>391.0</v>
      </c>
      <c r="B392" s="36">
        <v>5032.0</v>
      </c>
      <c r="C392" s="36" t="s">
        <v>11</v>
      </c>
      <c r="D392" s="36" t="s">
        <v>2707</v>
      </c>
      <c r="E392" s="36" t="s">
        <v>2914</v>
      </c>
      <c r="F392" s="36" t="s">
        <v>7681</v>
      </c>
      <c r="G392" s="42" t="s">
        <v>7682</v>
      </c>
      <c r="H392" s="36" t="s">
        <v>64</v>
      </c>
      <c r="I392" s="36" t="s">
        <v>3406</v>
      </c>
      <c r="J392" s="36" t="s">
        <v>62</v>
      </c>
      <c r="K392" s="36" t="s">
        <v>68</v>
      </c>
      <c r="L392" s="36">
        <v>1334.0</v>
      </c>
      <c r="M392" s="36" t="s">
        <v>7685</v>
      </c>
      <c r="N392" s="36" t="s">
        <v>71</v>
      </c>
      <c r="O392" s="36" t="s">
        <v>72</v>
      </c>
      <c r="P392" s="36" t="s">
        <v>7686</v>
      </c>
      <c r="Q392" s="40"/>
      <c r="R392" s="36"/>
      <c r="S392" s="40"/>
      <c r="T392" s="40"/>
      <c r="U392" s="36">
        <v>15.0</v>
      </c>
      <c r="V392" s="40"/>
      <c r="W392" s="40"/>
      <c r="X392" s="56" t="s">
        <v>93</v>
      </c>
      <c r="Y392" s="57" t="s">
        <v>7691</v>
      </c>
      <c r="Z392" s="36" t="s">
        <v>7692</v>
      </c>
      <c r="AA392" s="57" t="s">
        <v>7693</v>
      </c>
      <c r="AB392" s="58">
        <v>46023.0</v>
      </c>
      <c r="AC392" s="53" t="s">
        <v>7419</v>
      </c>
      <c r="AD392" s="36" t="s">
        <v>7694</v>
      </c>
      <c r="AE392" s="36" t="s">
        <v>79</v>
      </c>
      <c r="AF392" s="65"/>
      <c r="AG392" s="65"/>
      <c r="AH392" s="36"/>
    </row>
    <row r="393" ht="45.75" customHeight="1">
      <c r="A393" s="36">
        <v>392.0</v>
      </c>
      <c r="B393" s="36">
        <v>3872.0</v>
      </c>
      <c r="C393" s="36" t="s">
        <v>11</v>
      </c>
      <c r="D393" s="36" t="s">
        <v>2707</v>
      </c>
      <c r="E393" s="36" t="s">
        <v>3193</v>
      </c>
      <c r="F393" s="36" t="s">
        <v>3195</v>
      </c>
      <c r="G393" s="42" t="s">
        <v>3198</v>
      </c>
      <c r="H393" s="36" t="s">
        <v>64</v>
      </c>
      <c r="I393" s="36" t="s">
        <v>65</v>
      </c>
      <c r="J393" s="36" t="s">
        <v>62</v>
      </c>
      <c r="K393" s="36" t="s">
        <v>68</v>
      </c>
      <c r="L393" s="36">
        <v>300.0</v>
      </c>
      <c r="M393" s="36" t="s">
        <v>3208</v>
      </c>
      <c r="N393" s="36" t="s">
        <v>71</v>
      </c>
      <c r="O393" s="36" t="s">
        <v>72</v>
      </c>
      <c r="P393" s="36" t="s">
        <v>7703</v>
      </c>
      <c r="Q393" s="40"/>
      <c r="R393" s="36"/>
      <c r="S393" s="40"/>
      <c r="T393" s="40"/>
      <c r="U393" s="36">
        <v>12.0</v>
      </c>
      <c r="V393" s="40"/>
      <c r="W393" s="40"/>
      <c r="X393" s="56" t="s">
        <v>93</v>
      </c>
      <c r="Y393" s="57" t="s">
        <v>7706</v>
      </c>
      <c r="Z393" s="36" t="s">
        <v>7707</v>
      </c>
      <c r="AA393" s="57" t="s">
        <v>7708</v>
      </c>
      <c r="AB393" s="58">
        <v>46023.0</v>
      </c>
      <c r="AC393" s="53" t="s">
        <v>7419</v>
      </c>
      <c r="AD393" s="36" t="s">
        <v>3255</v>
      </c>
      <c r="AE393" s="36" t="s">
        <v>79</v>
      </c>
      <c r="AF393" s="65"/>
      <c r="AG393" s="36" t="s">
        <v>7711</v>
      </c>
      <c r="AH393" s="36"/>
    </row>
    <row r="394" ht="45.75" customHeight="1">
      <c r="A394" s="36">
        <v>393.0</v>
      </c>
      <c r="B394" s="36">
        <v>3499.0</v>
      </c>
      <c r="C394" s="36" t="s">
        <v>11</v>
      </c>
      <c r="D394" s="36" t="s">
        <v>2707</v>
      </c>
      <c r="E394" s="36" t="s">
        <v>3265</v>
      </c>
      <c r="F394" s="36" t="s">
        <v>7716</v>
      </c>
      <c r="G394" s="42" t="s">
        <v>7717</v>
      </c>
      <c r="H394" s="36" t="s">
        <v>64</v>
      </c>
      <c r="I394" s="36" t="s">
        <v>155</v>
      </c>
      <c r="J394" s="36" t="s">
        <v>62</v>
      </c>
      <c r="K394" s="36" t="s">
        <v>68</v>
      </c>
      <c r="L394" s="36">
        <v>206.0</v>
      </c>
      <c r="M394" s="36" t="s">
        <v>7720</v>
      </c>
      <c r="N394" s="36" t="s">
        <v>71</v>
      </c>
      <c r="O394" s="40"/>
      <c r="P394" s="36" t="s">
        <v>7722</v>
      </c>
      <c r="Q394" s="40"/>
      <c r="R394" s="36"/>
      <c r="S394" s="40"/>
      <c r="T394" s="40"/>
      <c r="U394" s="36">
        <v>9.0</v>
      </c>
      <c r="V394" s="40"/>
      <c r="W394" s="40"/>
      <c r="X394" s="56" t="s">
        <v>93</v>
      </c>
      <c r="Y394" s="57" t="s">
        <v>7726</v>
      </c>
      <c r="Z394" s="36">
        <v>9.156801596E9</v>
      </c>
      <c r="AA394" s="57" t="s">
        <v>7728</v>
      </c>
      <c r="AB394" s="58">
        <v>46023.0</v>
      </c>
      <c r="AC394" s="146">
        <v>46387.0</v>
      </c>
      <c r="AD394" s="36" t="s">
        <v>7729</v>
      </c>
      <c r="AE394" s="36" t="s">
        <v>79</v>
      </c>
      <c r="AF394" s="65"/>
      <c r="AG394" s="36" t="s">
        <v>7731</v>
      </c>
      <c r="AH394" s="36"/>
    </row>
    <row r="395" ht="45.75" customHeight="1">
      <c r="A395" s="36">
        <v>394.0</v>
      </c>
      <c r="B395" s="36">
        <v>2232.0</v>
      </c>
      <c r="C395" s="36" t="s">
        <v>11</v>
      </c>
      <c r="D395" s="36" t="s">
        <v>2707</v>
      </c>
      <c r="E395" s="36" t="s">
        <v>3265</v>
      </c>
      <c r="F395" s="36" t="s">
        <v>3268</v>
      </c>
      <c r="G395" s="42" t="s">
        <v>3271</v>
      </c>
      <c r="H395" s="36" t="s">
        <v>64</v>
      </c>
      <c r="I395" s="36" t="s">
        <v>65</v>
      </c>
      <c r="J395" s="36" t="s">
        <v>663</v>
      </c>
      <c r="K395" s="36" t="s">
        <v>68</v>
      </c>
      <c r="L395" s="36">
        <v>50.0</v>
      </c>
      <c r="M395" s="36" t="s">
        <v>28</v>
      </c>
      <c r="N395" s="36" t="s">
        <v>221</v>
      </c>
      <c r="O395" s="40"/>
      <c r="P395" s="36" t="s">
        <v>7740</v>
      </c>
      <c r="Q395" s="40"/>
      <c r="R395" s="40"/>
      <c r="S395" s="40"/>
      <c r="T395" s="40"/>
      <c r="U395" s="40"/>
      <c r="V395" s="40"/>
      <c r="W395" s="40"/>
      <c r="X395" s="56" t="s">
        <v>93</v>
      </c>
      <c r="Y395" s="57" t="s">
        <v>7743</v>
      </c>
      <c r="Z395" s="36">
        <v>8.8072628E7</v>
      </c>
      <c r="AA395" s="57" t="s">
        <v>7744</v>
      </c>
      <c r="AB395" s="58">
        <v>46023.0</v>
      </c>
      <c r="AC395" s="53" t="s">
        <v>7419</v>
      </c>
      <c r="AD395" s="36" t="s">
        <v>3301</v>
      </c>
      <c r="AE395" s="36" t="s">
        <v>79</v>
      </c>
      <c r="AF395" s="65"/>
      <c r="AG395" s="65"/>
      <c r="AH395" s="36"/>
    </row>
    <row r="396" ht="45.75" customHeight="1">
      <c r="A396" s="36">
        <v>395.0</v>
      </c>
      <c r="B396" s="36" t="s">
        <v>7746</v>
      </c>
      <c r="C396" s="36" t="s">
        <v>11</v>
      </c>
      <c r="D396" s="36" t="s">
        <v>2707</v>
      </c>
      <c r="E396" s="36" t="s">
        <v>7749</v>
      </c>
      <c r="F396" s="36" t="s">
        <v>7751</v>
      </c>
      <c r="G396" s="42" t="s">
        <v>7752</v>
      </c>
      <c r="H396" s="36" t="s">
        <v>64</v>
      </c>
      <c r="I396" s="36" t="s">
        <v>155</v>
      </c>
      <c r="J396" s="36" t="s">
        <v>62</v>
      </c>
      <c r="K396" s="36" t="s">
        <v>111</v>
      </c>
      <c r="L396" s="36">
        <v>62.0</v>
      </c>
      <c r="M396" s="36" t="s">
        <v>956</v>
      </c>
      <c r="N396" s="131" t="s">
        <v>66</v>
      </c>
      <c r="O396" s="131" t="s">
        <v>67</v>
      </c>
      <c r="P396" s="131" t="s">
        <v>7755</v>
      </c>
      <c r="Q396" s="190"/>
      <c r="R396" s="131"/>
      <c r="S396" s="40"/>
      <c r="T396" s="40"/>
      <c r="U396" s="36">
        <v>8.0</v>
      </c>
      <c r="V396" s="40"/>
      <c r="W396" s="40"/>
      <c r="X396" s="36" t="s">
        <v>93</v>
      </c>
      <c r="Y396" s="36" t="s">
        <v>7759</v>
      </c>
      <c r="Z396" s="36" t="s">
        <v>7761</v>
      </c>
      <c r="AA396" s="36" t="s">
        <v>7762</v>
      </c>
      <c r="AB396" s="58">
        <v>46023.0</v>
      </c>
      <c r="AC396" s="146">
        <v>46387.0</v>
      </c>
      <c r="AD396" s="57" t="s">
        <v>7763</v>
      </c>
      <c r="AE396" s="53" t="s">
        <v>79</v>
      </c>
      <c r="AF396" s="65"/>
      <c r="AG396" s="65"/>
      <c r="AH396" s="36"/>
    </row>
    <row r="397" ht="45.75" customHeight="1">
      <c r="A397" s="36">
        <v>396.0</v>
      </c>
      <c r="B397" s="36" t="s">
        <v>7766</v>
      </c>
      <c r="C397" s="36" t="s">
        <v>11</v>
      </c>
      <c r="D397" s="36" t="s">
        <v>2707</v>
      </c>
      <c r="E397" s="36" t="s">
        <v>7768</v>
      </c>
      <c r="F397" s="36" t="s">
        <v>7769</v>
      </c>
      <c r="G397" s="42" t="s">
        <v>7770</v>
      </c>
      <c r="H397" s="36" t="s">
        <v>64</v>
      </c>
      <c r="I397" s="36" t="s">
        <v>155</v>
      </c>
      <c r="J397" s="36" t="s">
        <v>62</v>
      </c>
      <c r="K397" s="36" t="s">
        <v>63</v>
      </c>
      <c r="L397" s="36">
        <v>83.0</v>
      </c>
      <c r="M397" s="36" t="s">
        <v>7775</v>
      </c>
      <c r="N397" s="131" t="s">
        <v>66</v>
      </c>
      <c r="O397" s="190"/>
      <c r="P397" s="131" t="s">
        <v>7776</v>
      </c>
      <c r="Q397" s="190"/>
      <c r="R397" s="131"/>
      <c r="S397" s="40"/>
      <c r="T397" s="40"/>
      <c r="U397" s="36">
        <v>7.0</v>
      </c>
      <c r="V397" s="40"/>
      <c r="W397" s="40"/>
      <c r="X397" s="36" t="s">
        <v>93</v>
      </c>
      <c r="Y397" s="36" t="s">
        <v>7779</v>
      </c>
      <c r="Z397" s="36" t="s">
        <v>7780</v>
      </c>
      <c r="AA397" s="36" t="s">
        <v>7781</v>
      </c>
      <c r="AB397" s="58">
        <v>46023.0</v>
      </c>
      <c r="AC397" s="146">
        <v>46387.0</v>
      </c>
      <c r="AD397" s="57" t="s">
        <v>7782</v>
      </c>
      <c r="AE397" s="53" t="s">
        <v>79</v>
      </c>
      <c r="AF397" s="65"/>
      <c r="AG397" s="65"/>
      <c r="AH397" s="36"/>
    </row>
    <row r="398" ht="45.75" customHeight="1">
      <c r="A398" s="36">
        <v>397.0</v>
      </c>
      <c r="B398" s="36" t="s">
        <v>7786</v>
      </c>
      <c r="C398" s="36" t="s">
        <v>11</v>
      </c>
      <c r="D398" s="36" t="s">
        <v>2707</v>
      </c>
      <c r="E398" s="36" t="s">
        <v>7768</v>
      </c>
      <c r="F398" s="36" t="s">
        <v>7788</v>
      </c>
      <c r="G398" s="42" t="s">
        <v>7789</v>
      </c>
      <c r="H398" s="36" t="s">
        <v>64</v>
      </c>
      <c r="I398" s="36" t="s">
        <v>155</v>
      </c>
      <c r="J398" s="36" t="s">
        <v>62</v>
      </c>
      <c r="K398" s="36" t="s">
        <v>63</v>
      </c>
      <c r="L398" s="36">
        <v>70.0</v>
      </c>
      <c r="M398" s="36" t="s">
        <v>7792</v>
      </c>
      <c r="N398" s="131" t="s">
        <v>66</v>
      </c>
      <c r="O398" s="131" t="s">
        <v>72</v>
      </c>
      <c r="P398" s="131" t="s">
        <v>7793</v>
      </c>
      <c r="Q398" s="190"/>
      <c r="R398" s="131"/>
      <c r="S398" s="40"/>
      <c r="T398" s="40"/>
      <c r="U398" s="36">
        <v>9.0</v>
      </c>
      <c r="V398" s="40"/>
      <c r="W398" s="40"/>
      <c r="X398" s="36" t="s">
        <v>93</v>
      </c>
      <c r="Y398" s="36" t="s">
        <v>7798</v>
      </c>
      <c r="Z398" s="36" t="s">
        <v>7799</v>
      </c>
      <c r="AA398" s="36" t="s">
        <v>7800</v>
      </c>
      <c r="AB398" s="58">
        <v>46023.0</v>
      </c>
      <c r="AC398" s="146">
        <v>46387.0</v>
      </c>
      <c r="AD398" s="57" t="s">
        <v>7802</v>
      </c>
      <c r="AE398" s="53" t="s">
        <v>79</v>
      </c>
      <c r="AF398" s="65"/>
      <c r="AG398" s="65"/>
      <c r="AH398" s="36"/>
    </row>
    <row r="399" ht="45.75" customHeight="1">
      <c r="A399" s="36">
        <v>398.0</v>
      </c>
      <c r="B399" s="36" t="s">
        <v>7804</v>
      </c>
      <c r="C399" s="36" t="s">
        <v>11</v>
      </c>
      <c r="D399" s="36" t="s">
        <v>2707</v>
      </c>
      <c r="E399" s="36" t="s">
        <v>3313</v>
      </c>
      <c r="F399" s="36" t="s">
        <v>7807</v>
      </c>
      <c r="G399" s="42" t="s">
        <v>7808</v>
      </c>
      <c r="H399" s="36" t="s">
        <v>64</v>
      </c>
      <c r="I399" s="36" t="s">
        <v>3077</v>
      </c>
      <c r="J399" s="36" t="s">
        <v>62</v>
      </c>
      <c r="K399" s="36" t="s">
        <v>111</v>
      </c>
      <c r="L399" s="36">
        <v>100.0</v>
      </c>
      <c r="M399" s="36" t="s">
        <v>7567</v>
      </c>
      <c r="N399" s="131" t="s">
        <v>66</v>
      </c>
      <c r="O399" s="131" t="s">
        <v>72</v>
      </c>
      <c r="P399" s="131" t="s">
        <v>7815</v>
      </c>
      <c r="Q399" s="190"/>
      <c r="R399" s="131"/>
      <c r="S399" s="40"/>
      <c r="T399" s="40"/>
      <c r="U399" s="36">
        <v>0.0</v>
      </c>
      <c r="V399" s="40"/>
      <c r="W399" s="40"/>
      <c r="X399" s="36" t="s">
        <v>93</v>
      </c>
      <c r="Y399" s="36" t="s">
        <v>7817</v>
      </c>
      <c r="Z399" s="36" t="s">
        <v>7819</v>
      </c>
      <c r="AA399" s="36" t="s">
        <v>7821</v>
      </c>
      <c r="AB399" s="58">
        <v>46023.0</v>
      </c>
      <c r="AC399" s="146">
        <v>46387.0</v>
      </c>
      <c r="AD399" s="57" t="s">
        <v>7823</v>
      </c>
      <c r="AE399" s="53" t="s">
        <v>79</v>
      </c>
      <c r="AF399" s="65"/>
      <c r="AG399" s="65"/>
      <c r="AH399" s="36"/>
    </row>
    <row r="400" ht="45.75" customHeight="1">
      <c r="A400" s="36">
        <v>399.0</v>
      </c>
      <c r="B400" s="36">
        <v>699.0</v>
      </c>
      <c r="C400" s="36" t="s">
        <v>11</v>
      </c>
      <c r="D400" s="36" t="s">
        <v>2707</v>
      </c>
      <c r="E400" s="36" t="s">
        <v>3313</v>
      </c>
      <c r="F400" s="36" t="s">
        <v>7826</v>
      </c>
      <c r="G400" s="42" t="s">
        <v>7828</v>
      </c>
      <c r="H400" s="36" t="s">
        <v>64</v>
      </c>
      <c r="I400" s="36" t="s">
        <v>155</v>
      </c>
      <c r="J400" s="36" t="s">
        <v>62</v>
      </c>
      <c r="K400" s="36" t="s">
        <v>68</v>
      </c>
      <c r="L400" s="36">
        <v>150.0</v>
      </c>
      <c r="M400" s="36" t="s">
        <v>7586</v>
      </c>
      <c r="N400" s="36" t="s">
        <v>71</v>
      </c>
      <c r="O400" s="36" t="s">
        <v>72</v>
      </c>
      <c r="P400" s="36">
        <v>1.0</v>
      </c>
      <c r="Q400" s="40"/>
      <c r="R400" s="36"/>
      <c r="S400" s="40"/>
      <c r="T400" s="40"/>
      <c r="U400" s="36">
        <v>10.0</v>
      </c>
      <c r="V400" s="40"/>
      <c r="W400" s="40"/>
      <c r="X400" s="56" t="s">
        <v>93</v>
      </c>
      <c r="Y400" s="57" t="s">
        <v>7835</v>
      </c>
      <c r="Z400" s="36">
        <v>2.88336022E8</v>
      </c>
      <c r="AA400" s="57" t="s">
        <v>7836</v>
      </c>
      <c r="AB400" s="58">
        <v>46023.0</v>
      </c>
      <c r="AC400" s="146">
        <v>46387.0</v>
      </c>
      <c r="AD400" s="36" t="s">
        <v>7833</v>
      </c>
      <c r="AE400" s="36" t="s">
        <v>79</v>
      </c>
      <c r="AF400" s="65"/>
      <c r="AG400" s="65"/>
      <c r="AH400" s="36"/>
    </row>
    <row r="401" ht="45.75" customHeight="1">
      <c r="A401" s="36">
        <v>400.0</v>
      </c>
      <c r="B401" s="36">
        <v>727.0</v>
      </c>
      <c r="C401" s="36" t="s">
        <v>11</v>
      </c>
      <c r="D401" s="36" t="s">
        <v>2707</v>
      </c>
      <c r="E401" s="36" t="s">
        <v>3313</v>
      </c>
      <c r="F401" s="36" t="s">
        <v>3314</v>
      </c>
      <c r="G401" s="42" t="s">
        <v>3316</v>
      </c>
      <c r="H401" s="36" t="s">
        <v>64</v>
      </c>
      <c r="I401" s="36" t="s">
        <v>65</v>
      </c>
      <c r="J401" s="36" t="s">
        <v>62</v>
      </c>
      <c r="K401" s="36" t="s">
        <v>68</v>
      </c>
      <c r="L401" s="36">
        <v>300.0</v>
      </c>
      <c r="M401" s="36" t="s">
        <v>3208</v>
      </c>
      <c r="N401" s="36" t="s">
        <v>71</v>
      </c>
      <c r="O401" s="36" t="s">
        <v>72</v>
      </c>
      <c r="P401" s="36">
        <v>1.0</v>
      </c>
      <c r="Q401" s="40"/>
      <c r="R401" s="36"/>
      <c r="S401" s="40"/>
      <c r="T401" s="40"/>
      <c r="U401" s="36">
        <v>9.0</v>
      </c>
      <c r="V401" s="40"/>
      <c r="W401" s="40"/>
      <c r="X401" s="56" t="s">
        <v>93</v>
      </c>
      <c r="Y401" s="57" t="s">
        <v>7847</v>
      </c>
      <c r="Z401" s="36" t="s">
        <v>3340</v>
      </c>
      <c r="AA401" s="57" t="s">
        <v>7848</v>
      </c>
      <c r="AB401" s="58">
        <v>46023.0</v>
      </c>
      <c r="AC401" s="53" t="s">
        <v>7419</v>
      </c>
      <c r="AD401" s="36" t="s">
        <v>3348</v>
      </c>
      <c r="AE401" s="36" t="s">
        <v>79</v>
      </c>
      <c r="AF401" s="65"/>
      <c r="AG401" s="65"/>
      <c r="AH401" s="36"/>
    </row>
    <row r="402" ht="45.75" customHeight="1">
      <c r="A402" s="36">
        <v>401.0</v>
      </c>
      <c r="B402" s="36" t="s">
        <v>7851</v>
      </c>
      <c r="C402" s="36" t="s">
        <v>11</v>
      </c>
      <c r="D402" s="36" t="s">
        <v>2707</v>
      </c>
      <c r="E402" s="36" t="s">
        <v>7854</v>
      </c>
      <c r="F402" s="36" t="s">
        <v>7855</v>
      </c>
      <c r="G402" s="42" t="s">
        <v>7856</v>
      </c>
      <c r="H402" s="36" t="s">
        <v>64</v>
      </c>
      <c r="I402" s="36" t="s">
        <v>155</v>
      </c>
      <c r="J402" s="36" t="s">
        <v>663</v>
      </c>
      <c r="K402" s="36" t="s">
        <v>111</v>
      </c>
      <c r="L402" s="36">
        <v>64.0</v>
      </c>
      <c r="M402" s="36" t="s">
        <v>7872</v>
      </c>
      <c r="N402" s="36" t="s">
        <v>221</v>
      </c>
      <c r="O402" s="36" t="s">
        <v>67</v>
      </c>
      <c r="P402" s="36" t="s">
        <v>7874</v>
      </c>
      <c r="Q402" s="40"/>
      <c r="R402" s="36"/>
      <c r="S402" s="40"/>
      <c r="T402" s="40"/>
      <c r="U402" s="36">
        <v>0.0</v>
      </c>
      <c r="V402" s="40"/>
      <c r="W402" s="40"/>
      <c r="X402" s="56" t="s">
        <v>93</v>
      </c>
      <c r="Y402" s="57" t="s">
        <v>7877</v>
      </c>
      <c r="Z402" s="36" t="s">
        <v>7878</v>
      </c>
      <c r="AA402" s="57" t="s">
        <v>7879</v>
      </c>
      <c r="AB402" s="58">
        <v>46023.0</v>
      </c>
      <c r="AC402" s="53" t="s">
        <v>7419</v>
      </c>
      <c r="AD402" s="36" t="s">
        <v>7881</v>
      </c>
      <c r="AE402" s="36" t="s">
        <v>79</v>
      </c>
      <c r="AF402" s="65"/>
      <c r="AG402" s="65"/>
      <c r="AH402" s="36"/>
    </row>
    <row r="403" ht="45.75" customHeight="1">
      <c r="A403" s="36">
        <v>402.0</v>
      </c>
      <c r="B403" s="36">
        <v>700.0</v>
      </c>
      <c r="C403" s="36" t="s">
        <v>11</v>
      </c>
      <c r="D403" s="36" t="s">
        <v>2707</v>
      </c>
      <c r="E403" s="36" t="s">
        <v>7854</v>
      </c>
      <c r="F403" s="36" t="s">
        <v>7885</v>
      </c>
      <c r="G403" s="42" t="s">
        <v>7886</v>
      </c>
      <c r="H403" s="36" t="s">
        <v>64</v>
      </c>
      <c r="I403" s="36" t="s">
        <v>155</v>
      </c>
      <c r="J403" s="36" t="s">
        <v>62</v>
      </c>
      <c r="K403" s="36" t="s">
        <v>68</v>
      </c>
      <c r="L403" s="36">
        <v>200.0</v>
      </c>
      <c r="M403" s="36" t="s">
        <v>7890</v>
      </c>
      <c r="N403" s="36" t="s">
        <v>71</v>
      </c>
      <c r="O403" s="40"/>
      <c r="P403" s="36">
        <v>1.0</v>
      </c>
      <c r="Q403" s="40"/>
      <c r="R403" s="36"/>
      <c r="S403" s="40"/>
      <c r="T403" s="40"/>
      <c r="U403" s="36">
        <v>36.0</v>
      </c>
      <c r="V403" s="40"/>
      <c r="W403" s="40"/>
      <c r="X403" s="56" t="s">
        <v>93</v>
      </c>
      <c r="Y403" s="57" t="s">
        <v>7894</v>
      </c>
      <c r="Z403" s="36" t="s">
        <v>7895</v>
      </c>
      <c r="AA403" s="57" t="s">
        <v>7897</v>
      </c>
      <c r="AB403" s="58">
        <v>46023.0</v>
      </c>
      <c r="AC403" s="53" t="s">
        <v>7419</v>
      </c>
      <c r="AD403" s="36" t="s">
        <v>7899</v>
      </c>
      <c r="AE403" s="36" t="s">
        <v>79</v>
      </c>
      <c r="AF403" s="65"/>
      <c r="AG403" s="65"/>
      <c r="AH403" s="51"/>
    </row>
    <row r="404" ht="45.75" customHeight="1">
      <c r="A404" s="36">
        <v>403.0</v>
      </c>
      <c r="B404" s="36">
        <v>540.0</v>
      </c>
      <c r="C404" s="36" t="s">
        <v>11</v>
      </c>
      <c r="D404" s="36" t="s">
        <v>2707</v>
      </c>
      <c r="E404" s="36" t="s">
        <v>3419</v>
      </c>
      <c r="F404" s="36" t="s">
        <v>3424</v>
      </c>
      <c r="G404" s="42" t="s">
        <v>3428</v>
      </c>
      <c r="H404" s="36" t="s">
        <v>64</v>
      </c>
      <c r="I404" s="36" t="s">
        <v>65</v>
      </c>
      <c r="J404" s="36" t="s">
        <v>62</v>
      </c>
      <c r="K404" s="36" t="s">
        <v>68</v>
      </c>
      <c r="L404" s="36">
        <v>1000.0</v>
      </c>
      <c r="M404" s="36" t="s">
        <v>7905</v>
      </c>
      <c r="N404" s="36" t="s">
        <v>71</v>
      </c>
      <c r="O404" s="36" t="s">
        <v>72</v>
      </c>
      <c r="P404" s="36" t="s">
        <v>1180</v>
      </c>
      <c r="Q404" s="40"/>
      <c r="R404" s="36"/>
      <c r="S404" s="36"/>
      <c r="T404" s="40"/>
      <c r="U404" s="36">
        <v>25.0</v>
      </c>
      <c r="V404" s="36"/>
      <c r="W404" s="36" t="s">
        <v>533</v>
      </c>
      <c r="X404" s="56" t="s">
        <v>93</v>
      </c>
      <c r="Y404" s="57" t="s">
        <v>7909</v>
      </c>
      <c r="Z404" s="36">
        <v>9.959182309E9</v>
      </c>
      <c r="AA404" s="57" t="s">
        <v>7910</v>
      </c>
      <c r="AB404" s="58">
        <v>46023.0</v>
      </c>
      <c r="AC404" s="53" t="s">
        <v>7419</v>
      </c>
      <c r="AD404" s="36" t="s">
        <v>3461</v>
      </c>
      <c r="AE404" s="36" t="s">
        <v>79</v>
      </c>
      <c r="AF404" s="65"/>
      <c r="AG404" s="65"/>
      <c r="AH404" s="51"/>
    </row>
    <row r="405" ht="45.75" customHeight="1">
      <c r="A405" s="36">
        <v>404.0</v>
      </c>
      <c r="B405" s="36">
        <v>6028.0</v>
      </c>
      <c r="C405" s="36" t="s">
        <v>11</v>
      </c>
      <c r="D405" s="36" t="s">
        <v>2707</v>
      </c>
      <c r="E405" s="36" t="s">
        <v>3419</v>
      </c>
      <c r="F405" s="36" t="s">
        <v>7914</v>
      </c>
      <c r="G405" s="42" t="s">
        <v>7915</v>
      </c>
      <c r="H405" s="36" t="s">
        <v>64</v>
      </c>
      <c r="I405" s="36" t="s">
        <v>7917</v>
      </c>
      <c r="J405" s="36" t="s">
        <v>663</v>
      </c>
      <c r="K405" s="36" t="s">
        <v>68</v>
      </c>
      <c r="L405" s="36">
        <v>237.0</v>
      </c>
      <c r="M405" s="36" t="s">
        <v>7921</v>
      </c>
      <c r="N405" s="36" t="s">
        <v>71</v>
      </c>
      <c r="O405" s="36" t="s">
        <v>72</v>
      </c>
      <c r="P405" s="36">
        <v>1.0</v>
      </c>
      <c r="Q405" s="40"/>
      <c r="R405" s="36"/>
      <c r="S405" s="36"/>
      <c r="T405" s="40"/>
      <c r="U405" s="36">
        <v>8.0</v>
      </c>
      <c r="V405" s="36"/>
      <c r="W405" s="36" t="s">
        <v>6751</v>
      </c>
      <c r="X405" s="56" t="s">
        <v>93</v>
      </c>
      <c r="Y405" s="57" t="s">
        <v>7925</v>
      </c>
      <c r="Z405" s="36" t="s">
        <v>7926</v>
      </c>
      <c r="AA405" s="57" t="s">
        <v>7927</v>
      </c>
      <c r="AB405" s="58">
        <v>46023.0</v>
      </c>
      <c r="AC405" s="53" t="s">
        <v>7419</v>
      </c>
      <c r="AD405" s="36" t="s">
        <v>7929</v>
      </c>
      <c r="AE405" s="36" t="s">
        <v>79</v>
      </c>
      <c r="AF405" s="65"/>
      <c r="AG405" s="36" t="s">
        <v>7932</v>
      </c>
      <c r="AH405" s="51"/>
    </row>
    <row r="406" ht="45.75" customHeight="1">
      <c r="A406" s="36">
        <v>405.0</v>
      </c>
      <c r="B406" s="36">
        <v>6046.0</v>
      </c>
      <c r="C406" s="36" t="s">
        <v>11</v>
      </c>
      <c r="D406" s="36" t="s">
        <v>2707</v>
      </c>
      <c r="E406" s="36" t="s">
        <v>3419</v>
      </c>
      <c r="F406" s="36" t="s">
        <v>3366</v>
      </c>
      <c r="G406" s="42" t="s">
        <v>3368</v>
      </c>
      <c r="H406" s="36" t="s">
        <v>64</v>
      </c>
      <c r="I406" s="36" t="s">
        <v>65</v>
      </c>
      <c r="J406" s="36" t="s">
        <v>663</v>
      </c>
      <c r="K406" s="36" t="s">
        <v>68</v>
      </c>
      <c r="L406" s="36">
        <v>250.0</v>
      </c>
      <c r="M406" s="36" t="s">
        <v>3384</v>
      </c>
      <c r="N406" s="36" t="s">
        <v>71</v>
      </c>
      <c r="O406" s="36" t="s">
        <v>72</v>
      </c>
      <c r="P406" s="36">
        <v>1.0</v>
      </c>
      <c r="Q406" s="40"/>
      <c r="R406" s="40"/>
      <c r="S406" s="40"/>
      <c r="T406" s="40"/>
      <c r="U406" s="40"/>
      <c r="V406" s="40"/>
      <c r="W406" s="40"/>
      <c r="X406" s="56" t="s">
        <v>93</v>
      </c>
      <c r="Y406" s="57" t="s">
        <v>7940</v>
      </c>
      <c r="Z406" s="36">
        <v>8.7240656E7</v>
      </c>
      <c r="AA406" s="148" t="s">
        <v>7942</v>
      </c>
      <c r="AB406" s="58">
        <v>46023.0</v>
      </c>
      <c r="AC406" s="53" t="s">
        <v>7419</v>
      </c>
      <c r="AD406" s="36" t="s">
        <v>3407</v>
      </c>
      <c r="AE406" s="36" t="s">
        <v>79</v>
      </c>
      <c r="AF406" s="65"/>
      <c r="AG406" s="65"/>
      <c r="AH406" s="51"/>
    </row>
    <row r="407" ht="45.75" customHeight="1">
      <c r="A407" s="36">
        <v>406.0</v>
      </c>
      <c r="B407" s="36">
        <v>1981.0</v>
      </c>
      <c r="C407" s="36" t="s">
        <v>11</v>
      </c>
      <c r="D407" s="36" t="s">
        <v>2707</v>
      </c>
      <c r="E407" s="36" t="s">
        <v>3419</v>
      </c>
      <c r="F407" s="36" t="s">
        <v>7945</v>
      </c>
      <c r="G407" s="42" t="s">
        <v>7947</v>
      </c>
      <c r="H407" s="36" t="s">
        <v>64</v>
      </c>
      <c r="I407" s="36" t="s">
        <v>7917</v>
      </c>
      <c r="J407" s="36" t="s">
        <v>663</v>
      </c>
      <c r="K407" s="36" t="s">
        <v>68</v>
      </c>
      <c r="L407" s="36">
        <v>370.0</v>
      </c>
      <c r="M407" s="36" t="s">
        <v>7953</v>
      </c>
      <c r="N407" s="36" t="s">
        <v>71</v>
      </c>
      <c r="O407" s="36" t="s">
        <v>72</v>
      </c>
      <c r="P407" s="36">
        <v>1.0</v>
      </c>
      <c r="Q407" s="40"/>
      <c r="R407" s="36"/>
      <c r="S407" s="40"/>
      <c r="T407" s="40"/>
      <c r="U407" s="36">
        <v>46.0</v>
      </c>
      <c r="V407" s="40"/>
      <c r="W407" s="40"/>
      <c r="X407" s="56" t="s">
        <v>93</v>
      </c>
      <c r="Y407" s="57" t="s">
        <v>7957</v>
      </c>
      <c r="Z407" s="36" t="s">
        <v>7959</v>
      </c>
      <c r="AA407" s="57" t="s">
        <v>7960</v>
      </c>
      <c r="AB407" s="58">
        <v>46023.0</v>
      </c>
      <c r="AC407" s="53" t="s">
        <v>7419</v>
      </c>
      <c r="AD407" s="36" t="s">
        <v>7962</v>
      </c>
      <c r="AE407" s="36" t="s">
        <v>79</v>
      </c>
      <c r="AF407" s="65"/>
      <c r="AG407" s="65"/>
      <c r="AH407" s="51"/>
    </row>
    <row r="408" ht="45.75" customHeight="1">
      <c r="A408" s="36">
        <v>407.0</v>
      </c>
      <c r="B408" s="36" t="s">
        <v>7964</v>
      </c>
      <c r="C408" s="36" t="s">
        <v>11</v>
      </c>
      <c r="D408" s="36" t="s">
        <v>2707</v>
      </c>
      <c r="E408" s="36" t="s">
        <v>3419</v>
      </c>
      <c r="F408" s="36" t="s">
        <v>7967</v>
      </c>
      <c r="G408" s="42" t="s">
        <v>7968</v>
      </c>
      <c r="H408" s="36" t="s">
        <v>64</v>
      </c>
      <c r="I408" s="36" t="s">
        <v>155</v>
      </c>
      <c r="J408" s="36" t="s">
        <v>62</v>
      </c>
      <c r="K408" s="36" t="s">
        <v>63</v>
      </c>
      <c r="L408" s="36">
        <v>30.0</v>
      </c>
      <c r="M408" s="36"/>
      <c r="N408" s="131" t="s">
        <v>66</v>
      </c>
      <c r="O408" s="131" t="s">
        <v>67</v>
      </c>
      <c r="P408" s="131" t="s">
        <v>7973</v>
      </c>
      <c r="Q408" s="190"/>
      <c r="R408" s="131"/>
      <c r="S408" s="40"/>
      <c r="T408" s="40"/>
      <c r="U408" s="36">
        <v>0.0</v>
      </c>
      <c r="V408" s="40"/>
      <c r="W408" s="40"/>
      <c r="X408" s="36" t="s">
        <v>74</v>
      </c>
      <c r="Y408" s="36" t="s">
        <v>7975</v>
      </c>
      <c r="Z408" s="36">
        <v>8.9310312E7</v>
      </c>
      <c r="AA408" s="36" t="s">
        <v>7978</v>
      </c>
      <c r="AB408" s="58">
        <v>46023.0</v>
      </c>
      <c r="AC408" s="146">
        <v>46387.0</v>
      </c>
      <c r="AD408" s="57" t="s">
        <v>7979</v>
      </c>
      <c r="AE408" s="53" t="s">
        <v>79</v>
      </c>
      <c r="AF408" s="65"/>
      <c r="AG408" s="65"/>
      <c r="AH408" s="51"/>
    </row>
    <row r="409" ht="45.75" customHeight="1">
      <c r="A409" s="36">
        <v>408.0</v>
      </c>
      <c r="B409" s="36">
        <v>713.0</v>
      </c>
      <c r="C409" s="36" t="s">
        <v>11</v>
      </c>
      <c r="D409" s="36" t="s">
        <v>2707</v>
      </c>
      <c r="E409" s="36" t="s">
        <v>3419</v>
      </c>
      <c r="F409" s="36" t="s">
        <v>7982</v>
      </c>
      <c r="G409" s="42" t="s">
        <v>7983</v>
      </c>
      <c r="H409" s="36" t="s">
        <v>64</v>
      </c>
      <c r="I409" s="36" t="s">
        <v>7917</v>
      </c>
      <c r="J409" s="36" t="s">
        <v>663</v>
      </c>
      <c r="K409" s="36" t="s">
        <v>68</v>
      </c>
      <c r="L409" s="36">
        <v>200.0</v>
      </c>
      <c r="M409" s="36" t="s">
        <v>71</v>
      </c>
      <c r="N409" s="36" t="s">
        <v>71</v>
      </c>
      <c r="O409" s="40"/>
      <c r="P409" s="36">
        <v>1.0</v>
      </c>
      <c r="Q409" s="40"/>
      <c r="R409" s="36"/>
      <c r="S409" s="40"/>
      <c r="T409" s="40"/>
      <c r="U409" s="36">
        <v>10.0</v>
      </c>
      <c r="V409" s="40"/>
      <c r="W409" s="40"/>
      <c r="X409" s="56" t="s">
        <v>93</v>
      </c>
      <c r="Y409" s="57" t="s">
        <v>7988</v>
      </c>
      <c r="Z409" s="36">
        <v>8.58899E7</v>
      </c>
      <c r="AA409" s="57" t="s">
        <v>7990</v>
      </c>
      <c r="AB409" s="58">
        <v>46023.0</v>
      </c>
      <c r="AC409" s="53" t="s">
        <v>7419</v>
      </c>
      <c r="AD409" s="36" t="s">
        <v>7992</v>
      </c>
      <c r="AE409" s="36" t="s">
        <v>79</v>
      </c>
      <c r="AF409" s="65"/>
      <c r="AG409" s="65"/>
      <c r="AH409" s="51"/>
    </row>
    <row r="410" ht="45.75" customHeight="1">
      <c r="A410" s="36">
        <v>409.0</v>
      </c>
      <c r="B410" s="36">
        <v>714.0</v>
      </c>
      <c r="C410" s="36" t="s">
        <v>11</v>
      </c>
      <c r="D410" s="36" t="s">
        <v>2707</v>
      </c>
      <c r="E410" s="36" t="s">
        <v>3419</v>
      </c>
      <c r="F410" s="36" t="s">
        <v>7945</v>
      </c>
      <c r="G410" s="42" t="s">
        <v>8000</v>
      </c>
      <c r="H410" s="36" t="s">
        <v>64</v>
      </c>
      <c r="I410" s="36" t="s">
        <v>7917</v>
      </c>
      <c r="J410" s="36" t="s">
        <v>663</v>
      </c>
      <c r="K410" s="36" t="s">
        <v>68</v>
      </c>
      <c r="L410" s="36">
        <v>574.0</v>
      </c>
      <c r="M410" s="36" t="s">
        <v>8005</v>
      </c>
      <c r="N410" s="36" t="s">
        <v>71</v>
      </c>
      <c r="O410" s="36" t="s">
        <v>72</v>
      </c>
      <c r="P410" s="36">
        <v>1.0</v>
      </c>
      <c r="Q410" s="40"/>
      <c r="R410" s="36"/>
      <c r="S410" s="40"/>
      <c r="T410" s="40"/>
      <c r="U410" s="36">
        <v>18.0</v>
      </c>
      <c r="V410" s="40"/>
      <c r="W410" s="40"/>
      <c r="X410" s="56" t="s">
        <v>93</v>
      </c>
      <c r="Y410" s="57" t="s">
        <v>8012</v>
      </c>
      <c r="Z410" s="36" t="s">
        <v>8014</v>
      </c>
      <c r="AA410" s="57" t="s">
        <v>8015</v>
      </c>
      <c r="AB410" s="58">
        <v>46023.0</v>
      </c>
      <c r="AC410" s="53" t="s">
        <v>7419</v>
      </c>
      <c r="AD410" s="36" t="s">
        <v>8017</v>
      </c>
      <c r="AE410" s="36" t="s">
        <v>79</v>
      </c>
      <c r="AF410" s="65"/>
      <c r="AG410" s="65"/>
      <c r="AH410" s="51"/>
    </row>
    <row r="411" ht="45.75" customHeight="1">
      <c r="A411" s="36">
        <v>410.0</v>
      </c>
      <c r="B411" s="36">
        <v>715.0</v>
      </c>
      <c r="C411" s="36" t="s">
        <v>11</v>
      </c>
      <c r="D411" s="36" t="s">
        <v>2707</v>
      </c>
      <c r="E411" s="36" t="s">
        <v>3419</v>
      </c>
      <c r="F411" s="36" t="s">
        <v>3469</v>
      </c>
      <c r="G411" s="42" t="s">
        <v>3480</v>
      </c>
      <c r="H411" s="36" t="s">
        <v>64</v>
      </c>
      <c r="I411" s="36" t="s">
        <v>65</v>
      </c>
      <c r="J411" s="36" t="s">
        <v>663</v>
      </c>
      <c r="K411" s="36" t="s">
        <v>68</v>
      </c>
      <c r="L411" s="36">
        <v>700.0</v>
      </c>
      <c r="M411" s="36" t="s">
        <v>3488</v>
      </c>
      <c r="N411" s="36" t="s">
        <v>221</v>
      </c>
      <c r="O411" s="36" t="s">
        <v>72</v>
      </c>
      <c r="P411" s="36">
        <v>1.0</v>
      </c>
      <c r="Q411" s="40"/>
      <c r="R411" s="40"/>
      <c r="S411" s="40"/>
      <c r="T411" s="40"/>
      <c r="U411" s="40"/>
      <c r="V411" s="40"/>
      <c r="W411" s="40"/>
      <c r="X411" s="56" t="s">
        <v>93</v>
      </c>
      <c r="Y411" s="57" t="s">
        <v>8031</v>
      </c>
      <c r="Z411" s="36">
        <v>8.7114276E7</v>
      </c>
      <c r="AA411" s="57" t="s">
        <v>8034</v>
      </c>
      <c r="AB411" s="58">
        <v>46023.0</v>
      </c>
      <c r="AC411" s="53" t="s">
        <v>7419</v>
      </c>
      <c r="AD411" s="36" t="s">
        <v>3516</v>
      </c>
      <c r="AE411" s="36" t="s">
        <v>79</v>
      </c>
      <c r="AF411" s="65"/>
      <c r="AG411" s="65"/>
      <c r="AH411" s="51"/>
    </row>
    <row r="412" ht="45.75" customHeight="1">
      <c r="A412" s="36">
        <v>411.0</v>
      </c>
      <c r="B412" s="36" t="s">
        <v>8038</v>
      </c>
      <c r="C412" s="36" t="s">
        <v>11</v>
      </c>
      <c r="D412" s="36" t="s">
        <v>2707</v>
      </c>
      <c r="E412" s="36" t="s">
        <v>3419</v>
      </c>
      <c r="F412" s="36" t="s">
        <v>8040</v>
      </c>
      <c r="G412" s="42" t="s">
        <v>8042</v>
      </c>
      <c r="H412" s="36" t="s">
        <v>64</v>
      </c>
      <c r="I412" s="36" t="s">
        <v>8045</v>
      </c>
      <c r="J412" s="36" t="s">
        <v>62</v>
      </c>
      <c r="K412" s="36" t="s">
        <v>111</v>
      </c>
      <c r="L412" s="36">
        <v>176.0</v>
      </c>
      <c r="M412" s="36" t="s">
        <v>221</v>
      </c>
      <c r="N412" s="131" t="s">
        <v>221</v>
      </c>
      <c r="O412" s="131" t="s">
        <v>67</v>
      </c>
      <c r="P412" s="131" t="s">
        <v>8051</v>
      </c>
      <c r="Q412" s="190"/>
      <c r="R412" s="131"/>
      <c r="S412" s="40"/>
      <c r="T412" s="40"/>
      <c r="U412" s="36">
        <v>6.0</v>
      </c>
      <c r="V412" s="40"/>
      <c r="W412" s="40"/>
      <c r="X412" s="36" t="s">
        <v>93</v>
      </c>
      <c r="Y412" s="36" t="s">
        <v>8055</v>
      </c>
      <c r="Z412" s="36" t="s">
        <v>8056</v>
      </c>
      <c r="AA412" s="36" t="s">
        <v>8058</v>
      </c>
      <c r="AB412" s="58">
        <v>46023.0</v>
      </c>
      <c r="AC412" s="146">
        <v>46387.0</v>
      </c>
      <c r="AD412" s="57" t="s">
        <v>8061</v>
      </c>
      <c r="AE412" s="53" t="s">
        <v>79</v>
      </c>
      <c r="AF412" s="65"/>
      <c r="AG412" s="65"/>
      <c r="AH412" s="51"/>
    </row>
    <row r="413" ht="45.75" customHeight="1">
      <c r="A413" s="36">
        <v>412.0</v>
      </c>
      <c r="B413" s="36">
        <v>4124.0</v>
      </c>
      <c r="C413" s="36" t="s">
        <v>11</v>
      </c>
      <c r="D413" s="36" t="s">
        <v>2707</v>
      </c>
      <c r="E413" s="36" t="s">
        <v>3419</v>
      </c>
      <c r="F413" s="36" t="s">
        <v>8063</v>
      </c>
      <c r="G413" s="42" t="s">
        <v>8064</v>
      </c>
      <c r="H413" s="36" t="s">
        <v>64</v>
      </c>
      <c r="I413" s="36" t="s">
        <v>155</v>
      </c>
      <c r="J413" s="36" t="s">
        <v>62</v>
      </c>
      <c r="K413" s="36" t="s">
        <v>68</v>
      </c>
      <c r="L413" s="36">
        <v>250.0</v>
      </c>
      <c r="M413" s="36" t="s">
        <v>7586</v>
      </c>
      <c r="N413" s="36" t="s">
        <v>71</v>
      </c>
      <c r="O413" s="36" t="s">
        <v>72</v>
      </c>
      <c r="P413" s="36" t="s">
        <v>8065</v>
      </c>
      <c r="Q413" s="40"/>
      <c r="R413" s="36"/>
      <c r="S413" s="40"/>
      <c r="T413" s="40"/>
      <c r="U413" s="36">
        <v>10.0</v>
      </c>
      <c r="V413" s="40"/>
      <c r="W413" s="40"/>
      <c r="X413" s="56" t="s">
        <v>93</v>
      </c>
      <c r="Y413" s="57" t="s">
        <v>8068</v>
      </c>
      <c r="Z413" s="36">
        <v>8.86308E7</v>
      </c>
      <c r="AA413" s="57" t="s">
        <v>8069</v>
      </c>
      <c r="AB413" s="58">
        <v>46023.0</v>
      </c>
      <c r="AC413" s="53" t="s">
        <v>7419</v>
      </c>
      <c r="AD413" s="36" t="s">
        <v>8070</v>
      </c>
      <c r="AE413" s="36" t="s">
        <v>79</v>
      </c>
      <c r="AF413" s="65"/>
      <c r="AG413" s="65"/>
      <c r="AH413" s="51"/>
    </row>
    <row r="414" ht="45.75" customHeight="1">
      <c r="A414" s="36">
        <v>413.0</v>
      </c>
      <c r="B414" s="36">
        <v>7520.0</v>
      </c>
      <c r="C414" s="36" t="s">
        <v>11</v>
      </c>
      <c r="D414" s="36" t="s">
        <v>2707</v>
      </c>
      <c r="E414" s="36" t="s">
        <v>3419</v>
      </c>
      <c r="F414" s="36" t="s">
        <v>3533</v>
      </c>
      <c r="G414" s="42" t="s">
        <v>3534</v>
      </c>
      <c r="H414" s="36" t="s">
        <v>64</v>
      </c>
      <c r="I414" s="36" t="s">
        <v>65</v>
      </c>
      <c r="J414" s="36" t="s">
        <v>62</v>
      </c>
      <c r="K414" s="36" t="s">
        <v>68</v>
      </c>
      <c r="L414" s="36">
        <v>639.0</v>
      </c>
      <c r="M414" s="36" t="s">
        <v>3542</v>
      </c>
      <c r="N414" s="36" t="s">
        <v>71</v>
      </c>
      <c r="O414" s="36" t="s">
        <v>72</v>
      </c>
      <c r="P414" s="36" t="s">
        <v>8071</v>
      </c>
      <c r="Q414" s="40"/>
      <c r="R414" s="36"/>
      <c r="S414" s="40"/>
      <c r="T414" s="40"/>
      <c r="U414" s="36">
        <v>4.0</v>
      </c>
      <c r="V414" s="40"/>
      <c r="W414" s="40"/>
      <c r="X414" s="56" t="s">
        <v>93</v>
      </c>
      <c r="Y414" s="57" t="s">
        <v>8076</v>
      </c>
      <c r="Z414" s="36" t="s">
        <v>8077</v>
      </c>
      <c r="AA414" s="57" t="s">
        <v>8078</v>
      </c>
      <c r="AB414" s="58">
        <v>46023.0</v>
      </c>
      <c r="AC414" s="53" t="s">
        <v>7419</v>
      </c>
      <c r="AD414" s="36" t="s">
        <v>3561</v>
      </c>
      <c r="AE414" s="36" t="s">
        <v>79</v>
      </c>
      <c r="AF414" s="65"/>
      <c r="AG414" s="65"/>
      <c r="AH414" s="51"/>
    </row>
    <row r="415" ht="45.75" customHeight="1">
      <c r="A415" s="36">
        <v>414.0</v>
      </c>
      <c r="B415" s="36" t="s">
        <v>8081</v>
      </c>
      <c r="C415" s="36" t="s">
        <v>11</v>
      </c>
      <c r="D415" s="36" t="s">
        <v>2707</v>
      </c>
      <c r="E415" s="36" t="s">
        <v>3419</v>
      </c>
      <c r="F415" s="36" t="s">
        <v>8084</v>
      </c>
      <c r="G415" s="42" t="s">
        <v>8085</v>
      </c>
      <c r="H415" s="36" t="s">
        <v>64</v>
      </c>
      <c r="I415" s="36" t="s">
        <v>155</v>
      </c>
      <c r="J415" s="36" t="s">
        <v>62</v>
      </c>
      <c r="K415" s="36" t="s">
        <v>111</v>
      </c>
      <c r="L415" s="36">
        <v>107.0</v>
      </c>
      <c r="M415" s="36" t="s">
        <v>956</v>
      </c>
      <c r="N415" s="131" t="s">
        <v>66</v>
      </c>
      <c r="O415" s="131" t="s">
        <v>67</v>
      </c>
      <c r="P415" s="131" t="s">
        <v>8089</v>
      </c>
      <c r="Q415" s="190"/>
      <c r="R415" s="131"/>
      <c r="S415" s="40"/>
      <c r="T415" s="40"/>
      <c r="U415" s="36">
        <v>5.0</v>
      </c>
      <c r="V415" s="40"/>
      <c r="W415" s="40"/>
      <c r="X415" s="36" t="s">
        <v>93</v>
      </c>
      <c r="Y415" s="36" t="s">
        <v>8093</v>
      </c>
      <c r="Z415" s="36" t="s">
        <v>8095</v>
      </c>
      <c r="AA415" s="36" t="s">
        <v>8096</v>
      </c>
      <c r="AB415" s="58">
        <v>46023.0</v>
      </c>
      <c r="AC415" s="146">
        <v>46387.0</v>
      </c>
      <c r="AD415" s="57" t="s">
        <v>8097</v>
      </c>
      <c r="AE415" s="53" t="s">
        <v>79</v>
      </c>
      <c r="AF415" s="65"/>
      <c r="AG415" s="65"/>
      <c r="AH415" s="39"/>
    </row>
    <row r="416" ht="45.75" customHeight="1">
      <c r="A416" s="36">
        <v>415.0</v>
      </c>
      <c r="B416" s="36">
        <v>2911.0</v>
      </c>
      <c r="C416" s="36" t="s">
        <v>11</v>
      </c>
      <c r="D416" s="36" t="s">
        <v>2707</v>
      </c>
      <c r="E416" s="36" t="s">
        <v>3419</v>
      </c>
      <c r="F416" s="36" t="s">
        <v>8100</v>
      </c>
      <c r="G416" s="42" t="s">
        <v>8102</v>
      </c>
      <c r="H416" s="36" t="s">
        <v>64</v>
      </c>
      <c r="I416" s="36" t="s">
        <v>8103</v>
      </c>
      <c r="J416" s="36" t="s">
        <v>62</v>
      </c>
      <c r="K416" s="36" t="s">
        <v>68</v>
      </c>
      <c r="L416" s="36">
        <v>766.0</v>
      </c>
      <c r="M416" s="36" t="s">
        <v>3542</v>
      </c>
      <c r="N416" s="36" t="s">
        <v>71</v>
      </c>
      <c r="O416" s="36" t="s">
        <v>72</v>
      </c>
      <c r="P416" s="36">
        <v>2.0</v>
      </c>
      <c r="Q416" s="40"/>
      <c r="R416" s="36"/>
      <c r="S416" s="40"/>
      <c r="T416" s="40"/>
      <c r="U416" s="36">
        <v>50.0</v>
      </c>
      <c r="V416" s="40"/>
      <c r="W416" s="40"/>
      <c r="X416" s="56" t="s">
        <v>93</v>
      </c>
      <c r="Y416" s="57" t="s">
        <v>8110</v>
      </c>
      <c r="Z416" s="36" t="s">
        <v>8112</v>
      </c>
      <c r="AA416" s="57" t="s">
        <v>8114</v>
      </c>
      <c r="AB416" s="58">
        <v>46023.0</v>
      </c>
      <c r="AC416" s="53" t="s">
        <v>7419</v>
      </c>
      <c r="AD416" s="36" t="s">
        <v>8116</v>
      </c>
      <c r="AE416" s="36" t="s">
        <v>79</v>
      </c>
      <c r="AF416" s="65"/>
      <c r="AG416" s="65"/>
      <c r="AH416" s="39"/>
    </row>
    <row r="417" ht="45.75" customHeight="1">
      <c r="A417" s="36">
        <v>416.0</v>
      </c>
      <c r="B417" s="36">
        <v>4639.0</v>
      </c>
      <c r="C417" s="36" t="s">
        <v>11</v>
      </c>
      <c r="D417" s="36" t="s">
        <v>2707</v>
      </c>
      <c r="E417" s="36" t="s">
        <v>3419</v>
      </c>
      <c r="F417" s="36" t="s">
        <v>8120</v>
      </c>
      <c r="G417" s="42" t="s">
        <v>8122</v>
      </c>
      <c r="H417" s="36" t="s">
        <v>64</v>
      </c>
      <c r="I417" s="36" t="s">
        <v>2305</v>
      </c>
      <c r="J417" s="36" t="s">
        <v>62</v>
      </c>
      <c r="K417" s="36" t="s">
        <v>68</v>
      </c>
      <c r="L417" s="36">
        <v>1200.0</v>
      </c>
      <c r="M417" s="36" t="s">
        <v>8126</v>
      </c>
      <c r="N417" s="36" t="s">
        <v>71</v>
      </c>
      <c r="O417" s="36" t="s">
        <v>72</v>
      </c>
      <c r="P417" s="36">
        <v>4.0</v>
      </c>
      <c r="Q417" s="40"/>
      <c r="R417" s="36"/>
      <c r="S417" s="40"/>
      <c r="T417" s="40"/>
      <c r="U417" s="36">
        <v>10.0</v>
      </c>
      <c r="V417" s="40"/>
      <c r="W417" s="40"/>
      <c r="X417" s="56" t="s">
        <v>93</v>
      </c>
      <c r="Y417" s="57" t="s">
        <v>8131</v>
      </c>
      <c r="Z417" s="36" t="s">
        <v>8132</v>
      </c>
      <c r="AA417" s="57" t="s">
        <v>8134</v>
      </c>
      <c r="AB417" s="58">
        <v>46023.0</v>
      </c>
      <c r="AC417" s="53" t="s">
        <v>7419</v>
      </c>
      <c r="AD417" s="36" t="s">
        <v>8138</v>
      </c>
      <c r="AE417" s="36" t="s">
        <v>79</v>
      </c>
      <c r="AF417" s="65"/>
      <c r="AG417" s="65"/>
      <c r="AH417" s="39"/>
    </row>
    <row r="418" ht="45.75" customHeight="1">
      <c r="A418" s="36">
        <v>417.0</v>
      </c>
      <c r="B418" s="36" t="s">
        <v>8139</v>
      </c>
      <c r="C418" s="36" t="s">
        <v>11</v>
      </c>
      <c r="D418" s="36" t="s">
        <v>2707</v>
      </c>
      <c r="E418" s="36" t="s">
        <v>4778</v>
      </c>
      <c r="F418" s="36" t="s">
        <v>8142</v>
      </c>
      <c r="G418" s="42" t="s">
        <v>8144</v>
      </c>
      <c r="H418" s="36" t="s">
        <v>64</v>
      </c>
      <c r="I418" s="36" t="s">
        <v>155</v>
      </c>
      <c r="J418" s="36" t="s">
        <v>62</v>
      </c>
      <c r="K418" s="36" t="s">
        <v>111</v>
      </c>
      <c r="L418" s="36">
        <v>150.0</v>
      </c>
      <c r="M418" s="36" t="s">
        <v>8149</v>
      </c>
      <c r="N418" s="131" t="s">
        <v>221</v>
      </c>
      <c r="O418" s="131" t="s">
        <v>67</v>
      </c>
      <c r="P418" s="131" t="s">
        <v>8152</v>
      </c>
      <c r="Q418" s="190"/>
      <c r="R418" s="131"/>
      <c r="S418" s="40"/>
      <c r="T418" s="40"/>
      <c r="U418" s="36">
        <v>0.0</v>
      </c>
      <c r="V418" s="40"/>
      <c r="W418" s="40"/>
      <c r="X418" s="36" t="s">
        <v>93</v>
      </c>
      <c r="Y418" s="36" t="s">
        <v>8154</v>
      </c>
      <c r="Z418" s="36" t="s">
        <v>8155</v>
      </c>
      <c r="AA418" s="36" t="s">
        <v>8157</v>
      </c>
      <c r="AB418" s="58">
        <v>46023.0</v>
      </c>
      <c r="AC418" s="146">
        <v>46387.0</v>
      </c>
      <c r="AD418" s="57" t="s">
        <v>8159</v>
      </c>
      <c r="AE418" s="53" t="s">
        <v>79</v>
      </c>
      <c r="AF418" s="65"/>
      <c r="AG418" s="65"/>
      <c r="AH418" s="39"/>
    </row>
    <row r="419" ht="45.75" customHeight="1">
      <c r="A419" s="36">
        <v>418.0</v>
      </c>
      <c r="B419" s="36" t="s">
        <v>8161</v>
      </c>
      <c r="C419" s="36" t="s">
        <v>11</v>
      </c>
      <c r="D419" s="36" t="s">
        <v>2707</v>
      </c>
      <c r="E419" s="36" t="s">
        <v>8164</v>
      </c>
      <c r="F419" s="36" t="s">
        <v>8165</v>
      </c>
      <c r="G419" s="42" t="s">
        <v>8166</v>
      </c>
      <c r="H419" s="36" t="s">
        <v>64</v>
      </c>
      <c r="I419" s="36" t="s">
        <v>2305</v>
      </c>
      <c r="J419" s="36" t="s">
        <v>62</v>
      </c>
      <c r="K419" s="36" t="s">
        <v>63</v>
      </c>
      <c r="L419" s="36">
        <v>200.0</v>
      </c>
      <c r="M419" s="36" t="s">
        <v>8170</v>
      </c>
      <c r="N419" s="131" t="s">
        <v>66</v>
      </c>
      <c r="O419" s="131" t="s">
        <v>72</v>
      </c>
      <c r="P419" s="190"/>
      <c r="Q419" s="190"/>
      <c r="R419" s="131"/>
      <c r="S419" s="40"/>
      <c r="T419" s="40"/>
      <c r="U419" s="36">
        <v>0.0</v>
      </c>
      <c r="V419" s="40"/>
      <c r="W419" s="40"/>
      <c r="X419" s="36" t="s">
        <v>74</v>
      </c>
      <c r="Y419" s="36" t="s">
        <v>8175</v>
      </c>
      <c r="Z419" s="36" t="s">
        <v>8176</v>
      </c>
      <c r="AA419" s="36" t="s">
        <v>8178</v>
      </c>
      <c r="AB419" s="58">
        <v>46023.0</v>
      </c>
      <c r="AC419" s="146">
        <v>46387.0</v>
      </c>
      <c r="AD419" s="57" t="s">
        <v>8180</v>
      </c>
      <c r="AE419" s="53" t="s">
        <v>79</v>
      </c>
      <c r="AF419" s="65"/>
      <c r="AG419" s="65"/>
      <c r="AH419" s="39"/>
    </row>
    <row r="420" ht="45.75" customHeight="1">
      <c r="A420" s="36">
        <v>419.0</v>
      </c>
      <c r="B420" s="36" t="s">
        <v>8181</v>
      </c>
      <c r="C420" s="36" t="s">
        <v>11</v>
      </c>
      <c r="D420" s="36" t="s">
        <v>2707</v>
      </c>
      <c r="E420" s="36" t="s">
        <v>8164</v>
      </c>
      <c r="F420" s="36" t="s">
        <v>8184</v>
      </c>
      <c r="G420" s="42" t="s">
        <v>8185</v>
      </c>
      <c r="H420" s="36" t="s">
        <v>64</v>
      </c>
      <c r="I420" s="36" t="s">
        <v>8103</v>
      </c>
      <c r="J420" s="36" t="s">
        <v>62</v>
      </c>
      <c r="K420" s="36" t="s">
        <v>63</v>
      </c>
      <c r="L420" s="36">
        <v>65.0</v>
      </c>
      <c r="M420" s="36" t="s">
        <v>28</v>
      </c>
      <c r="N420" s="131" t="s">
        <v>66</v>
      </c>
      <c r="O420" s="131" t="s">
        <v>72</v>
      </c>
      <c r="P420" s="131" t="s">
        <v>8189</v>
      </c>
      <c r="Q420" s="190"/>
      <c r="R420" s="131"/>
      <c r="S420" s="40"/>
      <c r="T420" s="40"/>
      <c r="U420" s="36">
        <v>0.0</v>
      </c>
      <c r="V420" s="40"/>
      <c r="W420" s="40"/>
      <c r="X420" s="36" t="s">
        <v>74</v>
      </c>
      <c r="Y420" s="36" t="s">
        <v>8193</v>
      </c>
      <c r="Z420" s="36" t="s">
        <v>8194</v>
      </c>
      <c r="AA420" s="36" t="s">
        <v>8195</v>
      </c>
      <c r="AB420" s="58">
        <v>46023.0</v>
      </c>
      <c r="AC420" s="146">
        <v>46387.0</v>
      </c>
      <c r="AD420" s="57" t="s">
        <v>8196</v>
      </c>
      <c r="AE420" s="53" t="s">
        <v>79</v>
      </c>
      <c r="AF420" s="65"/>
      <c r="AG420" s="65"/>
      <c r="AH420" s="39"/>
    </row>
    <row r="421" ht="45.75" customHeight="1">
      <c r="A421" s="36">
        <v>420.0</v>
      </c>
      <c r="B421" s="36" t="s">
        <v>8199</v>
      </c>
      <c r="C421" s="36" t="s">
        <v>11</v>
      </c>
      <c r="D421" s="36" t="s">
        <v>2707</v>
      </c>
      <c r="E421" s="36" t="s">
        <v>8164</v>
      </c>
      <c r="F421" s="36" t="s">
        <v>8200</v>
      </c>
      <c r="G421" s="42" t="s">
        <v>8201</v>
      </c>
      <c r="H421" s="36" t="s">
        <v>64</v>
      </c>
      <c r="I421" s="36" t="s">
        <v>155</v>
      </c>
      <c r="J421" s="36" t="s">
        <v>62</v>
      </c>
      <c r="K421" s="36" t="s">
        <v>111</v>
      </c>
      <c r="L421" s="36">
        <v>66.0</v>
      </c>
      <c r="M421" s="36" t="s">
        <v>956</v>
      </c>
      <c r="N421" s="131" t="s">
        <v>66</v>
      </c>
      <c r="O421" s="131" t="s">
        <v>67</v>
      </c>
      <c r="P421" s="36" t="s">
        <v>8203</v>
      </c>
      <c r="Q421" s="40"/>
      <c r="R421" s="131"/>
      <c r="S421" s="40"/>
      <c r="T421" s="40"/>
      <c r="U421" s="36">
        <v>0.0</v>
      </c>
      <c r="V421" s="40"/>
      <c r="W421" s="40"/>
      <c r="X421" s="56" t="s">
        <v>93</v>
      </c>
      <c r="Y421" s="36" t="s">
        <v>8208</v>
      </c>
      <c r="Z421" s="36" t="s">
        <v>8209</v>
      </c>
      <c r="AA421" s="36" t="s">
        <v>8210</v>
      </c>
      <c r="AB421" s="58">
        <v>46023.0</v>
      </c>
      <c r="AC421" s="146">
        <v>46387.0</v>
      </c>
      <c r="AD421" s="57" t="s">
        <v>8211</v>
      </c>
      <c r="AE421" s="53" t="s">
        <v>79</v>
      </c>
      <c r="AF421" s="65"/>
      <c r="AG421" s="65"/>
      <c r="AH421" s="39"/>
    </row>
    <row r="422" ht="45.75" customHeight="1">
      <c r="A422" s="36">
        <v>421.0</v>
      </c>
      <c r="B422" s="36" t="s">
        <v>8214</v>
      </c>
      <c r="C422" s="36" t="s">
        <v>11</v>
      </c>
      <c r="D422" s="36" t="s">
        <v>2707</v>
      </c>
      <c r="E422" s="36" t="s">
        <v>8164</v>
      </c>
      <c r="F422" s="36" t="s">
        <v>8217</v>
      </c>
      <c r="G422" s="42" t="s">
        <v>8218</v>
      </c>
      <c r="H422" s="36" t="s">
        <v>64</v>
      </c>
      <c r="I422" s="36" t="s">
        <v>155</v>
      </c>
      <c r="J422" s="36" t="s">
        <v>62</v>
      </c>
      <c r="K422" s="36" t="s">
        <v>63</v>
      </c>
      <c r="L422" s="36">
        <v>123.0</v>
      </c>
      <c r="M422" s="36" t="s">
        <v>8225</v>
      </c>
      <c r="N422" s="131" t="s">
        <v>66</v>
      </c>
      <c r="O422" s="131" t="s">
        <v>67</v>
      </c>
      <c r="P422" s="131" t="s">
        <v>8226</v>
      </c>
      <c r="Q422" s="190"/>
      <c r="R422" s="190"/>
      <c r="S422" s="40"/>
      <c r="T422" s="40"/>
      <c r="U422" s="40"/>
      <c r="V422" s="40"/>
      <c r="W422" s="40"/>
      <c r="X422" s="36" t="s">
        <v>93</v>
      </c>
      <c r="Y422" s="36" t="s">
        <v>8228</v>
      </c>
      <c r="Z422" s="36" t="s">
        <v>8229</v>
      </c>
      <c r="AA422" s="36" t="s">
        <v>8231</v>
      </c>
      <c r="AB422" s="58">
        <v>46023.0</v>
      </c>
      <c r="AC422" s="146">
        <v>46387.0</v>
      </c>
      <c r="AD422" s="57" t="s">
        <v>8234</v>
      </c>
      <c r="AE422" s="53" t="s">
        <v>79</v>
      </c>
      <c r="AF422" s="65"/>
      <c r="AG422" s="65"/>
      <c r="AH422" s="39"/>
    </row>
    <row r="423" ht="45.75" customHeight="1">
      <c r="A423" s="36">
        <v>422.0</v>
      </c>
      <c r="B423" s="36">
        <v>802.0</v>
      </c>
      <c r="C423" s="36" t="s">
        <v>11</v>
      </c>
      <c r="D423" s="36" t="s">
        <v>2707</v>
      </c>
      <c r="E423" s="36" t="s">
        <v>3575</v>
      </c>
      <c r="F423" s="36" t="s">
        <v>3578</v>
      </c>
      <c r="G423" s="42" t="s">
        <v>3581</v>
      </c>
      <c r="H423" s="36" t="s">
        <v>64</v>
      </c>
      <c r="I423" s="36" t="s">
        <v>65</v>
      </c>
      <c r="J423" s="36" t="s">
        <v>62</v>
      </c>
      <c r="K423" s="36" t="s">
        <v>68</v>
      </c>
      <c r="L423" s="36">
        <v>150.0</v>
      </c>
      <c r="M423" s="36" t="s">
        <v>3593</v>
      </c>
      <c r="N423" s="36" t="s">
        <v>71</v>
      </c>
      <c r="O423" s="36" t="s">
        <v>72</v>
      </c>
      <c r="P423" s="36" t="s">
        <v>8245</v>
      </c>
      <c r="Q423" s="40"/>
      <c r="R423" s="40"/>
      <c r="S423" s="40"/>
      <c r="T423" s="40"/>
      <c r="U423" s="40"/>
      <c r="V423" s="40"/>
      <c r="W423" s="40"/>
      <c r="X423" s="56" t="s">
        <v>93</v>
      </c>
      <c r="Y423" s="57" t="s">
        <v>8249</v>
      </c>
      <c r="Z423" s="36">
        <v>8.2914259E7</v>
      </c>
      <c r="AA423" s="57" t="s">
        <v>8251</v>
      </c>
      <c r="AB423" s="58">
        <v>46023.0</v>
      </c>
      <c r="AC423" s="53" t="s">
        <v>7419</v>
      </c>
      <c r="AD423" s="36" t="s">
        <v>3609</v>
      </c>
      <c r="AE423" s="36" t="s">
        <v>79</v>
      </c>
      <c r="AF423" s="65"/>
      <c r="AG423" s="65"/>
      <c r="AH423" s="39"/>
    </row>
    <row r="424" ht="45.75" customHeight="1">
      <c r="A424" s="36">
        <v>423.0</v>
      </c>
      <c r="B424" s="40"/>
      <c r="C424" s="36" t="s">
        <v>1215</v>
      </c>
      <c r="D424" s="36" t="s">
        <v>3617</v>
      </c>
      <c r="E424" s="36" t="s">
        <v>3619</v>
      </c>
      <c r="F424" s="36" t="s">
        <v>8254</v>
      </c>
      <c r="G424" s="42" t="s">
        <v>3625</v>
      </c>
      <c r="H424" s="36" t="s">
        <v>64</v>
      </c>
      <c r="I424" s="36" t="s">
        <v>65</v>
      </c>
      <c r="J424" s="36" t="s">
        <v>62</v>
      </c>
      <c r="K424" s="36" t="s">
        <v>68</v>
      </c>
      <c r="L424" s="36">
        <v>400.0</v>
      </c>
      <c r="M424" s="36" t="s">
        <v>8260</v>
      </c>
      <c r="N424" s="36" t="s">
        <v>71</v>
      </c>
      <c r="O424" s="36" t="s">
        <v>72</v>
      </c>
      <c r="P424" s="36">
        <v>1.0</v>
      </c>
      <c r="Q424" s="40"/>
      <c r="R424" s="36"/>
      <c r="S424" s="36"/>
      <c r="T424" s="60"/>
      <c r="U424" s="36">
        <v>6.0</v>
      </c>
      <c r="V424" s="36" t="s">
        <v>6751</v>
      </c>
      <c r="W424" s="60"/>
      <c r="X424" s="57" t="s">
        <v>93</v>
      </c>
      <c r="Y424" s="36" t="s">
        <v>8263</v>
      </c>
      <c r="Z424" s="57" t="s">
        <v>8264</v>
      </c>
      <c r="AA424" s="57" t="s">
        <v>8265</v>
      </c>
      <c r="AB424" s="58">
        <v>46023.0</v>
      </c>
      <c r="AC424" s="146">
        <v>46387.0</v>
      </c>
      <c r="AD424" s="36" t="s">
        <v>3663</v>
      </c>
      <c r="AE424" s="36" t="s">
        <v>79</v>
      </c>
      <c r="AF424" s="65"/>
      <c r="AG424" s="40"/>
      <c r="AH424" s="39"/>
    </row>
    <row r="425" ht="45.75" customHeight="1">
      <c r="A425" s="36">
        <v>424.0</v>
      </c>
      <c r="B425" s="36">
        <v>432.0</v>
      </c>
      <c r="C425" s="36" t="s">
        <v>1215</v>
      </c>
      <c r="D425" s="36" t="s">
        <v>3617</v>
      </c>
      <c r="E425" s="36" t="s">
        <v>8271</v>
      </c>
      <c r="F425" s="36" t="s">
        <v>8273</v>
      </c>
      <c r="G425" s="42" t="s">
        <v>8274</v>
      </c>
      <c r="H425" s="36" t="s">
        <v>64</v>
      </c>
      <c r="I425" s="36" t="s">
        <v>155</v>
      </c>
      <c r="J425" s="36" t="s">
        <v>62</v>
      </c>
      <c r="K425" s="36" t="s">
        <v>63</v>
      </c>
      <c r="L425" s="36">
        <v>50.0</v>
      </c>
      <c r="M425" s="36" t="s">
        <v>8280</v>
      </c>
      <c r="N425" s="36" t="s">
        <v>66</v>
      </c>
      <c r="O425" s="40"/>
      <c r="P425" s="36" t="s">
        <v>8281</v>
      </c>
      <c r="Q425" s="40"/>
      <c r="R425" s="40"/>
      <c r="S425" s="40"/>
      <c r="T425" s="60"/>
      <c r="U425" s="40"/>
      <c r="V425" s="40"/>
      <c r="W425" s="60"/>
      <c r="X425" s="57" t="s">
        <v>74</v>
      </c>
      <c r="Y425" s="36" t="s">
        <v>8285</v>
      </c>
      <c r="Z425" s="57">
        <v>9.452532198E9</v>
      </c>
      <c r="AA425" s="57" t="s">
        <v>8286</v>
      </c>
      <c r="AB425" s="58">
        <v>46023.0</v>
      </c>
      <c r="AC425" s="146">
        <v>46387.0</v>
      </c>
      <c r="AD425" s="36" t="s">
        <v>8287</v>
      </c>
      <c r="AE425" s="36" t="s">
        <v>79</v>
      </c>
      <c r="AF425" s="65"/>
      <c r="AG425" s="40"/>
      <c r="AH425" s="39"/>
    </row>
    <row r="426" ht="45.75" customHeight="1">
      <c r="A426" s="36">
        <v>425.0</v>
      </c>
      <c r="B426" s="36">
        <v>4299.0</v>
      </c>
      <c r="C426" s="36" t="s">
        <v>1215</v>
      </c>
      <c r="D426" s="36" t="s">
        <v>3617</v>
      </c>
      <c r="E426" s="36" t="s">
        <v>8290</v>
      </c>
      <c r="F426" s="36" t="s">
        <v>8291</v>
      </c>
      <c r="G426" s="42" t="s">
        <v>8294</v>
      </c>
      <c r="H426" s="36" t="s">
        <v>64</v>
      </c>
      <c r="I426" s="36" t="s">
        <v>155</v>
      </c>
      <c r="J426" s="36" t="s">
        <v>62</v>
      </c>
      <c r="K426" s="36" t="s">
        <v>63</v>
      </c>
      <c r="L426" s="36">
        <v>50.0</v>
      </c>
      <c r="M426" s="36" t="s">
        <v>8299</v>
      </c>
      <c r="N426" s="36" t="s">
        <v>66</v>
      </c>
      <c r="O426" s="36" t="s">
        <v>72</v>
      </c>
      <c r="P426" s="36" t="s">
        <v>8300</v>
      </c>
      <c r="Q426" s="40"/>
      <c r="R426" s="36"/>
      <c r="S426" s="40"/>
      <c r="T426" s="60"/>
      <c r="U426" s="36">
        <v>9.0</v>
      </c>
      <c r="V426" s="40"/>
      <c r="W426" s="60"/>
      <c r="X426" s="57" t="s">
        <v>74</v>
      </c>
      <c r="Y426" s="36" t="s">
        <v>8302</v>
      </c>
      <c r="Z426" s="57">
        <v>9.194524479E9</v>
      </c>
      <c r="AA426" s="57" t="s">
        <v>8303</v>
      </c>
      <c r="AB426" s="58">
        <v>46023.0</v>
      </c>
      <c r="AC426" s="146">
        <v>46387.0</v>
      </c>
      <c r="AD426" s="36" t="s">
        <v>8307</v>
      </c>
      <c r="AE426" s="36" t="s">
        <v>79</v>
      </c>
      <c r="AF426" s="65"/>
      <c r="AG426" s="40"/>
      <c r="AH426" s="39"/>
    </row>
    <row r="427" ht="45.75" customHeight="1">
      <c r="A427" s="36">
        <v>426.0</v>
      </c>
      <c r="B427" s="36">
        <v>557.0</v>
      </c>
      <c r="C427" s="36" t="s">
        <v>1215</v>
      </c>
      <c r="D427" s="36" t="s">
        <v>3617</v>
      </c>
      <c r="E427" s="36" t="s">
        <v>8309</v>
      </c>
      <c r="F427" s="36" t="s">
        <v>8310</v>
      </c>
      <c r="G427" s="42" t="s">
        <v>8312</v>
      </c>
      <c r="H427" s="36" t="s">
        <v>64</v>
      </c>
      <c r="I427" s="36" t="s">
        <v>155</v>
      </c>
      <c r="J427" s="36" t="s">
        <v>62</v>
      </c>
      <c r="K427" s="36" t="s">
        <v>63</v>
      </c>
      <c r="L427" s="36">
        <v>75.0</v>
      </c>
      <c r="M427" s="36" t="s">
        <v>8314</v>
      </c>
      <c r="N427" s="36" t="s">
        <v>66</v>
      </c>
      <c r="O427" s="40"/>
      <c r="P427" s="36" t="s">
        <v>8315</v>
      </c>
      <c r="Q427" s="40"/>
      <c r="R427" s="40"/>
      <c r="S427" s="40"/>
      <c r="T427" s="60"/>
      <c r="U427" s="40"/>
      <c r="V427" s="40"/>
      <c r="W427" s="60"/>
      <c r="X427" s="57" t="s">
        <v>74</v>
      </c>
      <c r="Y427" s="36" t="s">
        <v>8317</v>
      </c>
      <c r="Z427" s="57">
        <v>9.173142717E9</v>
      </c>
      <c r="AA427" s="148" t="s">
        <v>8319</v>
      </c>
      <c r="AB427" s="58">
        <v>46023.0</v>
      </c>
      <c r="AC427" s="146">
        <v>46387.0</v>
      </c>
      <c r="AD427" s="36" t="s">
        <v>8320</v>
      </c>
      <c r="AE427" s="36" t="s">
        <v>79</v>
      </c>
      <c r="AF427" s="65"/>
      <c r="AG427" s="40"/>
      <c r="AH427" s="39"/>
    </row>
    <row r="428" ht="45.75" customHeight="1">
      <c r="A428" s="36">
        <v>427.0</v>
      </c>
      <c r="B428" s="36">
        <v>527.0</v>
      </c>
      <c r="C428" s="36" t="s">
        <v>1215</v>
      </c>
      <c r="D428" s="36" t="s">
        <v>3617</v>
      </c>
      <c r="E428" s="36" t="s">
        <v>8323</v>
      </c>
      <c r="F428" s="36" t="s">
        <v>8325</v>
      </c>
      <c r="G428" s="42" t="s">
        <v>8326</v>
      </c>
      <c r="H428" s="36" t="s">
        <v>64</v>
      </c>
      <c r="I428" s="36" t="s">
        <v>155</v>
      </c>
      <c r="J428" s="36" t="s">
        <v>62</v>
      </c>
      <c r="K428" s="36" t="s">
        <v>111</v>
      </c>
      <c r="L428" s="36">
        <v>206.0</v>
      </c>
      <c r="M428" s="36" t="s">
        <v>8328</v>
      </c>
      <c r="N428" s="36" t="s">
        <v>66</v>
      </c>
      <c r="O428" s="36" t="s">
        <v>72</v>
      </c>
      <c r="P428" s="36" t="s">
        <v>8330</v>
      </c>
      <c r="Q428" s="36" t="s">
        <v>1298</v>
      </c>
      <c r="R428" s="36"/>
      <c r="S428" s="36"/>
      <c r="T428" s="60"/>
      <c r="U428" s="36">
        <v>15.0</v>
      </c>
      <c r="V428" s="36" t="s">
        <v>61</v>
      </c>
      <c r="W428" s="60"/>
      <c r="X428" s="57" t="s">
        <v>93</v>
      </c>
      <c r="Y428" s="36" t="s">
        <v>8332</v>
      </c>
      <c r="Z428" s="57" t="s">
        <v>8333</v>
      </c>
      <c r="AA428" s="57" t="s">
        <v>8334</v>
      </c>
      <c r="AB428" s="58">
        <v>46023.0</v>
      </c>
      <c r="AC428" s="146">
        <v>46387.0</v>
      </c>
      <c r="AD428" s="36" t="s">
        <v>8335</v>
      </c>
      <c r="AE428" s="36" t="s">
        <v>79</v>
      </c>
      <c r="AF428" s="65"/>
      <c r="AG428" s="40"/>
      <c r="AH428" s="39"/>
    </row>
    <row r="429" ht="45.75" customHeight="1">
      <c r="A429" s="36">
        <v>428.0</v>
      </c>
      <c r="B429" s="36">
        <v>530.0</v>
      </c>
      <c r="C429" s="36" t="s">
        <v>1215</v>
      </c>
      <c r="D429" s="36" t="s">
        <v>3617</v>
      </c>
      <c r="E429" s="36" t="s">
        <v>8338</v>
      </c>
      <c r="F429" s="36" t="s">
        <v>8340</v>
      </c>
      <c r="G429" s="42" t="s">
        <v>8342</v>
      </c>
      <c r="H429" s="36" t="s">
        <v>64</v>
      </c>
      <c r="I429" s="36" t="s">
        <v>155</v>
      </c>
      <c r="J429" s="36" t="s">
        <v>62</v>
      </c>
      <c r="K429" s="36" t="s">
        <v>63</v>
      </c>
      <c r="L429" s="36">
        <v>50.0</v>
      </c>
      <c r="M429" s="40"/>
      <c r="N429" s="36" t="s">
        <v>66</v>
      </c>
      <c r="O429" s="36" t="s">
        <v>67</v>
      </c>
      <c r="P429" s="36" t="s">
        <v>8347</v>
      </c>
      <c r="Q429" s="36" t="s">
        <v>1298</v>
      </c>
      <c r="R429" s="36"/>
      <c r="S429" s="36"/>
      <c r="T429" s="60"/>
      <c r="U429" s="36" t="s">
        <v>61</v>
      </c>
      <c r="V429" s="36" t="s">
        <v>61</v>
      </c>
      <c r="W429" s="60"/>
      <c r="X429" s="57" t="s">
        <v>74</v>
      </c>
      <c r="Y429" s="36" t="s">
        <v>8348</v>
      </c>
      <c r="Z429" s="57" t="s">
        <v>8350</v>
      </c>
      <c r="AA429" s="57" t="s">
        <v>8351</v>
      </c>
      <c r="AB429" s="58">
        <v>46023.0</v>
      </c>
      <c r="AC429" s="146">
        <v>46387.0</v>
      </c>
      <c r="AD429" s="36" t="s">
        <v>8352</v>
      </c>
      <c r="AE429" s="36" t="s">
        <v>79</v>
      </c>
      <c r="AF429" s="65"/>
      <c r="AG429" s="40"/>
      <c r="AH429" s="39"/>
    </row>
    <row r="430" ht="45.75" customHeight="1">
      <c r="A430" s="36">
        <v>429.0</v>
      </c>
      <c r="B430" s="36">
        <v>591.0</v>
      </c>
      <c r="C430" s="36" t="s">
        <v>1215</v>
      </c>
      <c r="D430" s="36" t="s">
        <v>3617</v>
      </c>
      <c r="E430" s="36" t="s">
        <v>8356</v>
      </c>
      <c r="F430" s="36" t="s">
        <v>8358</v>
      </c>
      <c r="G430" s="42" t="s">
        <v>8359</v>
      </c>
      <c r="H430" s="36" t="s">
        <v>64</v>
      </c>
      <c r="I430" s="36" t="s">
        <v>155</v>
      </c>
      <c r="J430" s="36" t="s">
        <v>62</v>
      </c>
      <c r="K430" s="36" t="s">
        <v>63</v>
      </c>
      <c r="L430" s="36">
        <v>20.0</v>
      </c>
      <c r="M430" s="36" t="s">
        <v>8364</v>
      </c>
      <c r="N430" s="36" t="s">
        <v>66</v>
      </c>
      <c r="O430" s="40"/>
      <c r="P430" s="36" t="s">
        <v>8366</v>
      </c>
      <c r="Q430" s="40"/>
      <c r="R430" s="40"/>
      <c r="S430" s="40"/>
      <c r="T430" s="60"/>
      <c r="U430" s="40"/>
      <c r="V430" s="40"/>
      <c r="W430" s="60"/>
      <c r="X430" s="57" t="s">
        <v>74</v>
      </c>
      <c r="Y430" s="36" t="s">
        <v>8370</v>
      </c>
      <c r="Z430" s="57" t="s">
        <v>8371</v>
      </c>
      <c r="AA430" s="57" t="s">
        <v>8372</v>
      </c>
      <c r="AB430" s="58">
        <v>46023.0</v>
      </c>
      <c r="AC430" s="146">
        <v>46387.0</v>
      </c>
      <c r="AD430" s="36" t="s">
        <v>8375</v>
      </c>
      <c r="AE430" s="36" t="s">
        <v>79</v>
      </c>
      <c r="AF430" s="65"/>
      <c r="AG430" s="40"/>
      <c r="AH430" s="39"/>
    </row>
    <row r="431" ht="45.75" customHeight="1">
      <c r="A431" s="36">
        <v>430.0</v>
      </c>
      <c r="B431" s="36">
        <v>625.0</v>
      </c>
      <c r="C431" s="36" t="s">
        <v>1215</v>
      </c>
      <c r="D431" s="36" t="s">
        <v>3617</v>
      </c>
      <c r="E431" s="36" t="s">
        <v>8356</v>
      </c>
      <c r="F431" s="36" t="s">
        <v>8377</v>
      </c>
      <c r="G431" s="42" t="s">
        <v>8378</v>
      </c>
      <c r="H431" s="36" t="s">
        <v>64</v>
      </c>
      <c r="I431" s="36" t="s">
        <v>155</v>
      </c>
      <c r="J431" s="36" t="s">
        <v>62</v>
      </c>
      <c r="K431" s="36" t="s">
        <v>63</v>
      </c>
      <c r="L431" s="36">
        <v>25.0</v>
      </c>
      <c r="M431" s="36" t="s">
        <v>8383</v>
      </c>
      <c r="N431" s="36" t="s">
        <v>66</v>
      </c>
      <c r="O431" s="36" t="s">
        <v>72</v>
      </c>
      <c r="P431" s="36" t="s">
        <v>8386</v>
      </c>
      <c r="Q431" s="36" t="s">
        <v>61</v>
      </c>
      <c r="R431" s="36"/>
      <c r="S431" s="36"/>
      <c r="T431" s="60"/>
      <c r="U431" s="36" t="s">
        <v>61</v>
      </c>
      <c r="V431" s="36" t="s">
        <v>61</v>
      </c>
      <c r="W431" s="60"/>
      <c r="X431" s="57" t="s">
        <v>74</v>
      </c>
      <c r="Y431" s="36" t="s">
        <v>8387</v>
      </c>
      <c r="Z431" s="57" t="s">
        <v>8388</v>
      </c>
      <c r="AA431" s="57" t="s">
        <v>8390</v>
      </c>
      <c r="AB431" s="58">
        <v>46023.0</v>
      </c>
      <c r="AC431" s="146">
        <v>46387.0</v>
      </c>
      <c r="AD431" s="36" t="s">
        <v>8392</v>
      </c>
      <c r="AE431" s="36" t="s">
        <v>79</v>
      </c>
      <c r="AF431" s="65"/>
      <c r="AG431" s="40"/>
      <c r="AH431" s="39"/>
    </row>
    <row r="432" ht="45.75" customHeight="1">
      <c r="A432" s="36">
        <v>431.0</v>
      </c>
      <c r="B432" s="36">
        <v>484.0</v>
      </c>
      <c r="C432" s="36" t="s">
        <v>1215</v>
      </c>
      <c r="D432" s="36" t="s">
        <v>3617</v>
      </c>
      <c r="E432" s="36" t="s">
        <v>8395</v>
      </c>
      <c r="F432" s="36" t="s">
        <v>8397</v>
      </c>
      <c r="G432" s="42" t="s">
        <v>8398</v>
      </c>
      <c r="H432" s="36" t="s">
        <v>64</v>
      </c>
      <c r="I432" s="36" t="s">
        <v>155</v>
      </c>
      <c r="J432" s="36" t="s">
        <v>62</v>
      </c>
      <c r="K432" s="36" t="s">
        <v>63</v>
      </c>
      <c r="L432" s="36">
        <v>25.0</v>
      </c>
      <c r="M432" s="36" t="s">
        <v>8399</v>
      </c>
      <c r="N432" s="36" t="s">
        <v>66</v>
      </c>
      <c r="O432" s="40"/>
      <c r="P432" s="36" t="s">
        <v>8401</v>
      </c>
      <c r="Q432" s="40"/>
      <c r="R432" s="36"/>
      <c r="S432" s="40"/>
      <c r="T432" s="60"/>
      <c r="U432" s="36">
        <v>15.0</v>
      </c>
      <c r="V432" s="40"/>
      <c r="W432" s="60"/>
      <c r="X432" s="57" t="s">
        <v>74</v>
      </c>
      <c r="Y432" s="36" t="s">
        <v>8403</v>
      </c>
      <c r="Z432" s="57">
        <v>9.999954485E9</v>
      </c>
      <c r="AA432" s="57" t="s">
        <v>8404</v>
      </c>
      <c r="AB432" s="58">
        <v>46023.0</v>
      </c>
      <c r="AC432" s="146">
        <v>46387.0</v>
      </c>
      <c r="AD432" s="36" t="s">
        <v>8406</v>
      </c>
      <c r="AE432" s="36" t="s">
        <v>79</v>
      </c>
      <c r="AF432" s="65"/>
      <c r="AG432" s="40"/>
      <c r="AH432" s="39"/>
    </row>
    <row r="433" ht="45.75" customHeight="1">
      <c r="A433" s="36">
        <v>432.0</v>
      </c>
      <c r="B433" s="36">
        <v>6567.0</v>
      </c>
      <c r="C433" s="36" t="s">
        <v>1215</v>
      </c>
      <c r="D433" s="36" t="s">
        <v>3617</v>
      </c>
      <c r="E433" s="36" t="s">
        <v>8410</v>
      </c>
      <c r="F433" s="36" t="s">
        <v>8412</v>
      </c>
      <c r="G433" s="42" t="s">
        <v>8414</v>
      </c>
      <c r="H433" s="36" t="s">
        <v>64</v>
      </c>
      <c r="I433" s="36" t="s">
        <v>155</v>
      </c>
      <c r="J433" s="36" t="s">
        <v>62</v>
      </c>
      <c r="K433" s="36" t="s">
        <v>63</v>
      </c>
      <c r="L433" s="36">
        <v>25.0</v>
      </c>
      <c r="M433" s="36" t="s">
        <v>8418</v>
      </c>
      <c r="N433" s="36" t="s">
        <v>66</v>
      </c>
      <c r="O433" s="40"/>
      <c r="P433" s="36" t="s">
        <v>8419</v>
      </c>
      <c r="Q433" s="40"/>
      <c r="R433" s="40"/>
      <c r="S433" s="40"/>
      <c r="T433" s="60"/>
      <c r="U433" s="40"/>
      <c r="V433" s="40"/>
      <c r="W433" s="60"/>
      <c r="X433" s="57" t="s">
        <v>74</v>
      </c>
      <c r="Y433" s="36" t="s">
        <v>8421</v>
      </c>
      <c r="Z433" s="57">
        <v>9.058249239E9</v>
      </c>
      <c r="AA433" s="57" t="s">
        <v>8422</v>
      </c>
      <c r="AB433" s="58">
        <v>46023.0</v>
      </c>
      <c r="AC433" s="146">
        <v>46387.0</v>
      </c>
      <c r="AD433" s="36" t="s">
        <v>8424</v>
      </c>
      <c r="AE433" s="36" t="s">
        <v>79</v>
      </c>
      <c r="AF433" s="65"/>
      <c r="AG433" s="40"/>
      <c r="AH433" s="39"/>
    </row>
    <row r="434" ht="45.75" customHeight="1">
      <c r="A434" s="36">
        <v>433.0</v>
      </c>
      <c r="B434" s="36">
        <v>3997.0</v>
      </c>
      <c r="C434" s="36" t="s">
        <v>1215</v>
      </c>
      <c r="D434" s="36" t="s">
        <v>3617</v>
      </c>
      <c r="E434" s="36" t="s">
        <v>744</v>
      </c>
      <c r="F434" s="36" t="s">
        <v>8427</v>
      </c>
      <c r="G434" s="42" t="s">
        <v>8428</v>
      </c>
      <c r="H434" s="36" t="s">
        <v>64</v>
      </c>
      <c r="I434" s="36" t="s">
        <v>155</v>
      </c>
      <c r="J434" s="36" t="s">
        <v>62</v>
      </c>
      <c r="K434" s="36" t="s">
        <v>63</v>
      </c>
      <c r="L434" s="36">
        <v>100.0</v>
      </c>
      <c r="M434" s="36" t="s">
        <v>8431</v>
      </c>
      <c r="N434" s="36" t="s">
        <v>66</v>
      </c>
      <c r="O434" s="36" t="s">
        <v>67</v>
      </c>
      <c r="P434" s="36" t="s">
        <v>8434</v>
      </c>
      <c r="Q434" s="36" t="s">
        <v>61</v>
      </c>
      <c r="R434" s="36"/>
      <c r="S434" s="36"/>
      <c r="T434" s="60"/>
      <c r="U434" s="36" t="s">
        <v>61</v>
      </c>
      <c r="V434" s="36" t="s">
        <v>61</v>
      </c>
      <c r="W434" s="60"/>
      <c r="X434" s="57" t="s">
        <v>74</v>
      </c>
      <c r="Y434" s="36" t="s">
        <v>8437</v>
      </c>
      <c r="Z434" s="57" t="s">
        <v>8439</v>
      </c>
      <c r="AA434" s="57" t="s">
        <v>8440</v>
      </c>
      <c r="AB434" s="58">
        <v>46023.0</v>
      </c>
      <c r="AC434" s="146">
        <v>46387.0</v>
      </c>
      <c r="AD434" s="36" t="s">
        <v>8441</v>
      </c>
      <c r="AE434" s="36" t="s">
        <v>79</v>
      </c>
      <c r="AF434" s="65"/>
      <c r="AG434" s="40"/>
      <c r="AH434" s="39"/>
    </row>
    <row r="435" ht="45.75" customHeight="1">
      <c r="A435" s="36">
        <v>434.0</v>
      </c>
      <c r="B435" s="36">
        <v>3077.0</v>
      </c>
      <c r="C435" s="36" t="s">
        <v>1215</v>
      </c>
      <c r="D435" s="36" t="s">
        <v>3617</v>
      </c>
      <c r="E435" s="36" t="s">
        <v>8444</v>
      </c>
      <c r="F435" s="36" t="s">
        <v>8445</v>
      </c>
      <c r="G435" s="42" t="s">
        <v>8446</v>
      </c>
      <c r="H435" s="36" t="s">
        <v>64</v>
      </c>
      <c r="I435" s="36" t="s">
        <v>155</v>
      </c>
      <c r="J435" s="36" t="s">
        <v>62</v>
      </c>
      <c r="K435" s="36" t="s">
        <v>63</v>
      </c>
      <c r="L435" s="36">
        <v>50.0</v>
      </c>
      <c r="M435" s="36" t="s">
        <v>8452</v>
      </c>
      <c r="N435" s="36" t="s">
        <v>66</v>
      </c>
      <c r="O435" s="36" t="s">
        <v>72</v>
      </c>
      <c r="P435" s="36" t="s">
        <v>8454</v>
      </c>
      <c r="Q435" s="36" t="s">
        <v>61</v>
      </c>
      <c r="R435" s="36"/>
      <c r="S435" s="36"/>
      <c r="T435" s="60"/>
      <c r="U435" s="36" t="s">
        <v>61</v>
      </c>
      <c r="V435" s="36" t="s">
        <v>61</v>
      </c>
      <c r="W435" s="60"/>
      <c r="X435" s="57" t="s">
        <v>74</v>
      </c>
      <c r="Y435" s="36" t="s">
        <v>8456</v>
      </c>
      <c r="Z435" s="57" t="s">
        <v>8457</v>
      </c>
      <c r="AA435" s="148" t="s">
        <v>8458</v>
      </c>
      <c r="AB435" s="58">
        <v>46023.0</v>
      </c>
      <c r="AC435" s="146">
        <v>46387.0</v>
      </c>
      <c r="AD435" s="36" t="s">
        <v>8459</v>
      </c>
      <c r="AE435" s="36" t="s">
        <v>79</v>
      </c>
      <c r="AF435" s="65"/>
      <c r="AG435" s="40"/>
      <c r="AH435" s="39"/>
    </row>
    <row r="436" ht="45.75" customHeight="1">
      <c r="A436" s="36">
        <v>435.0</v>
      </c>
      <c r="B436" s="36">
        <v>6857.0</v>
      </c>
      <c r="C436" s="36" t="s">
        <v>1215</v>
      </c>
      <c r="D436" s="36" t="s">
        <v>7998</v>
      </c>
      <c r="E436" s="36" t="s">
        <v>8461</v>
      </c>
      <c r="F436" s="36" t="s">
        <v>8462</v>
      </c>
      <c r="G436" s="42" t="s">
        <v>8463</v>
      </c>
      <c r="H436" s="36" t="s">
        <v>64</v>
      </c>
      <c r="I436" s="36" t="s">
        <v>155</v>
      </c>
      <c r="J436" s="36" t="s">
        <v>62</v>
      </c>
      <c r="K436" s="36" t="s">
        <v>63</v>
      </c>
      <c r="L436" s="36">
        <v>25.0</v>
      </c>
      <c r="M436" s="36" t="s">
        <v>8364</v>
      </c>
      <c r="N436" s="36" t="s">
        <v>66</v>
      </c>
      <c r="O436" s="40"/>
      <c r="P436" s="36">
        <v>1.0</v>
      </c>
      <c r="Q436" s="40"/>
      <c r="R436" s="40"/>
      <c r="S436" s="40"/>
      <c r="T436" s="60"/>
      <c r="U436" s="40"/>
      <c r="V436" s="40"/>
      <c r="W436" s="60"/>
      <c r="X436" s="57" t="s">
        <v>74</v>
      </c>
      <c r="Y436" s="36" t="s">
        <v>8469</v>
      </c>
      <c r="Z436" s="57" t="s">
        <v>8471</v>
      </c>
      <c r="AA436" s="57" t="s">
        <v>8472</v>
      </c>
      <c r="AB436" s="58">
        <v>46023.0</v>
      </c>
      <c r="AC436" s="146">
        <v>46387.0</v>
      </c>
      <c r="AD436" s="36" t="s">
        <v>8475</v>
      </c>
      <c r="AE436" s="36" t="s">
        <v>79</v>
      </c>
      <c r="AF436" s="65"/>
      <c r="AG436" s="40"/>
      <c r="AH436" s="39"/>
    </row>
    <row r="437" ht="45.75" customHeight="1">
      <c r="A437" s="36">
        <v>436.0</v>
      </c>
      <c r="B437" s="36">
        <v>5115.0</v>
      </c>
      <c r="C437" s="36" t="s">
        <v>1215</v>
      </c>
      <c r="D437" s="36" t="s">
        <v>7998</v>
      </c>
      <c r="E437" s="36" t="s">
        <v>8476</v>
      </c>
      <c r="F437" s="36" t="s">
        <v>8478</v>
      </c>
      <c r="G437" s="42" t="s">
        <v>8480</v>
      </c>
      <c r="H437" s="36" t="s">
        <v>64</v>
      </c>
      <c r="I437" s="36" t="s">
        <v>155</v>
      </c>
      <c r="J437" s="36" t="s">
        <v>62</v>
      </c>
      <c r="K437" s="36" t="s">
        <v>63</v>
      </c>
      <c r="L437" s="36">
        <v>50.0</v>
      </c>
      <c r="M437" s="36" t="s">
        <v>5129</v>
      </c>
      <c r="N437" s="36" t="s">
        <v>66</v>
      </c>
      <c r="O437" s="40"/>
      <c r="P437" s="36" t="s">
        <v>8486</v>
      </c>
      <c r="Q437" s="40"/>
      <c r="R437" s="40"/>
      <c r="S437" s="40"/>
      <c r="T437" s="60"/>
      <c r="U437" s="40"/>
      <c r="V437" s="40"/>
      <c r="W437" s="60"/>
      <c r="X437" s="57" t="s">
        <v>74</v>
      </c>
      <c r="Y437" s="36" t="s">
        <v>8488</v>
      </c>
      <c r="Z437" s="57" t="s">
        <v>8489</v>
      </c>
      <c r="AA437" s="57" t="s">
        <v>8490</v>
      </c>
      <c r="AB437" s="58">
        <v>46023.0</v>
      </c>
      <c r="AC437" s="146">
        <v>46387.0</v>
      </c>
      <c r="AD437" s="36" t="s">
        <v>8493</v>
      </c>
      <c r="AE437" s="36" t="s">
        <v>79</v>
      </c>
      <c r="AF437" s="65"/>
      <c r="AG437" s="40"/>
      <c r="AH437" s="39"/>
    </row>
    <row r="438" ht="45.75" customHeight="1">
      <c r="A438" s="36">
        <v>437.0</v>
      </c>
      <c r="B438" s="36">
        <v>1891.0</v>
      </c>
      <c r="C438" s="36" t="s">
        <v>1215</v>
      </c>
      <c r="D438" s="36" t="s">
        <v>7998</v>
      </c>
      <c r="E438" s="36" t="s">
        <v>8498</v>
      </c>
      <c r="F438" s="36" t="s">
        <v>8499</v>
      </c>
      <c r="G438" s="42" t="s">
        <v>8500</v>
      </c>
      <c r="H438" s="36" t="s">
        <v>64</v>
      </c>
      <c r="I438" s="36" t="s">
        <v>155</v>
      </c>
      <c r="J438" s="36" t="s">
        <v>62</v>
      </c>
      <c r="K438" s="36" t="s">
        <v>63</v>
      </c>
      <c r="L438" s="36">
        <v>25.0</v>
      </c>
      <c r="M438" s="36" t="s">
        <v>8364</v>
      </c>
      <c r="N438" s="36" t="s">
        <v>66</v>
      </c>
      <c r="O438" s="40"/>
      <c r="P438" s="36">
        <v>1.0</v>
      </c>
      <c r="Q438" s="40"/>
      <c r="R438" s="40"/>
      <c r="S438" s="40"/>
      <c r="T438" s="60"/>
      <c r="U438" s="40"/>
      <c r="V438" s="40"/>
      <c r="W438" s="60"/>
      <c r="X438" s="57" t="s">
        <v>74</v>
      </c>
      <c r="Y438" s="36" t="s">
        <v>8488</v>
      </c>
      <c r="Z438" s="57" t="s">
        <v>8505</v>
      </c>
      <c r="AA438" s="57" t="s">
        <v>8490</v>
      </c>
      <c r="AB438" s="58">
        <v>46023.0</v>
      </c>
      <c r="AC438" s="146">
        <v>46387.0</v>
      </c>
      <c r="AD438" s="36" t="s">
        <v>8509</v>
      </c>
      <c r="AE438" s="36" t="s">
        <v>79</v>
      </c>
      <c r="AF438" s="65"/>
      <c r="AG438" s="40"/>
      <c r="AH438" s="39"/>
    </row>
    <row r="439" ht="45.75" customHeight="1">
      <c r="A439" s="36">
        <v>438.0</v>
      </c>
      <c r="B439" s="36">
        <v>2114.0</v>
      </c>
      <c r="C439" s="36" t="s">
        <v>1215</v>
      </c>
      <c r="D439" s="36" t="s">
        <v>7998</v>
      </c>
      <c r="E439" s="36" t="s">
        <v>8511</v>
      </c>
      <c r="F439" s="36" t="s">
        <v>8513</v>
      </c>
      <c r="G439" s="42" t="s">
        <v>8515</v>
      </c>
      <c r="H439" s="36" t="s">
        <v>64</v>
      </c>
      <c r="I439" s="36" t="s">
        <v>155</v>
      </c>
      <c r="J439" s="36" t="s">
        <v>62</v>
      </c>
      <c r="K439" s="36" t="s">
        <v>111</v>
      </c>
      <c r="L439" s="36">
        <v>250.0</v>
      </c>
      <c r="M439" s="36" t="s">
        <v>8517</v>
      </c>
      <c r="N439" s="36" t="s">
        <v>71</v>
      </c>
      <c r="O439" s="36" t="s">
        <v>72</v>
      </c>
      <c r="P439" s="36" t="s">
        <v>8518</v>
      </c>
      <c r="Q439" s="40"/>
      <c r="R439" s="36"/>
      <c r="S439" s="40"/>
      <c r="T439" s="60"/>
      <c r="U439" s="36">
        <v>11.0</v>
      </c>
      <c r="V439" s="40"/>
      <c r="W439" s="60"/>
      <c r="X439" s="57" t="s">
        <v>74</v>
      </c>
      <c r="Y439" s="36" t="s">
        <v>8522</v>
      </c>
      <c r="Z439" s="57" t="s">
        <v>8524</v>
      </c>
      <c r="AA439" s="57" t="s">
        <v>8525</v>
      </c>
      <c r="AB439" s="58">
        <v>46023.0</v>
      </c>
      <c r="AC439" s="146">
        <v>46387.0</v>
      </c>
      <c r="AD439" s="36" t="s">
        <v>8526</v>
      </c>
      <c r="AE439" s="36" t="s">
        <v>79</v>
      </c>
      <c r="AF439" s="36" t="s">
        <v>1462</v>
      </c>
      <c r="AG439" s="36" t="s">
        <v>8528</v>
      </c>
      <c r="AH439" s="50"/>
    </row>
    <row r="440" ht="45.75" customHeight="1">
      <c r="A440" s="36">
        <v>439.0</v>
      </c>
      <c r="B440" s="36">
        <v>17786.0</v>
      </c>
      <c r="C440" s="36" t="s">
        <v>1215</v>
      </c>
      <c r="D440" s="36" t="s">
        <v>7998</v>
      </c>
      <c r="E440" s="36" t="s">
        <v>8530</v>
      </c>
      <c r="F440" s="36" t="s">
        <v>8531</v>
      </c>
      <c r="G440" s="42" t="s">
        <v>8533</v>
      </c>
      <c r="H440" s="36" t="s">
        <v>64</v>
      </c>
      <c r="I440" s="36" t="s">
        <v>155</v>
      </c>
      <c r="J440" s="36" t="s">
        <v>62</v>
      </c>
      <c r="K440" s="36" t="s">
        <v>63</v>
      </c>
      <c r="L440" s="36">
        <v>50.0</v>
      </c>
      <c r="M440" s="36" t="s">
        <v>5129</v>
      </c>
      <c r="N440" s="36" t="s">
        <v>66</v>
      </c>
      <c r="O440" s="40"/>
      <c r="P440" s="36" t="s">
        <v>8538</v>
      </c>
      <c r="Q440" s="40"/>
      <c r="R440" s="40"/>
      <c r="S440" s="40"/>
      <c r="T440" s="60"/>
      <c r="U440" s="40"/>
      <c r="V440" s="40"/>
      <c r="W440" s="60"/>
      <c r="X440" s="57" t="s">
        <v>74</v>
      </c>
      <c r="Y440" s="36" t="s">
        <v>8540</v>
      </c>
      <c r="Z440" s="57" t="s">
        <v>8541</v>
      </c>
      <c r="AA440" s="57" t="s">
        <v>8542</v>
      </c>
      <c r="AB440" s="58">
        <v>46023.0</v>
      </c>
      <c r="AC440" s="146">
        <v>46387.0</v>
      </c>
      <c r="AD440" s="36" t="s">
        <v>8547</v>
      </c>
      <c r="AE440" s="36" t="s">
        <v>79</v>
      </c>
      <c r="AF440" s="65"/>
      <c r="AG440" s="40"/>
      <c r="AH440" s="50"/>
    </row>
    <row r="441" ht="45.75" customHeight="1">
      <c r="A441" s="36">
        <v>440.0</v>
      </c>
      <c r="B441" s="36">
        <v>4185.0</v>
      </c>
      <c r="C441" s="36" t="s">
        <v>1215</v>
      </c>
      <c r="D441" s="36" t="s">
        <v>7998</v>
      </c>
      <c r="E441" s="36" t="s">
        <v>8551</v>
      </c>
      <c r="F441" s="36" t="s">
        <v>8552</v>
      </c>
      <c r="G441" s="42" t="s">
        <v>8553</v>
      </c>
      <c r="H441" s="36" t="s">
        <v>64</v>
      </c>
      <c r="I441" s="36" t="s">
        <v>155</v>
      </c>
      <c r="J441" s="36" t="s">
        <v>62</v>
      </c>
      <c r="K441" s="36" t="s">
        <v>63</v>
      </c>
      <c r="L441" s="36">
        <v>37.0</v>
      </c>
      <c r="M441" s="36" t="s">
        <v>5112</v>
      </c>
      <c r="N441" s="36" t="s">
        <v>66</v>
      </c>
      <c r="O441" s="36" t="s">
        <v>67</v>
      </c>
      <c r="P441" s="36" t="s">
        <v>8555</v>
      </c>
      <c r="Q441" s="36" t="s">
        <v>61</v>
      </c>
      <c r="R441" s="36" t="s">
        <v>61</v>
      </c>
      <c r="S441" s="36" t="s">
        <v>61</v>
      </c>
      <c r="T441" s="56"/>
      <c r="U441" s="36"/>
      <c r="V441" s="36"/>
      <c r="W441" s="56" t="s">
        <v>61</v>
      </c>
      <c r="X441" s="36" t="s">
        <v>74</v>
      </c>
      <c r="Y441" s="36" t="s">
        <v>8559</v>
      </c>
      <c r="Z441" s="56" t="s">
        <v>8561</v>
      </c>
      <c r="AA441" s="57" t="s">
        <v>8562</v>
      </c>
      <c r="AB441" s="146">
        <v>46181.0</v>
      </c>
      <c r="AC441" s="146">
        <v>46387.0</v>
      </c>
      <c r="AD441" s="57" t="s">
        <v>8563</v>
      </c>
      <c r="AE441" s="36" t="s">
        <v>2346</v>
      </c>
      <c r="AF441" s="36" t="s">
        <v>61</v>
      </c>
      <c r="AG441" s="36"/>
      <c r="AH441" s="50"/>
    </row>
    <row r="442" ht="45.75" customHeight="1">
      <c r="A442" s="36">
        <v>441.0</v>
      </c>
      <c r="B442" s="36">
        <v>3095.0</v>
      </c>
      <c r="C442" s="36" t="s">
        <v>1215</v>
      </c>
      <c r="D442" s="36" t="s">
        <v>7998</v>
      </c>
      <c r="E442" s="36" t="s">
        <v>8022</v>
      </c>
      <c r="F442" s="36" t="s">
        <v>8567</v>
      </c>
      <c r="G442" s="42" t="s">
        <v>8568</v>
      </c>
      <c r="H442" s="36" t="s">
        <v>64</v>
      </c>
      <c r="I442" s="36" t="s">
        <v>155</v>
      </c>
      <c r="J442" s="36" t="s">
        <v>62</v>
      </c>
      <c r="K442" s="36" t="s">
        <v>63</v>
      </c>
      <c r="L442" s="36">
        <v>75.0</v>
      </c>
      <c r="M442" s="36" t="s">
        <v>5112</v>
      </c>
      <c r="N442" s="36" t="s">
        <v>66</v>
      </c>
      <c r="O442" s="36" t="s">
        <v>72</v>
      </c>
      <c r="P442" s="36" t="s">
        <v>8572</v>
      </c>
      <c r="Q442" s="40"/>
      <c r="R442" s="36"/>
      <c r="S442" s="40"/>
      <c r="T442" s="60"/>
      <c r="U442" s="36" t="s">
        <v>61</v>
      </c>
      <c r="V442" s="40"/>
      <c r="W442" s="60"/>
      <c r="X442" s="57" t="s">
        <v>74</v>
      </c>
      <c r="Y442" s="36" t="s">
        <v>8575</v>
      </c>
      <c r="Z442" s="57" t="s">
        <v>8577</v>
      </c>
      <c r="AA442" s="57" t="s">
        <v>8578</v>
      </c>
      <c r="AB442" s="58">
        <v>46023.0</v>
      </c>
      <c r="AC442" s="146">
        <v>46387.0</v>
      </c>
      <c r="AD442" s="36" t="s">
        <v>8579</v>
      </c>
      <c r="AE442" s="36" t="s">
        <v>79</v>
      </c>
      <c r="AF442" s="36" t="s">
        <v>165</v>
      </c>
      <c r="AG442" s="36" t="s">
        <v>8582</v>
      </c>
      <c r="AH442" s="50"/>
    </row>
    <row r="443" ht="45.75" customHeight="1">
      <c r="A443" s="36">
        <v>442.0</v>
      </c>
      <c r="B443" s="36">
        <v>6556.0</v>
      </c>
      <c r="C443" s="36" t="s">
        <v>1323</v>
      </c>
      <c r="D443" s="36" t="s">
        <v>8583</v>
      </c>
      <c r="E443" s="36" t="s">
        <v>8584</v>
      </c>
      <c r="F443" s="36" t="s">
        <v>8585</v>
      </c>
      <c r="G443" s="42" t="s">
        <v>8586</v>
      </c>
      <c r="H443" s="36" t="s">
        <v>64</v>
      </c>
      <c r="I443" s="36" t="s">
        <v>155</v>
      </c>
      <c r="J443" s="36" t="s">
        <v>62</v>
      </c>
      <c r="K443" s="36" t="s">
        <v>63</v>
      </c>
      <c r="L443" s="36">
        <v>100.0</v>
      </c>
      <c r="M443" s="36" t="s">
        <v>8591</v>
      </c>
      <c r="N443" s="36" t="s">
        <v>66</v>
      </c>
      <c r="O443" s="40"/>
      <c r="P443" s="36" t="s">
        <v>8593</v>
      </c>
      <c r="Q443" s="36" t="s">
        <v>61</v>
      </c>
      <c r="R443" s="36"/>
      <c r="S443" s="36"/>
      <c r="T443" s="56"/>
      <c r="U443" s="36" t="s">
        <v>61</v>
      </c>
      <c r="V443" s="36" t="s">
        <v>61</v>
      </c>
      <c r="W443" s="36" t="s">
        <v>61</v>
      </c>
      <c r="X443" s="56" t="s">
        <v>74</v>
      </c>
      <c r="Y443" s="57" t="s">
        <v>8596</v>
      </c>
      <c r="Z443" s="36">
        <v>9.178575513E9</v>
      </c>
      <c r="AA443" s="57" t="s">
        <v>8597</v>
      </c>
      <c r="AB443" s="58">
        <v>46023.0</v>
      </c>
      <c r="AC443" s="146">
        <v>46387.0</v>
      </c>
      <c r="AD443" s="36" t="s">
        <v>8599</v>
      </c>
      <c r="AE443" s="36" t="s">
        <v>79</v>
      </c>
      <c r="AF443" s="65"/>
      <c r="AG443" s="65"/>
      <c r="AH443" s="36"/>
    </row>
    <row r="444" ht="45.75" customHeight="1">
      <c r="A444" s="36">
        <v>443.0</v>
      </c>
      <c r="B444" s="36">
        <v>50496.0</v>
      </c>
      <c r="C444" s="36" t="s">
        <v>1323</v>
      </c>
      <c r="D444" s="36" t="s">
        <v>3672</v>
      </c>
      <c r="E444" s="36" t="s">
        <v>3674</v>
      </c>
      <c r="F444" s="36" t="s">
        <v>3675</v>
      </c>
      <c r="G444" s="42" t="s">
        <v>3677</v>
      </c>
      <c r="H444" s="36" t="s">
        <v>64</v>
      </c>
      <c r="I444" s="36" t="s">
        <v>65</v>
      </c>
      <c r="J444" s="36" t="s">
        <v>62</v>
      </c>
      <c r="K444" s="36" t="s">
        <v>111</v>
      </c>
      <c r="L444" s="36">
        <v>100.0</v>
      </c>
      <c r="M444" s="36" t="s">
        <v>3687</v>
      </c>
      <c r="N444" s="36" t="s">
        <v>1469</v>
      </c>
      <c r="O444" s="40"/>
      <c r="P444" s="36" t="s">
        <v>8609</v>
      </c>
      <c r="Q444" s="36" t="s">
        <v>61</v>
      </c>
      <c r="R444" s="36"/>
      <c r="S444" s="36"/>
      <c r="T444" s="56"/>
      <c r="U444" s="36">
        <v>5.0</v>
      </c>
      <c r="V444" s="36" t="s">
        <v>61</v>
      </c>
      <c r="W444" s="36" t="s">
        <v>61</v>
      </c>
      <c r="X444" s="56" t="s">
        <v>93</v>
      </c>
      <c r="Y444" s="57" t="s">
        <v>8612</v>
      </c>
      <c r="Z444" s="36">
        <v>9.069528092E9</v>
      </c>
      <c r="AA444" s="57" t="s">
        <v>3720</v>
      </c>
      <c r="AB444" s="58">
        <v>46023.0</v>
      </c>
      <c r="AC444" s="146">
        <v>46387.0</v>
      </c>
      <c r="AD444" s="36" t="s">
        <v>8614</v>
      </c>
      <c r="AE444" s="36" t="s">
        <v>79</v>
      </c>
      <c r="AF444" s="65"/>
      <c r="AG444" s="65"/>
      <c r="AH444" s="36"/>
    </row>
    <row r="445" ht="45.75" customHeight="1">
      <c r="A445" s="36">
        <v>444.0</v>
      </c>
      <c r="B445" s="36">
        <v>48447.0</v>
      </c>
      <c r="C445" s="36" t="s">
        <v>1323</v>
      </c>
      <c r="D445" s="36" t="s">
        <v>3672</v>
      </c>
      <c r="E445" s="36" t="s">
        <v>3728</v>
      </c>
      <c r="F445" s="36" t="s">
        <v>1724</v>
      </c>
      <c r="G445" s="42" t="s">
        <v>3730</v>
      </c>
      <c r="H445" s="36" t="s">
        <v>64</v>
      </c>
      <c r="I445" s="36" t="s">
        <v>65</v>
      </c>
      <c r="J445" s="36" t="s">
        <v>62</v>
      </c>
      <c r="K445" s="36" t="s">
        <v>111</v>
      </c>
      <c r="L445" s="36">
        <v>200.0</v>
      </c>
      <c r="M445" s="36" t="s">
        <v>3746</v>
      </c>
      <c r="N445" s="36" t="s">
        <v>71</v>
      </c>
      <c r="O445" s="36" t="s">
        <v>72</v>
      </c>
      <c r="P445" s="36" t="s">
        <v>3747</v>
      </c>
      <c r="Q445" s="36" t="s">
        <v>61</v>
      </c>
      <c r="R445" s="36"/>
      <c r="S445" s="36"/>
      <c r="T445" s="56"/>
      <c r="U445" s="36">
        <v>10.0</v>
      </c>
      <c r="V445" s="36" t="s">
        <v>61</v>
      </c>
      <c r="W445" s="36" t="s">
        <v>61</v>
      </c>
      <c r="X445" s="56" t="s">
        <v>93</v>
      </c>
      <c r="Y445" s="57" t="s">
        <v>3715</v>
      </c>
      <c r="Z445" s="36">
        <v>9.776235991E9</v>
      </c>
      <c r="AA445" s="57" t="s">
        <v>3752</v>
      </c>
      <c r="AB445" s="58">
        <v>46023.0</v>
      </c>
      <c r="AC445" s="146">
        <v>46387.0</v>
      </c>
      <c r="AD445" s="36" t="s">
        <v>8629</v>
      </c>
      <c r="AE445" s="36" t="s">
        <v>79</v>
      </c>
      <c r="AF445" s="65"/>
      <c r="AG445" s="65"/>
      <c r="AH445" s="36"/>
    </row>
    <row r="446" ht="45.75" customHeight="1">
      <c r="A446" s="36">
        <v>445.0</v>
      </c>
      <c r="B446" s="36">
        <v>4461.0</v>
      </c>
      <c r="C446" s="36" t="s">
        <v>1323</v>
      </c>
      <c r="D446" s="36" t="s">
        <v>3761</v>
      </c>
      <c r="E446" s="36" t="s">
        <v>8633</v>
      </c>
      <c r="F446" s="36" t="s">
        <v>8634</v>
      </c>
      <c r="G446" s="42" t="s">
        <v>8636</v>
      </c>
      <c r="H446" s="36" t="s">
        <v>64</v>
      </c>
      <c r="I446" s="36" t="s">
        <v>155</v>
      </c>
      <c r="J446" s="36" t="s">
        <v>62</v>
      </c>
      <c r="K446" s="36" t="s">
        <v>63</v>
      </c>
      <c r="L446" s="36">
        <v>15.0</v>
      </c>
      <c r="M446" s="40"/>
      <c r="N446" s="36" t="s">
        <v>66</v>
      </c>
      <c r="O446" s="36" t="s">
        <v>67</v>
      </c>
      <c r="P446" s="36" t="s">
        <v>8641</v>
      </c>
      <c r="Q446" s="36" t="s">
        <v>61</v>
      </c>
      <c r="R446" s="36"/>
      <c r="S446" s="36"/>
      <c r="T446" s="56"/>
      <c r="U446" s="36">
        <v>5.0</v>
      </c>
      <c r="V446" s="36" t="s">
        <v>61</v>
      </c>
      <c r="W446" s="36" t="s">
        <v>61</v>
      </c>
      <c r="X446" s="56" t="s">
        <v>74</v>
      </c>
      <c r="Y446" s="57" t="s">
        <v>8644</v>
      </c>
      <c r="Z446" s="36">
        <v>9.209507875E9</v>
      </c>
      <c r="AA446" s="57" t="s">
        <v>8646</v>
      </c>
      <c r="AB446" s="58">
        <v>46023.0</v>
      </c>
      <c r="AC446" s="146">
        <v>46387.0</v>
      </c>
      <c r="AD446" s="36" t="s">
        <v>8647</v>
      </c>
      <c r="AE446" s="36" t="s">
        <v>79</v>
      </c>
      <c r="AF446" s="65"/>
      <c r="AG446" s="65"/>
      <c r="AH446" s="36"/>
    </row>
    <row r="447" ht="45.75" customHeight="1">
      <c r="A447" s="36">
        <v>446.0</v>
      </c>
      <c r="B447" s="36">
        <v>274.0</v>
      </c>
      <c r="C447" s="36" t="s">
        <v>1323</v>
      </c>
      <c r="D447" s="36" t="s">
        <v>3761</v>
      </c>
      <c r="E447" s="36" t="s">
        <v>3763</v>
      </c>
      <c r="F447" s="36" t="s">
        <v>3765</v>
      </c>
      <c r="G447" s="42" t="s">
        <v>3766</v>
      </c>
      <c r="H447" s="36" t="s">
        <v>64</v>
      </c>
      <c r="I447" s="36" t="s">
        <v>65</v>
      </c>
      <c r="J447" s="36" t="s">
        <v>62</v>
      </c>
      <c r="K447" s="36" t="s">
        <v>68</v>
      </c>
      <c r="L447" s="36">
        <v>600.0</v>
      </c>
      <c r="M447" s="36" t="s">
        <v>3788</v>
      </c>
      <c r="N447" s="36" t="s">
        <v>71</v>
      </c>
      <c r="O447" s="36" t="s">
        <v>72</v>
      </c>
      <c r="P447" s="36" t="s">
        <v>3791</v>
      </c>
      <c r="Q447" s="36" t="s">
        <v>61</v>
      </c>
      <c r="R447" s="36"/>
      <c r="S447" s="40"/>
      <c r="T447" s="56"/>
      <c r="U447" s="36">
        <v>30.0</v>
      </c>
      <c r="V447" s="40"/>
      <c r="W447" s="40"/>
      <c r="X447" s="56" t="s">
        <v>93</v>
      </c>
      <c r="Y447" s="57" t="s">
        <v>3795</v>
      </c>
      <c r="Z447" s="36" t="s">
        <v>3796</v>
      </c>
      <c r="AA447" s="57" t="s">
        <v>3797</v>
      </c>
      <c r="AB447" s="58">
        <v>46023.0</v>
      </c>
      <c r="AC447" s="146">
        <v>46387.0</v>
      </c>
      <c r="AD447" s="36" t="s">
        <v>3799</v>
      </c>
      <c r="AE447" s="36" t="s">
        <v>79</v>
      </c>
      <c r="AF447" s="65"/>
      <c r="AG447" s="65"/>
      <c r="AH447" s="36"/>
    </row>
    <row r="448" ht="45.75" customHeight="1">
      <c r="A448" s="36">
        <v>447.0</v>
      </c>
      <c r="B448" s="36">
        <v>262.0</v>
      </c>
      <c r="C448" s="36" t="s">
        <v>1323</v>
      </c>
      <c r="D448" s="36" t="s">
        <v>3761</v>
      </c>
      <c r="E448" s="36" t="s">
        <v>8665</v>
      </c>
      <c r="F448" s="36" t="s">
        <v>8666</v>
      </c>
      <c r="G448" s="42" t="s">
        <v>8668</v>
      </c>
      <c r="H448" s="36" t="s">
        <v>64</v>
      </c>
      <c r="I448" s="36" t="s">
        <v>155</v>
      </c>
      <c r="J448" s="36" t="s">
        <v>62</v>
      </c>
      <c r="K448" s="36" t="s">
        <v>63</v>
      </c>
      <c r="L448" s="36">
        <v>15.0</v>
      </c>
      <c r="M448" s="36" t="s">
        <v>8670</v>
      </c>
      <c r="N448" s="36" t="s">
        <v>71</v>
      </c>
      <c r="O448" s="36" t="s">
        <v>67</v>
      </c>
      <c r="P448" s="36" t="s">
        <v>8671</v>
      </c>
      <c r="Q448" s="36" t="s">
        <v>61</v>
      </c>
      <c r="R448" s="36"/>
      <c r="S448" s="36"/>
      <c r="T448" s="56"/>
      <c r="U448" s="36" t="s">
        <v>61</v>
      </c>
      <c r="V448" s="36" t="s">
        <v>61</v>
      </c>
      <c r="W448" s="36" t="s">
        <v>61</v>
      </c>
      <c r="X448" s="56" t="s">
        <v>74</v>
      </c>
      <c r="Y448" s="57" t="s">
        <v>8673</v>
      </c>
      <c r="Z448" s="36" t="s">
        <v>8674</v>
      </c>
      <c r="AA448" s="57" t="s">
        <v>8676</v>
      </c>
      <c r="AB448" s="58">
        <v>46023.0</v>
      </c>
      <c r="AC448" s="146">
        <v>46387.0</v>
      </c>
      <c r="AD448" s="36" t="s">
        <v>8677</v>
      </c>
      <c r="AE448" s="36" t="s">
        <v>79</v>
      </c>
      <c r="AF448" s="65"/>
      <c r="AG448" s="65"/>
      <c r="AH448" s="36"/>
    </row>
    <row r="449" ht="45.75" customHeight="1">
      <c r="A449" s="36">
        <v>448.0</v>
      </c>
      <c r="B449" s="36">
        <v>1787.0</v>
      </c>
      <c r="C449" s="36" t="s">
        <v>1323</v>
      </c>
      <c r="D449" s="36" t="s">
        <v>3761</v>
      </c>
      <c r="E449" s="36" t="s">
        <v>8681</v>
      </c>
      <c r="F449" s="36" t="s">
        <v>8682</v>
      </c>
      <c r="G449" s="42" t="s">
        <v>8684</v>
      </c>
      <c r="H449" s="36" t="s">
        <v>64</v>
      </c>
      <c r="I449" s="36" t="s">
        <v>155</v>
      </c>
      <c r="J449" s="36" t="s">
        <v>62</v>
      </c>
      <c r="K449" s="36" t="s">
        <v>63</v>
      </c>
      <c r="L449" s="36">
        <v>15.0</v>
      </c>
      <c r="M449" s="36" t="s">
        <v>1918</v>
      </c>
      <c r="N449" s="36" t="s">
        <v>66</v>
      </c>
      <c r="O449" s="36" t="s">
        <v>67</v>
      </c>
      <c r="P449" s="36" t="s">
        <v>8688</v>
      </c>
      <c r="Q449" s="36" t="s">
        <v>61</v>
      </c>
      <c r="R449" s="36"/>
      <c r="S449" s="40"/>
      <c r="T449" s="56"/>
      <c r="U449" s="36" t="s">
        <v>61</v>
      </c>
      <c r="V449" s="40"/>
      <c r="W449" s="40"/>
      <c r="X449" s="56" t="s">
        <v>74</v>
      </c>
      <c r="Y449" s="57" t="s">
        <v>8691</v>
      </c>
      <c r="Z449" s="36">
        <v>9.304559926E9</v>
      </c>
      <c r="AA449" s="57" t="s">
        <v>8692</v>
      </c>
      <c r="AB449" s="58">
        <v>46023.0</v>
      </c>
      <c r="AC449" s="146">
        <v>46387.0</v>
      </c>
      <c r="AD449" s="36" t="s">
        <v>8693</v>
      </c>
      <c r="AE449" s="36" t="s">
        <v>79</v>
      </c>
      <c r="AF449" s="65"/>
      <c r="AG449" s="65"/>
      <c r="AH449" s="36"/>
    </row>
    <row r="450" ht="45.75" customHeight="1">
      <c r="A450" s="36">
        <v>449.0</v>
      </c>
      <c r="B450" s="36">
        <v>1916.0</v>
      </c>
      <c r="C450" s="36" t="s">
        <v>1323</v>
      </c>
      <c r="D450" s="36" t="s">
        <v>3761</v>
      </c>
      <c r="E450" s="36" t="s">
        <v>8698</v>
      </c>
      <c r="F450" s="36" t="s">
        <v>8699</v>
      </c>
      <c r="G450" s="42" t="s">
        <v>8700</v>
      </c>
      <c r="H450" s="36" t="s">
        <v>64</v>
      </c>
      <c r="I450" s="36" t="s">
        <v>155</v>
      </c>
      <c r="J450" s="36" t="s">
        <v>62</v>
      </c>
      <c r="K450" s="36" t="s">
        <v>111</v>
      </c>
      <c r="L450" s="36">
        <v>150.0</v>
      </c>
      <c r="M450" s="36" t="s">
        <v>8701</v>
      </c>
      <c r="N450" s="36" t="s">
        <v>71</v>
      </c>
      <c r="O450" s="36" t="s">
        <v>67</v>
      </c>
      <c r="P450" s="36" t="s">
        <v>8702</v>
      </c>
      <c r="Q450" s="36" t="s">
        <v>61</v>
      </c>
      <c r="R450" s="36"/>
      <c r="S450" s="36"/>
      <c r="T450" s="56"/>
      <c r="U450" s="36">
        <v>20.0</v>
      </c>
      <c r="V450" s="36" t="s">
        <v>61</v>
      </c>
      <c r="W450" s="36" t="s">
        <v>61</v>
      </c>
      <c r="X450" s="56" t="s">
        <v>93</v>
      </c>
      <c r="Y450" s="57" t="s">
        <v>8703</v>
      </c>
      <c r="Z450" s="40"/>
      <c r="AA450" s="57" t="s">
        <v>8704</v>
      </c>
      <c r="AB450" s="58">
        <v>46023.0</v>
      </c>
      <c r="AC450" s="146">
        <v>46387.0</v>
      </c>
      <c r="AD450" s="36" t="s">
        <v>8705</v>
      </c>
      <c r="AE450" s="36" t="s">
        <v>79</v>
      </c>
      <c r="AF450" s="65"/>
      <c r="AG450" s="65"/>
      <c r="AH450" s="36"/>
    </row>
    <row r="451" ht="45.75" customHeight="1">
      <c r="A451" s="36">
        <v>450.0</v>
      </c>
      <c r="B451" s="36">
        <v>3870.0</v>
      </c>
      <c r="C451" s="36" t="s">
        <v>1323</v>
      </c>
      <c r="D451" s="36" t="s">
        <v>8707</v>
      </c>
      <c r="E451" s="36" t="s">
        <v>8709</v>
      </c>
      <c r="F451" s="36" t="s">
        <v>283</v>
      </c>
      <c r="G451" s="42" t="s">
        <v>8710</v>
      </c>
      <c r="H451" s="36" t="s">
        <v>64</v>
      </c>
      <c r="I451" s="36" t="s">
        <v>155</v>
      </c>
      <c r="J451" s="36" t="s">
        <v>62</v>
      </c>
      <c r="K451" s="36" t="s">
        <v>63</v>
      </c>
      <c r="L451" s="36">
        <v>30.0</v>
      </c>
      <c r="M451" s="36" t="s">
        <v>8712</v>
      </c>
      <c r="N451" s="36" t="s">
        <v>66</v>
      </c>
      <c r="O451" s="36" t="s">
        <v>72</v>
      </c>
      <c r="P451" s="36" t="s">
        <v>8713</v>
      </c>
      <c r="Q451" s="36" t="s">
        <v>61</v>
      </c>
      <c r="R451" s="36"/>
      <c r="S451" s="36"/>
      <c r="T451" s="56"/>
      <c r="U451" s="36" t="s">
        <v>61</v>
      </c>
      <c r="V451" s="36" t="s">
        <v>61</v>
      </c>
      <c r="W451" s="36" t="s">
        <v>61</v>
      </c>
      <c r="X451" s="56" t="s">
        <v>74</v>
      </c>
      <c r="Y451" s="57" t="s">
        <v>8718</v>
      </c>
      <c r="Z451" s="36">
        <v>9.175741414E9</v>
      </c>
      <c r="AA451" s="57" t="s">
        <v>8719</v>
      </c>
      <c r="AB451" s="58">
        <v>46023.0</v>
      </c>
      <c r="AC451" s="146">
        <v>46387.0</v>
      </c>
      <c r="AD451" s="36" t="s">
        <v>8720</v>
      </c>
      <c r="AE451" s="36" t="s">
        <v>79</v>
      </c>
      <c r="AF451" s="65"/>
      <c r="AG451" s="65"/>
      <c r="AH451" s="36"/>
    </row>
    <row r="452" ht="45.75" customHeight="1">
      <c r="A452" s="36">
        <v>451.0</v>
      </c>
      <c r="B452" s="36">
        <v>2714.0</v>
      </c>
      <c r="C452" s="36" t="s">
        <v>1323</v>
      </c>
      <c r="D452" s="36" t="s">
        <v>8707</v>
      </c>
      <c r="E452" s="36" t="s">
        <v>8724</v>
      </c>
      <c r="F452" s="36" t="s">
        <v>8725</v>
      </c>
      <c r="G452" s="42" t="s">
        <v>8726</v>
      </c>
      <c r="H452" s="36" t="s">
        <v>64</v>
      </c>
      <c r="I452" s="36" t="s">
        <v>155</v>
      </c>
      <c r="J452" s="36" t="s">
        <v>62</v>
      </c>
      <c r="K452" s="36" t="s">
        <v>63</v>
      </c>
      <c r="L452" s="36">
        <v>45.0</v>
      </c>
      <c r="M452" s="36" t="s">
        <v>8730</v>
      </c>
      <c r="N452" s="36" t="s">
        <v>66</v>
      </c>
      <c r="O452" s="36" t="s">
        <v>67</v>
      </c>
      <c r="P452" s="36" t="s">
        <v>8733</v>
      </c>
      <c r="Q452" s="36" t="s">
        <v>61</v>
      </c>
      <c r="R452" s="36"/>
      <c r="S452" s="36"/>
      <c r="T452" s="56"/>
      <c r="U452" s="36" t="s">
        <v>61</v>
      </c>
      <c r="V452" s="36" t="s">
        <v>61</v>
      </c>
      <c r="W452" s="36" t="s">
        <v>61</v>
      </c>
      <c r="X452" s="56" t="s">
        <v>74</v>
      </c>
      <c r="Y452" s="57" t="s">
        <v>8736</v>
      </c>
      <c r="Z452" s="36">
        <v>9.266903239E9</v>
      </c>
      <c r="AA452" s="57" t="s">
        <v>8737</v>
      </c>
      <c r="AB452" s="58">
        <v>46023.0</v>
      </c>
      <c r="AC452" s="146">
        <v>46387.0</v>
      </c>
      <c r="AD452" s="36" t="s">
        <v>8739</v>
      </c>
      <c r="AE452" s="36" t="s">
        <v>79</v>
      </c>
      <c r="AF452" s="65"/>
      <c r="AG452" s="65"/>
      <c r="AH452" s="36"/>
    </row>
    <row r="453" ht="45.75" customHeight="1">
      <c r="A453" s="36">
        <v>452.0</v>
      </c>
      <c r="B453" s="36">
        <v>4094.0</v>
      </c>
      <c r="C453" s="36" t="s">
        <v>1323</v>
      </c>
      <c r="D453" s="36" t="s">
        <v>8707</v>
      </c>
      <c r="E453" s="36" t="s">
        <v>8742</v>
      </c>
      <c r="F453" s="36" t="s">
        <v>8744</v>
      </c>
      <c r="G453" s="42" t="s">
        <v>8746</v>
      </c>
      <c r="H453" s="36" t="s">
        <v>64</v>
      </c>
      <c r="I453" s="36" t="s">
        <v>155</v>
      </c>
      <c r="J453" s="36" t="s">
        <v>62</v>
      </c>
      <c r="K453" s="36" t="s">
        <v>63</v>
      </c>
      <c r="L453" s="36">
        <v>30.0</v>
      </c>
      <c r="M453" s="36" t="s">
        <v>8748</v>
      </c>
      <c r="N453" s="36" t="s">
        <v>66</v>
      </c>
      <c r="O453" s="36" t="s">
        <v>67</v>
      </c>
      <c r="P453" s="36" t="s">
        <v>8752</v>
      </c>
      <c r="Q453" s="36" t="s">
        <v>61</v>
      </c>
      <c r="R453" s="36"/>
      <c r="S453" s="36"/>
      <c r="T453" s="56"/>
      <c r="U453" s="36" t="s">
        <v>61</v>
      </c>
      <c r="V453" s="36" t="s">
        <v>61</v>
      </c>
      <c r="W453" s="36" t="s">
        <v>61</v>
      </c>
      <c r="X453" s="56" t="s">
        <v>74</v>
      </c>
      <c r="Y453" s="57" t="s">
        <v>8755</v>
      </c>
      <c r="Z453" s="36">
        <v>9.670039261E9</v>
      </c>
      <c r="AA453" s="57" t="s">
        <v>8757</v>
      </c>
      <c r="AB453" s="58">
        <v>46023.0</v>
      </c>
      <c r="AC453" s="146">
        <v>46387.0</v>
      </c>
      <c r="AD453" s="36" t="s">
        <v>8759</v>
      </c>
      <c r="AE453" s="36" t="s">
        <v>79</v>
      </c>
      <c r="AF453" s="65"/>
      <c r="AG453" s="65"/>
      <c r="AH453" s="36"/>
    </row>
    <row r="454" ht="45.75" customHeight="1">
      <c r="A454" s="36">
        <v>453.0</v>
      </c>
      <c r="B454" s="36">
        <v>5634.0</v>
      </c>
      <c r="C454" s="36" t="s">
        <v>1323</v>
      </c>
      <c r="D454" s="36" t="s">
        <v>8760</v>
      </c>
      <c r="E454" s="36" t="s">
        <v>8761</v>
      </c>
      <c r="F454" s="36" t="s">
        <v>8762</v>
      </c>
      <c r="G454" s="42" t="s">
        <v>8764</v>
      </c>
      <c r="H454" s="36" t="s">
        <v>64</v>
      </c>
      <c r="I454" s="36" t="s">
        <v>155</v>
      </c>
      <c r="J454" s="36" t="s">
        <v>62</v>
      </c>
      <c r="K454" s="36" t="s">
        <v>63</v>
      </c>
      <c r="L454" s="36">
        <v>100.0</v>
      </c>
      <c r="M454" s="36" t="s">
        <v>8769</v>
      </c>
      <c r="N454" s="36" t="s">
        <v>66</v>
      </c>
      <c r="O454" s="36" t="s">
        <v>72</v>
      </c>
      <c r="P454" s="36" t="s">
        <v>8771</v>
      </c>
      <c r="Q454" s="36" t="s">
        <v>61</v>
      </c>
      <c r="R454" s="36"/>
      <c r="S454" s="36"/>
      <c r="T454" s="56"/>
      <c r="U454" s="36" t="s">
        <v>61</v>
      </c>
      <c r="V454" s="36" t="s">
        <v>61</v>
      </c>
      <c r="W454" s="36" t="s">
        <v>61</v>
      </c>
      <c r="X454" s="56" t="s">
        <v>93</v>
      </c>
      <c r="Y454" s="57" t="s">
        <v>8773</v>
      </c>
      <c r="Z454" s="36">
        <v>9.108489889E9</v>
      </c>
      <c r="AA454" s="57" t="s">
        <v>8775</v>
      </c>
      <c r="AB454" s="58">
        <v>46023.0</v>
      </c>
      <c r="AC454" s="146">
        <v>46387.0</v>
      </c>
      <c r="AD454" s="36" t="s">
        <v>8776</v>
      </c>
      <c r="AE454" s="36" t="s">
        <v>79</v>
      </c>
      <c r="AF454" s="65"/>
      <c r="AG454" s="65"/>
      <c r="AH454" s="36"/>
    </row>
    <row r="455" ht="45.75" customHeight="1">
      <c r="A455" s="36">
        <v>454.0</v>
      </c>
      <c r="B455" s="36">
        <v>3179.0</v>
      </c>
      <c r="C455" s="36" t="s">
        <v>1323</v>
      </c>
      <c r="D455" s="36" t="s">
        <v>3804</v>
      </c>
      <c r="E455" s="36" t="s">
        <v>3805</v>
      </c>
      <c r="F455" s="36" t="s">
        <v>3807</v>
      </c>
      <c r="G455" s="42" t="s">
        <v>3809</v>
      </c>
      <c r="H455" s="36" t="s">
        <v>64</v>
      </c>
      <c r="I455" s="36" t="s">
        <v>65</v>
      </c>
      <c r="J455" s="36" t="s">
        <v>62</v>
      </c>
      <c r="K455" s="36" t="s">
        <v>111</v>
      </c>
      <c r="L455" s="36">
        <v>200.0</v>
      </c>
      <c r="M455" s="36" t="s">
        <v>3816</v>
      </c>
      <c r="N455" s="36" t="s">
        <v>71</v>
      </c>
      <c r="O455" s="36" t="s">
        <v>72</v>
      </c>
      <c r="P455" s="36" t="s">
        <v>3818</v>
      </c>
      <c r="Q455" s="36" t="s">
        <v>61</v>
      </c>
      <c r="R455" s="36"/>
      <c r="S455" s="36"/>
      <c r="T455" s="56"/>
      <c r="U455" s="36">
        <v>18.0</v>
      </c>
      <c r="V455" s="36" t="s">
        <v>61</v>
      </c>
      <c r="W455" s="36" t="s">
        <v>61</v>
      </c>
      <c r="X455" s="56" t="s">
        <v>93</v>
      </c>
      <c r="Y455" s="57" t="s">
        <v>3823</v>
      </c>
      <c r="Z455" s="36" t="s">
        <v>3825</v>
      </c>
      <c r="AA455" s="57" t="s">
        <v>3827</v>
      </c>
      <c r="AB455" s="58">
        <v>46023.0</v>
      </c>
      <c r="AC455" s="146">
        <v>46387.0</v>
      </c>
      <c r="AD455" s="36" t="s">
        <v>8786</v>
      </c>
      <c r="AE455" s="36" t="s">
        <v>79</v>
      </c>
      <c r="AF455" s="65"/>
      <c r="AG455" s="65"/>
      <c r="AH455" s="36"/>
    </row>
    <row r="456" ht="45.75" customHeight="1">
      <c r="A456" s="36">
        <v>455.0</v>
      </c>
      <c r="B456" s="36">
        <v>5448.0</v>
      </c>
      <c r="C456" s="36" t="s">
        <v>1323</v>
      </c>
      <c r="D456" s="36" t="s">
        <v>3804</v>
      </c>
      <c r="E456" s="36" t="s">
        <v>8789</v>
      </c>
      <c r="F456" s="36" t="s">
        <v>8790</v>
      </c>
      <c r="G456" s="42" t="s">
        <v>8791</v>
      </c>
      <c r="H456" s="36" t="s">
        <v>64</v>
      </c>
      <c r="I456" s="36" t="s">
        <v>155</v>
      </c>
      <c r="J456" s="36" t="s">
        <v>62</v>
      </c>
      <c r="K456" s="36" t="s">
        <v>63</v>
      </c>
      <c r="L456" s="36">
        <v>17.0</v>
      </c>
      <c r="M456" s="36" t="s">
        <v>8795</v>
      </c>
      <c r="N456" s="36" t="s">
        <v>66</v>
      </c>
      <c r="O456" s="36" t="s">
        <v>67</v>
      </c>
      <c r="P456" s="36" t="s">
        <v>8797</v>
      </c>
      <c r="Q456" s="36" t="s">
        <v>61</v>
      </c>
      <c r="R456" s="36"/>
      <c r="S456" s="36"/>
      <c r="T456" s="56"/>
      <c r="U456" s="36" t="s">
        <v>61</v>
      </c>
      <c r="V456" s="36" t="s">
        <v>61</v>
      </c>
      <c r="W456" s="36" t="s">
        <v>61</v>
      </c>
      <c r="X456" s="56" t="s">
        <v>74</v>
      </c>
      <c r="Y456" s="57" t="s">
        <v>8799</v>
      </c>
      <c r="Z456" s="36">
        <v>9.5095683E9</v>
      </c>
      <c r="AA456" s="57" t="s">
        <v>8800</v>
      </c>
      <c r="AB456" s="58">
        <v>46023.0</v>
      </c>
      <c r="AC456" s="146">
        <v>46387.0</v>
      </c>
      <c r="AD456" s="36" t="s">
        <v>8801</v>
      </c>
      <c r="AE456" s="36" t="s">
        <v>79</v>
      </c>
      <c r="AF456" s="65"/>
      <c r="AG456" s="65"/>
      <c r="AH456" s="36"/>
    </row>
    <row r="457" ht="45.75" customHeight="1">
      <c r="A457" s="36">
        <v>456.0</v>
      </c>
      <c r="B457" s="36">
        <v>6557.0</v>
      </c>
      <c r="C457" s="36" t="s">
        <v>1323</v>
      </c>
      <c r="D457" s="36" t="s">
        <v>3804</v>
      </c>
      <c r="E457" s="36" t="s">
        <v>8806</v>
      </c>
      <c r="F457" s="36" t="s">
        <v>8808</v>
      </c>
      <c r="G457" s="42" t="s">
        <v>8809</v>
      </c>
      <c r="H457" s="36" t="s">
        <v>64</v>
      </c>
      <c r="I457" s="36" t="s">
        <v>155</v>
      </c>
      <c r="J457" s="36" t="s">
        <v>62</v>
      </c>
      <c r="K457" s="36" t="s">
        <v>63</v>
      </c>
      <c r="L457" s="36">
        <v>100.0</v>
      </c>
      <c r="M457" s="36" t="s">
        <v>8813</v>
      </c>
      <c r="N457" s="36" t="s">
        <v>66</v>
      </c>
      <c r="O457" s="36" t="s">
        <v>67</v>
      </c>
      <c r="P457" s="36" t="s">
        <v>8815</v>
      </c>
      <c r="Q457" s="36" t="s">
        <v>61</v>
      </c>
      <c r="R457" s="36"/>
      <c r="S457" s="36"/>
      <c r="T457" s="56"/>
      <c r="U457" s="36">
        <v>12.0</v>
      </c>
      <c r="V457" s="36" t="s">
        <v>61</v>
      </c>
      <c r="W457" s="36" t="s">
        <v>61</v>
      </c>
      <c r="X457" s="56" t="s">
        <v>74</v>
      </c>
      <c r="Y457" s="57" t="s">
        <v>8819</v>
      </c>
      <c r="Z457" s="36">
        <v>9.984648544E9</v>
      </c>
      <c r="AA457" s="57" t="s">
        <v>8820</v>
      </c>
      <c r="AB457" s="58">
        <v>46023.0</v>
      </c>
      <c r="AC457" s="146">
        <v>46387.0</v>
      </c>
      <c r="AD457" s="36" t="s">
        <v>8821</v>
      </c>
      <c r="AE457" s="36" t="s">
        <v>79</v>
      </c>
      <c r="AF457" s="65"/>
      <c r="AG457" s="65"/>
      <c r="AH457" s="36"/>
    </row>
    <row r="458" ht="45.75" customHeight="1">
      <c r="A458" s="36">
        <v>457.0</v>
      </c>
      <c r="B458" s="36">
        <v>4073.0</v>
      </c>
      <c r="C458" s="36" t="s">
        <v>1323</v>
      </c>
      <c r="D458" s="36" t="s">
        <v>3804</v>
      </c>
      <c r="E458" s="36" t="s">
        <v>8824</v>
      </c>
      <c r="F458" s="36" t="s">
        <v>596</v>
      </c>
      <c r="G458" s="42" t="s">
        <v>8825</v>
      </c>
      <c r="H458" s="36" t="s">
        <v>64</v>
      </c>
      <c r="I458" s="36" t="s">
        <v>155</v>
      </c>
      <c r="J458" s="36" t="s">
        <v>62</v>
      </c>
      <c r="K458" s="36" t="s">
        <v>63</v>
      </c>
      <c r="L458" s="36">
        <v>17.0</v>
      </c>
      <c r="M458" s="36" t="s">
        <v>8830</v>
      </c>
      <c r="N458" s="36" t="s">
        <v>66</v>
      </c>
      <c r="O458" s="36" t="s">
        <v>67</v>
      </c>
      <c r="P458" s="36" t="s">
        <v>8832</v>
      </c>
      <c r="Q458" s="36" t="s">
        <v>61</v>
      </c>
      <c r="R458" s="36"/>
      <c r="S458" s="36"/>
      <c r="T458" s="56"/>
      <c r="U458" s="36" t="s">
        <v>61</v>
      </c>
      <c r="V458" s="36" t="s">
        <v>61</v>
      </c>
      <c r="W458" s="36" t="s">
        <v>61</v>
      </c>
      <c r="X458" s="56" t="s">
        <v>74</v>
      </c>
      <c r="Y458" s="57" t="s">
        <v>8835</v>
      </c>
      <c r="Z458" s="36">
        <v>9.209604047E9</v>
      </c>
      <c r="AA458" s="57" t="s">
        <v>8836</v>
      </c>
      <c r="AB458" s="58">
        <v>46023.0</v>
      </c>
      <c r="AC458" s="146">
        <v>46387.0</v>
      </c>
      <c r="AD458" s="36" t="s">
        <v>8837</v>
      </c>
      <c r="AE458" s="36" t="s">
        <v>79</v>
      </c>
      <c r="AF458" s="65"/>
      <c r="AG458" s="65"/>
      <c r="AH458" s="36"/>
    </row>
    <row r="459" ht="45.75" customHeight="1">
      <c r="A459" s="36">
        <v>458.0</v>
      </c>
      <c r="B459" s="131">
        <v>2808.0</v>
      </c>
      <c r="C459" s="131" t="s">
        <v>1418</v>
      </c>
      <c r="D459" s="131" t="s">
        <v>2197</v>
      </c>
      <c r="E459" s="131" t="s">
        <v>8842</v>
      </c>
      <c r="F459" s="131" t="s">
        <v>8843</v>
      </c>
      <c r="G459" s="195" t="s">
        <v>8847</v>
      </c>
      <c r="H459" s="131" t="s">
        <v>64</v>
      </c>
      <c r="I459" s="131" t="s">
        <v>155</v>
      </c>
      <c r="J459" s="131" t="s">
        <v>62</v>
      </c>
      <c r="K459" s="131" t="s">
        <v>63</v>
      </c>
      <c r="L459" s="131">
        <v>25.0</v>
      </c>
      <c r="M459" s="131" t="s">
        <v>8862</v>
      </c>
      <c r="N459" s="36" t="s">
        <v>66</v>
      </c>
      <c r="O459" s="190"/>
      <c r="P459" s="131" t="s">
        <v>8866</v>
      </c>
      <c r="Q459" s="190"/>
      <c r="R459" s="190"/>
      <c r="S459" s="190"/>
      <c r="T459" s="131" t="s">
        <v>8867</v>
      </c>
      <c r="U459" s="131" t="s">
        <v>61</v>
      </c>
      <c r="V459" s="131" t="s">
        <v>61</v>
      </c>
      <c r="W459" s="190"/>
      <c r="X459" s="131" t="s">
        <v>74</v>
      </c>
      <c r="Y459" s="131" t="s">
        <v>8868</v>
      </c>
      <c r="Z459" s="196" t="s">
        <v>8869</v>
      </c>
      <c r="AA459" s="131" t="s">
        <v>8873</v>
      </c>
      <c r="AB459" s="198">
        <v>46023.0</v>
      </c>
      <c r="AC459" s="199">
        <v>46387.0</v>
      </c>
      <c r="AD459" s="131" t="s">
        <v>8898</v>
      </c>
      <c r="AE459" s="188" t="s">
        <v>79</v>
      </c>
      <c r="AF459" s="188" t="s">
        <v>61</v>
      </c>
      <c r="AG459" s="200"/>
      <c r="AH459" s="36"/>
    </row>
    <row r="460" ht="45.75" customHeight="1">
      <c r="A460" s="36">
        <v>459.0</v>
      </c>
      <c r="B460" s="131">
        <v>421.0</v>
      </c>
      <c r="C460" s="131" t="s">
        <v>1418</v>
      </c>
      <c r="D460" s="131" t="s">
        <v>2333</v>
      </c>
      <c r="E460" s="131" t="s">
        <v>8904</v>
      </c>
      <c r="F460" s="131" t="s">
        <v>8905</v>
      </c>
      <c r="G460" s="195" t="s">
        <v>8907</v>
      </c>
      <c r="H460" s="131" t="s">
        <v>64</v>
      </c>
      <c r="I460" s="131" t="s">
        <v>155</v>
      </c>
      <c r="J460" s="131" t="s">
        <v>62</v>
      </c>
      <c r="K460" s="131" t="s">
        <v>63</v>
      </c>
      <c r="L460" s="131">
        <v>25.0</v>
      </c>
      <c r="M460" s="131" t="s">
        <v>8910</v>
      </c>
      <c r="N460" s="36" t="s">
        <v>66</v>
      </c>
      <c r="O460" s="190"/>
      <c r="P460" s="131" t="s">
        <v>8911</v>
      </c>
      <c r="Q460" s="190"/>
      <c r="R460" s="190"/>
      <c r="S460" s="190"/>
      <c r="T460" s="131" t="s">
        <v>8913</v>
      </c>
      <c r="U460" s="131" t="s">
        <v>61</v>
      </c>
      <c r="V460" s="131" t="s">
        <v>61</v>
      </c>
      <c r="W460" s="190"/>
      <c r="X460" s="131" t="s">
        <v>74</v>
      </c>
      <c r="Y460" s="131" t="s">
        <v>8914</v>
      </c>
      <c r="Z460" s="196" t="s">
        <v>8915</v>
      </c>
      <c r="AA460" s="131" t="s">
        <v>8916</v>
      </c>
      <c r="AB460" s="198">
        <v>46023.0</v>
      </c>
      <c r="AC460" s="199">
        <v>46387.0</v>
      </c>
      <c r="AD460" s="131" t="s">
        <v>8919</v>
      </c>
      <c r="AE460" s="188" t="s">
        <v>79</v>
      </c>
      <c r="AF460" s="188" t="s">
        <v>61</v>
      </c>
      <c r="AG460" s="200"/>
      <c r="AH460" s="36"/>
    </row>
    <row r="461" ht="45.75" customHeight="1">
      <c r="A461" s="36">
        <v>460.0</v>
      </c>
      <c r="B461" s="131">
        <v>7712.0</v>
      </c>
      <c r="C461" s="131" t="s">
        <v>1418</v>
      </c>
      <c r="D461" s="131" t="s">
        <v>2333</v>
      </c>
      <c r="E461" s="131" t="s">
        <v>8922</v>
      </c>
      <c r="F461" s="131" t="s">
        <v>8923</v>
      </c>
      <c r="G461" s="195" t="s">
        <v>8924</v>
      </c>
      <c r="H461" s="131" t="s">
        <v>64</v>
      </c>
      <c r="I461" s="131" t="s">
        <v>155</v>
      </c>
      <c r="J461" s="131" t="s">
        <v>62</v>
      </c>
      <c r="K461" s="131" t="s">
        <v>63</v>
      </c>
      <c r="L461" s="131">
        <v>25.0</v>
      </c>
      <c r="M461" s="131" t="s">
        <v>8929</v>
      </c>
      <c r="N461" s="36" t="s">
        <v>66</v>
      </c>
      <c r="O461" s="190"/>
      <c r="P461" s="131" t="s">
        <v>8931</v>
      </c>
      <c r="Q461" s="190"/>
      <c r="R461" s="190"/>
      <c r="S461" s="190"/>
      <c r="T461" s="131" t="s">
        <v>8933</v>
      </c>
      <c r="U461" s="131" t="s">
        <v>61</v>
      </c>
      <c r="V461" s="131" t="s">
        <v>61</v>
      </c>
      <c r="W461" s="190"/>
      <c r="X461" s="131" t="s">
        <v>74</v>
      </c>
      <c r="Y461" s="131" t="s">
        <v>8935</v>
      </c>
      <c r="Z461" s="196" t="s">
        <v>8936</v>
      </c>
      <c r="AA461" s="131" t="s">
        <v>8938</v>
      </c>
      <c r="AB461" s="198">
        <v>46023.0</v>
      </c>
      <c r="AC461" s="199">
        <v>46387.0</v>
      </c>
      <c r="AD461" s="131" t="s">
        <v>8941</v>
      </c>
      <c r="AE461" s="188" t="s">
        <v>79</v>
      </c>
      <c r="AF461" s="188" t="s">
        <v>61</v>
      </c>
      <c r="AG461" s="200"/>
      <c r="AH461" s="36"/>
    </row>
    <row r="462" ht="45.75" customHeight="1">
      <c r="A462" s="36">
        <v>461.0</v>
      </c>
      <c r="B462" s="131">
        <v>529.0</v>
      </c>
      <c r="C462" s="131" t="s">
        <v>1418</v>
      </c>
      <c r="D462" s="131" t="s">
        <v>2333</v>
      </c>
      <c r="E462" s="131" t="s">
        <v>8944</v>
      </c>
      <c r="F462" s="131" t="s">
        <v>8945</v>
      </c>
      <c r="G462" s="195" t="s">
        <v>8946</v>
      </c>
      <c r="H462" s="131" t="s">
        <v>64</v>
      </c>
      <c r="I462" s="131" t="s">
        <v>155</v>
      </c>
      <c r="J462" s="131" t="s">
        <v>62</v>
      </c>
      <c r="K462" s="131" t="s">
        <v>63</v>
      </c>
      <c r="L462" s="131">
        <v>150.0</v>
      </c>
      <c r="M462" s="131" t="s">
        <v>8949</v>
      </c>
      <c r="N462" s="36" t="s">
        <v>66</v>
      </c>
      <c r="O462" s="190"/>
      <c r="P462" s="131" t="s">
        <v>8950</v>
      </c>
      <c r="Q462" s="190"/>
      <c r="R462" s="190"/>
      <c r="S462" s="190"/>
      <c r="T462" s="131" t="s">
        <v>8953</v>
      </c>
      <c r="U462" s="131" t="s">
        <v>61</v>
      </c>
      <c r="V462" s="131" t="s">
        <v>61</v>
      </c>
      <c r="W462" s="190"/>
      <c r="X462" s="131" t="s">
        <v>93</v>
      </c>
      <c r="Y462" s="131" t="s">
        <v>8956</v>
      </c>
      <c r="Z462" s="196" t="s">
        <v>8957</v>
      </c>
      <c r="AA462" s="131" t="s">
        <v>8958</v>
      </c>
      <c r="AB462" s="198">
        <v>46023.0</v>
      </c>
      <c r="AC462" s="199">
        <v>46387.0</v>
      </c>
      <c r="AD462" s="131" t="s">
        <v>8960</v>
      </c>
      <c r="AE462" s="188" t="s">
        <v>164</v>
      </c>
      <c r="AF462" s="188" t="s">
        <v>1462</v>
      </c>
      <c r="AG462" s="131" t="s">
        <v>8962</v>
      </c>
      <c r="AH462" s="36"/>
    </row>
    <row r="463" ht="45.75" customHeight="1">
      <c r="A463" s="36">
        <v>462.0</v>
      </c>
      <c r="B463" s="131">
        <v>7526.0</v>
      </c>
      <c r="C463" s="131" t="s">
        <v>1418</v>
      </c>
      <c r="D463" s="131" t="s">
        <v>2333</v>
      </c>
      <c r="E463" s="131" t="s">
        <v>8964</v>
      </c>
      <c r="F463" s="131" t="s">
        <v>8966</v>
      </c>
      <c r="G463" s="195" t="s">
        <v>8967</v>
      </c>
      <c r="H463" s="131" t="s">
        <v>64</v>
      </c>
      <c r="I463" s="131" t="s">
        <v>155</v>
      </c>
      <c r="J463" s="131" t="s">
        <v>62</v>
      </c>
      <c r="K463" s="131" t="s">
        <v>63</v>
      </c>
      <c r="L463" s="131">
        <v>100.0</v>
      </c>
      <c r="M463" s="131" t="s">
        <v>8910</v>
      </c>
      <c r="N463" s="36" t="s">
        <v>66</v>
      </c>
      <c r="O463" s="190"/>
      <c r="P463" s="131" t="s">
        <v>8971</v>
      </c>
      <c r="Q463" s="190"/>
      <c r="R463" s="190"/>
      <c r="S463" s="190"/>
      <c r="T463" s="131" t="s">
        <v>8973</v>
      </c>
      <c r="U463" s="131" t="s">
        <v>61</v>
      </c>
      <c r="V463" s="131" t="s">
        <v>61</v>
      </c>
      <c r="W463" s="190"/>
      <c r="X463" s="131" t="s">
        <v>74</v>
      </c>
      <c r="Y463" s="131" t="s">
        <v>8974</v>
      </c>
      <c r="Z463" s="196" t="s">
        <v>8975</v>
      </c>
      <c r="AA463" s="131" t="s">
        <v>8977</v>
      </c>
      <c r="AB463" s="198">
        <v>46023.0</v>
      </c>
      <c r="AC463" s="199">
        <v>46387.0</v>
      </c>
      <c r="AD463" s="131" t="s">
        <v>8979</v>
      </c>
      <c r="AE463" s="188" t="s">
        <v>79</v>
      </c>
      <c r="AF463" s="188" t="s">
        <v>61</v>
      </c>
      <c r="AG463" s="200"/>
      <c r="AH463" s="36"/>
    </row>
    <row r="464" ht="45.75" customHeight="1">
      <c r="A464" s="36">
        <v>463.0</v>
      </c>
      <c r="B464" s="131">
        <v>2963.0</v>
      </c>
      <c r="C464" s="131" t="s">
        <v>1418</v>
      </c>
      <c r="D464" s="131" t="s">
        <v>2333</v>
      </c>
      <c r="E464" s="131" t="s">
        <v>8980</v>
      </c>
      <c r="F464" s="131" t="s">
        <v>8981</v>
      </c>
      <c r="G464" s="195" t="s">
        <v>8982</v>
      </c>
      <c r="H464" s="131" t="s">
        <v>64</v>
      </c>
      <c r="I464" s="131" t="s">
        <v>155</v>
      </c>
      <c r="J464" s="131" t="s">
        <v>62</v>
      </c>
      <c r="K464" s="131" t="s">
        <v>63</v>
      </c>
      <c r="L464" s="131">
        <v>25.0</v>
      </c>
      <c r="M464" s="131" t="s">
        <v>8910</v>
      </c>
      <c r="N464" s="36" t="s">
        <v>66</v>
      </c>
      <c r="O464" s="190"/>
      <c r="P464" s="131" t="s">
        <v>8987</v>
      </c>
      <c r="Q464" s="190"/>
      <c r="R464" s="190"/>
      <c r="S464" s="190"/>
      <c r="T464" s="131" t="s">
        <v>8988</v>
      </c>
      <c r="U464" s="131" t="s">
        <v>61</v>
      </c>
      <c r="V464" s="131" t="s">
        <v>61</v>
      </c>
      <c r="W464" s="190"/>
      <c r="X464" s="131" t="s">
        <v>74</v>
      </c>
      <c r="Y464" s="131" t="s">
        <v>8990</v>
      </c>
      <c r="Z464" s="196" t="s">
        <v>8992</v>
      </c>
      <c r="AA464" s="131" t="s">
        <v>8993</v>
      </c>
      <c r="AB464" s="198">
        <v>46023.0</v>
      </c>
      <c r="AC464" s="199">
        <v>46387.0</v>
      </c>
      <c r="AD464" s="131" t="s">
        <v>8994</v>
      </c>
      <c r="AE464" s="188" t="s">
        <v>79</v>
      </c>
      <c r="AF464" s="188" t="s">
        <v>61</v>
      </c>
      <c r="AG464" s="200"/>
      <c r="AH464" s="36"/>
    </row>
    <row r="465" ht="45.75" customHeight="1">
      <c r="A465" s="36">
        <v>464.0</v>
      </c>
      <c r="B465" s="131">
        <v>632.0</v>
      </c>
      <c r="C465" s="131" t="s">
        <v>1418</v>
      </c>
      <c r="D465" s="131" t="s">
        <v>2538</v>
      </c>
      <c r="E465" s="131" t="s">
        <v>8997</v>
      </c>
      <c r="F465" s="131" t="s">
        <v>8999</v>
      </c>
      <c r="G465" s="195" t="s">
        <v>9001</v>
      </c>
      <c r="H465" s="131" t="s">
        <v>64</v>
      </c>
      <c r="I465" s="131" t="s">
        <v>155</v>
      </c>
      <c r="J465" s="131" t="s">
        <v>62</v>
      </c>
      <c r="K465" s="131" t="s">
        <v>111</v>
      </c>
      <c r="L465" s="131">
        <v>299.0</v>
      </c>
      <c r="M465" s="131" t="s">
        <v>9005</v>
      </c>
      <c r="N465" s="131" t="s">
        <v>9006</v>
      </c>
      <c r="O465" s="190"/>
      <c r="P465" s="131" t="s">
        <v>1180</v>
      </c>
      <c r="Q465" s="190"/>
      <c r="R465" s="190"/>
      <c r="S465" s="190"/>
      <c r="T465" s="190"/>
      <c r="U465" s="131">
        <v>10.0</v>
      </c>
      <c r="V465" s="190"/>
      <c r="W465" s="190"/>
      <c r="X465" s="131" t="s">
        <v>93</v>
      </c>
      <c r="Y465" s="131" t="s">
        <v>9009</v>
      </c>
      <c r="Z465" s="196" t="s">
        <v>9010</v>
      </c>
      <c r="AA465" s="131" t="s">
        <v>9012</v>
      </c>
      <c r="AB465" s="198">
        <v>46023.0</v>
      </c>
      <c r="AC465" s="199">
        <v>46387.0</v>
      </c>
      <c r="AD465" s="131" t="s">
        <v>9013</v>
      </c>
      <c r="AE465" s="188" t="s">
        <v>79</v>
      </c>
      <c r="AF465" s="205"/>
      <c r="AG465" s="200"/>
      <c r="AH465" s="36"/>
    </row>
    <row r="466" ht="45.75" customHeight="1">
      <c r="A466" s="36">
        <v>465.0</v>
      </c>
      <c r="B466" s="36">
        <v>7075.0</v>
      </c>
      <c r="C466" s="36" t="s">
        <v>1418</v>
      </c>
      <c r="D466" s="36" t="s">
        <v>9018</v>
      </c>
      <c r="E466" s="36" t="s">
        <v>9020</v>
      </c>
      <c r="F466" s="36" t="s">
        <v>9022</v>
      </c>
      <c r="G466" s="42" t="s">
        <v>9023</v>
      </c>
      <c r="H466" s="36" t="s">
        <v>64</v>
      </c>
      <c r="I466" s="131" t="s">
        <v>155</v>
      </c>
      <c r="J466" s="36" t="s">
        <v>62</v>
      </c>
      <c r="K466" s="36" t="s">
        <v>63</v>
      </c>
      <c r="L466" s="36">
        <v>100.0</v>
      </c>
      <c r="M466" s="36" t="s">
        <v>8910</v>
      </c>
      <c r="N466" s="36" t="s">
        <v>66</v>
      </c>
      <c r="O466" s="190"/>
      <c r="P466" s="36" t="s">
        <v>9026</v>
      </c>
      <c r="Q466" s="190"/>
      <c r="R466" s="190"/>
      <c r="S466" s="190"/>
      <c r="T466" s="36" t="s">
        <v>9030</v>
      </c>
      <c r="U466" s="36" t="s">
        <v>61</v>
      </c>
      <c r="V466" s="36" t="s">
        <v>61</v>
      </c>
      <c r="W466" s="190"/>
      <c r="X466" s="36" t="s">
        <v>74</v>
      </c>
      <c r="Y466" s="36" t="s">
        <v>9032</v>
      </c>
      <c r="Z466" s="56" t="s">
        <v>9033</v>
      </c>
      <c r="AA466" s="57" t="s">
        <v>9034</v>
      </c>
      <c r="AB466" s="58">
        <v>46023.0</v>
      </c>
      <c r="AC466" s="146">
        <v>46387.0</v>
      </c>
      <c r="AD466" s="57" t="s">
        <v>9035</v>
      </c>
      <c r="AE466" s="36" t="s">
        <v>79</v>
      </c>
      <c r="AF466" s="36" t="s">
        <v>61</v>
      </c>
      <c r="AG466" s="40"/>
      <c r="AH466" s="36"/>
    </row>
    <row r="467" ht="45.75" customHeight="1">
      <c r="A467" s="36">
        <v>466.0</v>
      </c>
      <c r="B467" s="36">
        <v>6002.0</v>
      </c>
      <c r="C467" s="36" t="s">
        <v>1418</v>
      </c>
      <c r="D467" s="36" t="s">
        <v>9018</v>
      </c>
      <c r="E467" s="36" t="s">
        <v>9039</v>
      </c>
      <c r="F467" s="36" t="s">
        <v>9041</v>
      </c>
      <c r="G467" s="42" t="s">
        <v>9043</v>
      </c>
      <c r="H467" s="36" t="s">
        <v>64</v>
      </c>
      <c r="I467" s="36" t="s">
        <v>8103</v>
      </c>
      <c r="J467" s="36" t="s">
        <v>62</v>
      </c>
      <c r="K467" s="36" t="s">
        <v>63</v>
      </c>
      <c r="L467" s="36">
        <v>50.0</v>
      </c>
      <c r="M467" s="36" t="s">
        <v>8910</v>
      </c>
      <c r="N467" s="36" t="s">
        <v>66</v>
      </c>
      <c r="O467" s="190"/>
      <c r="P467" s="36" t="s">
        <v>9048</v>
      </c>
      <c r="Q467" s="190"/>
      <c r="R467" s="190"/>
      <c r="S467" s="190"/>
      <c r="T467" s="36" t="s">
        <v>9049</v>
      </c>
      <c r="U467" s="36" t="s">
        <v>61</v>
      </c>
      <c r="V467" s="36" t="s">
        <v>61</v>
      </c>
      <c r="W467" s="190"/>
      <c r="X467" s="36" t="s">
        <v>74</v>
      </c>
      <c r="Y467" s="36" t="s">
        <v>9050</v>
      </c>
      <c r="Z467" s="56" t="s">
        <v>9052</v>
      </c>
      <c r="AA467" s="57" t="s">
        <v>9054</v>
      </c>
      <c r="AB467" s="58">
        <v>46023.0</v>
      </c>
      <c r="AC467" s="146">
        <v>46387.0</v>
      </c>
      <c r="AD467" s="57" t="s">
        <v>9056</v>
      </c>
      <c r="AE467" s="36" t="s">
        <v>79</v>
      </c>
      <c r="AF467" s="36" t="s">
        <v>61</v>
      </c>
      <c r="AG467" s="36" t="s">
        <v>9058</v>
      </c>
      <c r="AH467" s="36"/>
    </row>
    <row r="468" ht="45.75" customHeight="1">
      <c r="A468" s="36">
        <v>467.0</v>
      </c>
      <c r="B468" s="36">
        <v>23633.0</v>
      </c>
      <c r="C468" s="36" t="s">
        <v>1418</v>
      </c>
      <c r="D468" s="36" t="s">
        <v>9018</v>
      </c>
      <c r="E468" s="36" t="s">
        <v>9039</v>
      </c>
      <c r="F468" s="36" t="s">
        <v>9061</v>
      </c>
      <c r="G468" s="42" t="s">
        <v>9062</v>
      </c>
      <c r="H468" s="36" t="s">
        <v>64</v>
      </c>
      <c r="I468" s="131" t="s">
        <v>155</v>
      </c>
      <c r="J468" s="36" t="s">
        <v>62</v>
      </c>
      <c r="K468" s="36" t="s">
        <v>63</v>
      </c>
      <c r="L468" s="36">
        <v>50.0</v>
      </c>
      <c r="M468" s="36" t="s">
        <v>8910</v>
      </c>
      <c r="N468" s="36" t="s">
        <v>66</v>
      </c>
      <c r="O468" s="190"/>
      <c r="P468" s="36" t="s">
        <v>9069</v>
      </c>
      <c r="Q468" s="190"/>
      <c r="R468" s="190"/>
      <c r="S468" s="190"/>
      <c r="T468" s="36" t="s">
        <v>9070</v>
      </c>
      <c r="U468" s="36" t="s">
        <v>61</v>
      </c>
      <c r="V468" s="36" t="s">
        <v>61</v>
      </c>
      <c r="W468" s="190"/>
      <c r="X468" s="36" t="s">
        <v>74</v>
      </c>
      <c r="Y468" s="36" t="s">
        <v>9072</v>
      </c>
      <c r="Z468" s="56" t="s">
        <v>9074</v>
      </c>
      <c r="AA468" s="57" t="s">
        <v>9075</v>
      </c>
      <c r="AB468" s="58">
        <v>46023.0</v>
      </c>
      <c r="AC468" s="146">
        <v>46387.0</v>
      </c>
      <c r="AD468" s="57" t="s">
        <v>9077</v>
      </c>
      <c r="AE468" s="36" t="s">
        <v>79</v>
      </c>
      <c r="AF468" s="36" t="s">
        <v>61</v>
      </c>
      <c r="AG468" s="40"/>
      <c r="AH468" s="36"/>
    </row>
    <row r="469" ht="45.75" customHeight="1">
      <c r="A469" s="36">
        <v>468.0</v>
      </c>
      <c r="B469" s="131">
        <v>43287.0</v>
      </c>
      <c r="C469" s="131" t="s">
        <v>1418</v>
      </c>
      <c r="D469" s="131" t="s">
        <v>9018</v>
      </c>
      <c r="E469" s="131" t="s">
        <v>5897</v>
      </c>
      <c r="F469" s="131" t="s">
        <v>9082</v>
      </c>
      <c r="G469" s="195" t="s">
        <v>9084</v>
      </c>
      <c r="H469" s="131" t="s">
        <v>64</v>
      </c>
      <c r="I469" s="131" t="s">
        <v>155</v>
      </c>
      <c r="J469" s="131" t="s">
        <v>62</v>
      </c>
      <c r="K469" s="131" t="s">
        <v>63</v>
      </c>
      <c r="L469" s="131">
        <v>25.0</v>
      </c>
      <c r="M469" s="131" t="s">
        <v>8910</v>
      </c>
      <c r="N469" s="36" t="s">
        <v>66</v>
      </c>
      <c r="O469" s="190"/>
      <c r="P469" s="131" t="s">
        <v>9087</v>
      </c>
      <c r="Q469" s="190"/>
      <c r="R469" s="190"/>
      <c r="S469" s="190"/>
      <c r="T469" s="131" t="s">
        <v>9084</v>
      </c>
      <c r="U469" s="131" t="s">
        <v>61</v>
      </c>
      <c r="V469" s="131" t="s">
        <v>61</v>
      </c>
      <c r="W469" s="190"/>
      <c r="X469" s="131" t="s">
        <v>74</v>
      </c>
      <c r="Y469" s="131" t="s">
        <v>9089</v>
      </c>
      <c r="Z469" s="196" t="s">
        <v>9090</v>
      </c>
      <c r="AA469" s="131" t="s">
        <v>9092</v>
      </c>
      <c r="AB469" s="198">
        <v>46023.0</v>
      </c>
      <c r="AC469" s="199">
        <v>46387.0</v>
      </c>
      <c r="AD469" s="131" t="s">
        <v>9095</v>
      </c>
      <c r="AE469" s="188" t="s">
        <v>79</v>
      </c>
      <c r="AF469" s="188" t="s">
        <v>1462</v>
      </c>
      <c r="AG469" s="131" t="s">
        <v>9097</v>
      </c>
      <c r="AH469" s="36"/>
    </row>
    <row r="470" ht="45.75" customHeight="1">
      <c r="A470" s="36">
        <v>469.0</v>
      </c>
      <c r="B470" s="36">
        <v>438.0</v>
      </c>
      <c r="C470" s="36" t="s">
        <v>1418</v>
      </c>
      <c r="D470" s="36" t="s">
        <v>9100</v>
      </c>
      <c r="E470" s="36" t="s">
        <v>9101</v>
      </c>
      <c r="F470" s="36" t="s">
        <v>596</v>
      </c>
      <c r="G470" s="42" t="s">
        <v>9102</v>
      </c>
      <c r="H470" s="36" t="s">
        <v>64</v>
      </c>
      <c r="I470" s="131" t="s">
        <v>155</v>
      </c>
      <c r="J470" s="36" t="s">
        <v>62</v>
      </c>
      <c r="K470" s="36" t="s">
        <v>63</v>
      </c>
      <c r="L470" s="36">
        <v>100.0</v>
      </c>
      <c r="M470" s="36" t="s">
        <v>9108</v>
      </c>
      <c r="N470" s="36" t="s">
        <v>66</v>
      </c>
      <c r="O470" s="190"/>
      <c r="P470" s="36" t="s">
        <v>9110</v>
      </c>
      <c r="Q470" s="190"/>
      <c r="R470" s="190"/>
      <c r="S470" s="190"/>
      <c r="T470" s="36" t="s">
        <v>9112</v>
      </c>
      <c r="U470" s="36" t="s">
        <v>61</v>
      </c>
      <c r="V470" s="36" t="s">
        <v>61</v>
      </c>
      <c r="W470" s="190"/>
      <c r="X470" s="36" t="s">
        <v>74</v>
      </c>
      <c r="Y470" s="36" t="s">
        <v>9113</v>
      </c>
      <c r="Z470" s="56" t="s">
        <v>9114</v>
      </c>
      <c r="AA470" s="57" t="s">
        <v>9115</v>
      </c>
      <c r="AB470" s="58">
        <v>46023.0</v>
      </c>
      <c r="AC470" s="146">
        <v>46387.0</v>
      </c>
      <c r="AD470" s="57" t="s">
        <v>9118</v>
      </c>
      <c r="AE470" s="36" t="s">
        <v>79</v>
      </c>
      <c r="AF470" s="36" t="s">
        <v>61</v>
      </c>
      <c r="AG470" s="40"/>
      <c r="AH470" s="36"/>
    </row>
    <row r="471" ht="45.75" customHeight="1">
      <c r="A471" s="36">
        <v>470.0</v>
      </c>
      <c r="B471" s="131">
        <v>3880.0</v>
      </c>
      <c r="C471" s="131" t="s">
        <v>1418</v>
      </c>
      <c r="D471" s="131" t="s">
        <v>9100</v>
      </c>
      <c r="E471" s="131" t="s">
        <v>9121</v>
      </c>
      <c r="F471" s="131" t="s">
        <v>9122</v>
      </c>
      <c r="G471" s="195" t="s">
        <v>9123</v>
      </c>
      <c r="H471" s="131" t="s">
        <v>64</v>
      </c>
      <c r="I471" s="131" t="s">
        <v>155</v>
      </c>
      <c r="J471" s="131" t="s">
        <v>62</v>
      </c>
      <c r="K471" s="131" t="s">
        <v>63</v>
      </c>
      <c r="L471" s="131">
        <v>25.0</v>
      </c>
      <c r="M471" s="131" t="s">
        <v>8910</v>
      </c>
      <c r="N471" s="36" t="s">
        <v>66</v>
      </c>
      <c r="O471" s="190"/>
      <c r="P471" s="131" t="s">
        <v>9127</v>
      </c>
      <c r="Q471" s="190"/>
      <c r="R471" s="190"/>
      <c r="S471" s="190"/>
      <c r="T471" s="131" t="s">
        <v>9128</v>
      </c>
      <c r="U471" s="131" t="s">
        <v>61</v>
      </c>
      <c r="V471" s="131" t="s">
        <v>61</v>
      </c>
      <c r="W471" s="190"/>
      <c r="X471" s="131" t="s">
        <v>74</v>
      </c>
      <c r="Y471" s="131" t="s">
        <v>9132</v>
      </c>
      <c r="Z471" s="196" t="s">
        <v>9134</v>
      </c>
      <c r="AA471" s="131" t="s">
        <v>9135</v>
      </c>
      <c r="AB471" s="198">
        <v>46023.0</v>
      </c>
      <c r="AC471" s="199">
        <v>46387.0</v>
      </c>
      <c r="AD471" s="131" t="s">
        <v>9137</v>
      </c>
      <c r="AE471" s="188" t="s">
        <v>79</v>
      </c>
      <c r="AF471" s="188" t="s">
        <v>1640</v>
      </c>
      <c r="AG471" s="131" t="s">
        <v>9139</v>
      </c>
      <c r="AH471" s="36"/>
    </row>
    <row r="472" ht="45.75" customHeight="1">
      <c r="A472" s="36">
        <v>471.0</v>
      </c>
      <c r="B472" s="131">
        <v>465.0</v>
      </c>
      <c r="C472" s="131" t="s">
        <v>1418</v>
      </c>
      <c r="D472" s="131" t="s">
        <v>8849</v>
      </c>
      <c r="E472" s="131" t="s">
        <v>9142</v>
      </c>
      <c r="F472" s="131" t="s">
        <v>9144</v>
      </c>
      <c r="G472" s="195" t="s">
        <v>9146</v>
      </c>
      <c r="H472" s="131" t="s">
        <v>64</v>
      </c>
      <c r="I472" s="131" t="s">
        <v>155</v>
      </c>
      <c r="J472" s="131" t="s">
        <v>62</v>
      </c>
      <c r="K472" s="131" t="s">
        <v>63</v>
      </c>
      <c r="L472" s="131">
        <v>50.0</v>
      </c>
      <c r="M472" s="131" t="s">
        <v>8862</v>
      </c>
      <c r="N472" s="36" t="s">
        <v>66</v>
      </c>
      <c r="O472" s="190"/>
      <c r="P472" s="131" t="s">
        <v>9152</v>
      </c>
      <c r="Q472" s="190"/>
      <c r="R472" s="190"/>
      <c r="S472" s="190"/>
      <c r="T472" s="131" t="s">
        <v>9154</v>
      </c>
      <c r="U472" s="131" t="s">
        <v>61</v>
      </c>
      <c r="V472" s="131" t="s">
        <v>61</v>
      </c>
      <c r="W472" s="190"/>
      <c r="X472" s="131" t="s">
        <v>74</v>
      </c>
      <c r="Y472" s="131" t="s">
        <v>9156</v>
      </c>
      <c r="Z472" s="196" t="s">
        <v>9158</v>
      </c>
      <c r="AA472" s="131" t="s">
        <v>9160</v>
      </c>
      <c r="AB472" s="198">
        <v>46023.0</v>
      </c>
      <c r="AC472" s="199">
        <v>46387.0</v>
      </c>
      <c r="AD472" s="131" t="s">
        <v>9162</v>
      </c>
      <c r="AE472" s="188" t="s">
        <v>79</v>
      </c>
      <c r="AF472" s="188" t="s">
        <v>61</v>
      </c>
      <c r="AG472" s="131" t="s">
        <v>9163</v>
      </c>
      <c r="AH472" s="36"/>
    </row>
  </sheetData>
  <conditionalFormatting sqref="G1:G472">
    <cfRule type="expression" dxfId="3" priority="1">
      <formula>countif(G:G, G1) &gt;1</formula>
    </cfRule>
  </conditionalFormatting>
  <hyperlinks>
    <hyperlink r:id="rId2" ref="X293"/>
  </hyperlinks>
  <drawing r:id="rId3"/>
  <legacyDrawing r:id="rId4"/>
  <tableParts count="26">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8"/>
    <col customWidth="1" hidden="1" min="2" max="2" width="14.38"/>
    <col customWidth="1" min="3" max="5" width="16.38"/>
    <col customWidth="1" min="6" max="7" width="37.63"/>
    <col customWidth="1" min="8" max="8" width="16.38"/>
    <col customWidth="1" hidden="1" min="9" max="9" width="16.38"/>
    <col customWidth="1" min="10" max="12" width="16.38"/>
    <col customWidth="1" hidden="1" min="13" max="26" width="16.38"/>
    <col customWidth="1" min="27" max="28" width="16.38"/>
    <col customWidth="1" hidden="1" min="29" max="29" width="25.13"/>
    <col customWidth="1" hidden="1" min="30" max="31" width="17.88"/>
    <col customWidth="1" hidden="1" min="32" max="32" width="22.13"/>
    <col customWidth="1" hidden="1" min="33" max="33" width="16.38"/>
  </cols>
  <sheetData>
    <row r="1" ht="44.25" customHeight="1">
      <c r="A1" s="27"/>
      <c r="B1" s="29" t="s">
        <v>14</v>
      </c>
      <c r="C1" s="29" t="s">
        <v>15</v>
      </c>
      <c r="D1" s="29" t="s">
        <v>16</v>
      </c>
      <c r="E1" s="29" t="s">
        <v>17</v>
      </c>
      <c r="F1" s="29" t="s">
        <v>18</v>
      </c>
      <c r="G1" s="29" t="s">
        <v>21</v>
      </c>
      <c r="H1" s="29" t="s">
        <v>20</v>
      </c>
      <c r="I1" s="29" t="s">
        <v>22</v>
      </c>
      <c r="J1" s="29" t="s">
        <v>23</v>
      </c>
      <c r="K1" s="29" t="s">
        <v>24</v>
      </c>
      <c r="L1" s="29" t="s">
        <v>25</v>
      </c>
      <c r="M1" s="29" t="s">
        <v>26</v>
      </c>
      <c r="N1" s="27" t="s">
        <v>27</v>
      </c>
      <c r="O1" s="27" t="s">
        <v>28</v>
      </c>
      <c r="P1" s="29" t="s">
        <v>29</v>
      </c>
      <c r="Q1" s="27" t="s">
        <v>31</v>
      </c>
      <c r="R1" s="27" t="s">
        <v>32</v>
      </c>
      <c r="S1" s="27" t="s">
        <v>33</v>
      </c>
      <c r="T1" s="29" t="s">
        <v>34</v>
      </c>
      <c r="U1" s="29" t="s">
        <v>35</v>
      </c>
      <c r="V1" s="29" t="s">
        <v>36</v>
      </c>
      <c r="W1" s="29" t="s">
        <v>37</v>
      </c>
      <c r="X1" s="29" t="s">
        <v>40</v>
      </c>
      <c r="Y1" s="29" t="s">
        <v>42</v>
      </c>
      <c r="Z1" s="29" t="s">
        <v>44</v>
      </c>
      <c r="AA1" s="32" t="s">
        <v>45</v>
      </c>
      <c r="AB1" s="32" t="s">
        <v>46</v>
      </c>
      <c r="AC1" s="32" t="s">
        <v>47</v>
      </c>
      <c r="AD1" s="32" t="s">
        <v>48</v>
      </c>
      <c r="AE1" s="32" t="s">
        <v>48</v>
      </c>
      <c r="AF1" s="27" t="s">
        <v>49</v>
      </c>
      <c r="AG1" s="32"/>
    </row>
    <row r="2" ht="44.25" customHeight="1">
      <c r="A2" s="35">
        <v>1.0</v>
      </c>
      <c r="B2" s="37" t="s">
        <v>50</v>
      </c>
      <c r="C2" s="35" t="s">
        <v>52</v>
      </c>
      <c r="D2" s="35" t="s">
        <v>53</v>
      </c>
      <c r="E2" s="35" t="s">
        <v>54</v>
      </c>
      <c r="F2" s="35" t="s">
        <v>55</v>
      </c>
      <c r="G2" s="41" t="s">
        <v>56</v>
      </c>
      <c r="H2" s="35" t="s">
        <v>59</v>
      </c>
      <c r="I2" s="35" t="s">
        <v>61</v>
      </c>
      <c r="J2" s="35" t="s">
        <v>62</v>
      </c>
      <c r="K2" s="35" t="s">
        <v>63</v>
      </c>
      <c r="L2" s="35">
        <v>25.0</v>
      </c>
      <c r="M2" s="35"/>
      <c r="N2" s="35" t="s">
        <v>66</v>
      </c>
      <c r="O2" s="35" t="s">
        <v>67</v>
      </c>
      <c r="P2" s="35" t="s">
        <v>61</v>
      </c>
      <c r="Q2" s="35" t="s">
        <v>61</v>
      </c>
      <c r="R2" s="35" t="s">
        <v>61</v>
      </c>
      <c r="S2" s="35">
        <v>0.0</v>
      </c>
      <c r="T2" s="35" t="s">
        <v>69</v>
      </c>
      <c r="U2" s="35">
        <v>6.0</v>
      </c>
      <c r="V2" s="35" t="s">
        <v>61</v>
      </c>
      <c r="W2" s="35" t="s">
        <v>74</v>
      </c>
      <c r="X2" s="35" t="s">
        <v>75</v>
      </c>
      <c r="Y2" s="35" t="s">
        <v>76</v>
      </c>
      <c r="Z2" s="35" t="s">
        <v>77</v>
      </c>
      <c r="AA2" s="46">
        <v>46023.0</v>
      </c>
      <c r="AB2" s="46">
        <v>46387.0</v>
      </c>
      <c r="AC2" s="35" t="s">
        <v>78</v>
      </c>
      <c r="AD2" s="35" t="s">
        <v>79</v>
      </c>
      <c r="AE2" s="35" t="s">
        <v>61</v>
      </c>
      <c r="AF2" s="35"/>
      <c r="AG2" s="46"/>
    </row>
    <row r="3" ht="44.25" customHeight="1">
      <c r="A3" s="35">
        <v>2.0</v>
      </c>
      <c r="B3" s="37" t="s">
        <v>80</v>
      </c>
      <c r="C3" s="35" t="s">
        <v>52</v>
      </c>
      <c r="D3" s="35" t="s">
        <v>53</v>
      </c>
      <c r="E3" s="35" t="s">
        <v>57</v>
      </c>
      <c r="F3" s="35" t="s">
        <v>81</v>
      </c>
      <c r="G3" s="41" t="s">
        <v>82</v>
      </c>
      <c r="H3" s="35" t="s">
        <v>59</v>
      </c>
      <c r="I3" s="35" t="s">
        <v>61</v>
      </c>
      <c r="J3" s="35" t="s">
        <v>62</v>
      </c>
      <c r="K3" s="35" t="s">
        <v>63</v>
      </c>
      <c r="L3" s="35">
        <v>16.0</v>
      </c>
      <c r="M3" s="35"/>
      <c r="N3" s="35" t="s">
        <v>66</v>
      </c>
      <c r="O3" s="35" t="s">
        <v>67</v>
      </c>
      <c r="P3" s="35" t="s">
        <v>83</v>
      </c>
      <c r="Q3" s="35">
        <v>1.0</v>
      </c>
      <c r="R3" s="35" t="s">
        <v>61</v>
      </c>
      <c r="S3" s="35">
        <v>1.0</v>
      </c>
      <c r="T3" s="35" t="s">
        <v>61</v>
      </c>
      <c r="U3" s="35" t="s">
        <v>61</v>
      </c>
      <c r="V3" s="35" t="s">
        <v>61</v>
      </c>
      <c r="W3" s="35" t="s">
        <v>74</v>
      </c>
      <c r="X3" s="35" t="s">
        <v>84</v>
      </c>
      <c r="Y3" s="35" t="s">
        <v>85</v>
      </c>
      <c r="Z3" s="35" t="s">
        <v>86</v>
      </c>
      <c r="AA3" s="46">
        <v>46023.0</v>
      </c>
      <c r="AB3" s="46">
        <v>46387.0</v>
      </c>
      <c r="AC3" s="35" t="s">
        <v>87</v>
      </c>
      <c r="AD3" s="35" t="s">
        <v>79</v>
      </c>
      <c r="AE3" s="35" t="s">
        <v>61</v>
      </c>
      <c r="AF3" s="35"/>
      <c r="AG3" s="46"/>
    </row>
    <row r="4" ht="44.25" customHeight="1">
      <c r="A4" s="35">
        <v>3.0</v>
      </c>
      <c r="B4" s="37" t="s">
        <v>88</v>
      </c>
      <c r="C4" s="35" t="s">
        <v>52</v>
      </c>
      <c r="D4" s="35" t="s">
        <v>53</v>
      </c>
      <c r="E4" s="35" t="s">
        <v>90</v>
      </c>
      <c r="F4" s="35" t="s">
        <v>91</v>
      </c>
      <c r="G4" s="41" t="s">
        <v>92</v>
      </c>
      <c r="H4" s="35" t="s">
        <v>59</v>
      </c>
      <c r="I4" s="35" t="s">
        <v>61</v>
      </c>
      <c r="J4" s="35" t="s">
        <v>62</v>
      </c>
      <c r="K4" s="35" t="s">
        <v>63</v>
      </c>
      <c r="L4" s="35">
        <v>28.0</v>
      </c>
      <c r="M4" s="35" t="s">
        <v>95</v>
      </c>
      <c r="N4" s="35" t="s">
        <v>66</v>
      </c>
      <c r="O4" s="35" t="s">
        <v>67</v>
      </c>
      <c r="P4" s="35" t="s">
        <v>61</v>
      </c>
      <c r="Q4" s="35" t="s">
        <v>61</v>
      </c>
      <c r="R4" s="35" t="s">
        <v>61</v>
      </c>
      <c r="S4" s="35">
        <v>0.0</v>
      </c>
      <c r="T4" s="35" t="s">
        <v>97</v>
      </c>
      <c r="U4" s="35" t="s">
        <v>61</v>
      </c>
      <c r="V4" s="35" t="s">
        <v>61</v>
      </c>
      <c r="W4" s="35" t="s">
        <v>93</v>
      </c>
      <c r="X4" s="35" t="s">
        <v>98</v>
      </c>
      <c r="Y4" s="35" t="s">
        <v>100</v>
      </c>
      <c r="Z4" s="35" t="s">
        <v>101</v>
      </c>
      <c r="AA4" s="46">
        <v>46023.0</v>
      </c>
      <c r="AB4" s="46">
        <v>46387.0</v>
      </c>
      <c r="AC4" s="35" t="s">
        <v>102</v>
      </c>
      <c r="AD4" s="35" t="s">
        <v>79</v>
      </c>
      <c r="AE4" s="35" t="s">
        <v>61</v>
      </c>
      <c r="AF4" s="35"/>
      <c r="AG4" s="46"/>
    </row>
    <row r="5" ht="44.25" customHeight="1">
      <c r="A5" s="35">
        <v>4.0</v>
      </c>
      <c r="B5" s="37" t="s">
        <v>104</v>
      </c>
      <c r="C5" s="35" t="s">
        <v>52</v>
      </c>
      <c r="D5" s="35" t="s">
        <v>53</v>
      </c>
      <c r="E5" s="35" t="s">
        <v>105</v>
      </c>
      <c r="F5" s="35" t="s">
        <v>106</v>
      </c>
      <c r="G5" s="41" t="s">
        <v>108</v>
      </c>
      <c r="H5" s="35" t="s">
        <v>59</v>
      </c>
      <c r="I5" s="35" t="s">
        <v>61</v>
      </c>
      <c r="J5" s="35" t="s">
        <v>62</v>
      </c>
      <c r="K5" s="35" t="s">
        <v>111</v>
      </c>
      <c r="L5" s="35">
        <v>48.0</v>
      </c>
      <c r="M5" s="35" t="s">
        <v>113</v>
      </c>
      <c r="N5" s="35" t="s">
        <v>66</v>
      </c>
      <c r="O5" s="52"/>
      <c r="P5" s="35" t="s">
        <v>116</v>
      </c>
      <c r="Q5" s="35"/>
      <c r="R5" s="35">
        <v>1.0</v>
      </c>
      <c r="S5" s="35">
        <v>1.0</v>
      </c>
      <c r="T5" s="52"/>
      <c r="U5" s="35">
        <v>10.0</v>
      </c>
      <c r="V5" s="35"/>
      <c r="W5" s="35" t="s">
        <v>93</v>
      </c>
      <c r="X5" s="35" t="s">
        <v>117</v>
      </c>
      <c r="Y5" s="35">
        <v>9.153030906E9</v>
      </c>
      <c r="Z5" s="35" t="s">
        <v>118</v>
      </c>
      <c r="AA5" s="46">
        <v>46023.0</v>
      </c>
      <c r="AB5" s="46">
        <v>46387.0</v>
      </c>
      <c r="AC5" s="35" t="s">
        <v>119</v>
      </c>
      <c r="AD5" s="35" t="s">
        <v>79</v>
      </c>
      <c r="AE5" s="35" t="s">
        <v>61</v>
      </c>
      <c r="AF5" s="35"/>
      <c r="AG5" s="46"/>
    </row>
    <row r="6" ht="44.25" customHeight="1">
      <c r="A6" s="35">
        <v>5.0</v>
      </c>
      <c r="B6" s="37" t="s">
        <v>120</v>
      </c>
      <c r="C6" s="35" t="s">
        <v>52</v>
      </c>
      <c r="D6" s="35" t="s">
        <v>109</v>
      </c>
      <c r="E6" s="35" t="s">
        <v>122</v>
      </c>
      <c r="F6" s="35" t="s">
        <v>123</v>
      </c>
      <c r="G6" s="41" t="s">
        <v>125</v>
      </c>
      <c r="H6" s="35" t="s">
        <v>59</v>
      </c>
      <c r="I6" s="35" t="s">
        <v>61</v>
      </c>
      <c r="J6" s="35" t="s">
        <v>62</v>
      </c>
      <c r="K6" s="35" t="s">
        <v>111</v>
      </c>
      <c r="L6" s="35">
        <v>80.0</v>
      </c>
      <c r="M6" s="35" t="s">
        <v>127</v>
      </c>
      <c r="N6" s="35" t="s">
        <v>66</v>
      </c>
      <c r="O6" s="52"/>
      <c r="P6" s="35" t="s">
        <v>128</v>
      </c>
      <c r="Q6" s="35"/>
      <c r="R6" s="35">
        <v>2.0</v>
      </c>
      <c r="S6" s="35">
        <v>2.0</v>
      </c>
      <c r="T6" s="52"/>
      <c r="U6" s="35">
        <v>11.0</v>
      </c>
      <c r="V6" s="35" t="s">
        <v>61</v>
      </c>
      <c r="W6" s="35" t="s">
        <v>93</v>
      </c>
      <c r="X6" s="35" t="s">
        <v>129</v>
      </c>
      <c r="Y6" s="35" t="s">
        <v>130</v>
      </c>
      <c r="Z6" s="35" t="s">
        <v>132</v>
      </c>
      <c r="AA6" s="46">
        <v>46023.0</v>
      </c>
      <c r="AB6" s="46">
        <v>46387.0</v>
      </c>
      <c r="AC6" s="35" t="s">
        <v>133</v>
      </c>
      <c r="AD6" s="35" t="s">
        <v>79</v>
      </c>
      <c r="AE6" s="35" t="s">
        <v>61</v>
      </c>
      <c r="AF6" s="35"/>
      <c r="AG6" s="46"/>
    </row>
    <row r="7" ht="44.25" customHeight="1">
      <c r="A7" s="35">
        <v>6.0</v>
      </c>
      <c r="B7" s="37" t="s">
        <v>135</v>
      </c>
      <c r="C7" s="35" t="s">
        <v>52</v>
      </c>
      <c r="D7" s="35" t="s">
        <v>109</v>
      </c>
      <c r="E7" s="35" t="s">
        <v>122</v>
      </c>
      <c r="F7" s="35" t="s">
        <v>136</v>
      </c>
      <c r="G7" s="41" t="s">
        <v>138</v>
      </c>
      <c r="H7" s="35" t="s">
        <v>59</v>
      </c>
      <c r="I7" s="35" t="s">
        <v>61</v>
      </c>
      <c r="J7" s="35" t="s">
        <v>62</v>
      </c>
      <c r="K7" s="35" t="s">
        <v>111</v>
      </c>
      <c r="L7" s="35">
        <v>100.0</v>
      </c>
      <c r="M7" s="35" t="s">
        <v>140</v>
      </c>
      <c r="N7" s="35" t="s">
        <v>66</v>
      </c>
      <c r="O7" s="52"/>
      <c r="P7" s="35" t="s">
        <v>141</v>
      </c>
      <c r="Q7" s="35"/>
      <c r="R7" s="35">
        <v>1.0</v>
      </c>
      <c r="S7" s="35">
        <v>1.0</v>
      </c>
      <c r="T7" s="52"/>
      <c r="U7" s="35">
        <v>8.0</v>
      </c>
      <c r="V7" s="35"/>
      <c r="W7" s="35" t="s">
        <v>93</v>
      </c>
      <c r="X7" s="35" t="s">
        <v>142</v>
      </c>
      <c r="Y7" s="35" t="s">
        <v>143</v>
      </c>
      <c r="Z7" s="35" t="s">
        <v>144</v>
      </c>
      <c r="AA7" s="46">
        <v>46023.0</v>
      </c>
      <c r="AB7" s="46">
        <v>46387.0</v>
      </c>
      <c r="AC7" s="35" t="s">
        <v>145</v>
      </c>
      <c r="AD7" s="35" t="s">
        <v>79</v>
      </c>
      <c r="AE7" s="35" t="s">
        <v>61</v>
      </c>
      <c r="AF7" s="35"/>
      <c r="AG7" s="46"/>
    </row>
    <row r="8" ht="44.25" customHeight="1">
      <c r="A8" s="35">
        <v>7.0</v>
      </c>
      <c r="B8" s="37" t="s">
        <v>149</v>
      </c>
      <c r="C8" s="35" t="s">
        <v>52</v>
      </c>
      <c r="D8" s="35" t="s">
        <v>109</v>
      </c>
      <c r="E8" s="35" t="s">
        <v>150</v>
      </c>
      <c r="F8" s="35" t="s">
        <v>151</v>
      </c>
      <c r="G8" s="41" t="s">
        <v>153</v>
      </c>
      <c r="H8" s="35" t="s">
        <v>59</v>
      </c>
      <c r="I8" s="35" t="s">
        <v>61</v>
      </c>
      <c r="J8" s="35" t="s">
        <v>62</v>
      </c>
      <c r="K8" s="35" t="s">
        <v>63</v>
      </c>
      <c r="L8" s="35">
        <v>29.0</v>
      </c>
      <c r="M8" s="35" t="s">
        <v>156</v>
      </c>
      <c r="N8" s="35" t="s">
        <v>66</v>
      </c>
      <c r="O8" s="35" t="s">
        <v>67</v>
      </c>
      <c r="P8" s="35" t="s">
        <v>157</v>
      </c>
      <c r="Q8" s="35">
        <v>1.0</v>
      </c>
      <c r="R8" s="35" t="s">
        <v>61</v>
      </c>
      <c r="S8" s="35">
        <v>1.0</v>
      </c>
      <c r="T8" s="35" t="s">
        <v>61</v>
      </c>
      <c r="U8" s="35" t="s">
        <v>61</v>
      </c>
      <c r="V8" s="35" t="s">
        <v>61</v>
      </c>
      <c r="W8" s="35" t="s">
        <v>74</v>
      </c>
      <c r="X8" s="35" t="s">
        <v>158</v>
      </c>
      <c r="Y8" s="35" t="s">
        <v>160</v>
      </c>
      <c r="Z8" s="35" t="s">
        <v>161</v>
      </c>
      <c r="AA8" s="46">
        <v>46023.0</v>
      </c>
      <c r="AB8" s="46">
        <v>46387.0</v>
      </c>
      <c r="AC8" s="35" t="s">
        <v>163</v>
      </c>
      <c r="AD8" s="35" t="s">
        <v>164</v>
      </c>
      <c r="AE8" s="35" t="s">
        <v>165</v>
      </c>
      <c r="AF8" s="35" t="s">
        <v>167</v>
      </c>
      <c r="AG8" s="46"/>
    </row>
    <row r="9" ht="44.25" customHeight="1">
      <c r="A9" s="35">
        <v>8.0</v>
      </c>
      <c r="B9" s="37" t="s">
        <v>169</v>
      </c>
      <c r="C9" s="35" t="s">
        <v>52</v>
      </c>
      <c r="D9" s="35" t="s">
        <v>109</v>
      </c>
      <c r="E9" s="35" t="s">
        <v>150</v>
      </c>
      <c r="F9" s="35" t="s">
        <v>171</v>
      </c>
      <c r="G9" s="41" t="s">
        <v>173</v>
      </c>
      <c r="H9" s="35" t="s">
        <v>59</v>
      </c>
      <c r="I9" s="35" t="s">
        <v>61</v>
      </c>
      <c r="J9" s="35" t="s">
        <v>62</v>
      </c>
      <c r="K9" s="35" t="s">
        <v>63</v>
      </c>
      <c r="L9" s="35">
        <v>34.0</v>
      </c>
      <c r="M9" s="35" t="s">
        <v>174</v>
      </c>
      <c r="N9" s="35" t="s">
        <v>66</v>
      </c>
      <c r="O9" s="35" t="s">
        <v>67</v>
      </c>
      <c r="P9" s="35" t="s">
        <v>176</v>
      </c>
      <c r="Q9" s="35">
        <v>1.0</v>
      </c>
      <c r="R9" s="35" t="s">
        <v>61</v>
      </c>
      <c r="S9" s="35">
        <v>1.0</v>
      </c>
      <c r="T9" s="35" t="s">
        <v>61</v>
      </c>
      <c r="U9" s="35" t="s">
        <v>61</v>
      </c>
      <c r="V9" s="35" t="s">
        <v>61</v>
      </c>
      <c r="W9" s="35" t="s">
        <v>74</v>
      </c>
      <c r="X9" s="35" t="s">
        <v>179</v>
      </c>
      <c r="Y9" s="35">
        <v>9.178139433E9</v>
      </c>
      <c r="Z9" s="35" t="s">
        <v>180</v>
      </c>
      <c r="AA9" s="46">
        <v>46023.0</v>
      </c>
      <c r="AB9" s="46">
        <v>46387.0</v>
      </c>
      <c r="AC9" s="35" t="s">
        <v>182</v>
      </c>
      <c r="AD9" s="35" t="s">
        <v>164</v>
      </c>
      <c r="AE9" s="35" t="s">
        <v>165</v>
      </c>
      <c r="AF9" s="35" t="s">
        <v>183</v>
      </c>
      <c r="AG9" s="46"/>
    </row>
    <row r="10" ht="44.25" customHeight="1">
      <c r="A10" s="35">
        <v>9.0</v>
      </c>
      <c r="B10" s="37" t="s">
        <v>184</v>
      </c>
      <c r="C10" s="35" t="s">
        <v>52</v>
      </c>
      <c r="D10" s="35" t="s">
        <v>109</v>
      </c>
      <c r="E10" s="35" t="s">
        <v>112</v>
      </c>
      <c r="F10" s="35" t="s">
        <v>185</v>
      </c>
      <c r="G10" s="41" t="s">
        <v>187</v>
      </c>
      <c r="H10" s="35" t="s">
        <v>59</v>
      </c>
      <c r="I10" s="35" t="s">
        <v>61</v>
      </c>
      <c r="J10" s="35" t="s">
        <v>62</v>
      </c>
      <c r="K10" s="35" t="s">
        <v>63</v>
      </c>
      <c r="L10" s="35">
        <v>25.0</v>
      </c>
      <c r="M10" s="35" t="s">
        <v>190</v>
      </c>
      <c r="N10" s="35" t="s">
        <v>66</v>
      </c>
      <c r="O10" s="35" t="s">
        <v>67</v>
      </c>
      <c r="P10" s="35" t="s">
        <v>191</v>
      </c>
      <c r="Q10" s="35">
        <v>1.0</v>
      </c>
      <c r="R10" s="35" t="s">
        <v>61</v>
      </c>
      <c r="S10" s="35">
        <v>1.0</v>
      </c>
      <c r="T10" s="35" t="s">
        <v>61</v>
      </c>
      <c r="U10" s="35" t="s">
        <v>61</v>
      </c>
      <c r="V10" s="35" t="s">
        <v>61</v>
      </c>
      <c r="W10" s="35" t="s">
        <v>74</v>
      </c>
      <c r="X10" s="35" t="s">
        <v>195</v>
      </c>
      <c r="Y10" s="35" t="s">
        <v>196</v>
      </c>
      <c r="Z10" s="35" t="s">
        <v>197</v>
      </c>
      <c r="AA10" s="46">
        <v>46023.0</v>
      </c>
      <c r="AB10" s="46">
        <v>46387.0</v>
      </c>
      <c r="AC10" s="35" t="s">
        <v>199</v>
      </c>
      <c r="AD10" s="35" t="s">
        <v>164</v>
      </c>
      <c r="AE10" s="35" t="s">
        <v>165</v>
      </c>
      <c r="AF10" s="35" t="s">
        <v>200</v>
      </c>
      <c r="AG10" s="46"/>
    </row>
    <row r="11" ht="44.25" customHeight="1">
      <c r="A11" s="35">
        <v>10.0</v>
      </c>
      <c r="B11" s="37" t="s">
        <v>201</v>
      </c>
      <c r="C11" s="35" t="s">
        <v>52</v>
      </c>
      <c r="D11" s="35" t="s">
        <v>109</v>
      </c>
      <c r="E11" s="35" t="s">
        <v>112</v>
      </c>
      <c r="F11" s="35" t="s">
        <v>204</v>
      </c>
      <c r="G11" s="41" t="s">
        <v>205</v>
      </c>
      <c r="H11" s="35" t="s">
        <v>59</v>
      </c>
      <c r="I11" s="35" t="s">
        <v>61</v>
      </c>
      <c r="J11" s="35" t="s">
        <v>62</v>
      </c>
      <c r="K11" s="35" t="s">
        <v>63</v>
      </c>
      <c r="L11" s="35">
        <v>51.0</v>
      </c>
      <c r="M11" s="35" t="s">
        <v>209</v>
      </c>
      <c r="N11" s="35" t="s">
        <v>66</v>
      </c>
      <c r="O11" s="35" t="s">
        <v>67</v>
      </c>
      <c r="P11" s="35" t="s">
        <v>210</v>
      </c>
      <c r="Q11" s="35">
        <v>1.0</v>
      </c>
      <c r="R11" s="35" t="s">
        <v>61</v>
      </c>
      <c r="S11" s="35">
        <v>1.0</v>
      </c>
      <c r="T11" s="35" t="s">
        <v>61</v>
      </c>
      <c r="U11" s="35">
        <v>6.0</v>
      </c>
      <c r="V11" s="35" t="s">
        <v>61</v>
      </c>
      <c r="W11" s="35" t="s">
        <v>93</v>
      </c>
      <c r="X11" s="35" t="s">
        <v>212</v>
      </c>
      <c r="Y11" s="35">
        <v>9.171096093E9</v>
      </c>
      <c r="Z11" s="35" t="s">
        <v>213</v>
      </c>
      <c r="AA11" s="46">
        <v>46023.0</v>
      </c>
      <c r="AB11" s="46">
        <v>46387.0</v>
      </c>
      <c r="AC11" s="35" t="s">
        <v>215</v>
      </c>
      <c r="AD11" s="35" t="s">
        <v>79</v>
      </c>
      <c r="AE11" s="35" t="s">
        <v>61</v>
      </c>
      <c r="AF11" s="35"/>
      <c r="AG11" s="46"/>
    </row>
    <row r="12" ht="44.25" customHeight="1">
      <c r="A12" s="35">
        <v>11.0</v>
      </c>
      <c r="B12" s="37" t="s">
        <v>219</v>
      </c>
      <c r="C12" s="35" t="s">
        <v>52</v>
      </c>
      <c r="D12" s="35" t="s">
        <v>109</v>
      </c>
      <c r="E12" s="35" t="s">
        <v>112</v>
      </c>
      <c r="F12" s="35" t="s">
        <v>222</v>
      </c>
      <c r="G12" s="41" t="s">
        <v>223</v>
      </c>
      <c r="H12" s="35" t="s">
        <v>59</v>
      </c>
      <c r="I12" s="35" t="s">
        <v>61</v>
      </c>
      <c r="J12" s="35" t="s">
        <v>62</v>
      </c>
      <c r="K12" s="35" t="s">
        <v>63</v>
      </c>
      <c r="L12" s="35">
        <v>24.0</v>
      </c>
      <c r="M12" s="35"/>
      <c r="N12" s="35" t="s">
        <v>66</v>
      </c>
      <c r="O12" s="35" t="s">
        <v>67</v>
      </c>
      <c r="P12" s="35" t="s">
        <v>61</v>
      </c>
      <c r="Q12" s="35" t="s">
        <v>61</v>
      </c>
      <c r="R12" s="35" t="s">
        <v>61</v>
      </c>
      <c r="S12" s="35">
        <v>0.0</v>
      </c>
      <c r="T12" s="35" t="s">
        <v>61</v>
      </c>
      <c r="U12" s="35" t="s">
        <v>61</v>
      </c>
      <c r="V12" s="35" t="s">
        <v>61</v>
      </c>
      <c r="W12" s="35" t="s">
        <v>74</v>
      </c>
      <c r="X12" s="35" t="s">
        <v>228</v>
      </c>
      <c r="Y12" s="35" t="s">
        <v>229</v>
      </c>
      <c r="Z12" s="35" t="s">
        <v>230</v>
      </c>
      <c r="AA12" s="46">
        <v>46023.0</v>
      </c>
      <c r="AB12" s="46">
        <v>46387.0</v>
      </c>
      <c r="AC12" s="35" t="s">
        <v>231</v>
      </c>
      <c r="AD12" s="35" t="s">
        <v>79</v>
      </c>
      <c r="AE12" s="35" t="s">
        <v>61</v>
      </c>
      <c r="AF12" s="35"/>
      <c r="AG12" s="46"/>
    </row>
    <row r="13" ht="44.25" customHeight="1">
      <c r="A13" s="35">
        <v>12.0</v>
      </c>
      <c r="B13" s="37" t="s">
        <v>233</v>
      </c>
      <c r="C13" s="35" t="s">
        <v>52</v>
      </c>
      <c r="D13" s="35" t="s">
        <v>109</v>
      </c>
      <c r="E13" s="35" t="s">
        <v>235</v>
      </c>
      <c r="F13" s="35" t="s">
        <v>236</v>
      </c>
      <c r="G13" s="41" t="s">
        <v>237</v>
      </c>
      <c r="H13" s="35" t="s">
        <v>59</v>
      </c>
      <c r="I13" s="35" t="s">
        <v>61</v>
      </c>
      <c r="J13" s="35" t="s">
        <v>62</v>
      </c>
      <c r="K13" s="35" t="s">
        <v>63</v>
      </c>
      <c r="L13" s="35">
        <v>50.0</v>
      </c>
      <c r="M13" s="35" t="s">
        <v>241</v>
      </c>
      <c r="N13" s="35" t="s">
        <v>66</v>
      </c>
      <c r="O13" s="35" t="s">
        <v>67</v>
      </c>
      <c r="P13" s="35" t="s">
        <v>245</v>
      </c>
      <c r="Q13" s="35">
        <v>1.0</v>
      </c>
      <c r="R13" s="35" t="s">
        <v>61</v>
      </c>
      <c r="S13" s="35">
        <v>1.0</v>
      </c>
      <c r="T13" s="35" t="s">
        <v>61</v>
      </c>
      <c r="U13" s="35" t="s">
        <v>61</v>
      </c>
      <c r="V13" s="35" t="s">
        <v>61</v>
      </c>
      <c r="W13" s="35" t="s">
        <v>74</v>
      </c>
      <c r="X13" s="35" t="s">
        <v>248</v>
      </c>
      <c r="Y13" s="35" t="s">
        <v>249</v>
      </c>
      <c r="Z13" s="35" t="s">
        <v>252</v>
      </c>
      <c r="AA13" s="46">
        <v>46023.0</v>
      </c>
      <c r="AB13" s="46">
        <v>46387.0</v>
      </c>
      <c r="AC13" s="35" t="s">
        <v>253</v>
      </c>
      <c r="AD13" s="35" t="s">
        <v>164</v>
      </c>
      <c r="AE13" s="35" t="s">
        <v>165</v>
      </c>
      <c r="AF13" s="35" t="s">
        <v>256</v>
      </c>
      <c r="AG13" s="46"/>
    </row>
    <row r="14" ht="44.25" customHeight="1">
      <c r="A14" s="35">
        <v>13.0</v>
      </c>
      <c r="B14" s="37" t="s">
        <v>257</v>
      </c>
      <c r="C14" s="35" t="s">
        <v>52</v>
      </c>
      <c r="D14" s="35" t="s">
        <v>109</v>
      </c>
      <c r="E14" s="35" t="s">
        <v>235</v>
      </c>
      <c r="F14" s="35" t="s">
        <v>259</v>
      </c>
      <c r="G14" s="41" t="s">
        <v>260</v>
      </c>
      <c r="H14" s="35" t="s">
        <v>59</v>
      </c>
      <c r="I14" s="35" t="s">
        <v>61</v>
      </c>
      <c r="J14" s="35" t="s">
        <v>62</v>
      </c>
      <c r="K14" s="35" t="s">
        <v>63</v>
      </c>
      <c r="L14" s="35">
        <v>25.0</v>
      </c>
      <c r="M14" s="35"/>
      <c r="N14" s="35" t="s">
        <v>66</v>
      </c>
      <c r="O14" s="35" t="s">
        <v>67</v>
      </c>
      <c r="P14" s="35" t="s">
        <v>262</v>
      </c>
      <c r="Q14" s="35" t="s">
        <v>61</v>
      </c>
      <c r="R14" s="35" t="s">
        <v>61</v>
      </c>
      <c r="S14" s="35">
        <v>0.0</v>
      </c>
      <c r="T14" s="35" t="s">
        <v>61</v>
      </c>
      <c r="U14" s="35" t="s">
        <v>61</v>
      </c>
      <c r="V14" s="35" t="s">
        <v>61</v>
      </c>
      <c r="W14" s="35" t="s">
        <v>74</v>
      </c>
      <c r="X14" s="35" t="s">
        <v>274</v>
      </c>
      <c r="Y14" s="35">
        <v>9.171059045E9</v>
      </c>
      <c r="Z14" s="35" t="s">
        <v>277</v>
      </c>
      <c r="AA14" s="46">
        <v>46023.0</v>
      </c>
      <c r="AB14" s="46">
        <v>46387.0</v>
      </c>
      <c r="AC14" s="35" t="s">
        <v>279</v>
      </c>
      <c r="AD14" s="35" t="s">
        <v>164</v>
      </c>
      <c r="AE14" s="35" t="s">
        <v>165</v>
      </c>
      <c r="AF14" s="35" t="s">
        <v>281</v>
      </c>
      <c r="AG14" s="46"/>
    </row>
    <row r="15" ht="44.25" customHeight="1">
      <c r="A15" s="35">
        <v>14.0</v>
      </c>
      <c r="B15" s="37" t="s">
        <v>282</v>
      </c>
      <c r="C15" s="35" t="s">
        <v>52</v>
      </c>
      <c r="D15" s="35" t="s">
        <v>109</v>
      </c>
      <c r="E15" s="35" t="s">
        <v>283</v>
      </c>
      <c r="F15" s="35" t="s">
        <v>284</v>
      </c>
      <c r="G15" s="41" t="s">
        <v>285</v>
      </c>
      <c r="H15" s="35" t="s">
        <v>59</v>
      </c>
      <c r="I15" s="35" t="s">
        <v>61</v>
      </c>
      <c r="J15" s="35" t="s">
        <v>62</v>
      </c>
      <c r="K15" s="35" t="s">
        <v>63</v>
      </c>
      <c r="L15" s="35">
        <v>25.0</v>
      </c>
      <c r="M15" s="35" t="s">
        <v>286</v>
      </c>
      <c r="N15" s="35" t="s">
        <v>66</v>
      </c>
      <c r="O15" s="35" t="s">
        <v>67</v>
      </c>
      <c r="P15" s="35" t="s">
        <v>287</v>
      </c>
      <c r="Q15" s="35">
        <v>1.0</v>
      </c>
      <c r="R15" s="35" t="s">
        <v>61</v>
      </c>
      <c r="S15" s="35">
        <v>1.0</v>
      </c>
      <c r="T15" s="35" t="s">
        <v>61</v>
      </c>
      <c r="U15" s="35" t="s">
        <v>61</v>
      </c>
      <c r="V15" s="35" t="s">
        <v>61</v>
      </c>
      <c r="W15" s="35" t="s">
        <v>74</v>
      </c>
      <c r="X15" s="35" t="s">
        <v>290</v>
      </c>
      <c r="Y15" s="35">
        <v>9.669530782E9</v>
      </c>
      <c r="Z15" s="35" t="s">
        <v>291</v>
      </c>
      <c r="AA15" s="46">
        <v>46023.0</v>
      </c>
      <c r="AB15" s="46">
        <v>46387.0</v>
      </c>
      <c r="AC15" s="35" t="s">
        <v>292</v>
      </c>
      <c r="AD15" s="35" t="s">
        <v>79</v>
      </c>
      <c r="AE15" s="35" t="s">
        <v>61</v>
      </c>
      <c r="AF15" s="35"/>
      <c r="AG15" s="46"/>
    </row>
    <row r="16" ht="44.25" customHeight="1">
      <c r="A16" s="35">
        <v>15.0</v>
      </c>
      <c r="B16" s="37" t="s">
        <v>294</v>
      </c>
      <c r="C16" s="35" t="s">
        <v>52</v>
      </c>
      <c r="D16" s="35" t="s">
        <v>109</v>
      </c>
      <c r="E16" s="35" t="s">
        <v>298</v>
      </c>
      <c r="F16" s="35" t="s">
        <v>300</v>
      </c>
      <c r="G16" s="41" t="s">
        <v>302</v>
      </c>
      <c r="H16" s="35" t="s">
        <v>59</v>
      </c>
      <c r="I16" s="35" t="s">
        <v>61</v>
      </c>
      <c r="J16" s="35" t="s">
        <v>62</v>
      </c>
      <c r="K16" s="35" t="s">
        <v>63</v>
      </c>
      <c r="L16" s="35">
        <v>11.0</v>
      </c>
      <c r="M16" s="35" t="s">
        <v>304</v>
      </c>
      <c r="N16" s="35" t="s">
        <v>66</v>
      </c>
      <c r="O16" s="35" t="s">
        <v>67</v>
      </c>
      <c r="P16" s="35" t="s">
        <v>61</v>
      </c>
      <c r="Q16" s="35" t="s">
        <v>61</v>
      </c>
      <c r="R16" s="35" t="s">
        <v>61</v>
      </c>
      <c r="S16" s="35">
        <v>0.0</v>
      </c>
      <c r="T16" s="35" t="s">
        <v>306</v>
      </c>
      <c r="U16" s="35">
        <v>4.0</v>
      </c>
      <c r="V16" s="35" t="s">
        <v>61</v>
      </c>
      <c r="W16" s="35" t="s">
        <v>74</v>
      </c>
      <c r="X16" s="35" t="s">
        <v>308</v>
      </c>
      <c r="Y16" s="35">
        <v>9.776335322E9</v>
      </c>
      <c r="Z16" s="35" t="s">
        <v>309</v>
      </c>
      <c r="AA16" s="46">
        <v>46023.0</v>
      </c>
      <c r="AB16" s="46">
        <v>46387.0</v>
      </c>
      <c r="AC16" s="35" t="s">
        <v>311</v>
      </c>
      <c r="AD16" s="35" t="s">
        <v>164</v>
      </c>
      <c r="AE16" s="35" t="s">
        <v>165</v>
      </c>
      <c r="AF16" s="35" t="s">
        <v>313</v>
      </c>
      <c r="AG16" s="46"/>
    </row>
    <row r="17" ht="44.25" customHeight="1">
      <c r="A17" s="35">
        <v>16.0</v>
      </c>
      <c r="B17" s="37" t="s">
        <v>315</v>
      </c>
      <c r="C17" s="35" t="s">
        <v>52</v>
      </c>
      <c r="D17" s="35" t="s">
        <v>109</v>
      </c>
      <c r="E17" s="35" t="s">
        <v>298</v>
      </c>
      <c r="F17" s="35" t="s">
        <v>319</v>
      </c>
      <c r="G17" s="41" t="s">
        <v>321</v>
      </c>
      <c r="H17" s="35" t="s">
        <v>59</v>
      </c>
      <c r="I17" s="35" t="s">
        <v>61</v>
      </c>
      <c r="J17" s="35" t="s">
        <v>62</v>
      </c>
      <c r="K17" s="35" t="s">
        <v>63</v>
      </c>
      <c r="L17" s="35">
        <v>30.0</v>
      </c>
      <c r="M17" s="35" t="s">
        <v>324</v>
      </c>
      <c r="N17" s="35" t="s">
        <v>66</v>
      </c>
      <c r="O17" s="35" t="s">
        <v>67</v>
      </c>
      <c r="P17" s="35" t="s">
        <v>61</v>
      </c>
      <c r="Q17" s="35" t="s">
        <v>61</v>
      </c>
      <c r="R17" s="35" t="s">
        <v>61</v>
      </c>
      <c r="S17" s="35">
        <v>0.0</v>
      </c>
      <c r="T17" s="35" t="s">
        <v>326</v>
      </c>
      <c r="U17" s="35">
        <v>5.0</v>
      </c>
      <c r="V17" s="35" t="s">
        <v>61</v>
      </c>
      <c r="W17" s="35" t="s">
        <v>74</v>
      </c>
      <c r="X17" s="35" t="s">
        <v>329</v>
      </c>
      <c r="Y17" s="35" t="s">
        <v>331</v>
      </c>
      <c r="Z17" s="35" t="s">
        <v>332</v>
      </c>
      <c r="AA17" s="46">
        <v>46023.0</v>
      </c>
      <c r="AB17" s="46">
        <v>46387.0</v>
      </c>
      <c r="AC17" s="35" t="s">
        <v>333</v>
      </c>
      <c r="AD17" s="35" t="s">
        <v>79</v>
      </c>
      <c r="AE17" s="35" t="s">
        <v>61</v>
      </c>
      <c r="AF17" s="35"/>
      <c r="AG17" s="46"/>
    </row>
    <row r="18" ht="44.25" customHeight="1">
      <c r="A18" s="35">
        <v>17.0</v>
      </c>
      <c r="B18" s="37" t="s">
        <v>335</v>
      </c>
      <c r="C18" s="35" t="s">
        <v>52</v>
      </c>
      <c r="D18" s="35" t="s">
        <v>166</v>
      </c>
      <c r="E18" s="35" t="s">
        <v>336</v>
      </c>
      <c r="F18" s="35" t="s">
        <v>339</v>
      </c>
      <c r="G18" s="41" t="s">
        <v>340</v>
      </c>
      <c r="H18" s="35" t="s">
        <v>59</v>
      </c>
      <c r="I18" s="35" t="s">
        <v>61</v>
      </c>
      <c r="J18" s="35" t="s">
        <v>62</v>
      </c>
      <c r="K18" s="35" t="s">
        <v>63</v>
      </c>
      <c r="L18" s="35">
        <v>15.0</v>
      </c>
      <c r="M18" s="35" t="s">
        <v>342</v>
      </c>
      <c r="N18" s="35" t="s">
        <v>66</v>
      </c>
      <c r="O18" s="35" t="s">
        <v>67</v>
      </c>
      <c r="P18" s="35" t="s">
        <v>61</v>
      </c>
      <c r="Q18" s="35" t="s">
        <v>61</v>
      </c>
      <c r="R18" s="35" t="s">
        <v>61</v>
      </c>
      <c r="S18" s="35">
        <v>0.0</v>
      </c>
      <c r="T18" s="35" t="s">
        <v>61</v>
      </c>
      <c r="U18" s="35" t="s">
        <v>61</v>
      </c>
      <c r="V18" s="35" t="s">
        <v>61</v>
      </c>
      <c r="W18" s="35" t="s">
        <v>74</v>
      </c>
      <c r="X18" s="35" t="s">
        <v>345</v>
      </c>
      <c r="Y18" s="35">
        <v>9.175640199E9</v>
      </c>
      <c r="Z18" s="35" t="s">
        <v>347</v>
      </c>
      <c r="AA18" s="46">
        <v>46023.0</v>
      </c>
      <c r="AB18" s="46">
        <v>46387.0</v>
      </c>
      <c r="AC18" s="35" t="s">
        <v>350</v>
      </c>
      <c r="AD18" s="35" t="s">
        <v>79</v>
      </c>
      <c r="AE18" s="35" t="s">
        <v>61</v>
      </c>
      <c r="AF18" s="35"/>
      <c r="AG18" s="46"/>
    </row>
    <row r="19" ht="44.25" customHeight="1">
      <c r="A19" s="35">
        <v>18.0</v>
      </c>
      <c r="B19" s="37" t="s">
        <v>355</v>
      </c>
      <c r="C19" s="35" t="s">
        <v>52</v>
      </c>
      <c r="D19" s="35" t="s">
        <v>166</v>
      </c>
      <c r="E19" s="35" t="s">
        <v>168</v>
      </c>
      <c r="F19" s="35" t="s">
        <v>359</v>
      </c>
      <c r="G19" s="41" t="s">
        <v>360</v>
      </c>
      <c r="H19" s="35" t="s">
        <v>59</v>
      </c>
      <c r="I19" s="35"/>
      <c r="J19" s="35" t="s">
        <v>62</v>
      </c>
      <c r="K19" s="35" t="s">
        <v>111</v>
      </c>
      <c r="L19" s="35">
        <v>80.0</v>
      </c>
      <c r="M19" s="35" t="s">
        <v>362</v>
      </c>
      <c r="N19" s="35" t="s">
        <v>66</v>
      </c>
      <c r="O19" s="52"/>
      <c r="P19" s="35" t="s">
        <v>364</v>
      </c>
      <c r="Q19" s="35"/>
      <c r="R19" s="35">
        <v>1.0</v>
      </c>
      <c r="S19" s="35">
        <v>1.0</v>
      </c>
      <c r="T19" s="52"/>
      <c r="U19" s="35"/>
      <c r="V19" s="35" t="s">
        <v>61</v>
      </c>
      <c r="W19" s="35" t="s">
        <v>93</v>
      </c>
      <c r="X19" s="35" t="s">
        <v>367</v>
      </c>
      <c r="Y19" s="35" t="s">
        <v>369</v>
      </c>
      <c r="Z19" s="35" t="s">
        <v>371</v>
      </c>
      <c r="AA19" s="46">
        <v>46023.0</v>
      </c>
      <c r="AB19" s="46">
        <v>46387.0</v>
      </c>
      <c r="AC19" s="35" t="s">
        <v>374</v>
      </c>
      <c r="AD19" s="35" t="s">
        <v>79</v>
      </c>
      <c r="AE19" s="35" t="s">
        <v>61</v>
      </c>
      <c r="AF19" s="35"/>
      <c r="AG19" s="46"/>
    </row>
    <row r="20" ht="44.25" customHeight="1">
      <c r="A20" s="35">
        <v>19.0</v>
      </c>
      <c r="B20" s="37" t="s">
        <v>378</v>
      </c>
      <c r="C20" s="35" t="s">
        <v>52</v>
      </c>
      <c r="D20" s="35" t="s">
        <v>166</v>
      </c>
      <c r="E20" s="35" t="s">
        <v>168</v>
      </c>
      <c r="F20" s="35" t="s">
        <v>379</v>
      </c>
      <c r="G20" s="41" t="s">
        <v>381</v>
      </c>
      <c r="H20" s="35" t="s">
        <v>59</v>
      </c>
      <c r="I20" s="35" t="s">
        <v>61</v>
      </c>
      <c r="J20" s="35" t="s">
        <v>62</v>
      </c>
      <c r="K20" s="35" t="s">
        <v>63</v>
      </c>
      <c r="L20" s="35">
        <v>18.0</v>
      </c>
      <c r="M20" s="35" t="s">
        <v>383</v>
      </c>
      <c r="N20" s="35" t="s">
        <v>66</v>
      </c>
      <c r="O20" s="35" t="s">
        <v>67</v>
      </c>
      <c r="P20" s="35" t="s">
        <v>385</v>
      </c>
      <c r="Q20" s="35">
        <v>2.0</v>
      </c>
      <c r="R20" s="35" t="s">
        <v>61</v>
      </c>
      <c r="S20" s="35">
        <v>2.0</v>
      </c>
      <c r="T20" s="35" t="s">
        <v>61</v>
      </c>
      <c r="U20" s="35">
        <v>12.0</v>
      </c>
      <c r="V20" s="35" t="s">
        <v>61</v>
      </c>
      <c r="W20" s="35" t="s">
        <v>93</v>
      </c>
      <c r="X20" s="35" t="s">
        <v>387</v>
      </c>
      <c r="Y20" s="35" t="s">
        <v>389</v>
      </c>
      <c r="Z20" s="35" t="s">
        <v>390</v>
      </c>
      <c r="AA20" s="46">
        <v>46023.0</v>
      </c>
      <c r="AB20" s="46">
        <v>46387.0</v>
      </c>
      <c r="AC20" s="35" t="s">
        <v>392</v>
      </c>
      <c r="AD20" s="35" t="s">
        <v>79</v>
      </c>
      <c r="AE20" s="35" t="s">
        <v>61</v>
      </c>
      <c r="AF20" s="35"/>
      <c r="AG20" s="46"/>
    </row>
    <row r="21" ht="44.25" customHeight="1">
      <c r="A21" s="35">
        <v>20.0</v>
      </c>
      <c r="B21" s="37" t="s">
        <v>394</v>
      </c>
      <c r="C21" s="35" t="s">
        <v>52</v>
      </c>
      <c r="D21" s="35" t="s">
        <v>166</v>
      </c>
      <c r="E21" s="35" t="s">
        <v>168</v>
      </c>
      <c r="F21" s="35" t="s">
        <v>397</v>
      </c>
      <c r="G21" s="41" t="s">
        <v>398</v>
      </c>
      <c r="H21" s="35" t="s">
        <v>59</v>
      </c>
      <c r="I21" s="35" t="s">
        <v>61</v>
      </c>
      <c r="J21" s="35" t="s">
        <v>62</v>
      </c>
      <c r="K21" s="35" t="s">
        <v>68</v>
      </c>
      <c r="L21" s="35">
        <v>200.0</v>
      </c>
      <c r="M21" s="35" t="s">
        <v>402</v>
      </c>
      <c r="N21" s="35" t="s">
        <v>71</v>
      </c>
      <c r="O21" s="35" t="s">
        <v>67</v>
      </c>
      <c r="P21" s="35" t="s">
        <v>406</v>
      </c>
      <c r="Q21" s="35">
        <v>0.0</v>
      </c>
      <c r="R21" s="35">
        <v>1.0</v>
      </c>
      <c r="S21" s="35">
        <v>1.0</v>
      </c>
      <c r="T21" s="52"/>
      <c r="U21" s="35">
        <v>22.0</v>
      </c>
      <c r="V21" s="35" t="s">
        <v>61</v>
      </c>
      <c r="W21" s="35" t="s">
        <v>93</v>
      </c>
      <c r="X21" s="35" t="s">
        <v>409</v>
      </c>
      <c r="Y21" s="35" t="s">
        <v>411</v>
      </c>
      <c r="Z21" s="35" t="s">
        <v>413</v>
      </c>
      <c r="AA21" s="46">
        <v>46023.0</v>
      </c>
      <c r="AB21" s="46">
        <v>46387.0</v>
      </c>
      <c r="AC21" s="35" t="s">
        <v>415</v>
      </c>
      <c r="AD21" s="35" t="s">
        <v>79</v>
      </c>
      <c r="AE21" s="35" t="s">
        <v>61</v>
      </c>
      <c r="AF21" s="35" t="s">
        <v>103</v>
      </c>
      <c r="AG21" s="46"/>
    </row>
    <row r="22" ht="44.25" customHeight="1">
      <c r="A22" s="35">
        <v>21.0</v>
      </c>
      <c r="B22" s="37" t="s">
        <v>417</v>
      </c>
      <c r="C22" s="35" t="s">
        <v>52</v>
      </c>
      <c r="D22" s="35" t="s">
        <v>206</v>
      </c>
      <c r="E22" s="35" t="s">
        <v>418</v>
      </c>
      <c r="F22" s="35" t="s">
        <v>419</v>
      </c>
      <c r="G22" s="41" t="s">
        <v>421</v>
      </c>
      <c r="H22" s="35" t="s">
        <v>59</v>
      </c>
      <c r="I22" s="35" t="s">
        <v>61</v>
      </c>
      <c r="J22" s="35" t="s">
        <v>62</v>
      </c>
      <c r="K22" s="35" t="s">
        <v>63</v>
      </c>
      <c r="L22" s="35">
        <v>42.0</v>
      </c>
      <c r="M22" s="35"/>
      <c r="N22" s="35" t="s">
        <v>66</v>
      </c>
      <c r="O22" s="35" t="s">
        <v>67</v>
      </c>
      <c r="P22" s="35" t="s">
        <v>425</v>
      </c>
      <c r="Q22" s="35">
        <v>1.0</v>
      </c>
      <c r="R22" s="35" t="s">
        <v>61</v>
      </c>
      <c r="S22" s="35">
        <v>1.0</v>
      </c>
      <c r="T22" s="35" t="s">
        <v>61</v>
      </c>
      <c r="U22" s="35">
        <v>10.0</v>
      </c>
      <c r="V22" s="35" t="s">
        <v>61</v>
      </c>
      <c r="W22" s="35" t="s">
        <v>74</v>
      </c>
      <c r="X22" s="35" t="s">
        <v>429</v>
      </c>
      <c r="Y22" s="35" t="s">
        <v>430</v>
      </c>
      <c r="Z22" s="35" t="s">
        <v>431</v>
      </c>
      <c r="AA22" s="46">
        <v>46023.0</v>
      </c>
      <c r="AB22" s="46">
        <v>46387.0</v>
      </c>
      <c r="AC22" s="35" t="s">
        <v>432</v>
      </c>
      <c r="AD22" s="35" t="s">
        <v>79</v>
      </c>
      <c r="AE22" s="35" t="s">
        <v>61</v>
      </c>
      <c r="AF22" s="35"/>
      <c r="AG22" s="46"/>
    </row>
    <row r="23" ht="44.25" customHeight="1">
      <c r="A23" s="35">
        <v>22.0</v>
      </c>
      <c r="B23" s="37" t="s">
        <v>435</v>
      </c>
      <c r="C23" s="35" t="s">
        <v>52</v>
      </c>
      <c r="D23" s="35" t="s">
        <v>206</v>
      </c>
      <c r="E23" s="35" t="s">
        <v>418</v>
      </c>
      <c r="F23" s="35" t="s">
        <v>437</v>
      </c>
      <c r="G23" s="41" t="s">
        <v>438</v>
      </c>
      <c r="H23" s="35" t="s">
        <v>59</v>
      </c>
      <c r="I23" s="35" t="s">
        <v>61</v>
      </c>
      <c r="J23" s="35" t="s">
        <v>62</v>
      </c>
      <c r="K23" s="35" t="s">
        <v>63</v>
      </c>
      <c r="L23" s="35">
        <v>8.0</v>
      </c>
      <c r="M23" s="35"/>
      <c r="N23" s="35" t="s">
        <v>66</v>
      </c>
      <c r="O23" s="35" t="s">
        <v>67</v>
      </c>
      <c r="P23" s="35" t="s">
        <v>61</v>
      </c>
      <c r="Q23" s="35" t="s">
        <v>61</v>
      </c>
      <c r="R23" s="35" t="s">
        <v>61</v>
      </c>
      <c r="S23" s="35">
        <v>0.0</v>
      </c>
      <c r="T23" s="35" t="s">
        <v>61</v>
      </c>
      <c r="U23" s="35" t="s">
        <v>61</v>
      </c>
      <c r="V23" s="35" t="s">
        <v>61</v>
      </c>
      <c r="W23" s="35" t="s">
        <v>74</v>
      </c>
      <c r="X23" s="35" t="s">
        <v>441</v>
      </c>
      <c r="Y23" s="35">
        <v>9.257468685E9</v>
      </c>
      <c r="Z23" s="35" t="s">
        <v>443</v>
      </c>
      <c r="AA23" s="46">
        <v>46023.0</v>
      </c>
      <c r="AB23" s="46">
        <v>46387.0</v>
      </c>
      <c r="AC23" s="35" t="s">
        <v>445</v>
      </c>
      <c r="AD23" s="35" t="s">
        <v>79</v>
      </c>
      <c r="AE23" s="35" t="s">
        <v>61</v>
      </c>
      <c r="AF23" s="35"/>
      <c r="AG23" s="46"/>
    </row>
    <row r="24" ht="44.25" customHeight="1">
      <c r="A24" s="35">
        <v>23.0</v>
      </c>
      <c r="B24" s="37" t="s">
        <v>447</v>
      </c>
      <c r="C24" s="35" t="s">
        <v>52</v>
      </c>
      <c r="D24" s="35" t="s">
        <v>206</v>
      </c>
      <c r="E24" s="35" t="s">
        <v>448</v>
      </c>
      <c r="F24" s="35" t="s">
        <v>450</v>
      </c>
      <c r="G24" s="41" t="s">
        <v>451</v>
      </c>
      <c r="H24" s="35" t="s">
        <v>59</v>
      </c>
      <c r="I24" s="35" t="s">
        <v>61</v>
      </c>
      <c r="J24" s="35" t="s">
        <v>62</v>
      </c>
      <c r="K24" s="35" t="s">
        <v>111</v>
      </c>
      <c r="L24" s="35">
        <v>100.0</v>
      </c>
      <c r="M24" s="35" t="s">
        <v>455</v>
      </c>
      <c r="N24" s="35" t="s">
        <v>221</v>
      </c>
      <c r="O24" s="52"/>
      <c r="P24" s="35" t="s">
        <v>456</v>
      </c>
      <c r="Q24" s="35"/>
      <c r="R24" s="35">
        <v>1.0</v>
      </c>
      <c r="S24" s="35">
        <v>1.0</v>
      </c>
      <c r="T24" s="52"/>
      <c r="U24" s="35">
        <v>14.0</v>
      </c>
      <c r="V24" s="35"/>
      <c r="W24" s="35" t="s">
        <v>93</v>
      </c>
      <c r="X24" s="35" t="s">
        <v>458</v>
      </c>
      <c r="Y24" s="35" t="s">
        <v>459</v>
      </c>
      <c r="Z24" s="35" t="s">
        <v>460</v>
      </c>
      <c r="AA24" s="46">
        <v>46023.0</v>
      </c>
      <c r="AB24" s="46">
        <v>46387.0</v>
      </c>
      <c r="AC24" s="35" t="s">
        <v>461</v>
      </c>
      <c r="AD24" s="35" t="s">
        <v>79</v>
      </c>
      <c r="AE24" s="35" t="s">
        <v>61</v>
      </c>
      <c r="AF24" s="35"/>
      <c r="AG24" s="46"/>
    </row>
    <row r="25" ht="44.25" customHeight="1">
      <c r="A25" s="35">
        <v>24.0</v>
      </c>
      <c r="B25" s="37" t="s">
        <v>463</v>
      </c>
      <c r="C25" s="35" t="s">
        <v>52</v>
      </c>
      <c r="D25" s="35" t="s">
        <v>206</v>
      </c>
      <c r="E25" s="35" t="s">
        <v>448</v>
      </c>
      <c r="F25" s="35" t="s">
        <v>464</v>
      </c>
      <c r="G25" s="41" t="s">
        <v>466</v>
      </c>
      <c r="H25" s="35" t="s">
        <v>59</v>
      </c>
      <c r="I25" s="35" t="s">
        <v>61</v>
      </c>
      <c r="J25" s="35" t="s">
        <v>62</v>
      </c>
      <c r="K25" s="35" t="s">
        <v>63</v>
      </c>
      <c r="L25" s="35">
        <v>12.0</v>
      </c>
      <c r="M25" s="35" t="s">
        <v>469</v>
      </c>
      <c r="N25" s="35" t="s">
        <v>66</v>
      </c>
      <c r="O25" s="35" t="s">
        <v>67</v>
      </c>
      <c r="P25" s="35" t="s">
        <v>470</v>
      </c>
      <c r="Q25" s="35">
        <v>1.0</v>
      </c>
      <c r="R25" s="35" t="s">
        <v>61</v>
      </c>
      <c r="S25" s="35">
        <v>1.0</v>
      </c>
      <c r="T25" s="35" t="s">
        <v>61</v>
      </c>
      <c r="U25" s="35">
        <v>8.0</v>
      </c>
      <c r="V25" s="35" t="s">
        <v>61</v>
      </c>
      <c r="W25" s="35" t="s">
        <v>74</v>
      </c>
      <c r="X25" s="35" t="s">
        <v>472</v>
      </c>
      <c r="Y25" s="35" t="s">
        <v>474</v>
      </c>
      <c r="Z25" s="35" t="s">
        <v>475</v>
      </c>
      <c r="AA25" s="46">
        <v>46023.0</v>
      </c>
      <c r="AB25" s="46">
        <v>46387.0</v>
      </c>
      <c r="AC25" s="35" t="s">
        <v>476</v>
      </c>
      <c r="AD25" s="35" t="s">
        <v>79</v>
      </c>
      <c r="AE25" s="35" t="s">
        <v>61</v>
      </c>
      <c r="AF25" s="35"/>
      <c r="AG25" s="46"/>
    </row>
    <row r="26" ht="44.25" customHeight="1">
      <c r="A26" s="35">
        <v>25.0</v>
      </c>
      <c r="B26" s="37" t="s">
        <v>478</v>
      </c>
      <c r="C26" s="35" t="s">
        <v>52</v>
      </c>
      <c r="D26" s="35" t="s">
        <v>206</v>
      </c>
      <c r="E26" s="35" t="s">
        <v>479</v>
      </c>
      <c r="F26" s="35" t="s">
        <v>480</v>
      </c>
      <c r="G26" s="41" t="s">
        <v>483</v>
      </c>
      <c r="H26" s="35" t="s">
        <v>59</v>
      </c>
      <c r="I26" s="35"/>
      <c r="J26" s="35" t="s">
        <v>62</v>
      </c>
      <c r="K26" s="35" t="s">
        <v>111</v>
      </c>
      <c r="L26" s="35">
        <v>100.0</v>
      </c>
      <c r="M26" s="35" t="s">
        <v>486</v>
      </c>
      <c r="N26" s="35" t="s">
        <v>66</v>
      </c>
      <c r="O26" s="52"/>
      <c r="P26" s="35" t="s">
        <v>488</v>
      </c>
      <c r="Q26" s="35"/>
      <c r="R26" s="35">
        <v>1.0</v>
      </c>
      <c r="S26" s="35">
        <v>1.0</v>
      </c>
      <c r="T26" s="52"/>
      <c r="U26" s="35">
        <v>12.0</v>
      </c>
      <c r="V26" s="35"/>
      <c r="W26" s="35" t="s">
        <v>93</v>
      </c>
      <c r="X26" s="35" t="s">
        <v>490</v>
      </c>
      <c r="Y26" s="35" t="s">
        <v>493</v>
      </c>
      <c r="Z26" s="35" t="s">
        <v>494</v>
      </c>
      <c r="AA26" s="46">
        <v>46023.0</v>
      </c>
      <c r="AB26" s="46">
        <v>46387.0</v>
      </c>
      <c r="AC26" s="35" t="s">
        <v>495</v>
      </c>
      <c r="AD26" s="35" t="s">
        <v>79</v>
      </c>
      <c r="AE26" s="35" t="s">
        <v>61</v>
      </c>
      <c r="AF26" s="35"/>
      <c r="AG26" s="46"/>
    </row>
    <row r="27" ht="44.25" customHeight="1">
      <c r="A27" s="35">
        <v>26.0</v>
      </c>
      <c r="B27" s="37" t="s">
        <v>497</v>
      </c>
      <c r="C27" s="35" t="s">
        <v>52</v>
      </c>
      <c r="D27" s="35" t="s">
        <v>206</v>
      </c>
      <c r="E27" s="35" t="s">
        <v>207</v>
      </c>
      <c r="F27" s="35" t="s">
        <v>498</v>
      </c>
      <c r="G27" s="41" t="s">
        <v>499</v>
      </c>
      <c r="H27" s="35" t="s">
        <v>59</v>
      </c>
      <c r="I27" s="35" t="s">
        <v>61</v>
      </c>
      <c r="J27" s="35" t="s">
        <v>62</v>
      </c>
      <c r="K27" s="35" t="s">
        <v>111</v>
      </c>
      <c r="L27" s="35">
        <v>100.0</v>
      </c>
      <c r="M27" s="35" t="s">
        <v>504</v>
      </c>
      <c r="N27" s="35" t="s">
        <v>66</v>
      </c>
      <c r="O27" s="52"/>
      <c r="P27" s="35" t="s">
        <v>506</v>
      </c>
      <c r="Q27" s="35"/>
      <c r="R27" s="35">
        <v>1.0</v>
      </c>
      <c r="S27" s="35">
        <v>1.0</v>
      </c>
      <c r="T27" s="52"/>
      <c r="U27" s="35">
        <v>8.0</v>
      </c>
      <c r="V27" s="35" t="s">
        <v>61</v>
      </c>
      <c r="W27" s="35" t="s">
        <v>93</v>
      </c>
      <c r="X27" s="35" t="s">
        <v>507</v>
      </c>
      <c r="Y27" s="35">
        <v>9.178015958E9</v>
      </c>
      <c r="Z27" s="35" t="s">
        <v>510</v>
      </c>
      <c r="AA27" s="46">
        <v>46023.0</v>
      </c>
      <c r="AB27" s="46">
        <v>46387.0</v>
      </c>
      <c r="AC27" s="35" t="s">
        <v>512</v>
      </c>
      <c r="AD27" s="35" t="s">
        <v>79</v>
      </c>
      <c r="AE27" s="35" t="s">
        <v>61</v>
      </c>
      <c r="AF27" s="35"/>
      <c r="AG27" s="46"/>
    </row>
    <row r="28" ht="44.25" customHeight="1">
      <c r="A28" s="35">
        <v>27.0</v>
      </c>
      <c r="B28" s="37" t="s">
        <v>516</v>
      </c>
      <c r="C28" s="35" t="s">
        <v>52</v>
      </c>
      <c r="D28" s="35" t="s">
        <v>206</v>
      </c>
      <c r="E28" s="35" t="s">
        <v>207</v>
      </c>
      <c r="F28" s="35" t="s">
        <v>517</v>
      </c>
      <c r="G28" s="41" t="s">
        <v>518</v>
      </c>
      <c r="H28" s="35" t="s">
        <v>59</v>
      </c>
      <c r="I28" s="35" t="s">
        <v>61</v>
      </c>
      <c r="J28" s="35" t="s">
        <v>62</v>
      </c>
      <c r="K28" s="35" t="s">
        <v>63</v>
      </c>
      <c r="L28" s="35">
        <v>18.0</v>
      </c>
      <c r="M28" s="35" t="s">
        <v>519</v>
      </c>
      <c r="N28" s="35" t="s">
        <v>66</v>
      </c>
      <c r="O28" s="35" t="s">
        <v>67</v>
      </c>
      <c r="P28" s="35" t="s">
        <v>61</v>
      </c>
      <c r="Q28" s="35" t="s">
        <v>61</v>
      </c>
      <c r="R28" s="35" t="s">
        <v>61</v>
      </c>
      <c r="S28" s="35">
        <v>0.0</v>
      </c>
      <c r="T28" s="35" t="s">
        <v>520</v>
      </c>
      <c r="U28" s="35" t="s">
        <v>61</v>
      </c>
      <c r="V28" s="35" t="s">
        <v>61</v>
      </c>
      <c r="W28" s="35" t="s">
        <v>74</v>
      </c>
      <c r="X28" s="35" t="s">
        <v>521</v>
      </c>
      <c r="Y28" s="35">
        <v>9.175084527E9</v>
      </c>
      <c r="Z28" s="35" t="s">
        <v>522</v>
      </c>
      <c r="AA28" s="46">
        <v>46023.0</v>
      </c>
      <c r="AB28" s="46">
        <v>46387.0</v>
      </c>
      <c r="AC28" s="35" t="s">
        <v>524</v>
      </c>
      <c r="AD28" s="35" t="s">
        <v>79</v>
      </c>
      <c r="AE28" s="35" t="s">
        <v>61</v>
      </c>
      <c r="AF28" s="35"/>
      <c r="AG28" s="46"/>
    </row>
    <row r="29" ht="44.25" customHeight="1">
      <c r="A29" s="35">
        <v>28.0</v>
      </c>
      <c r="B29" s="37" t="s">
        <v>525</v>
      </c>
      <c r="C29" s="35" t="s">
        <v>52</v>
      </c>
      <c r="D29" s="35" t="s">
        <v>206</v>
      </c>
      <c r="E29" s="35" t="s">
        <v>207</v>
      </c>
      <c r="F29" s="35" t="s">
        <v>526</v>
      </c>
      <c r="G29" s="41" t="s">
        <v>527</v>
      </c>
      <c r="H29" s="35" t="s">
        <v>59</v>
      </c>
      <c r="I29" s="35" t="s">
        <v>61</v>
      </c>
      <c r="J29" s="35" t="s">
        <v>62</v>
      </c>
      <c r="K29" s="35" t="s">
        <v>111</v>
      </c>
      <c r="L29" s="35">
        <v>100.0</v>
      </c>
      <c r="M29" s="35" t="s">
        <v>529</v>
      </c>
      <c r="N29" s="35" t="s">
        <v>66</v>
      </c>
      <c r="O29" s="52"/>
      <c r="P29" s="35" t="s">
        <v>531</v>
      </c>
      <c r="Q29" s="35"/>
      <c r="R29" s="35">
        <v>1.0</v>
      </c>
      <c r="S29" s="35">
        <v>1.0</v>
      </c>
      <c r="T29" s="52"/>
      <c r="U29" s="35">
        <v>30.0</v>
      </c>
      <c r="V29" s="35" t="s">
        <v>533</v>
      </c>
      <c r="W29" s="35" t="s">
        <v>93</v>
      </c>
      <c r="X29" s="35" t="s">
        <v>536</v>
      </c>
      <c r="Y29" s="35" t="s">
        <v>538</v>
      </c>
      <c r="Z29" s="35" t="s">
        <v>539</v>
      </c>
      <c r="AA29" s="46">
        <v>46023.0</v>
      </c>
      <c r="AB29" s="46">
        <v>46387.0</v>
      </c>
      <c r="AC29" s="35" t="s">
        <v>541</v>
      </c>
      <c r="AD29" s="35" t="s">
        <v>79</v>
      </c>
      <c r="AE29" s="35" t="s">
        <v>61</v>
      </c>
      <c r="AF29" s="35"/>
      <c r="AG29" s="46"/>
    </row>
    <row r="30" ht="44.25" customHeight="1">
      <c r="A30" s="35">
        <v>29.0</v>
      </c>
      <c r="B30" s="37" t="s">
        <v>542</v>
      </c>
      <c r="C30" s="35" t="s">
        <v>52</v>
      </c>
      <c r="D30" s="35" t="s">
        <v>206</v>
      </c>
      <c r="E30" s="35" t="s">
        <v>207</v>
      </c>
      <c r="F30" s="35" t="s">
        <v>543</v>
      </c>
      <c r="G30" s="41" t="s">
        <v>544</v>
      </c>
      <c r="H30" s="35" t="s">
        <v>59</v>
      </c>
      <c r="I30" s="35" t="s">
        <v>61</v>
      </c>
      <c r="J30" s="35" t="s">
        <v>62</v>
      </c>
      <c r="K30" s="35" t="s">
        <v>63</v>
      </c>
      <c r="L30" s="35">
        <v>15.0</v>
      </c>
      <c r="M30" s="35"/>
      <c r="N30" s="35" t="s">
        <v>66</v>
      </c>
      <c r="O30" s="35" t="s">
        <v>67</v>
      </c>
      <c r="P30" s="35" t="s">
        <v>61</v>
      </c>
      <c r="Q30" s="35" t="s">
        <v>61</v>
      </c>
      <c r="R30" s="35" t="s">
        <v>61</v>
      </c>
      <c r="S30" s="35">
        <v>0.0</v>
      </c>
      <c r="T30" s="35" t="s">
        <v>546</v>
      </c>
      <c r="U30" s="35" t="s">
        <v>61</v>
      </c>
      <c r="V30" s="35" t="s">
        <v>61</v>
      </c>
      <c r="W30" s="35" t="s">
        <v>74</v>
      </c>
      <c r="X30" s="35" t="s">
        <v>548</v>
      </c>
      <c r="Y30" s="35">
        <v>9.052321682E9</v>
      </c>
      <c r="Z30" s="35" t="s">
        <v>550</v>
      </c>
      <c r="AA30" s="46">
        <v>46023.0</v>
      </c>
      <c r="AB30" s="46">
        <v>46387.0</v>
      </c>
      <c r="AC30" s="35" t="s">
        <v>551</v>
      </c>
      <c r="AD30" s="35" t="s">
        <v>79</v>
      </c>
      <c r="AE30" s="35" t="s">
        <v>61</v>
      </c>
      <c r="AF30" s="35"/>
      <c r="AG30" s="46"/>
    </row>
    <row r="31" ht="44.25" customHeight="1">
      <c r="A31" s="35">
        <v>30.0</v>
      </c>
      <c r="B31" s="37" t="s">
        <v>553</v>
      </c>
      <c r="C31" s="35" t="s">
        <v>52</v>
      </c>
      <c r="D31" s="35" t="s">
        <v>206</v>
      </c>
      <c r="E31" s="35" t="s">
        <v>207</v>
      </c>
      <c r="F31" s="35" t="s">
        <v>555</v>
      </c>
      <c r="G31" s="41" t="s">
        <v>557</v>
      </c>
      <c r="H31" s="35" t="s">
        <v>59</v>
      </c>
      <c r="I31" s="35" t="s">
        <v>61</v>
      </c>
      <c r="J31" s="35" t="s">
        <v>62</v>
      </c>
      <c r="K31" s="35" t="s">
        <v>111</v>
      </c>
      <c r="L31" s="35">
        <v>70.0</v>
      </c>
      <c r="M31" s="35" t="s">
        <v>559</v>
      </c>
      <c r="N31" s="35" t="s">
        <v>66</v>
      </c>
      <c r="O31" s="52"/>
      <c r="P31" s="35" t="s">
        <v>560</v>
      </c>
      <c r="Q31" s="35"/>
      <c r="R31" s="35">
        <v>1.0</v>
      </c>
      <c r="S31" s="35">
        <v>1.0</v>
      </c>
      <c r="T31" s="52"/>
      <c r="U31" s="35">
        <v>10.0</v>
      </c>
      <c r="V31" s="35" t="s">
        <v>61</v>
      </c>
      <c r="W31" s="35" t="s">
        <v>93</v>
      </c>
      <c r="X31" s="35" t="s">
        <v>561</v>
      </c>
      <c r="Y31" s="35">
        <v>9.318065997E9</v>
      </c>
      <c r="Z31" s="35" t="s">
        <v>562</v>
      </c>
      <c r="AA31" s="46">
        <v>46023.0</v>
      </c>
      <c r="AB31" s="46">
        <v>46387.0</v>
      </c>
      <c r="AC31" s="35" t="s">
        <v>563</v>
      </c>
      <c r="AD31" s="35" t="s">
        <v>79</v>
      </c>
      <c r="AE31" s="35" t="s">
        <v>61</v>
      </c>
      <c r="AF31" s="35"/>
      <c r="AG31" s="46"/>
    </row>
    <row r="32" ht="44.25" customHeight="1">
      <c r="A32" s="35">
        <v>31.0</v>
      </c>
      <c r="B32" s="37" t="s">
        <v>564</v>
      </c>
      <c r="C32" s="35" t="s">
        <v>52</v>
      </c>
      <c r="D32" s="35" t="s">
        <v>206</v>
      </c>
      <c r="E32" s="35" t="s">
        <v>207</v>
      </c>
      <c r="F32" s="35" t="s">
        <v>565</v>
      </c>
      <c r="G32" s="41" t="s">
        <v>566</v>
      </c>
      <c r="H32" s="35" t="s">
        <v>59</v>
      </c>
      <c r="I32" s="35"/>
      <c r="J32" s="35" t="s">
        <v>62</v>
      </c>
      <c r="K32" s="35" t="s">
        <v>111</v>
      </c>
      <c r="L32" s="35">
        <v>42.0</v>
      </c>
      <c r="M32" s="35" t="s">
        <v>569</v>
      </c>
      <c r="N32" s="35" t="s">
        <v>66</v>
      </c>
      <c r="O32" s="52"/>
      <c r="P32" s="35" t="s">
        <v>571</v>
      </c>
      <c r="Q32" s="35"/>
      <c r="R32" s="35">
        <v>1.0</v>
      </c>
      <c r="S32" s="35">
        <v>1.0</v>
      </c>
      <c r="T32" s="52"/>
      <c r="U32" s="35">
        <v>4.0</v>
      </c>
      <c r="V32" s="35" t="s">
        <v>61</v>
      </c>
      <c r="W32" s="35" t="s">
        <v>93</v>
      </c>
      <c r="X32" s="35" t="s">
        <v>573</v>
      </c>
      <c r="Y32" s="35" t="s">
        <v>574</v>
      </c>
      <c r="Z32" s="35" t="s">
        <v>575</v>
      </c>
      <c r="AA32" s="46">
        <v>46023.0</v>
      </c>
      <c r="AB32" s="46">
        <v>46387.0</v>
      </c>
      <c r="AC32" s="35" t="s">
        <v>576</v>
      </c>
      <c r="AD32" s="35" t="s">
        <v>79</v>
      </c>
      <c r="AE32" s="35" t="s">
        <v>61</v>
      </c>
      <c r="AF32" s="35"/>
      <c r="AG32" s="46"/>
    </row>
    <row r="33" ht="44.25" customHeight="1">
      <c r="A33" s="35">
        <v>32.0</v>
      </c>
      <c r="B33" s="37" t="s">
        <v>577</v>
      </c>
      <c r="C33" s="35" t="s">
        <v>52</v>
      </c>
      <c r="D33" s="35" t="s">
        <v>206</v>
      </c>
      <c r="E33" s="35" t="s">
        <v>207</v>
      </c>
      <c r="F33" s="35" t="s">
        <v>582</v>
      </c>
      <c r="G33" s="41" t="s">
        <v>584</v>
      </c>
      <c r="H33" s="35" t="s">
        <v>59</v>
      </c>
      <c r="I33" s="35"/>
      <c r="J33" s="35" t="s">
        <v>62</v>
      </c>
      <c r="K33" s="35" t="s">
        <v>111</v>
      </c>
      <c r="L33" s="35">
        <v>60.0</v>
      </c>
      <c r="M33" s="35" t="s">
        <v>586</v>
      </c>
      <c r="N33" s="35" t="s">
        <v>66</v>
      </c>
      <c r="O33" s="52"/>
      <c r="P33" s="35" t="s">
        <v>588</v>
      </c>
      <c r="Q33" s="35"/>
      <c r="R33" s="35">
        <v>1.0</v>
      </c>
      <c r="S33" s="35">
        <v>1.0</v>
      </c>
      <c r="T33" s="52"/>
      <c r="U33" s="35">
        <v>14.0</v>
      </c>
      <c r="V33" s="35" t="s">
        <v>61</v>
      </c>
      <c r="W33" s="35" t="s">
        <v>93</v>
      </c>
      <c r="X33" s="35" t="s">
        <v>590</v>
      </c>
      <c r="Y33" s="35" t="s">
        <v>591</v>
      </c>
      <c r="Z33" s="35" t="s">
        <v>592</v>
      </c>
      <c r="AA33" s="46">
        <v>46023.0</v>
      </c>
      <c r="AB33" s="46">
        <v>46387.0</v>
      </c>
      <c r="AC33" s="35" t="s">
        <v>595</v>
      </c>
      <c r="AD33" s="35" t="s">
        <v>79</v>
      </c>
      <c r="AE33" s="35" t="s">
        <v>61</v>
      </c>
      <c r="AF33" s="35"/>
      <c r="AG33" s="46"/>
    </row>
    <row r="34" ht="44.25" customHeight="1">
      <c r="A34" s="35">
        <v>33.0</v>
      </c>
      <c r="B34" s="37" t="s">
        <v>599</v>
      </c>
      <c r="C34" s="35" t="s">
        <v>52</v>
      </c>
      <c r="D34" s="35" t="s">
        <v>206</v>
      </c>
      <c r="E34" s="35" t="s">
        <v>207</v>
      </c>
      <c r="F34" s="35" t="s">
        <v>600</v>
      </c>
      <c r="G34" s="41" t="s">
        <v>601</v>
      </c>
      <c r="H34" s="35" t="s">
        <v>59</v>
      </c>
      <c r="I34" s="35" t="s">
        <v>61</v>
      </c>
      <c r="J34" s="35" t="s">
        <v>62</v>
      </c>
      <c r="K34" s="35" t="s">
        <v>111</v>
      </c>
      <c r="L34" s="35">
        <v>80.0</v>
      </c>
      <c r="M34" s="35" t="s">
        <v>602</v>
      </c>
      <c r="N34" s="35" t="s">
        <v>66</v>
      </c>
      <c r="O34" s="52"/>
      <c r="P34" s="35" t="s">
        <v>604</v>
      </c>
      <c r="Q34" s="35"/>
      <c r="R34" s="35">
        <v>1.0</v>
      </c>
      <c r="S34" s="35">
        <v>1.0</v>
      </c>
      <c r="T34" s="52"/>
      <c r="U34" s="35">
        <v>4.0</v>
      </c>
      <c r="V34" s="35"/>
      <c r="W34" s="35" t="s">
        <v>93</v>
      </c>
      <c r="X34" s="35" t="s">
        <v>605</v>
      </c>
      <c r="Y34" s="35" t="s">
        <v>606</v>
      </c>
      <c r="Z34" s="35" t="s">
        <v>608</v>
      </c>
      <c r="AA34" s="46">
        <v>46023.0</v>
      </c>
      <c r="AB34" s="46">
        <v>46387.0</v>
      </c>
      <c r="AC34" s="35" t="s">
        <v>609</v>
      </c>
      <c r="AD34" s="35" t="s">
        <v>79</v>
      </c>
      <c r="AE34" s="35" t="s">
        <v>61</v>
      </c>
      <c r="AF34" s="35"/>
      <c r="AG34" s="46"/>
    </row>
    <row r="35" ht="44.25" customHeight="1">
      <c r="A35" s="35">
        <v>34.0</v>
      </c>
      <c r="B35" s="37" t="s">
        <v>610</v>
      </c>
      <c r="C35" s="35" t="s">
        <v>52</v>
      </c>
      <c r="D35" s="35" t="s">
        <v>206</v>
      </c>
      <c r="E35" s="35" t="s">
        <v>207</v>
      </c>
      <c r="F35" s="35" t="s">
        <v>611</v>
      </c>
      <c r="G35" s="41" t="s">
        <v>612</v>
      </c>
      <c r="H35" s="35" t="s">
        <v>59</v>
      </c>
      <c r="I35" s="35" t="s">
        <v>61</v>
      </c>
      <c r="J35" s="35" t="s">
        <v>62</v>
      </c>
      <c r="K35" s="35" t="s">
        <v>111</v>
      </c>
      <c r="L35" s="35">
        <v>75.0</v>
      </c>
      <c r="M35" s="35" t="s">
        <v>614</v>
      </c>
      <c r="N35" s="35" t="s">
        <v>66</v>
      </c>
      <c r="O35" s="52"/>
      <c r="P35" s="35" t="s">
        <v>616</v>
      </c>
      <c r="Q35" s="35"/>
      <c r="R35" s="35">
        <v>1.0</v>
      </c>
      <c r="S35" s="35">
        <v>1.0</v>
      </c>
      <c r="T35" s="52"/>
      <c r="U35" s="35"/>
      <c r="V35" s="35"/>
      <c r="W35" s="35" t="s">
        <v>93</v>
      </c>
      <c r="X35" s="35" t="s">
        <v>618</v>
      </c>
      <c r="Y35" s="35" t="s">
        <v>620</v>
      </c>
      <c r="Z35" s="35" t="s">
        <v>621</v>
      </c>
      <c r="AA35" s="46">
        <v>46023.0</v>
      </c>
      <c r="AB35" s="46">
        <v>46387.0</v>
      </c>
      <c r="AC35" s="35" t="s">
        <v>622</v>
      </c>
      <c r="AD35" s="35" t="s">
        <v>79</v>
      </c>
      <c r="AE35" s="35" t="s">
        <v>61</v>
      </c>
      <c r="AF35" s="35"/>
      <c r="AG35" s="46"/>
    </row>
    <row r="36" ht="44.25" customHeight="1">
      <c r="A36" s="35">
        <v>35.0</v>
      </c>
      <c r="B36" s="37" t="s">
        <v>624</v>
      </c>
      <c r="C36" s="35" t="s">
        <v>52</v>
      </c>
      <c r="D36" s="35" t="s">
        <v>206</v>
      </c>
      <c r="E36" s="35" t="s">
        <v>625</v>
      </c>
      <c r="F36" s="35" t="s">
        <v>626</v>
      </c>
      <c r="G36" s="41" t="s">
        <v>627</v>
      </c>
      <c r="H36" s="35" t="s">
        <v>59</v>
      </c>
      <c r="I36" s="35"/>
      <c r="J36" s="35" t="s">
        <v>62</v>
      </c>
      <c r="K36" s="35" t="s">
        <v>111</v>
      </c>
      <c r="L36" s="35">
        <v>30.0</v>
      </c>
      <c r="M36" s="35" t="s">
        <v>630</v>
      </c>
      <c r="N36" s="35" t="s">
        <v>66</v>
      </c>
      <c r="O36" s="52"/>
      <c r="P36" s="35" t="s">
        <v>631</v>
      </c>
      <c r="Q36" s="35"/>
      <c r="R36" s="35">
        <v>1.0</v>
      </c>
      <c r="S36" s="35">
        <v>1.0</v>
      </c>
      <c r="T36" s="52"/>
      <c r="U36" s="35"/>
      <c r="V36" s="35" t="s">
        <v>61</v>
      </c>
      <c r="W36" s="35" t="s">
        <v>93</v>
      </c>
      <c r="X36" s="35" t="s">
        <v>633</v>
      </c>
      <c r="Y36" s="35" t="s">
        <v>635</v>
      </c>
      <c r="Z36" s="35" t="s">
        <v>637</v>
      </c>
      <c r="AA36" s="46">
        <v>46023.0</v>
      </c>
      <c r="AB36" s="46">
        <v>46387.0</v>
      </c>
      <c r="AC36" s="35" t="s">
        <v>640</v>
      </c>
      <c r="AD36" s="35" t="s">
        <v>79</v>
      </c>
      <c r="AE36" s="35" t="s">
        <v>61</v>
      </c>
      <c r="AF36" s="35"/>
      <c r="AG36" s="46"/>
    </row>
    <row r="37" ht="44.25" customHeight="1">
      <c r="A37" s="35">
        <v>36.0</v>
      </c>
      <c r="B37" s="37" t="s">
        <v>644</v>
      </c>
      <c r="C37" s="35" t="s">
        <v>52</v>
      </c>
      <c r="D37" s="35" t="s">
        <v>206</v>
      </c>
      <c r="E37" s="35" t="s">
        <v>645</v>
      </c>
      <c r="F37" s="35" t="s">
        <v>646</v>
      </c>
      <c r="G37" s="41" t="s">
        <v>647</v>
      </c>
      <c r="H37" s="35" t="s">
        <v>59</v>
      </c>
      <c r="I37" s="35" t="s">
        <v>61</v>
      </c>
      <c r="J37" s="35" t="s">
        <v>62</v>
      </c>
      <c r="K37" s="35" t="s">
        <v>111</v>
      </c>
      <c r="L37" s="35">
        <v>50.0</v>
      </c>
      <c r="M37" s="35" t="s">
        <v>649</v>
      </c>
      <c r="N37" s="35" t="s">
        <v>66</v>
      </c>
      <c r="O37" s="52"/>
      <c r="P37" s="35" t="s">
        <v>650</v>
      </c>
      <c r="Q37" s="35"/>
      <c r="R37" s="35">
        <v>1.0</v>
      </c>
      <c r="S37" s="35">
        <v>1.0</v>
      </c>
      <c r="T37" s="52"/>
      <c r="U37" s="35"/>
      <c r="V37" s="35"/>
      <c r="W37" s="35" t="s">
        <v>93</v>
      </c>
      <c r="X37" s="35" t="s">
        <v>653</v>
      </c>
      <c r="Y37" s="35" t="s">
        <v>654</v>
      </c>
      <c r="Z37" s="35" t="s">
        <v>656</v>
      </c>
      <c r="AA37" s="46">
        <v>46023.0</v>
      </c>
      <c r="AB37" s="46">
        <v>46387.0</v>
      </c>
      <c r="AC37" s="35" t="s">
        <v>660</v>
      </c>
      <c r="AD37" s="35" t="s">
        <v>79</v>
      </c>
      <c r="AE37" s="35" t="s">
        <v>61</v>
      </c>
      <c r="AF37" s="35"/>
      <c r="AG37" s="46"/>
    </row>
    <row r="38" ht="44.25" customHeight="1">
      <c r="A38" s="35">
        <v>37.0</v>
      </c>
      <c r="B38" s="37" t="s">
        <v>662</v>
      </c>
      <c r="C38" s="35" t="s">
        <v>52</v>
      </c>
      <c r="D38" s="35" t="s">
        <v>206</v>
      </c>
      <c r="E38" s="35" t="s">
        <v>664</v>
      </c>
      <c r="F38" s="35" t="s">
        <v>665</v>
      </c>
      <c r="G38" s="41" t="s">
        <v>666</v>
      </c>
      <c r="H38" s="35" t="s">
        <v>59</v>
      </c>
      <c r="I38" s="35" t="s">
        <v>61</v>
      </c>
      <c r="J38" s="35" t="s">
        <v>62</v>
      </c>
      <c r="K38" s="35" t="s">
        <v>63</v>
      </c>
      <c r="L38" s="35">
        <v>18.0</v>
      </c>
      <c r="M38" s="35"/>
      <c r="N38" s="35" t="s">
        <v>66</v>
      </c>
      <c r="O38" s="35" t="s">
        <v>67</v>
      </c>
      <c r="P38" s="35" t="s">
        <v>61</v>
      </c>
      <c r="Q38" s="35" t="s">
        <v>61</v>
      </c>
      <c r="R38" s="35" t="s">
        <v>61</v>
      </c>
      <c r="S38" s="35">
        <v>0.0</v>
      </c>
      <c r="T38" s="35" t="s">
        <v>672</v>
      </c>
      <c r="U38" s="35" t="s">
        <v>61</v>
      </c>
      <c r="V38" s="35" t="s">
        <v>61</v>
      </c>
      <c r="W38" s="35" t="s">
        <v>74</v>
      </c>
      <c r="X38" s="35" t="s">
        <v>674</v>
      </c>
      <c r="Y38" s="35" t="s">
        <v>675</v>
      </c>
      <c r="Z38" s="35" t="s">
        <v>677</v>
      </c>
      <c r="AA38" s="46">
        <v>46023.0</v>
      </c>
      <c r="AB38" s="46">
        <v>46387.0</v>
      </c>
      <c r="AC38" s="35" t="s">
        <v>678</v>
      </c>
      <c r="AD38" s="35" t="s">
        <v>79</v>
      </c>
      <c r="AE38" s="35" t="s">
        <v>61</v>
      </c>
      <c r="AF38" s="35"/>
      <c r="AG38" s="46"/>
    </row>
    <row r="39" ht="44.25" customHeight="1">
      <c r="A39" s="35">
        <v>38.0</v>
      </c>
      <c r="B39" s="37" t="s">
        <v>680</v>
      </c>
      <c r="C39" s="35" t="s">
        <v>52</v>
      </c>
      <c r="D39" s="35" t="s">
        <v>206</v>
      </c>
      <c r="E39" s="35" t="s">
        <v>263</v>
      </c>
      <c r="F39" s="35" t="s">
        <v>681</v>
      </c>
      <c r="G39" s="41" t="s">
        <v>685</v>
      </c>
      <c r="H39" s="35" t="s">
        <v>59</v>
      </c>
      <c r="I39" s="35" t="s">
        <v>61</v>
      </c>
      <c r="J39" s="35" t="s">
        <v>62</v>
      </c>
      <c r="K39" s="35" t="s">
        <v>63</v>
      </c>
      <c r="L39" s="35">
        <v>28.0</v>
      </c>
      <c r="M39" s="35" t="s">
        <v>688</v>
      </c>
      <c r="N39" s="35" t="s">
        <v>66</v>
      </c>
      <c r="O39" s="35" t="s">
        <v>67</v>
      </c>
      <c r="P39" s="35" t="s">
        <v>61</v>
      </c>
      <c r="Q39" s="35" t="s">
        <v>61</v>
      </c>
      <c r="R39" s="35" t="s">
        <v>61</v>
      </c>
      <c r="S39" s="35">
        <v>0.0</v>
      </c>
      <c r="T39" s="35" t="s">
        <v>692</v>
      </c>
      <c r="U39" s="35" t="s">
        <v>61</v>
      </c>
      <c r="V39" s="35" t="s">
        <v>61</v>
      </c>
      <c r="W39" s="35" t="s">
        <v>93</v>
      </c>
      <c r="X39" s="35" t="s">
        <v>695</v>
      </c>
      <c r="Y39" s="35" t="s">
        <v>696</v>
      </c>
      <c r="Z39" s="35" t="s">
        <v>697</v>
      </c>
      <c r="AA39" s="46">
        <v>46023.0</v>
      </c>
      <c r="AB39" s="46">
        <v>46387.0</v>
      </c>
      <c r="AC39" s="35" t="s">
        <v>698</v>
      </c>
      <c r="AD39" s="35" t="s">
        <v>164</v>
      </c>
      <c r="AE39" s="35" t="s">
        <v>165</v>
      </c>
      <c r="AF39" s="35" t="s">
        <v>701</v>
      </c>
      <c r="AG39" s="46"/>
    </row>
    <row r="40" ht="44.25" customHeight="1">
      <c r="A40" s="35">
        <v>39.0</v>
      </c>
      <c r="B40" s="37" t="s">
        <v>703</v>
      </c>
      <c r="C40" s="35" t="s">
        <v>52</v>
      </c>
      <c r="D40" s="35" t="s">
        <v>206</v>
      </c>
      <c r="E40" s="35" t="s">
        <v>263</v>
      </c>
      <c r="F40" s="35" t="s">
        <v>706</v>
      </c>
      <c r="G40" s="41" t="s">
        <v>707</v>
      </c>
      <c r="H40" s="35" t="s">
        <v>59</v>
      </c>
      <c r="I40" s="35" t="s">
        <v>61</v>
      </c>
      <c r="J40" s="35" t="s">
        <v>62</v>
      </c>
      <c r="K40" s="35" t="s">
        <v>63</v>
      </c>
      <c r="L40" s="35">
        <v>25.0</v>
      </c>
      <c r="M40" s="35"/>
      <c r="N40" s="35" t="s">
        <v>66</v>
      </c>
      <c r="O40" s="35" t="s">
        <v>67</v>
      </c>
      <c r="P40" s="35" t="s">
        <v>61</v>
      </c>
      <c r="Q40" s="35" t="s">
        <v>61</v>
      </c>
      <c r="R40" s="35" t="s">
        <v>61</v>
      </c>
      <c r="S40" s="35">
        <v>0.0</v>
      </c>
      <c r="T40" s="35" t="s">
        <v>61</v>
      </c>
      <c r="U40" s="35" t="s">
        <v>61</v>
      </c>
      <c r="V40" s="35" t="s">
        <v>61</v>
      </c>
      <c r="W40" s="35" t="s">
        <v>74</v>
      </c>
      <c r="X40" s="35" t="s">
        <v>714</v>
      </c>
      <c r="Y40" s="35" t="s">
        <v>716</v>
      </c>
      <c r="Z40" s="35" t="s">
        <v>718</v>
      </c>
      <c r="AA40" s="46">
        <v>46023.0</v>
      </c>
      <c r="AB40" s="46">
        <v>46387.0</v>
      </c>
      <c r="AC40" s="35" t="s">
        <v>720</v>
      </c>
      <c r="AD40" s="35" t="s">
        <v>79</v>
      </c>
      <c r="AE40" s="35" t="s">
        <v>61</v>
      </c>
      <c r="AF40" s="35"/>
      <c r="AG40" s="46"/>
    </row>
    <row r="41" ht="44.25" customHeight="1">
      <c r="A41" s="35">
        <v>40.0</v>
      </c>
      <c r="B41" s="37" t="s">
        <v>722</v>
      </c>
      <c r="C41" s="35" t="s">
        <v>52</v>
      </c>
      <c r="D41" s="35" t="s">
        <v>206</v>
      </c>
      <c r="E41" s="35" t="s">
        <v>263</v>
      </c>
      <c r="F41" s="35" t="s">
        <v>725</v>
      </c>
      <c r="G41" s="41" t="s">
        <v>727</v>
      </c>
      <c r="H41" s="35" t="s">
        <v>59</v>
      </c>
      <c r="I41" s="35" t="s">
        <v>61</v>
      </c>
      <c r="J41" s="35" t="s">
        <v>62</v>
      </c>
      <c r="K41" s="35" t="s">
        <v>63</v>
      </c>
      <c r="L41" s="35">
        <v>12.0</v>
      </c>
      <c r="M41" s="35" t="s">
        <v>731</v>
      </c>
      <c r="N41" s="35" t="s">
        <v>66</v>
      </c>
      <c r="O41" s="35" t="s">
        <v>67</v>
      </c>
      <c r="P41" s="35" t="s">
        <v>733</v>
      </c>
      <c r="Q41" s="35">
        <v>1.0</v>
      </c>
      <c r="R41" s="35" t="s">
        <v>61</v>
      </c>
      <c r="S41" s="35">
        <v>1.0</v>
      </c>
      <c r="T41" s="35" t="s">
        <v>61</v>
      </c>
      <c r="U41" s="35" t="s">
        <v>61</v>
      </c>
      <c r="V41" s="35" t="s">
        <v>61</v>
      </c>
      <c r="W41" s="35" t="s">
        <v>74</v>
      </c>
      <c r="X41" s="35" t="s">
        <v>735</v>
      </c>
      <c r="Y41" s="35" t="s">
        <v>737</v>
      </c>
      <c r="Z41" s="35" t="s">
        <v>738</v>
      </c>
      <c r="AA41" s="46">
        <v>46023.0</v>
      </c>
      <c r="AB41" s="46">
        <v>46387.0</v>
      </c>
      <c r="AC41" s="35" t="s">
        <v>739</v>
      </c>
      <c r="AD41" s="35" t="s">
        <v>79</v>
      </c>
      <c r="AE41" s="35" t="s">
        <v>61</v>
      </c>
      <c r="AF41" s="35"/>
      <c r="AG41" s="46"/>
    </row>
    <row r="42" ht="44.25" customHeight="1">
      <c r="A42" s="35">
        <v>41.0</v>
      </c>
      <c r="B42" s="37" t="s">
        <v>741</v>
      </c>
      <c r="C42" s="35" t="s">
        <v>52</v>
      </c>
      <c r="D42" s="35" t="s">
        <v>206</v>
      </c>
      <c r="E42" s="35" t="s">
        <v>744</v>
      </c>
      <c r="F42" s="35" t="s">
        <v>745</v>
      </c>
      <c r="G42" s="41" t="s">
        <v>747</v>
      </c>
      <c r="H42" s="35" t="s">
        <v>59</v>
      </c>
      <c r="I42" s="35" t="s">
        <v>61</v>
      </c>
      <c r="J42" s="35" t="s">
        <v>62</v>
      </c>
      <c r="K42" s="35" t="s">
        <v>111</v>
      </c>
      <c r="L42" s="35">
        <v>75.0</v>
      </c>
      <c r="M42" s="35" t="s">
        <v>748</v>
      </c>
      <c r="N42" s="35" t="s">
        <v>66</v>
      </c>
      <c r="O42" s="52"/>
      <c r="P42" s="35" t="s">
        <v>749</v>
      </c>
      <c r="Q42" s="35"/>
      <c r="R42" s="35">
        <v>1.0</v>
      </c>
      <c r="S42" s="35">
        <v>1.0</v>
      </c>
      <c r="T42" s="52"/>
      <c r="U42" s="35">
        <v>18.0</v>
      </c>
      <c r="V42" s="35" t="s">
        <v>61</v>
      </c>
      <c r="W42" s="35" t="s">
        <v>93</v>
      </c>
      <c r="X42" s="35" t="s">
        <v>750</v>
      </c>
      <c r="Y42" s="35" t="s">
        <v>751</v>
      </c>
      <c r="Z42" s="35" t="s">
        <v>752</v>
      </c>
      <c r="AA42" s="46">
        <v>46023.0</v>
      </c>
      <c r="AB42" s="46">
        <v>46387.0</v>
      </c>
      <c r="AC42" s="35" t="s">
        <v>753</v>
      </c>
      <c r="AD42" s="35" t="s">
        <v>79</v>
      </c>
      <c r="AE42" s="35" t="s">
        <v>61</v>
      </c>
      <c r="AF42" s="35"/>
      <c r="AG42" s="46"/>
    </row>
    <row r="43" ht="44.25" customHeight="1">
      <c r="A43" s="35">
        <v>42.0</v>
      </c>
      <c r="B43" s="37" t="s">
        <v>755</v>
      </c>
      <c r="C43" s="35" t="s">
        <v>52</v>
      </c>
      <c r="D43" s="35" t="s">
        <v>206</v>
      </c>
      <c r="E43" s="35" t="s">
        <v>744</v>
      </c>
      <c r="F43" s="35" t="s">
        <v>757</v>
      </c>
      <c r="G43" s="41" t="s">
        <v>759</v>
      </c>
      <c r="H43" s="35" t="s">
        <v>59</v>
      </c>
      <c r="I43" s="35" t="s">
        <v>61</v>
      </c>
      <c r="J43" s="35" t="s">
        <v>62</v>
      </c>
      <c r="K43" s="35" t="s">
        <v>111</v>
      </c>
      <c r="L43" s="35">
        <v>30.0</v>
      </c>
      <c r="M43" s="35" t="s">
        <v>761</v>
      </c>
      <c r="N43" s="35" t="s">
        <v>66</v>
      </c>
      <c r="O43" s="52"/>
      <c r="P43" s="35" t="s">
        <v>762</v>
      </c>
      <c r="Q43" s="35"/>
      <c r="R43" s="35">
        <v>1.0</v>
      </c>
      <c r="S43" s="35">
        <v>1.0</v>
      </c>
      <c r="T43" s="52"/>
      <c r="U43" s="35">
        <v>3.0</v>
      </c>
      <c r="V43" s="35" t="s">
        <v>61</v>
      </c>
      <c r="W43" s="35" t="s">
        <v>93</v>
      </c>
      <c r="X43" s="35" t="s">
        <v>766</v>
      </c>
      <c r="Y43" s="35" t="s">
        <v>767</v>
      </c>
      <c r="Z43" s="35" t="s">
        <v>770</v>
      </c>
      <c r="AA43" s="46">
        <v>46023.0</v>
      </c>
      <c r="AB43" s="46">
        <v>46387.0</v>
      </c>
      <c r="AC43" s="35" t="s">
        <v>773</v>
      </c>
      <c r="AD43" s="35" t="s">
        <v>79</v>
      </c>
      <c r="AE43" s="35" t="s">
        <v>61</v>
      </c>
      <c r="AF43" s="35"/>
      <c r="AG43" s="46"/>
    </row>
    <row r="44" ht="44.25" customHeight="1">
      <c r="A44" s="35">
        <v>43.0</v>
      </c>
      <c r="B44" s="37" t="s">
        <v>778</v>
      </c>
      <c r="C44" s="35" t="s">
        <v>52</v>
      </c>
      <c r="D44" s="35" t="s">
        <v>206</v>
      </c>
      <c r="E44" s="35" t="s">
        <v>744</v>
      </c>
      <c r="F44" s="35" t="s">
        <v>780</v>
      </c>
      <c r="G44" s="41" t="s">
        <v>782</v>
      </c>
      <c r="H44" s="35" t="s">
        <v>59</v>
      </c>
      <c r="I44" s="35"/>
      <c r="J44" s="35" t="s">
        <v>62</v>
      </c>
      <c r="K44" s="35" t="s">
        <v>111</v>
      </c>
      <c r="L44" s="35">
        <v>37.0</v>
      </c>
      <c r="M44" s="35" t="s">
        <v>734</v>
      </c>
      <c r="N44" s="35" t="s">
        <v>66</v>
      </c>
      <c r="O44" s="52"/>
      <c r="P44" s="35" t="s">
        <v>785</v>
      </c>
      <c r="Q44" s="35"/>
      <c r="R44" s="35">
        <v>1.0</v>
      </c>
      <c r="S44" s="35">
        <v>1.0</v>
      </c>
      <c r="T44" s="52"/>
      <c r="U44" s="35"/>
      <c r="V44" s="35"/>
      <c r="W44" s="35" t="s">
        <v>93</v>
      </c>
      <c r="X44" s="35" t="s">
        <v>786</v>
      </c>
      <c r="Y44" s="35" t="s">
        <v>591</v>
      </c>
      <c r="Z44" s="35" t="s">
        <v>789</v>
      </c>
      <c r="AA44" s="46">
        <v>46023.0</v>
      </c>
      <c r="AB44" s="46">
        <v>46387.0</v>
      </c>
      <c r="AC44" s="35" t="s">
        <v>790</v>
      </c>
      <c r="AD44" s="35" t="s">
        <v>79</v>
      </c>
      <c r="AE44" s="35" t="s">
        <v>61</v>
      </c>
      <c r="AF44" s="35"/>
      <c r="AG44" s="46"/>
    </row>
    <row r="45" ht="44.25" customHeight="1">
      <c r="A45" s="35">
        <v>44.0</v>
      </c>
      <c r="B45" s="37" t="s">
        <v>791</v>
      </c>
      <c r="C45" s="35" t="s">
        <v>52</v>
      </c>
      <c r="D45" s="35" t="s">
        <v>206</v>
      </c>
      <c r="E45" s="35" t="s">
        <v>744</v>
      </c>
      <c r="F45" s="35" t="s">
        <v>793</v>
      </c>
      <c r="G45" s="41" t="s">
        <v>795</v>
      </c>
      <c r="H45" s="35" t="s">
        <v>59</v>
      </c>
      <c r="I45" s="35" t="s">
        <v>61</v>
      </c>
      <c r="J45" s="35" t="s">
        <v>62</v>
      </c>
      <c r="K45" s="35" t="s">
        <v>111</v>
      </c>
      <c r="L45" s="35">
        <v>50.0</v>
      </c>
      <c r="M45" s="35" t="s">
        <v>798</v>
      </c>
      <c r="N45" s="35" t="s">
        <v>66</v>
      </c>
      <c r="O45" s="52"/>
      <c r="P45" s="35" t="s">
        <v>799</v>
      </c>
      <c r="Q45" s="35"/>
      <c r="R45" s="35">
        <v>1.0</v>
      </c>
      <c r="S45" s="35">
        <v>1.0</v>
      </c>
      <c r="T45" s="52"/>
      <c r="U45" s="35"/>
      <c r="V45" s="35"/>
      <c r="W45" s="35" t="s">
        <v>93</v>
      </c>
      <c r="X45" s="35" t="s">
        <v>801</v>
      </c>
      <c r="Y45" s="35" t="s">
        <v>802</v>
      </c>
      <c r="Z45" s="35" t="s">
        <v>803</v>
      </c>
      <c r="AA45" s="46">
        <v>46023.0</v>
      </c>
      <c r="AB45" s="46">
        <v>46387.0</v>
      </c>
      <c r="AC45" s="35" t="s">
        <v>806</v>
      </c>
      <c r="AD45" s="35" t="s">
        <v>79</v>
      </c>
      <c r="AE45" s="35" t="s">
        <v>61</v>
      </c>
      <c r="AF45" s="35"/>
      <c r="AG45" s="46"/>
    </row>
    <row r="46" ht="44.25" customHeight="1">
      <c r="A46" s="35">
        <v>45.0</v>
      </c>
      <c r="B46" s="37" t="s">
        <v>810</v>
      </c>
      <c r="C46" s="35" t="s">
        <v>52</v>
      </c>
      <c r="D46" s="35" t="s">
        <v>206</v>
      </c>
      <c r="E46" s="35" t="s">
        <v>811</v>
      </c>
      <c r="F46" s="35" t="s">
        <v>812</v>
      </c>
      <c r="G46" s="41" t="s">
        <v>813</v>
      </c>
      <c r="H46" s="35" t="s">
        <v>59</v>
      </c>
      <c r="I46" s="35" t="s">
        <v>61</v>
      </c>
      <c r="J46" s="35" t="s">
        <v>62</v>
      </c>
      <c r="K46" s="35" t="s">
        <v>63</v>
      </c>
      <c r="L46" s="35">
        <v>18.0</v>
      </c>
      <c r="M46" s="35" t="s">
        <v>817</v>
      </c>
      <c r="N46" s="35" t="s">
        <v>66</v>
      </c>
      <c r="O46" s="35" t="s">
        <v>67</v>
      </c>
      <c r="P46" s="35" t="s">
        <v>820</v>
      </c>
      <c r="Q46" s="35">
        <v>1.0</v>
      </c>
      <c r="R46" s="35" t="s">
        <v>61</v>
      </c>
      <c r="S46" s="35">
        <v>1.0</v>
      </c>
      <c r="T46" s="35" t="s">
        <v>61</v>
      </c>
      <c r="U46" s="35" t="s">
        <v>61</v>
      </c>
      <c r="V46" s="35" t="s">
        <v>61</v>
      </c>
      <c r="W46" s="35" t="s">
        <v>74</v>
      </c>
      <c r="X46" s="35" t="s">
        <v>822</v>
      </c>
      <c r="Y46" s="35" t="s">
        <v>825</v>
      </c>
      <c r="Z46" s="35" t="s">
        <v>826</v>
      </c>
      <c r="AA46" s="46">
        <v>46023.0</v>
      </c>
      <c r="AB46" s="46">
        <v>46387.0</v>
      </c>
      <c r="AC46" s="35" t="s">
        <v>828</v>
      </c>
      <c r="AD46" s="35" t="s">
        <v>164</v>
      </c>
      <c r="AE46" s="35" t="s">
        <v>165</v>
      </c>
      <c r="AF46" s="35" t="s">
        <v>830</v>
      </c>
      <c r="AG46" s="46"/>
    </row>
    <row r="47" ht="44.25" customHeight="1">
      <c r="A47" s="35">
        <v>46.0</v>
      </c>
      <c r="B47" s="37" t="s">
        <v>831</v>
      </c>
      <c r="C47" s="35" t="s">
        <v>52</v>
      </c>
      <c r="D47" s="35" t="s">
        <v>206</v>
      </c>
      <c r="E47" s="35" t="s">
        <v>832</v>
      </c>
      <c r="F47" s="35" t="s">
        <v>833</v>
      </c>
      <c r="G47" s="41" t="s">
        <v>835</v>
      </c>
      <c r="H47" s="35" t="s">
        <v>59</v>
      </c>
      <c r="I47" s="35" t="s">
        <v>61</v>
      </c>
      <c r="J47" s="35" t="s">
        <v>62</v>
      </c>
      <c r="K47" s="35" t="s">
        <v>111</v>
      </c>
      <c r="L47" s="35">
        <v>70.0</v>
      </c>
      <c r="M47" s="35" t="s">
        <v>839</v>
      </c>
      <c r="N47" s="35" t="s">
        <v>66</v>
      </c>
      <c r="O47" s="52"/>
      <c r="P47" s="35" t="s">
        <v>841</v>
      </c>
      <c r="Q47" s="35"/>
      <c r="R47" s="35">
        <v>1.0</v>
      </c>
      <c r="S47" s="35">
        <v>1.0</v>
      </c>
      <c r="T47" s="52"/>
      <c r="U47" s="35">
        <v>28.0</v>
      </c>
      <c r="V47" s="35"/>
      <c r="W47" s="35" t="s">
        <v>93</v>
      </c>
      <c r="X47" s="35" t="s">
        <v>843</v>
      </c>
      <c r="Y47" s="35" t="s">
        <v>844</v>
      </c>
      <c r="Z47" s="35" t="s">
        <v>845</v>
      </c>
      <c r="AA47" s="46">
        <v>46023.0</v>
      </c>
      <c r="AB47" s="46">
        <v>46387.0</v>
      </c>
      <c r="AC47" s="35" t="s">
        <v>846</v>
      </c>
      <c r="AD47" s="35" t="s">
        <v>79</v>
      </c>
      <c r="AE47" s="35" t="s">
        <v>61</v>
      </c>
      <c r="AF47" s="35"/>
      <c r="AG47" s="46"/>
    </row>
    <row r="48" ht="44.25" customHeight="1">
      <c r="A48" s="35">
        <v>47.0</v>
      </c>
      <c r="B48" s="37" t="s">
        <v>849</v>
      </c>
      <c r="C48" s="35" t="s">
        <v>52</v>
      </c>
      <c r="D48" s="35" t="s">
        <v>206</v>
      </c>
      <c r="E48" s="35" t="s">
        <v>850</v>
      </c>
      <c r="F48" s="35" t="s">
        <v>851</v>
      </c>
      <c r="G48" s="41" t="s">
        <v>853</v>
      </c>
      <c r="H48" s="35" t="s">
        <v>59</v>
      </c>
      <c r="I48" s="35" t="s">
        <v>61</v>
      </c>
      <c r="J48" s="35" t="s">
        <v>62</v>
      </c>
      <c r="K48" s="35" t="s">
        <v>63</v>
      </c>
      <c r="L48" s="35">
        <v>15.0</v>
      </c>
      <c r="M48" s="35"/>
      <c r="N48" s="35" t="s">
        <v>66</v>
      </c>
      <c r="O48" s="35" t="s">
        <v>67</v>
      </c>
      <c r="P48" s="35" t="s">
        <v>855</v>
      </c>
      <c r="Q48" s="35">
        <v>1.0</v>
      </c>
      <c r="R48" s="35" t="s">
        <v>61</v>
      </c>
      <c r="S48" s="35">
        <v>1.0</v>
      </c>
      <c r="T48" s="35" t="s">
        <v>61</v>
      </c>
      <c r="U48" s="35" t="s">
        <v>61</v>
      </c>
      <c r="V48" s="35" t="s">
        <v>61</v>
      </c>
      <c r="W48" s="35" t="s">
        <v>74</v>
      </c>
      <c r="X48" s="35" t="s">
        <v>858</v>
      </c>
      <c r="Y48" s="35" t="s">
        <v>860</v>
      </c>
      <c r="Z48" s="35" t="s">
        <v>861</v>
      </c>
      <c r="AA48" s="46">
        <v>46023.0</v>
      </c>
      <c r="AB48" s="46">
        <v>46387.0</v>
      </c>
      <c r="AC48" s="35" t="s">
        <v>863</v>
      </c>
      <c r="AD48" s="35" t="s">
        <v>79</v>
      </c>
      <c r="AE48" s="35" t="s">
        <v>61</v>
      </c>
      <c r="AF48" s="35"/>
      <c r="AG48" s="46"/>
    </row>
    <row r="49" ht="44.25" customHeight="1">
      <c r="A49" s="35">
        <v>48.0</v>
      </c>
      <c r="B49" s="37" t="s">
        <v>868</v>
      </c>
      <c r="C49" s="35" t="s">
        <v>52</v>
      </c>
      <c r="D49" s="35" t="s">
        <v>206</v>
      </c>
      <c r="E49" s="35" t="s">
        <v>850</v>
      </c>
      <c r="F49" s="35" t="s">
        <v>870</v>
      </c>
      <c r="G49" s="41" t="s">
        <v>871</v>
      </c>
      <c r="H49" s="35" t="s">
        <v>59</v>
      </c>
      <c r="I49" s="35" t="s">
        <v>61</v>
      </c>
      <c r="J49" s="35" t="s">
        <v>62</v>
      </c>
      <c r="K49" s="35" t="s">
        <v>111</v>
      </c>
      <c r="L49" s="35">
        <v>128.0</v>
      </c>
      <c r="M49" s="35" t="s">
        <v>876</v>
      </c>
      <c r="N49" s="35" t="s">
        <v>71</v>
      </c>
      <c r="O49" s="52"/>
      <c r="P49" s="35" t="s">
        <v>877</v>
      </c>
      <c r="Q49" s="35"/>
      <c r="R49" s="35">
        <v>1.0</v>
      </c>
      <c r="S49" s="35">
        <v>1.0</v>
      </c>
      <c r="T49" s="52"/>
      <c r="U49" s="35">
        <v>40.0</v>
      </c>
      <c r="V49" s="35"/>
      <c r="W49" s="35" t="s">
        <v>93</v>
      </c>
      <c r="X49" s="35" t="s">
        <v>878</v>
      </c>
      <c r="Y49" s="35" t="s">
        <v>879</v>
      </c>
      <c r="Z49" s="35" t="s">
        <v>880</v>
      </c>
      <c r="AA49" s="46">
        <v>46023.0</v>
      </c>
      <c r="AB49" s="46">
        <v>46387.0</v>
      </c>
      <c r="AC49" s="35" t="s">
        <v>883</v>
      </c>
      <c r="AD49" s="35" t="s">
        <v>79</v>
      </c>
      <c r="AE49" s="35" t="s">
        <v>61</v>
      </c>
      <c r="AF49" s="35"/>
      <c r="AG49" s="46"/>
    </row>
    <row r="50" ht="44.25" customHeight="1">
      <c r="A50" s="35">
        <v>49.0</v>
      </c>
      <c r="B50" s="37" t="s">
        <v>885</v>
      </c>
      <c r="C50" s="35" t="s">
        <v>188</v>
      </c>
      <c r="D50" s="35" t="s">
        <v>366</v>
      </c>
      <c r="E50" s="35" t="s">
        <v>888</v>
      </c>
      <c r="F50" s="35" t="s">
        <v>891</v>
      </c>
      <c r="G50" s="41" t="s">
        <v>892</v>
      </c>
      <c r="H50" s="35" t="s">
        <v>59</v>
      </c>
      <c r="I50" s="35" t="s">
        <v>61</v>
      </c>
      <c r="J50" s="35" t="s">
        <v>62</v>
      </c>
      <c r="K50" s="35" t="s">
        <v>63</v>
      </c>
      <c r="L50" s="35">
        <v>25.0</v>
      </c>
      <c r="M50" s="35" t="s">
        <v>897</v>
      </c>
      <c r="N50" s="35" t="s">
        <v>66</v>
      </c>
      <c r="O50" s="52"/>
      <c r="P50" s="35" t="s">
        <v>899</v>
      </c>
      <c r="Q50" s="35">
        <v>1.0</v>
      </c>
      <c r="R50" s="52"/>
      <c r="S50" s="35">
        <v>1.0</v>
      </c>
      <c r="T50" s="52"/>
      <c r="U50" s="35">
        <v>10.0</v>
      </c>
      <c r="V50" s="35"/>
      <c r="W50" s="35" t="s">
        <v>93</v>
      </c>
      <c r="X50" s="35" t="s">
        <v>900</v>
      </c>
      <c r="Y50" s="35">
        <v>9.171466558E9</v>
      </c>
      <c r="Z50" s="35" t="s">
        <v>901</v>
      </c>
      <c r="AA50" s="46">
        <v>46023.0</v>
      </c>
      <c r="AB50" s="46">
        <v>46387.0</v>
      </c>
      <c r="AC50" s="35" t="s">
        <v>902</v>
      </c>
      <c r="AD50" s="35" t="s">
        <v>79</v>
      </c>
      <c r="AE50" s="35" t="s">
        <v>165</v>
      </c>
      <c r="AF50" s="35" t="s">
        <v>903</v>
      </c>
      <c r="AG50" s="46"/>
    </row>
    <row r="51" ht="44.25" customHeight="1">
      <c r="A51" s="35">
        <v>50.0</v>
      </c>
      <c r="B51" s="37" t="s">
        <v>904</v>
      </c>
      <c r="C51" s="35" t="s">
        <v>188</v>
      </c>
      <c r="D51" s="35" t="s">
        <v>366</v>
      </c>
      <c r="E51" s="35" t="s">
        <v>905</v>
      </c>
      <c r="F51" s="35" t="s">
        <v>906</v>
      </c>
      <c r="G51" s="41" t="s">
        <v>907</v>
      </c>
      <c r="H51" s="35" t="s">
        <v>59</v>
      </c>
      <c r="I51" s="35" t="s">
        <v>61</v>
      </c>
      <c r="J51" s="35" t="s">
        <v>62</v>
      </c>
      <c r="K51" s="35" t="s">
        <v>63</v>
      </c>
      <c r="L51" s="35">
        <v>25.0</v>
      </c>
      <c r="M51" s="35" t="s">
        <v>908</v>
      </c>
      <c r="N51" s="35" t="s">
        <v>66</v>
      </c>
      <c r="O51" s="52"/>
      <c r="P51" s="35" t="s">
        <v>910</v>
      </c>
      <c r="Q51" s="35">
        <v>1.0</v>
      </c>
      <c r="R51" s="52"/>
      <c r="S51" s="35">
        <v>1.0</v>
      </c>
      <c r="T51" s="64"/>
      <c r="U51" s="35">
        <v>4.0</v>
      </c>
      <c r="V51" s="35"/>
      <c r="W51" s="35" t="s">
        <v>74</v>
      </c>
      <c r="X51" s="35" t="s">
        <v>921</v>
      </c>
      <c r="Y51" s="35" t="s">
        <v>923</v>
      </c>
      <c r="Z51" s="35" t="s">
        <v>924</v>
      </c>
      <c r="AA51" s="46">
        <v>46023.0</v>
      </c>
      <c r="AB51" s="46">
        <v>46387.0</v>
      </c>
      <c r="AC51" s="35" t="s">
        <v>925</v>
      </c>
      <c r="AD51" s="35" t="s">
        <v>79</v>
      </c>
      <c r="AE51" s="35" t="s">
        <v>61</v>
      </c>
      <c r="AF51" s="35" t="s">
        <v>927</v>
      </c>
      <c r="AG51" s="46"/>
    </row>
    <row r="52" ht="44.25" customHeight="1">
      <c r="A52" s="35">
        <v>51.0</v>
      </c>
      <c r="B52" s="37" t="s">
        <v>929</v>
      </c>
      <c r="C52" s="35" t="s">
        <v>188</v>
      </c>
      <c r="D52" s="35" t="s">
        <v>366</v>
      </c>
      <c r="E52" s="35" t="s">
        <v>905</v>
      </c>
      <c r="F52" s="35" t="s">
        <v>930</v>
      </c>
      <c r="G52" s="41" t="s">
        <v>931</v>
      </c>
      <c r="H52" s="35" t="s">
        <v>59</v>
      </c>
      <c r="I52" s="35" t="s">
        <v>61</v>
      </c>
      <c r="J52" s="35" t="s">
        <v>62</v>
      </c>
      <c r="K52" s="35" t="s">
        <v>63</v>
      </c>
      <c r="L52" s="35">
        <v>15.0</v>
      </c>
      <c r="M52" s="35" t="s">
        <v>939</v>
      </c>
      <c r="N52" s="35" t="s">
        <v>66</v>
      </c>
      <c r="O52" s="52"/>
      <c r="P52" s="52"/>
      <c r="Q52" s="52"/>
      <c r="R52" s="52"/>
      <c r="S52" s="35">
        <v>0.0</v>
      </c>
      <c r="T52" s="35" t="s">
        <v>907</v>
      </c>
      <c r="U52" s="52"/>
      <c r="V52" s="35"/>
      <c r="W52" s="35" t="s">
        <v>74</v>
      </c>
      <c r="X52" s="35" t="s">
        <v>943</v>
      </c>
      <c r="Y52" s="35" t="s">
        <v>944</v>
      </c>
      <c r="Z52" s="35" t="s">
        <v>945</v>
      </c>
      <c r="AA52" s="46">
        <v>46023.0</v>
      </c>
      <c r="AB52" s="46">
        <v>46387.0</v>
      </c>
      <c r="AC52" s="35" t="s">
        <v>946</v>
      </c>
      <c r="AD52" s="35" t="s">
        <v>79</v>
      </c>
      <c r="AE52" s="35" t="s">
        <v>61</v>
      </c>
      <c r="AF52" s="52"/>
      <c r="AG52" s="46"/>
    </row>
    <row r="53" ht="44.25" customHeight="1">
      <c r="A53" s="35">
        <v>52.0</v>
      </c>
      <c r="B53" s="35">
        <v>38007.0</v>
      </c>
      <c r="C53" s="35" t="s">
        <v>188</v>
      </c>
      <c r="D53" s="35" t="s">
        <v>366</v>
      </c>
      <c r="E53" s="35" t="s">
        <v>952</v>
      </c>
      <c r="F53" s="35" t="s">
        <v>953</v>
      </c>
      <c r="G53" s="41" t="s">
        <v>954</v>
      </c>
      <c r="H53" s="35" t="s">
        <v>59</v>
      </c>
      <c r="I53" s="35" t="s">
        <v>61</v>
      </c>
      <c r="J53" s="35" t="s">
        <v>62</v>
      </c>
      <c r="K53" s="35" t="s">
        <v>111</v>
      </c>
      <c r="L53" s="35">
        <v>33.0</v>
      </c>
      <c r="M53" s="35" t="s">
        <v>956</v>
      </c>
      <c r="N53" s="35" t="s">
        <v>66</v>
      </c>
      <c r="O53" s="52"/>
      <c r="P53" s="35" t="s">
        <v>958</v>
      </c>
      <c r="Q53" s="52"/>
      <c r="R53" s="35">
        <v>1.0</v>
      </c>
      <c r="S53" s="35">
        <v>1.0</v>
      </c>
      <c r="T53" s="52"/>
      <c r="U53" s="52"/>
      <c r="V53" s="35"/>
      <c r="W53" s="35" t="s">
        <v>93</v>
      </c>
      <c r="X53" s="35" t="s">
        <v>962</v>
      </c>
      <c r="Y53" s="35" t="s">
        <v>964</v>
      </c>
      <c r="Z53" s="35" t="s">
        <v>965</v>
      </c>
      <c r="AA53" s="46">
        <v>46023.0</v>
      </c>
      <c r="AB53" s="46">
        <v>46387.0</v>
      </c>
      <c r="AC53" s="35" t="s">
        <v>967</v>
      </c>
      <c r="AD53" s="35" t="s">
        <v>79</v>
      </c>
      <c r="AE53" s="35" t="s">
        <v>61</v>
      </c>
      <c r="AF53" s="35" t="s">
        <v>968</v>
      </c>
      <c r="AG53" s="46"/>
    </row>
    <row r="54" ht="44.25" customHeight="1">
      <c r="A54" s="35">
        <v>53.0</v>
      </c>
      <c r="B54" s="37" t="s">
        <v>970</v>
      </c>
      <c r="C54" s="35" t="s">
        <v>188</v>
      </c>
      <c r="D54" s="35" t="s">
        <v>366</v>
      </c>
      <c r="E54" s="35" t="s">
        <v>971</v>
      </c>
      <c r="F54" s="35" t="s">
        <v>973</v>
      </c>
      <c r="G54" s="41" t="s">
        <v>974</v>
      </c>
      <c r="H54" s="35" t="s">
        <v>59</v>
      </c>
      <c r="I54" s="35" t="s">
        <v>61</v>
      </c>
      <c r="J54" s="35" t="s">
        <v>62</v>
      </c>
      <c r="K54" s="35" t="s">
        <v>63</v>
      </c>
      <c r="L54" s="35">
        <v>17.0</v>
      </c>
      <c r="M54" s="35" t="s">
        <v>979</v>
      </c>
      <c r="N54" s="35" t="s">
        <v>66</v>
      </c>
      <c r="O54" s="52"/>
      <c r="P54" s="35" t="s">
        <v>980</v>
      </c>
      <c r="Q54" s="35">
        <v>1.0</v>
      </c>
      <c r="R54" s="52"/>
      <c r="S54" s="35">
        <v>1.0</v>
      </c>
      <c r="T54" s="52"/>
      <c r="U54" s="52"/>
      <c r="V54" s="35"/>
      <c r="W54" s="35" t="s">
        <v>74</v>
      </c>
      <c r="X54" s="35" t="s">
        <v>985</v>
      </c>
      <c r="Y54" s="35" t="s">
        <v>986</v>
      </c>
      <c r="Z54" s="35" t="s">
        <v>987</v>
      </c>
      <c r="AA54" s="46">
        <v>46023.0</v>
      </c>
      <c r="AB54" s="46">
        <v>46387.0</v>
      </c>
      <c r="AC54" s="35" t="s">
        <v>989</v>
      </c>
      <c r="AD54" s="35" t="s">
        <v>79</v>
      </c>
      <c r="AE54" s="35" t="s">
        <v>61</v>
      </c>
      <c r="AF54" s="52"/>
      <c r="AG54" s="46"/>
    </row>
    <row r="55" ht="44.25" customHeight="1">
      <c r="A55" s="35">
        <v>54.0</v>
      </c>
      <c r="B55" s="37" t="s">
        <v>992</v>
      </c>
      <c r="C55" s="35" t="s">
        <v>188</v>
      </c>
      <c r="D55" s="35" t="s">
        <v>366</v>
      </c>
      <c r="E55" s="35" t="s">
        <v>368</v>
      </c>
      <c r="F55" s="35" t="s">
        <v>997</v>
      </c>
      <c r="G55" s="41" t="s">
        <v>998</v>
      </c>
      <c r="H55" s="35" t="s">
        <v>59</v>
      </c>
      <c r="I55" s="35" t="s">
        <v>61</v>
      </c>
      <c r="J55" s="35" t="s">
        <v>62</v>
      </c>
      <c r="K55" s="35" t="s">
        <v>111</v>
      </c>
      <c r="L55" s="35">
        <v>35.0</v>
      </c>
      <c r="M55" s="35" t="s">
        <v>1004</v>
      </c>
      <c r="N55" s="35" t="s">
        <v>66</v>
      </c>
      <c r="O55" s="52"/>
      <c r="P55" s="35" t="s">
        <v>1005</v>
      </c>
      <c r="Q55" s="52"/>
      <c r="R55" s="35">
        <v>1.0</v>
      </c>
      <c r="S55" s="35">
        <v>1.0</v>
      </c>
      <c r="T55" s="52"/>
      <c r="U55" s="35">
        <v>8.0</v>
      </c>
      <c r="V55" s="35"/>
      <c r="W55" s="35" t="s">
        <v>93</v>
      </c>
      <c r="X55" s="35" t="s">
        <v>1007</v>
      </c>
      <c r="Y55" s="35">
        <v>9.95419175E9</v>
      </c>
      <c r="Z55" s="35" t="s">
        <v>1008</v>
      </c>
      <c r="AA55" s="46">
        <v>46023.0</v>
      </c>
      <c r="AB55" s="46">
        <v>46387.0</v>
      </c>
      <c r="AC55" s="35" t="s">
        <v>1011</v>
      </c>
      <c r="AD55" s="35" t="s">
        <v>79</v>
      </c>
      <c r="AE55" s="35" t="s">
        <v>61</v>
      </c>
      <c r="AF55" s="35" t="s">
        <v>1013</v>
      </c>
      <c r="AG55" s="46"/>
    </row>
    <row r="56" ht="44.25" customHeight="1">
      <c r="A56" s="35">
        <v>55.0</v>
      </c>
      <c r="B56" s="37" t="s">
        <v>1016</v>
      </c>
      <c r="C56" s="35" t="s">
        <v>188</v>
      </c>
      <c r="D56" s="35" t="s">
        <v>366</v>
      </c>
      <c r="E56" s="35" t="s">
        <v>368</v>
      </c>
      <c r="F56" s="35" t="s">
        <v>1017</v>
      </c>
      <c r="G56" s="41" t="s">
        <v>1018</v>
      </c>
      <c r="H56" s="35" t="s">
        <v>59</v>
      </c>
      <c r="I56" s="35" t="s">
        <v>61</v>
      </c>
      <c r="J56" s="35" t="s">
        <v>62</v>
      </c>
      <c r="K56" s="35" t="s">
        <v>111</v>
      </c>
      <c r="L56" s="35">
        <v>100.0</v>
      </c>
      <c r="M56" s="35" t="s">
        <v>1023</v>
      </c>
      <c r="N56" s="35" t="s">
        <v>66</v>
      </c>
      <c r="O56" s="52"/>
      <c r="P56" s="35" t="s">
        <v>1024</v>
      </c>
      <c r="Q56" s="52"/>
      <c r="R56" s="35">
        <v>1.0</v>
      </c>
      <c r="S56" s="35">
        <v>1.0</v>
      </c>
      <c r="T56" s="52"/>
      <c r="U56" s="52"/>
      <c r="V56" s="35"/>
      <c r="W56" s="35" t="s">
        <v>93</v>
      </c>
      <c r="X56" s="35" t="s">
        <v>1029</v>
      </c>
      <c r="Y56" s="35" t="s">
        <v>1030</v>
      </c>
      <c r="Z56" s="35" t="s">
        <v>1031</v>
      </c>
      <c r="AA56" s="46">
        <v>46023.0</v>
      </c>
      <c r="AB56" s="46">
        <v>46387.0</v>
      </c>
      <c r="AC56" s="35" t="s">
        <v>1033</v>
      </c>
      <c r="AD56" s="35" t="s">
        <v>79</v>
      </c>
      <c r="AE56" s="35" t="s">
        <v>61</v>
      </c>
      <c r="AF56" s="35" t="s">
        <v>1039</v>
      </c>
      <c r="AG56" s="46"/>
    </row>
    <row r="57" ht="44.25" customHeight="1">
      <c r="A57" s="35">
        <v>56.0</v>
      </c>
      <c r="B57" s="37" t="s">
        <v>1041</v>
      </c>
      <c r="C57" s="35" t="s">
        <v>188</v>
      </c>
      <c r="D57" s="35" t="s">
        <v>366</v>
      </c>
      <c r="E57" s="35" t="s">
        <v>368</v>
      </c>
      <c r="F57" s="35" t="s">
        <v>1043</v>
      </c>
      <c r="G57" s="41" t="s">
        <v>1045</v>
      </c>
      <c r="H57" s="35" t="s">
        <v>59</v>
      </c>
      <c r="I57" s="35" t="s">
        <v>61</v>
      </c>
      <c r="J57" s="35" t="s">
        <v>62</v>
      </c>
      <c r="K57" s="35" t="s">
        <v>111</v>
      </c>
      <c r="L57" s="35">
        <v>100.0</v>
      </c>
      <c r="M57" s="35" t="s">
        <v>1051</v>
      </c>
      <c r="N57" s="35" t="s">
        <v>66</v>
      </c>
      <c r="O57" s="52"/>
      <c r="P57" s="35" t="s">
        <v>1052</v>
      </c>
      <c r="Q57" s="52"/>
      <c r="R57" s="35">
        <v>1.0</v>
      </c>
      <c r="S57" s="35">
        <v>1.0</v>
      </c>
      <c r="T57" s="52"/>
      <c r="U57" s="35">
        <v>12.0</v>
      </c>
      <c r="V57" s="35"/>
      <c r="W57" s="35" t="s">
        <v>93</v>
      </c>
      <c r="X57" s="35" t="s">
        <v>1055</v>
      </c>
      <c r="Y57" s="35" t="s">
        <v>1057</v>
      </c>
      <c r="Z57" s="35" t="s">
        <v>1060</v>
      </c>
      <c r="AA57" s="46">
        <v>46023.0</v>
      </c>
      <c r="AB57" s="46">
        <v>46387.0</v>
      </c>
      <c r="AC57" s="35" t="s">
        <v>1064</v>
      </c>
      <c r="AD57" s="35" t="s">
        <v>79</v>
      </c>
      <c r="AE57" s="35" t="s">
        <v>1066</v>
      </c>
      <c r="AF57" s="35" t="s">
        <v>1067</v>
      </c>
      <c r="AG57" s="46"/>
    </row>
    <row r="58" ht="44.25" customHeight="1">
      <c r="A58" s="35">
        <v>57.0</v>
      </c>
      <c r="B58" s="37" t="s">
        <v>1068</v>
      </c>
      <c r="C58" s="35" t="s">
        <v>188</v>
      </c>
      <c r="D58" s="35" t="s">
        <v>366</v>
      </c>
      <c r="E58" s="35" t="s">
        <v>368</v>
      </c>
      <c r="F58" s="35" t="s">
        <v>1070</v>
      </c>
      <c r="G58" s="41" t="s">
        <v>1071</v>
      </c>
      <c r="H58" s="35" t="s">
        <v>59</v>
      </c>
      <c r="I58" s="35" t="s">
        <v>61</v>
      </c>
      <c r="J58" s="35" t="s">
        <v>62</v>
      </c>
      <c r="K58" s="35" t="s">
        <v>63</v>
      </c>
      <c r="L58" s="35">
        <v>27.0</v>
      </c>
      <c r="M58" s="35" t="s">
        <v>1072</v>
      </c>
      <c r="N58" s="35" t="s">
        <v>66</v>
      </c>
      <c r="O58" s="52"/>
      <c r="P58" s="35" t="s">
        <v>1073</v>
      </c>
      <c r="Q58" s="35">
        <v>1.0</v>
      </c>
      <c r="R58" s="52"/>
      <c r="S58" s="35">
        <v>1.0</v>
      </c>
      <c r="T58" s="52"/>
      <c r="U58" s="52"/>
      <c r="V58" s="35"/>
      <c r="W58" s="35" t="s">
        <v>74</v>
      </c>
      <c r="X58" s="35" t="s">
        <v>1075</v>
      </c>
      <c r="Y58" s="35" t="s">
        <v>1076</v>
      </c>
      <c r="Z58" s="35" t="s">
        <v>1077</v>
      </c>
      <c r="AA58" s="46">
        <v>46023.0</v>
      </c>
      <c r="AB58" s="46">
        <v>46387.0</v>
      </c>
      <c r="AC58" s="35" t="s">
        <v>1078</v>
      </c>
      <c r="AD58" s="35" t="s">
        <v>79</v>
      </c>
      <c r="AE58" s="35" t="s">
        <v>165</v>
      </c>
      <c r="AF58" s="35" t="s">
        <v>1080</v>
      </c>
      <c r="AG58" s="46"/>
    </row>
    <row r="59" ht="44.25" customHeight="1">
      <c r="A59" s="35">
        <v>58.0</v>
      </c>
      <c r="B59" s="37" t="s">
        <v>1081</v>
      </c>
      <c r="C59" s="35" t="s">
        <v>188</v>
      </c>
      <c r="D59" s="35" t="s">
        <v>366</v>
      </c>
      <c r="E59" s="35" t="s">
        <v>368</v>
      </c>
      <c r="F59" s="35" t="s">
        <v>1082</v>
      </c>
      <c r="G59" s="41" t="s">
        <v>1083</v>
      </c>
      <c r="H59" s="35" t="s">
        <v>59</v>
      </c>
      <c r="I59" s="35" t="s">
        <v>61</v>
      </c>
      <c r="J59" s="35" t="s">
        <v>62</v>
      </c>
      <c r="K59" s="35" t="s">
        <v>111</v>
      </c>
      <c r="L59" s="35">
        <v>100.0</v>
      </c>
      <c r="M59" s="35" t="s">
        <v>1087</v>
      </c>
      <c r="N59" s="35" t="s">
        <v>66</v>
      </c>
      <c r="O59" s="52"/>
      <c r="P59" s="35" t="s">
        <v>1089</v>
      </c>
      <c r="Q59" s="52"/>
      <c r="R59" s="35">
        <v>1.0</v>
      </c>
      <c r="S59" s="35">
        <v>1.0</v>
      </c>
      <c r="T59" s="52"/>
      <c r="U59" s="35">
        <v>7.0</v>
      </c>
      <c r="V59" s="35"/>
      <c r="W59" s="35" t="s">
        <v>93</v>
      </c>
      <c r="X59" s="35" t="s">
        <v>1091</v>
      </c>
      <c r="Y59" s="35" t="s">
        <v>1093</v>
      </c>
      <c r="Z59" s="35" t="s">
        <v>1094</v>
      </c>
      <c r="AA59" s="46">
        <v>46023.0</v>
      </c>
      <c r="AB59" s="46">
        <v>46387.0</v>
      </c>
      <c r="AC59" s="35" t="s">
        <v>1097</v>
      </c>
      <c r="AD59" s="35" t="s">
        <v>79</v>
      </c>
      <c r="AE59" s="35" t="s">
        <v>61</v>
      </c>
      <c r="AF59" s="52"/>
      <c r="AG59" s="46"/>
    </row>
    <row r="60" ht="44.25" customHeight="1">
      <c r="A60" s="35">
        <v>59.0</v>
      </c>
      <c r="B60" s="37" t="s">
        <v>1101</v>
      </c>
      <c r="C60" s="35" t="s">
        <v>188</v>
      </c>
      <c r="D60" s="35" t="s">
        <v>366</v>
      </c>
      <c r="E60" s="35" t="s">
        <v>368</v>
      </c>
      <c r="F60" s="35" t="s">
        <v>1106</v>
      </c>
      <c r="G60" s="41" t="s">
        <v>1108</v>
      </c>
      <c r="H60" s="35" t="s">
        <v>59</v>
      </c>
      <c r="I60" s="35" t="s">
        <v>61</v>
      </c>
      <c r="J60" s="35" t="s">
        <v>62</v>
      </c>
      <c r="K60" s="35" t="s">
        <v>63</v>
      </c>
      <c r="L60" s="35">
        <v>15.0</v>
      </c>
      <c r="M60" s="35" t="s">
        <v>1112</v>
      </c>
      <c r="N60" s="35" t="s">
        <v>66</v>
      </c>
      <c r="O60" s="52"/>
      <c r="P60" s="35" t="s">
        <v>1114</v>
      </c>
      <c r="Q60" s="35">
        <v>1.0</v>
      </c>
      <c r="R60" s="52"/>
      <c r="S60" s="35">
        <v>1.0</v>
      </c>
      <c r="T60" s="52"/>
      <c r="U60" s="52"/>
      <c r="V60" s="35"/>
      <c r="W60" s="35" t="s">
        <v>74</v>
      </c>
      <c r="X60" s="35" t="s">
        <v>1117</v>
      </c>
      <c r="Y60" s="35" t="s">
        <v>1118</v>
      </c>
      <c r="Z60" s="35" t="s">
        <v>1120</v>
      </c>
      <c r="AA60" s="46">
        <v>46023.0</v>
      </c>
      <c r="AB60" s="46">
        <v>46387.0</v>
      </c>
      <c r="AC60" s="35" t="s">
        <v>1121</v>
      </c>
      <c r="AD60" s="35" t="s">
        <v>79</v>
      </c>
      <c r="AE60" s="35" t="s">
        <v>61</v>
      </c>
      <c r="AF60" s="35" t="s">
        <v>1124</v>
      </c>
      <c r="AG60" s="46"/>
    </row>
    <row r="61" ht="44.25" customHeight="1">
      <c r="A61" s="35">
        <v>60.0</v>
      </c>
      <c r="B61" s="35">
        <v>47810.0</v>
      </c>
      <c r="C61" s="35" t="s">
        <v>188</v>
      </c>
      <c r="D61" s="35" t="s">
        <v>366</v>
      </c>
      <c r="E61" s="35" t="s">
        <v>368</v>
      </c>
      <c r="F61" s="35" t="s">
        <v>1127</v>
      </c>
      <c r="G61" s="41" t="s">
        <v>1129</v>
      </c>
      <c r="H61" s="35" t="s">
        <v>59</v>
      </c>
      <c r="I61" s="35" t="s">
        <v>61</v>
      </c>
      <c r="J61" s="35" t="s">
        <v>62</v>
      </c>
      <c r="K61" s="35" t="s">
        <v>111</v>
      </c>
      <c r="L61" s="35">
        <v>50.0</v>
      </c>
      <c r="M61" s="35" t="s">
        <v>1132</v>
      </c>
      <c r="N61" s="35" t="s">
        <v>66</v>
      </c>
      <c r="O61" s="52"/>
      <c r="P61" s="35" t="s">
        <v>1133</v>
      </c>
      <c r="Q61" s="52"/>
      <c r="R61" s="35">
        <v>1.0</v>
      </c>
      <c r="S61" s="35">
        <v>1.0</v>
      </c>
      <c r="T61" s="52"/>
      <c r="U61" s="35">
        <v>11.0</v>
      </c>
      <c r="V61" s="35"/>
      <c r="W61" s="35" t="s">
        <v>93</v>
      </c>
      <c r="X61" s="35" t="s">
        <v>1136</v>
      </c>
      <c r="Y61" s="35">
        <v>9.081760977E9</v>
      </c>
      <c r="Z61" s="35" t="s">
        <v>1139</v>
      </c>
      <c r="AA61" s="46">
        <v>46023.0</v>
      </c>
      <c r="AB61" s="46">
        <v>46387.0</v>
      </c>
      <c r="AC61" s="35" t="s">
        <v>1142</v>
      </c>
      <c r="AD61" s="35" t="s">
        <v>79</v>
      </c>
      <c r="AE61" s="35" t="s">
        <v>61</v>
      </c>
      <c r="AF61" s="52"/>
      <c r="AG61" s="46"/>
    </row>
    <row r="62" ht="44.25" customHeight="1">
      <c r="A62" s="35">
        <v>61.0</v>
      </c>
      <c r="B62" s="37" t="s">
        <v>1145</v>
      </c>
      <c r="C62" s="35" t="s">
        <v>188</v>
      </c>
      <c r="D62" s="35" t="s">
        <v>366</v>
      </c>
      <c r="E62" s="35" t="s">
        <v>368</v>
      </c>
      <c r="F62" s="35" t="s">
        <v>1148</v>
      </c>
      <c r="G62" s="41" t="s">
        <v>1149</v>
      </c>
      <c r="H62" s="35" t="s">
        <v>59</v>
      </c>
      <c r="I62" s="35" t="s">
        <v>61</v>
      </c>
      <c r="J62" s="35" t="s">
        <v>62</v>
      </c>
      <c r="K62" s="35" t="s">
        <v>111</v>
      </c>
      <c r="L62" s="35">
        <v>150.0</v>
      </c>
      <c r="M62" s="35" t="s">
        <v>1153</v>
      </c>
      <c r="N62" s="35" t="s">
        <v>66</v>
      </c>
      <c r="O62" s="52"/>
      <c r="P62" s="35" t="s">
        <v>1156</v>
      </c>
      <c r="Q62" s="52"/>
      <c r="R62" s="35">
        <v>1.0</v>
      </c>
      <c r="S62" s="35">
        <v>1.0</v>
      </c>
      <c r="T62" s="52"/>
      <c r="U62" s="35">
        <v>25.0</v>
      </c>
      <c r="V62" s="35"/>
      <c r="W62" s="35" t="s">
        <v>93</v>
      </c>
      <c r="X62" s="35" t="s">
        <v>1161</v>
      </c>
      <c r="Y62" s="35" t="s">
        <v>1163</v>
      </c>
      <c r="Z62" s="35" t="s">
        <v>1164</v>
      </c>
      <c r="AA62" s="46">
        <v>46023.0</v>
      </c>
      <c r="AB62" s="46">
        <v>46387.0</v>
      </c>
      <c r="AC62" s="35" t="s">
        <v>1166</v>
      </c>
      <c r="AD62" s="35" t="s">
        <v>79</v>
      </c>
      <c r="AE62" s="35" t="s">
        <v>61</v>
      </c>
      <c r="AF62" s="52"/>
      <c r="AG62" s="46"/>
    </row>
    <row r="63" ht="44.25" customHeight="1">
      <c r="A63" s="35">
        <v>62.0</v>
      </c>
      <c r="B63" s="37" t="s">
        <v>1171</v>
      </c>
      <c r="C63" s="35" t="s">
        <v>188</v>
      </c>
      <c r="D63" s="35" t="s">
        <v>485</v>
      </c>
      <c r="E63" s="35" t="s">
        <v>1173</v>
      </c>
      <c r="F63" s="35" t="s">
        <v>1174</v>
      </c>
      <c r="G63" s="41" t="s">
        <v>1176</v>
      </c>
      <c r="H63" s="35" t="s">
        <v>59</v>
      </c>
      <c r="I63" s="35" t="s">
        <v>61</v>
      </c>
      <c r="J63" s="35" t="s">
        <v>62</v>
      </c>
      <c r="K63" s="35" t="s">
        <v>63</v>
      </c>
      <c r="L63" s="35">
        <v>39.0</v>
      </c>
      <c r="M63" s="35" t="s">
        <v>1179</v>
      </c>
      <c r="N63" s="35" t="s">
        <v>66</v>
      </c>
      <c r="O63" s="52"/>
      <c r="P63" s="35" t="s">
        <v>1182</v>
      </c>
      <c r="Q63" s="35">
        <v>1.0</v>
      </c>
      <c r="R63" s="52"/>
      <c r="S63" s="35">
        <v>1.0</v>
      </c>
      <c r="T63" s="52"/>
      <c r="U63" s="52"/>
      <c r="V63" s="35"/>
      <c r="W63" s="35" t="s">
        <v>74</v>
      </c>
      <c r="X63" s="35" t="s">
        <v>1184</v>
      </c>
      <c r="Y63" s="35" t="s">
        <v>1186</v>
      </c>
      <c r="Z63" s="35" t="s">
        <v>1188</v>
      </c>
      <c r="AA63" s="46">
        <v>46023.0</v>
      </c>
      <c r="AB63" s="46">
        <v>46387.0</v>
      </c>
      <c r="AC63" s="35" t="s">
        <v>1190</v>
      </c>
      <c r="AD63" s="35" t="s">
        <v>79</v>
      </c>
      <c r="AE63" s="35" t="s">
        <v>61</v>
      </c>
      <c r="AF63" s="52"/>
      <c r="AG63" s="46"/>
    </row>
    <row r="64" ht="44.25" customHeight="1">
      <c r="A64" s="35">
        <v>63.0</v>
      </c>
      <c r="B64" s="37" t="s">
        <v>1193</v>
      </c>
      <c r="C64" s="35" t="s">
        <v>188</v>
      </c>
      <c r="D64" s="35" t="s">
        <v>485</v>
      </c>
      <c r="E64" s="35" t="s">
        <v>1173</v>
      </c>
      <c r="F64" s="35" t="s">
        <v>1196</v>
      </c>
      <c r="G64" s="41" t="s">
        <v>1198</v>
      </c>
      <c r="H64" s="35" t="s">
        <v>59</v>
      </c>
      <c r="I64" s="35" t="s">
        <v>61</v>
      </c>
      <c r="J64" s="35" t="s">
        <v>62</v>
      </c>
      <c r="K64" s="35" t="s">
        <v>63</v>
      </c>
      <c r="L64" s="35">
        <v>19.0</v>
      </c>
      <c r="M64" s="35" t="s">
        <v>1199</v>
      </c>
      <c r="N64" s="35" t="s">
        <v>66</v>
      </c>
      <c r="O64" s="52"/>
      <c r="P64" s="52"/>
      <c r="Q64" s="52"/>
      <c r="R64" s="52"/>
      <c r="S64" s="35">
        <v>0.0</v>
      </c>
      <c r="T64" s="35" t="s">
        <v>1201</v>
      </c>
      <c r="U64" s="52"/>
      <c r="V64" s="35"/>
      <c r="W64" s="35" t="s">
        <v>74</v>
      </c>
      <c r="X64" s="35" t="s">
        <v>1202</v>
      </c>
      <c r="Y64" s="35" t="s">
        <v>1203</v>
      </c>
      <c r="Z64" s="35" t="s">
        <v>1204</v>
      </c>
      <c r="AA64" s="46">
        <v>46023.0</v>
      </c>
      <c r="AB64" s="46">
        <v>46387.0</v>
      </c>
      <c r="AC64" s="35" t="s">
        <v>1205</v>
      </c>
      <c r="AD64" s="35" t="s">
        <v>79</v>
      </c>
      <c r="AE64" s="35" t="s">
        <v>61</v>
      </c>
      <c r="AF64" s="52"/>
      <c r="AG64" s="46"/>
    </row>
    <row r="65" ht="44.25" customHeight="1">
      <c r="A65" s="35">
        <v>64.0</v>
      </c>
      <c r="B65" s="37" t="s">
        <v>1206</v>
      </c>
      <c r="C65" s="35" t="s">
        <v>188</v>
      </c>
      <c r="D65" s="35" t="s">
        <v>485</v>
      </c>
      <c r="E65" s="35" t="s">
        <v>1173</v>
      </c>
      <c r="F65" s="35" t="s">
        <v>1207</v>
      </c>
      <c r="G65" s="41" t="s">
        <v>1208</v>
      </c>
      <c r="H65" s="35" t="s">
        <v>59</v>
      </c>
      <c r="I65" s="35" t="s">
        <v>61</v>
      </c>
      <c r="J65" s="35" t="s">
        <v>62</v>
      </c>
      <c r="K65" s="35" t="s">
        <v>63</v>
      </c>
      <c r="L65" s="35">
        <v>16.0</v>
      </c>
      <c r="M65" s="35" t="s">
        <v>1213</v>
      </c>
      <c r="N65" s="35" t="s">
        <v>66</v>
      </c>
      <c r="O65" s="52"/>
      <c r="P65" s="52"/>
      <c r="Q65" s="35">
        <v>1.0</v>
      </c>
      <c r="R65" s="52"/>
      <c r="S65" s="35">
        <v>1.0</v>
      </c>
      <c r="T65" s="35" t="s">
        <v>1214</v>
      </c>
      <c r="U65" s="52"/>
      <c r="V65" s="35"/>
      <c r="W65" s="35" t="s">
        <v>74</v>
      </c>
      <c r="X65" s="35" t="s">
        <v>1216</v>
      </c>
      <c r="Y65" s="35" t="s">
        <v>1217</v>
      </c>
      <c r="Z65" s="35" t="s">
        <v>1219</v>
      </c>
      <c r="AA65" s="46">
        <v>46023.0</v>
      </c>
      <c r="AB65" s="46">
        <v>46387.0</v>
      </c>
      <c r="AC65" s="35" t="s">
        <v>1220</v>
      </c>
      <c r="AD65" s="35" t="s">
        <v>79</v>
      </c>
      <c r="AE65" s="35" t="s">
        <v>61</v>
      </c>
      <c r="AF65" s="35" t="s">
        <v>1224</v>
      </c>
      <c r="AG65" s="46"/>
    </row>
    <row r="66" ht="44.25" customHeight="1">
      <c r="A66" s="35">
        <v>65.0</v>
      </c>
      <c r="B66" s="37" t="s">
        <v>1225</v>
      </c>
      <c r="C66" s="35" t="s">
        <v>188</v>
      </c>
      <c r="D66" s="35" t="s">
        <v>485</v>
      </c>
      <c r="E66" s="35" t="s">
        <v>1173</v>
      </c>
      <c r="F66" s="35" t="s">
        <v>1230</v>
      </c>
      <c r="G66" s="41" t="s">
        <v>1232</v>
      </c>
      <c r="H66" s="35" t="s">
        <v>59</v>
      </c>
      <c r="I66" s="35" t="s">
        <v>61</v>
      </c>
      <c r="J66" s="35" t="s">
        <v>62</v>
      </c>
      <c r="K66" s="35" t="s">
        <v>63</v>
      </c>
      <c r="L66" s="35">
        <v>15.0</v>
      </c>
      <c r="M66" s="35" t="s">
        <v>1235</v>
      </c>
      <c r="N66" s="35" t="s">
        <v>66</v>
      </c>
      <c r="O66" s="52"/>
      <c r="P66" s="35" t="s">
        <v>1236</v>
      </c>
      <c r="Q66" s="35">
        <v>1.0</v>
      </c>
      <c r="R66" s="52"/>
      <c r="S66" s="35">
        <v>1.0</v>
      </c>
      <c r="T66" s="52"/>
      <c r="U66" s="52"/>
      <c r="V66" s="35"/>
      <c r="W66" s="35" t="s">
        <v>74</v>
      </c>
      <c r="X66" s="35" t="s">
        <v>1239</v>
      </c>
      <c r="Y66" s="35" t="s">
        <v>1241</v>
      </c>
      <c r="Z66" s="35" t="s">
        <v>1243</v>
      </c>
      <c r="AA66" s="46">
        <v>46023.0</v>
      </c>
      <c r="AB66" s="46">
        <v>46387.0</v>
      </c>
      <c r="AC66" s="35" t="s">
        <v>1244</v>
      </c>
      <c r="AD66" s="35" t="s">
        <v>79</v>
      </c>
      <c r="AE66" s="35" t="s">
        <v>61</v>
      </c>
      <c r="AF66" s="35" t="s">
        <v>1246</v>
      </c>
      <c r="AG66" s="46"/>
    </row>
    <row r="67" ht="44.25" customHeight="1">
      <c r="A67" s="35">
        <v>66.0</v>
      </c>
      <c r="B67" s="37" t="s">
        <v>1248</v>
      </c>
      <c r="C67" s="35" t="s">
        <v>188</v>
      </c>
      <c r="D67" s="35" t="s">
        <v>485</v>
      </c>
      <c r="E67" s="35" t="s">
        <v>1252</v>
      </c>
      <c r="F67" s="35" t="s">
        <v>1253</v>
      </c>
      <c r="G67" s="41" t="s">
        <v>1254</v>
      </c>
      <c r="H67" s="35" t="s">
        <v>59</v>
      </c>
      <c r="I67" s="35" t="s">
        <v>61</v>
      </c>
      <c r="J67" s="35" t="s">
        <v>62</v>
      </c>
      <c r="K67" s="35" t="s">
        <v>63</v>
      </c>
      <c r="L67" s="35">
        <v>20.0</v>
      </c>
      <c r="M67" s="35" t="s">
        <v>1263</v>
      </c>
      <c r="N67" s="35" t="s">
        <v>66</v>
      </c>
      <c r="O67" s="52"/>
      <c r="P67" s="35" t="s">
        <v>1265</v>
      </c>
      <c r="Q67" s="35">
        <v>1.0</v>
      </c>
      <c r="R67" s="52"/>
      <c r="S67" s="35">
        <v>1.0</v>
      </c>
      <c r="T67" s="52"/>
      <c r="U67" s="52"/>
      <c r="V67" s="35"/>
      <c r="W67" s="35" t="s">
        <v>74</v>
      </c>
      <c r="X67" s="35" t="s">
        <v>1267</v>
      </c>
      <c r="Y67" s="35" t="s">
        <v>1268</v>
      </c>
      <c r="Z67" s="35" t="s">
        <v>1269</v>
      </c>
      <c r="AA67" s="46">
        <v>46023.0</v>
      </c>
      <c r="AB67" s="46">
        <v>46387.0</v>
      </c>
      <c r="AC67" s="35" t="s">
        <v>1271</v>
      </c>
      <c r="AD67" s="35" t="s">
        <v>79</v>
      </c>
      <c r="AE67" s="35" t="s">
        <v>61</v>
      </c>
      <c r="AF67" s="52"/>
      <c r="AG67" s="46"/>
    </row>
    <row r="68" ht="44.25" customHeight="1">
      <c r="A68" s="35">
        <v>67.0</v>
      </c>
      <c r="B68" s="37" t="s">
        <v>1276</v>
      </c>
      <c r="C68" s="35" t="s">
        <v>188</v>
      </c>
      <c r="D68" s="35" t="s">
        <v>485</v>
      </c>
      <c r="E68" s="35" t="s">
        <v>1279</v>
      </c>
      <c r="F68" s="35" t="s">
        <v>1280</v>
      </c>
      <c r="G68" s="41" t="s">
        <v>1282</v>
      </c>
      <c r="H68" s="35" t="s">
        <v>59</v>
      </c>
      <c r="I68" s="35" t="s">
        <v>61</v>
      </c>
      <c r="J68" s="35" t="s">
        <v>62</v>
      </c>
      <c r="K68" s="35" t="s">
        <v>63</v>
      </c>
      <c r="L68" s="35">
        <v>95.0</v>
      </c>
      <c r="M68" s="35" t="s">
        <v>1285</v>
      </c>
      <c r="N68" s="35" t="s">
        <v>66</v>
      </c>
      <c r="O68" s="52"/>
      <c r="P68" s="35" t="s">
        <v>1286</v>
      </c>
      <c r="Q68" s="35">
        <v>1.0</v>
      </c>
      <c r="R68" s="52"/>
      <c r="S68" s="35">
        <v>1.0</v>
      </c>
      <c r="T68" s="52"/>
      <c r="U68" s="35">
        <v>7.0</v>
      </c>
      <c r="V68" s="35"/>
      <c r="W68" s="35" t="s">
        <v>93</v>
      </c>
      <c r="X68" s="35" t="s">
        <v>1289</v>
      </c>
      <c r="Y68" s="35" t="s">
        <v>1291</v>
      </c>
      <c r="Z68" s="35" t="s">
        <v>1293</v>
      </c>
      <c r="AA68" s="46">
        <v>46023.0</v>
      </c>
      <c r="AB68" s="46">
        <v>46387.0</v>
      </c>
      <c r="AC68" s="35" t="s">
        <v>1294</v>
      </c>
      <c r="AD68" s="35" t="s">
        <v>79</v>
      </c>
      <c r="AE68" s="35" t="s">
        <v>61</v>
      </c>
      <c r="AF68" s="35" t="s">
        <v>1296</v>
      </c>
      <c r="AG68" s="46"/>
    </row>
    <row r="69" ht="44.25" customHeight="1">
      <c r="A69" s="35">
        <v>68.0</v>
      </c>
      <c r="B69" s="37" t="s">
        <v>1300</v>
      </c>
      <c r="C69" s="35" t="s">
        <v>188</v>
      </c>
      <c r="D69" s="35" t="s">
        <v>485</v>
      </c>
      <c r="E69" s="35" t="s">
        <v>1279</v>
      </c>
      <c r="F69" s="35" t="s">
        <v>1302</v>
      </c>
      <c r="G69" s="41" t="s">
        <v>1303</v>
      </c>
      <c r="H69" s="35" t="s">
        <v>59</v>
      </c>
      <c r="I69" s="35" t="s">
        <v>61</v>
      </c>
      <c r="J69" s="35" t="s">
        <v>62</v>
      </c>
      <c r="K69" s="35" t="s">
        <v>63</v>
      </c>
      <c r="L69" s="35">
        <v>35.0</v>
      </c>
      <c r="M69" s="35" t="s">
        <v>1308</v>
      </c>
      <c r="N69" s="35" t="s">
        <v>66</v>
      </c>
      <c r="O69" s="52"/>
      <c r="P69" s="35" t="s">
        <v>1310</v>
      </c>
      <c r="Q69" s="35">
        <v>1.0</v>
      </c>
      <c r="R69" s="52"/>
      <c r="S69" s="35">
        <v>1.0</v>
      </c>
      <c r="T69" s="52"/>
      <c r="U69" s="35">
        <v>5.0</v>
      </c>
      <c r="V69" s="35"/>
      <c r="W69" s="35" t="s">
        <v>74</v>
      </c>
      <c r="X69" s="35" t="s">
        <v>1314</v>
      </c>
      <c r="Y69" s="35" t="s">
        <v>1315</v>
      </c>
      <c r="Z69" s="35" t="s">
        <v>1317</v>
      </c>
      <c r="AA69" s="46">
        <v>46023.0</v>
      </c>
      <c r="AB69" s="46">
        <v>46387.0</v>
      </c>
      <c r="AC69" s="35" t="s">
        <v>1319</v>
      </c>
      <c r="AD69" s="35" t="s">
        <v>79</v>
      </c>
      <c r="AE69" s="35" t="s">
        <v>61</v>
      </c>
      <c r="AF69" s="52"/>
      <c r="AG69" s="46"/>
    </row>
    <row r="70" ht="44.25" customHeight="1">
      <c r="A70" s="35">
        <v>69.0</v>
      </c>
      <c r="B70" s="37" t="s">
        <v>1324</v>
      </c>
      <c r="C70" s="35" t="s">
        <v>188</v>
      </c>
      <c r="D70" s="35" t="s">
        <v>485</v>
      </c>
      <c r="E70" s="35" t="s">
        <v>1279</v>
      </c>
      <c r="F70" s="35" t="s">
        <v>1325</v>
      </c>
      <c r="G70" s="41" t="s">
        <v>1327</v>
      </c>
      <c r="H70" s="35" t="s">
        <v>59</v>
      </c>
      <c r="I70" s="35" t="s">
        <v>61</v>
      </c>
      <c r="J70" s="35" t="s">
        <v>62</v>
      </c>
      <c r="K70" s="35" t="s">
        <v>111</v>
      </c>
      <c r="L70" s="35">
        <v>180.0</v>
      </c>
      <c r="M70" s="35" t="s">
        <v>1331</v>
      </c>
      <c r="N70" s="35" t="s">
        <v>66</v>
      </c>
      <c r="O70" s="52"/>
      <c r="P70" s="35" t="s">
        <v>1334</v>
      </c>
      <c r="Q70" s="35">
        <v>2.0</v>
      </c>
      <c r="R70" s="52"/>
      <c r="S70" s="35">
        <v>2.0</v>
      </c>
      <c r="T70" s="52"/>
      <c r="U70" s="35">
        <v>18.0</v>
      </c>
      <c r="V70" s="35"/>
      <c r="W70" s="35" t="s">
        <v>93</v>
      </c>
      <c r="X70" s="35" t="s">
        <v>1336</v>
      </c>
      <c r="Y70" s="35" t="s">
        <v>1337</v>
      </c>
      <c r="Z70" s="35" t="s">
        <v>1338</v>
      </c>
      <c r="AA70" s="46">
        <v>46023.0</v>
      </c>
      <c r="AB70" s="46">
        <v>46387.0</v>
      </c>
      <c r="AC70" s="35" t="s">
        <v>1339</v>
      </c>
      <c r="AD70" s="35" t="s">
        <v>79</v>
      </c>
      <c r="AE70" s="35" t="s">
        <v>643</v>
      </c>
      <c r="AF70" s="35" t="s">
        <v>1343</v>
      </c>
      <c r="AG70" s="46"/>
    </row>
    <row r="71" ht="44.25" customHeight="1">
      <c r="A71" s="35">
        <v>70.0</v>
      </c>
      <c r="B71" s="37" t="s">
        <v>1346</v>
      </c>
      <c r="C71" s="35" t="s">
        <v>188</v>
      </c>
      <c r="D71" s="35" t="s">
        <v>485</v>
      </c>
      <c r="E71" s="35" t="s">
        <v>1349</v>
      </c>
      <c r="F71" s="35" t="s">
        <v>534</v>
      </c>
      <c r="G71" s="41" t="s">
        <v>1352</v>
      </c>
      <c r="H71" s="35" t="s">
        <v>59</v>
      </c>
      <c r="I71" s="35" t="s">
        <v>61</v>
      </c>
      <c r="J71" s="35" t="s">
        <v>62</v>
      </c>
      <c r="K71" s="35" t="s">
        <v>63</v>
      </c>
      <c r="L71" s="35">
        <v>17.0</v>
      </c>
      <c r="M71" s="35" t="s">
        <v>1357</v>
      </c>
      <c r="N71" s="35" t="s">
        <v>66</v>
      </c>
      <c r="O71" s="52"/>
      <c r="P71" s="35" t="s">
        <v>1358</v>
      </c>
      <c r="Q71" s="35">
        <v>1.0</v>
      </c>
      <c r="R71" s="52"/>
      <c r="S71" s="35">
        <v>1.0</v>
      </c>
      <c r="T71" s="52"/>
      <c r="U71" s="35">
        <v>10.0</v>
      </c>
      <c r="V71" s="35"/>
      <c r="W71" s="35" t="s">
        <v>74</v>
      </c>
      <c r="X71" s="35" t="s">
        <v>1359</v>
      </c>
      <c r="Y71" s="35" t="s">
        <v>1361</v>
      </c>
      <c r="Z71" s="35" t="s">
        <v>1364</v>
      </c>
      <c r="AA71" s="46">
        <v>46023.0</v>
      </c>
      <c r="AB71" s="46">
        <v>46387.0</v>
      </c>
      <c r="AC71" s="35" t="s">
        <v>1366</v>
      </c>
      <c r="AD71" s="35" t="s">
        <v>79</v>
      </c>
      <c r="AE71" s="35" t="s">
        <v>61</v>
      </c>
      <c r="AF71" s="35" t="s">
        <v>1368</v>
      </c>
      <c r="AG71" s="46"/>
    </row>
    <row r="72" ht="44.25" customHeight="1">
      <c r="A72" s="35">
        <v>71.0</v>
      </c>
      <c r="B72" s="37" t="s">
        <v>1370</v>
      </c>
      <c r="C72" s="35" t="s">
        <v>188</v>
      </c>
      <c r="D72" s="35" t="s">
        <v>485</v>
      </c>
      <c r="E72" s="35" t="s">
        <v>1372</v>
      </c>
      <c r="F72" s="35" t="s">
        <v>1374</v>
      </c>
      <c r="G72" s="41" t="s">
        <v>1375</v>
      </c>
      <c r="H72" s="35" t="s">
        <v>59</v>
      </c>
      <c r="I72" s="35" t="s">
        <v>61</v>
      </c>
      <c r="J72" s="35" t="s">
        <v>62</v>
      </c>
      <c r="K72" s="35" t="s">
        <v>63</v>
      </c>
      <c r="L72" s="35">
        <v>58.0</v>
      </c>
      <c r="M72" s="35" t="s">
        <v>1383</v>
      </c>
      <c r="N72" s="35" t="s">
        <v>66</v>
      </c>
      <c r="O72" s="52"/>
      <c r="P72" s="35" t="s">
        <v>1384</v>
      </c>
      <c r="Q72" s="35">
        <v>1.0</v>
      </c>
      <c r="R72" s="52"/>
      <c r="S72" s="35">
        <v>1.0</v>
      </c>
      <c r="T72" s="52"/>
      <c r="U72" s="35">
        <v>10.0</v>
      </c>
      <c r="V72" s="35"/>
      <c r="W72" s="35" t="s">
        <v>74</v>
      </c>
      <c r="X72" s="35" t="s">
        <v>1385</v>
      </c>
      <c r="Y72" s="35" t="s">
        <v>1387</v>
      </c>
      <c r="Z72" s="35" t="s">
        <v>1388</v>
      </c>
      <c r="AA72" s="46">
        <v>46023.0</v>
      </c>
      <c r="AB72" s="46">
        <v>46387.0</v>
      </c>
      <c r="AC72" s="35" t="s">
        <v>1389</v>
      </c>
      <c r="AD72" s="35" t="s">
        <v>79</v>
      </c>
      <c r="AE72" s="35" t="s">
        <v>61</v>
      </c>
      <c r="AF72" s="73"/>
      <c r="AG72" s="46"/>
    </row>
    <row r="73" ht="44.25" customHeight="1">
      <c r="A73" s="35">
        <v>72.0</v>
      </c>
      <c r="B73" s="37" t="s">
        <v>1401</v>
      </c>
      <c r="C73" s="35" t="s">
        <v>188</v>
      </c>
      <c r="D73" s="35" t="s">
        <v>485</v>
      </c>
      <c r="E73" s="35" t="s">
        <v>1404</v>
      </c>
      <c r="F73" s="35" t="s">
        <v>1406</v>
      </c>
      <c r="G73" s="41" t="s">
        <v>1407</v>
      </c>
      <c r="H73" s="35" t="s">
        <v>59</v>
      </c>
      <c r="I73" s="35" t="s">
        <v>61</v>
      </c>
      <c r="J73" s="35" t="s">
        <v>62</v>
      </c>
      <c r="K73" s="35" t="s">
        <v>63</v>
      </c>
      <c r="L73" s="35">
        <v>17.0</v>
      </c>
      <c r="M73" s="35" t="s">
        <v>1283</v>
      </c>
      <c r="N73" s="35" t="s">
        <v>66</v>
      </c>
      <c r="O73" s="52"/>
      <c r="P73" s="35" t="s">
        <v>1413</v>
      </c>
      <c r="Q73" s="35">
        <v>1.0</v>
      </c>
      <c r="R73" s="52"/>
      <c r="S73" s="35">
        <v>1.0</v>
      </c>
      <c r="T73" s="52"/>
      <c r="U73" s="52"/>
      <c r="V73" s="35"/>
      <c r="W73" s="35" t="s">
        <v>74</v>
      </c>
      <c r="X73" s="35" t="s">
        <v>1415</v>
      </c>
      <c r="Y73" s="35" t="s">
        <v>1417</v>
      </c>
      <c r="Z73" s="35" t="s">
        <v>1421</v>
      </c>
      <c r="AA73" s="46">
        <v>46023.0</v>
      </c>
      <c r="AB73" s="46">
        <v>46387.0</v>
      </c>
      <c r="AC73" s="35" t="s">
        <v>1422</v>
      </c>
      <c r="AD73" s="35" t="s">
        <v>79</v>
      </c>
      <c r="AE73" s="35" t="s">
        <v>61</v>
      </c>
      <c r="AF73" s="52"/>
      <c r="AG73" s="46"/>
    </row>
    <row r="74" ht="44.25" customHeight="1">
      <c r="A74" s="35">
        <v>73.0</v>
      </c>
      <c r="B74" s="37" t="s">
        <v>1424</v>
      </c>
      <c r="C74" s="35" t="s">
        <v>188</v>
      </c>
      <c r="D74" s="35" t="s">
        <v>485</v>
      </c>
      <c r="E74" s="35" t="s">
        <v>1404</v>
      </c>
      <c r="F74" s="35" t="s">
        <v>1426</v>
      </c>
      <c r="G74" s="41" t="s">
        <v>1427</v>
      </c>
      <c r="H74" s="35" t="s">
        <v>59</v>
      </c>
      <c r="I74" s="35" t="s">
        <v>61</v>
      </c>
      <c r="J74" s="35" t="s">
        <v>62</v>
      </c>
      <c r="K74" s="35" t="s">
        <v>63</v>
      </c>
      <c r="L74" s="35">
        <v>50.0</v>
      </c>
      <c r="M74" s="35" t="s">
        <v>1429</v>
      </c>
      <c r="N74" s="35" t="s">
        <v>66</v>
      </c>
      <c r="O74" s="52"/>
      <c r="P74" s="35" t="s">
        <v>1430</v>
      </c>
      <c r="Q74" s="35">
        <v>2.0</v>
      </c>
      <c r="R74" s="52"/>
      <c r="S74" s="35">
        <v>2.0</v>
      </c>
      <c r="T74" s="52"/>
      <c r="U74" s="35">
        <v>16.0</v>
      </c>
      <c r="V74" s="35"/>
      <c r="W74" s="35" t="s">
        <v>93</v>
      </c>
      <c r="X74" s="35" t="s">
        <v>1431</v>
      </c>
      <c r="Y74" s="35" t="s">
        <v>1433</v>
      </c>
      <c r="Z74" s="35" t="s">
        <v>1435</v>
      </c>
      <c r="AA74" s="46">
        <v>46023.0</v>
      </c>
      <c r="AB74" s="46">
        <v>46387.0</v>
      </c>
      <c r="AC74" s="35" t="s">
        <v>1437</v>
      </c>
      <c r="AD74" s="35" t="s">
        <v>79</v>
      </c>
      <c r="AE74" s="35" t="s">
        <v>61</v>
      </c>
      <c r="AF74" s="35" t="s">
        <v>1440</v>
      </c>
      <c r="AG74" s="46"/>
    </row>
    <row r="75" ht="44.25" customHeight="1">
      <c r="A75" s="35">
        <v>74.0</v>
      </c>
      <c r="B75" s="37" t="s">
        <v>1442</v>
      </c>
      <c r="C75" s="35" t="s">
        <v>188</v>
      </c>
      <c r="D75" s="35" t="s">
        <v>485</v>
      </c>
      <c r="E75" s="35" t="s">
        <v>702</v>
      </c>
      <c r="F75" s="35" t="s">
        <v>1445</v>
      </c>
      <c r="G75" s="41" t="s">
        <v>1447</v>
      </c>
      <c r="H75" s="35" t="s">
        <v>59</v>
      </c>
      <c r="I75" s="35" t="s">
        <v>61</v>
      </c>
      <c r="J75" s="35" t="s">
        <v>62</v>
      </c>
      <c r="K75" s="35" t="s">
        <v>63</v>
      </c>
      <c r="L75" s="35">
        <v>35.0</v>
      </c>
      <c r="M75" s="35" t="s">
        <v>1450</v>
      </c>
      <c r="N75" s="35" t="s">
        <v>66</v>
      </c>
      <c r="O75" s="52"/>
      <c r="P75" s="35" t="s">
        <v>1454</v>
      </c>
      <c r="Q75" s="35">
        <v>1.0</v>
      </c>
      <c r="R75" s="52"/>
      <c r="S75" s="35">
        <v>1.0</v>
      </c>
      <c r="T75" s="52"/>
      <c r="U75" s="35">
        <v>15.0</v>
      </c>
      <c r="V75" s="35"/>
      <c r="W75" s="35" t="s">
        <v>93</v>
      </c>
      <c r="X75" s="35" t="s">
        <v>1456</v>
      </c>
      <c r="Y75" s="35" t="s">
        <v>1458</v>
      </c>
      <c r="Z75" s="74" t="s">
        <v>1459</v>
      </c>
      <c r="AA75" s="46">
        <v>46023.0</v>
      </c>
      <c r="AB75" s="46">
        <v>46387.0</v>
      </c>
      <c r="AC75" s="35" t="s">
        <v>1461</v>
      </c>
      <c r="AD75" s="74" t="s">
        <v>79</v>
      </c>
      <c r="AE75" s="35" t="s">
        <v>1462</v>
      </c>
      <c r="AF75" s="35" t="s">
        <v>1464</v>
      </c>
      <c r="AG75" s="46"/>
    </row>
    <row r="76" ht="44.25" customHeight="1">
      <c r="A76" s="35">
        <v>75.0</v>
      </c>
      <c r="B76" s="37" t="s">
        <v>1467</v>
      </c>
      <c r="C76" s="35" t="s">
        <v>188</v>
      </c>
      <c r="D76" s="35" t="s">
        <v>485</v>
      </c>
      <c r="E76" s="35" t="s">
        <v>1471</v>
      </c>
      <c r="F76" s="35" t="s">
        <v>1472</v>
      </c>
      <c r="G76" s="41" t="s">
        <v>1473</v>
      </c>
      <c r="H76" s="35" t="s">
        <v>59</v>
      </c>
      <c r="I76" s="35" t="s">
        <v>61</v>
      </c>
      <c r="J76" s="35" t="s">
        <v>62</v>
      </c>
      <c r="K76" s="35" t="s">
        <v>63</v>
      </c>
      <c r="L76" s="35">
        <v>14.0</v>
      </c>
      <c r="M76" s="35" t="s">
        <v>1479</v>
      </c>
      <c r="N76" s="35" t="s">
        <v>66</v>
      </c>
      <c r="O76" s="52"/>
      <c r="P76" s="35" t="s">
        <v>1480</v>
      </c>
      <c r="Q76" s="35">
        <v>1.0</v>
      </c>
      <c r="R76" s="52"/>
      <c r="S76" s="35">
        <v>1.0</v>
      </c>
      <c r="T76" s="52"/>
      <c r="U76" s="52"/>
      <c r="V76" s="35"/>
      <c r="W76" s="35" t="s">
        <v>74</v>
      </c>
      <c r="X76" s="35" t="s">
        <v>1481</v>
      </c>
      <c r="Y76" s="35" t="s">
        <v>1482</v>
      </c>
      <c r="Z76" s="35" t="s">
        <v>1484</v>
      </c>
      <c r="AA76" s="46">
        <v>46023.0</v>
      </c>
      <c r="AB76" s="46">
        <v>46387.0</v>
      </c>
      <c r="AC76" s="35" t="s">
        <v>1486</v>
      </c>
      <c r="AD76" s="35" t="s">
        <v>79</v>
      </c>
      <c r="AE76" s="35" t="s">
        <v>61</v>
      </c>
      <c r="AF76" s="52"/>
      <c r="AG76" s="46"/>
    </row>
    <row r="77" ht="44.25" customHeight="1">
      <c r="A77" s="35">
        <v>76.0</v>
      </c>
      <c r="B77" s="37" t="s">
        <v>1489</v>
      </c>
      <c r="C77" s="35" t="s">
        <v>188</v>
      </c>
      <c r="D77" s="35" t="s">
        <v>485</v>
      </c>
      <c r="E77" s="35" t="s">
        <v>1471</v>
      </c>
      <c r="F77" s="35" t="s">
        <v>1494</v>
      </c>
      <c r="G77" s="41" t="s">
        <v>1496</v>
      </c>
      <c r="H77" s="35" t="s">
        <v>59</v>
      </c>
      <c r="I77" s="35" t="s">
        <v>61</v>
      </c>
      <c r="J77" s="35" t="s">
        <v>62</v>
      </c>
      <c r="K77" s="35" t="s">
        <v>63</v>
      </c>
      <c r="L77" s="35">
        <v>17.0</v>
      </c>
      <c r="M77" s="35" t="s">
        <v>1500</v>
      </c>
      <c r="N77" s="35" t="s">
        <v>66</v>
      </c>
      <c r="O77" s="52"/>
      <c r="P77" s="52"/>
      <c r="Q77" s="52"/>
      <c r="R77" s="52"/>
      <c r="S77" s="35">
        <v>0.0</v>
      </c>
      <c r="T77" s="35" t="s">
        <v>1506</v>
      </c>
      <c r="U77" s="52"/>
      <c r="V77" s="35"/>
      <c r="W77" s="35" t="s">
        <v>74</v>
      </c>
      <c r="X77" s="35" t="s">
        <v>1507</v>
      </c>
      <c r="Y77" s="35">
        <v>9.176548666E9</v>
      </c>
      <c r="Z77" s="35" t="s">
        <v>1508</v>
      </c>
      <c r="AA77" s="46">
        <v>46023.0</v>
      </c>
      <c r="AB77" s="46">
        <v>46387.0</v>
      </c>
      <c r="AC77" s="35" t="s">
        <v>1509</v>
      </c>
      <c r="AD77" s="35" t="s">
        <v>79</v>
      </c>
      <c r="AE77" s="35" t="s">
        <v>61</v>
      </c>
      <c r="AF77" s="35" t="s">
        <v>1510</v>
      </c>
      <c r="AG77" s="46"/>
    </row>
    <row r="78" ht="44.25" customHeight="1">
      <c r="A78" s="35">
        <v>77.0</v>
      </c>
      <c r="B78" s="37" t="s">
        <v>1511</v>
      </c>
      <c r="C78" s="35" t="s">
        <v>188</v>
      </c>
      <c r="D78" s="35" t="s">
        <v>485</v>
      </c>
      <c r="E78" s="35" t="s">
        <v>1471</v>
      </c>
      <c r="F78" s="35" t="s">
        <v>1514</v>
      </c>
      <c r="G78" s="41" t="s">
        <v>1515</v>
      </c>
      <c r="H78" s="35" t="s">
        <v>59</v>
      </c>
      <c r="I78" s="35" t="s">
        <v>61</v>
      </c>
      <c r="J78" s="35" t="s">
        <v>62</v>
      </c>
      <c r="K78" s="35" t="s">
        <v>63</v>
      </c>
      <c r="L78" s="35">
        <v>15.0</v>
      </c>
      <c r="M78" s="35" t="s">
        <v>1519</v>
      </c>
      <c r="N78" s="35" t="s">
        <v>66</v>
      </c>
      <c r="O78" s="52"/>
      <c r="P78" s="35" t="s">
        <v>1521</v>
      </c>
      <c r="Q78" s="52"/>
      <c r="R78" s="52"/>
      <c r="S78" s="35">
        <v>0.0</v>
      </c>
      <c r="T78" s="52"/>
      <c r="U78" s="35">
        <v>8.0</v>
      </c>
      <c r="V78" s="35"/>
      <c r="W78" s="35" t="s">
        <v>74</v>
      </c>
      <c r="X78" s="35" t="s">
        <v>1523</v>
      </c>
      <c r="Y78" s="35" t="s">
        <v>1525</v>
      </c>
      <c r="Z78" s="35" t="s">
        <v>1526</v>
      </c>
      <c r="AA78" s="46">
        <v>46023.0</v>
      </c>
      <c r="AB78" s="46">
        <v>46387.0</v>
      </c>
      <c r="AC78" s="35" t="s">
        <v>1527</v>
      </c>
      <c r="AD78" s="35" t="s">
        <v>79</v>
      </c>
      <c r="AE78" s="35" t="s">
        <v>61</v>
      </c>
      <c r="AF78" s="35" t="s">
        <v>1529</v>
      </c>
      <c r="AG78" s="46"/>
    </row>
    <row r="79" ht="44.25" customHeight="1">
      <c r="A79" s="35">
        <v>78.0</v>
      </c>
      <c r="B79" s="77"/>
      <c r="C79" s="35" t="s">
        <v>188</v>
      </c>
      <c r="D79" s="35" t="s">
        <v>485</v>
      </c>
      <c r="E79" s="35" t="s">
        <v>1471</v>
      </c>
      <c r="F79" s="35" t="s">
        <v>1534</v>
      </c>
      <c r="G79" s="41" t="s">
        <v>1535</v>
      </c>
      <c r="H79" s="35" t="s">
        <v>59</v>
      </c>
      <c r="I79" s="35" t="s">
        <v>61</v>
      </c>
      <c r="J79" s="35" t="s">
        <v>62</v>
      </c>
      <c r="K79" s="35" t="s">
        <v>111</v>
      </c>
      <c r="L79" s="35">
        <v>30.0</v>
      </c>
      <c r="M79" s="35" t="s">
        <v>1547</v>
      </c>
      <c r="N79" s="35" t="s">
        <v>66</v>
      </c>
      <c r="O79" s="52"/>
      <c r="P79" s="35" t="s">
        <v>1549</v>
      </c>
      <c r="Q79" s="52"/>
      <c r="R79" s="35">
        <v>1.0</v>
      </c>
      <c r="S79" s="35">
        <v>1.0</v>
      </c>
      <c r="T79" s="52"/>
      <c r="U79" s="35">
        <v>8.0</v>
      </c>
      <c r="V79" s="35"/>
      <c r="W79" s="35" t="s">
        <v>93</v>
      </c>
      <c r="X79" s="35" t="s">
        <v>1552</v>
      </c>
      <c r="Y79" s="35">
        <v>9.278345101E9</v>
      </c>
      <c r="Z79" s="35" t="s">
        <v>1555</v>
      </c>
      <c r="AA79" s="46">
        <v>46023.0</v>
      </c>
      <c r="AB79" s="46">
        <v>46387.0</v>
      </c>
      <c r="AC79" s="35" t="s">
        <v>1557</v>
      </c>
      <c r="AD79" s="35" t="s">
        <v>79</v>
      </c>
      <c r="AE79" s="35" t="s">
        <v>61</v>
      </c>
      <c r="AF79" s="35" t="s">
        <v>1560</v>
      </c>
      <c r="AG79" s="46"/>
    </row>
    <row r="80" ht="44.25" customHeight="1">
      <c r="A80" s="35">
        <v>79.0</v>
      </c>
      <c r="B80" s="37" t="s">
        <v>1562</v>
      </c>
      <c r="C80" s="35" t="s">
        <v>188</v>
      </c>
      <c r="D80" s="35" t="s">
        <v>485</v>
      </c>
      <c r="E80" s="35" t="s">
        <v>1471</v>
      </c>
      <c r="F80" s="35" t="s">
        <v>1564</v>
      </c>
      <c r="G80" s="41" t="s">
        <v>1565</v>
      </c>
      <c r="H80" s="35" t="s">
        <v>59</v>
      </c>
      <c r="I80" s="35" t="s">
        <v>61</v>
      </c>
      <c r="J80" s="35" t="s">
        <v>62</v>
      </c>
      <c r="K80" s="35" t="s">
        <v>63</v>
      </c>
      <c r="L80" s="35">
        <v>17.0</v>
      </c>
      <c r="M80" s="35" t="s">
        <v>1569</v>
      </c>
      <c r="N80" s="35" t="s">
        <v>66</v>
      </c>
      <c r="O80" s="52"/>
      <c r="P80" s="35" t="s">
        <v>1572</v>
      </c>
      <c r="Q80" s="35">
        <v>1.0</v>
      </c>
      <c r="R80" s="52"/>
      <c r="S80" s="35">
        <v>1.0</v>
      </c>
      <c r="T80" s="52"/>
      <c r="U80" s="52"/>
      <c r="V80" s="35"/>
      <c r="W80" s="35" t="s">
        <v>74</v>
      </c>
      <c r="X80" s="35" t="s">
        <v>1575</v>
      </c>
      <c r="Y80" s="35" t="s">
        <v>1577</v>
      </c>
      <c r="Z80" s="35" t="s">
        <v>1578</v>
      </c>
      <c r="AA80" s="46">
        <v>46023.0</v>
      </c>
      <c r="AB80" s="46">
        <v>46387.0</v>
      </c>
      <c r="AC80" s="35" t="s">
        <v>1580</v>
      </c>
      <c r="AD80" s="35" t="s">
        <v>79</v>
      </c>
      <c r="AE80" s="35" t="s">
        <v>61</v>
      </c>
      <c r="AF80" s="52"/>
      <c r="AG80" s="46"/>
    </row>
    <row r="81" ht="44.25" customHeight="1">
      <c r="A81" s="35">
        <v>80.0</v>
      </c>
      <c r="B81" s="37" t="s">
        <v>1583</v>
      </c>
      <c r="C81" s="35" t="s">
        <v>188</v>
      </c>
      <c r="D81" s="35" t="s">
        <v>485</v>
      </c>
      <c r="E81" s="35" t="s">
        <v>1584</v>
      </c>
      <c r="F81" s="35" t="s">
        <v>1585</v>
      </c>
      <c r="G81" s="41" t="s">
        <v>1586</v>
      </c>
      <c r="H81" s="35" t="s">
        <v>59</v>
      </c>
      <c r="I81" s="35" t="s">
        <v>61</v>
      </c>
      <c r="J81" s="35" t="s">
        <v>62</v>
      </c>
      <c r="K81" s="35" t="s">
        <v>63</v>
      </c>
      <c r="L81" s="35">
        <v>15.0</v>
      </c>
      <c r="M81" s="35" t="s">
        <v>1283</v>
      </c>
      <c r="N81" s="35" t="s">
        <v>66</v>
      </c>
      <c r="O81" s="52"/>
      <c r="P81" s="35" t="s">
        <v>1589</v>
      </c>
      <c r="Q81" s="35">
        <v>1.0</v>
      </c>
      <c r="R81" s="52"/>
      <c r="S81" s="35">
        <v>1.0</v>
      </c>
      <c r="T81" s="52"/>
      <c r="U81" s="52"/>
      <c r="V81" s="35"/>
      <c r="W81" s="35" t="s">
        <v>74</v>
      </c>
      <c r="X81" s="35" t="s">
        <v>1593</v>
      </c>
      <c r="Y81" s="35" t="s">
        <v>1594</v>
      </c>
      <c r="Z81" s="35" t="s">
        <v>1596</v>
      </c>
      <c r="AA81" s="46">
        <v>46023.0</v>
      </c>
      <c r="AB81" s="46">
        <v>46387.0</v>
      </c>
      <c r="AC81" s="35" t="s">
        <v>1597</v>
      </c>
      <c r="AD81" s="35" t="s">
        <v>79</v>
      </c>
      <c r="AE81" s="35" t="s">
        <v>61</v>
      </c>
      <c r="AF81" s="52"/>
      <c r="AG81" s="46"/>
    </row>
    <row r="82" ht="44.25" customHeight="1">
      <c r="A82" s="35">
        <v>81.0</v>
      </c>
      <c r="B82" s="37" t="s">
        <v>1600</v>
      </c>
      <c r="C82" s="35" t="s">
        <v>188</v>
      </c>
      <c r="D82" s="35" t="s">
        <v>485</v>
      </c>
      <c r="E82" s="35" t="s">
        <v>487</v>
      </c>
      <c r="F82" s="35" t="s">
        <v>1605</v>
      </c>
      <c r="G82" s="41" t="s">
        <v>1606</v>
      </c>
      <c r="H82" s="35" t="s">
        <v>59</v>
      </c>
      <c r="I82" s="35" t="s">
        <v>61</v>
      </c>
      <c r="J82" s="35" t="s">
        <v>62</v>
      </c>
      <c r="K82" s="35" t="s">
        <v>111</v>
      </c>
      <c r="L82" s="35">
        <v>68.0</v>
      </c>
      <c r="M82" s="35" t="s">
        <v>1610</v>
      </c>
      <c r="N82" s="35" t="s">
        <v>221</v>
      </c>
      <c r="O82" s="52"/>
      <c r="P82" s="35" t="s">
        <v>1612</v>
      </c>
      <c r="Q82" s="35">
        <v>1.0</v>
      </c>
      <c r="R82" s="52"/>
      <c r="S82" s="35">
        <v>1.0</v>
      </c>
      <c r="T82" s="52"/>
      <c r="U82" s="35">
        <v>14.0</v>
      </c>
      <c r="V82" s="35"/>
      <c r="W82" s="35" t="s">
        <v>93</v>
      </c>
      <c r="X82" s="35" t="s">
        <v>1616</v>
      </c>
      <c r="Y82" s="35" t="s">
        <v>1617</v>
      </c>
      <c r="Z82" s="35" t="s">
        <v>1618</v>
      </c>
      <c r="AA82" s="46">
        <v>46023.0</v>
      </c>
      <c r="AB82" s="46">
        <v>46387.0</v>
      </c>
      <c r="AC82" s="35" t="s">
        <v>1619</v>
      </c>
      <c r="AD82" s="35" t="s">
        <v>79</v>
      </c>
      <c r="AE82" s="35" t="s">
        <v>61</v>
      </c>
      <c r="AF82" s="35" t="s">
        <v>1620</v>
      </c>
      <c r="AG82" s="46"/>
    </row>
    <row r="83" ht="44.25" customHeight="1">
      <c r="A83" s="35">
        <v>82.0</v>
      </c>
      <c r="B83" s="35">
        <v>2262.0</v>
      </c>
      <c r="C83" s="35" t="s">
        <v>188</v>
      </c>
      <c r="D83" s="35" t="s">
        <v>485</v>
      </c>
      <c r="E83" s="35" t="s">
        <v>487</v>
      </c>
      <c r="F83" s="35" t="s">
        <v>1621</v>
      </c>
      <c r="G83" s="41" t="s">
        <v>1623</v>
      </c>
      <c r="H83" s="35" t="s">
        <v>59</v>
      </c>
      <c r="I83" s="35" t="s">
        <v>61</v>
      </c>
      <c r="J83" s="35" t="s">
        <v>62</v>
      </c>
      <c r="K83" s="35" t="s">
        <v>111</v>
      </c>
      <c r="L83" s="35">
        <v>55.0</v>
      </c>
      <c r="M83" s="35" t="s">
        <v>1627</v>
      </c>
      <c r="N83" s="35" t="s">
        <v>66</v>
      </c>
      <c r="O83" s="52"/>
      <c r="P83" s="35" t="s">
        <v>1629</v>
      </c>
      <c r="Q83" s="52"/>
      <c r="R83" s="35">
        <v>1.0</v>
      </c>
      <c r="S83" s="35">
        <v>1.0</v>
      </c>
      <c r="T83" s="52"/>
      <c r="U83" s="35">
        <v>4.0</v>
      </c>
      <c r="V83" s="35"/>
      <c r="W83" s="35" t="s">
        <v>93</v>
      </c>
      <c r="X83" s="35" t="s">
        <v>1632</v>
      </c>
      <c r="Y83" s="35" t="s">
        <v>1633</v>
      </c>
      <c r="Z83" s="35" t="s">
        <v>1634</v>
      </c>
      <c r="AA83" s="46">
        <v>46023.0</v>
      </c>
      <c r="AB83" s="46">
        <v>46387.0</v>
      </c>
      <c r="AC83" s="35" t="s">
        <v>1637</v>
      </c>
      <c r="AD83" s="35" t="s">
        <v>79</v>
      </c>
      <c r="AE83" s="35" t="s">
        <v>1640</v>
      </c>
      <c r="AF83" s="35" t="s">
        <v>1643</v>
      </c>
      <c r="AG83" s="46"/>
    </row>
    <row r="84" ht="44.25" customHeight="1">
      <c r="A84" s="35">
        <v>83.0</v>
      </c>
      <c r="B84" s="77"/>
      <c r="C84" s="35" t="s">
        <v>188</v>
      </c>
      <c r="D84" s="35" t="s">
        <v>485</v>
      </c>
      <c r="E84" s="35" t="s">
        <v>487</v>
      </c>
      <c r="F84" s="35" t="s">
        <v>1644</v>
      </c>
      <c r="G84" s="41" t="s">
        <v>1645</v>
      </c>
      <c r="H84" s="35" t="s">
        <v>59</v>
      </c>
      <c r="I84" s="35" t="s">
        <v>61</v>
      </c>
      <c r="J84" s="35" t="s">
        <v>62</v>
      </c>
      <c r="K84" s="35" t="s">
        <v>111</v>
      </c>
      <c r="L84" s="35">
        <v>88.0</v>
      </c>
      <c r="M84" s="35" t="s">
        <v>1653</v>
      </c>
      <c r="N84" s="35" t="s">
        <v>71</v>
      </c>
      <c r="O84" s="52"/>
      <c r="P84" s="35" t="s">
        <v>1656</v>
      </c>
      <c r="Q84" s="52"/>
      <c r="R84" s="35">
        <v>1.0</v>
      </c>
      <c r="S84" s="35">
        <v>1.0</v>
      </c>
      <c r="T84" s="52"/>
      <c r="U84" s="35">
        <v>12.0</v>
      </c>
      <c r="V84" s="35"/>
      <c r="W84" s="35" t="s">
        <v>93</v>
      </c>
      <c r="X84" s="35" t="s">
        <v>1658</v>
      </c>
      <c r="Y84" s="35" t="s">
        <v>1659</v>
      </c>
      <c r="Z84" s="35" t="s">
        <v>1660</v>
      </c>
      <c r="AA84" s="46">
        <v>46023.0</v>
      </c>
      <c r="AB84" s="46">
        <v>46387.0</v>
      </c>
      <c r="AC84" s="35" t="s">
        <v>1661</v>
      </c>
      <c r="AD84" s="35" t="s">
        <v>79</v>
      </c>
      <c r="AE84" s="35" t="s">
        <v>165</v>
      </c>
      <c r="AF84" s="35" t="s">
        <v>1663</v>
      </c>
      <c r="AG84" s="46"/>
    </row>
    <row r="85" ht="44.25" customHeight="1">
      <c r="A85" s="35">
        <v>84.0</v>
      </c>
      <c r="B85" s="37" t="s">
        <v>1665</v>
      </c>
      <c r="C85" s="35" t="s">
        <v>188</v>
      </c>
      <c r="D85" s="35" t="s">
        <v>485</v>
      </c>
      <c r="E85" s="35" t="s">
        <v>487</v>
      </c>
      <c r="F85" s="35" t="s">
        <v>1667</v>
      </c>
      <c r="G85" s="41" t="s">
        <v>1670</v>
      </c>
      <c r="H85" s="35" t="s">
        <v>59</v>
      </c>
      <c r="I85" s="35" t="s">
        <v>61</v>
      </c>
      <c r="J85" s="35" t="s">
        <v>62</v>
      </c>
      <c r="K85" s="35" t="s">
        <v>63</v>
      </c>
      <c r="L85" s="35">
        <v>29.0</v>
      </c>
      <c r="M85" s="35" t="s">
        <v>1676</v>
      </c>
      <c r="N85" s="35" t="s">
        <v>66</v>
      </c>
      <c r="O85" s="52"/>
      <c r="P85" s="52"/>
      <c r="Q85" s="52"/>
      <c r="R85" s="52"/>
      <c r="S85" s="35">
        <v>0.0</v>
      </c>
      <c r="T85" s="35" t="s">
        <v>1681</v>
      </c>
      <c r="U85" s="52"/>
      <c r="V85" s="35"/>
      <c r="W85" s="35" t="s">
        <v>74</v>
      </c>
      <c r="X85" s="35" t="s">
        <v>1684</v>
      </c>
      <c r="Y85" s="35" t="s">
        <v>1685</v>
      </c>
      <c r="Z85" s="35" t="s">
        <v>1686</v>
      </c>
      <c r="AA85" s="46">
        <v>46023.0</v>
      </c>
      <c r="AB85" s="46">
        <v>46387.0</v>
      </c>
      <c r="AC85" s="35" t="s">
        <v>1687</v>
      </c>
      <c r="AD85" s="35" t="s">
        <v>79</v>
      </c>
      <c r="AE85" s="35" t="s">
        <v>61</v>
      </c>
      <c r="AF85" s="35" t="s">
        <v>1690</v>
      </c>
      <c r="AG85" s="46"/>
    </row>
    <row r="86" ht="44.25" customHeight="1">
      <c r="A86" s="35">
        <v>85.0</v>
      </c>
      <c r="B86" s="37" t="s">
        <v>1692</v>
      </c>
      <c r="C86" s="35" t="s">
        <v>188</v>
      </c>
      <c r="D86" s="35" t="s">
        <v>485</v>
      </c>
      <c r="E86" s="35" t="s">
        <v>487</v>
      </c>
      <c r="F86" s="35" t="s">
        <v>1695</v>
      </c>
      <c r="G86" s="41" t="s">
        <v>1697</v>
      </c>
      <c r="H86" s="35" t="s">
        <v>59</v>
      </c>
      <c r="I86" s="35" t="s">
        <v>61</v>
      </c>
      <c r="J86" s="35" t="s">
        <v>62</v>
      </c>
      <c r="K86" s="35" t="s">
        <v>63</v>
      </c>
      <c r="L86" s="35">
        <v>10.0</v>
      </c>
      <c r="M86" s="35" t="s">
        <v>1705</v>
      </c>
      <c r="N86" s="35" t="s">
        <v>66</v>
      </c>
      <c r="O86" s="52"/>
      <c r="P86" s="35" t="s">
        <v>1707</v>
      </c>
      <c r="Q86" s="35">
        <v>1.0</v>
      </c>
      <c r="R86" s="52"/>
      <c r="S86" s="35">
        <v>1.0</v>
      </c>
      <c r="T86" s="52"/>
      <c r="U86" s="52"/>
      <c r="V86" s="35"/>
      <c r="W86" s="35" t="s">
        <v>74</v>
      </c>
      <c r="X86" s="35" t="s">
        <v>1711</v>
      </c>
      <c r="Y86" s="35" t="s">
        <v>1712</v>
      </c>
      <c r="Z86" s="35" t="s">
        <v>1713</v>
      </c>
      <c r="AA86" s="46">
        <v>46023.0</v>
      </c>
      <c r="AB86" s="46">
        <v>46387.0</v>
      </c>
      <c r="AC86" s="35" t="s">
        <v>1715</v>
      </c>
      <c r="AD86" s="35" t="s">
        <v>79</v>
      </c>
      <c r="AE86" s="35" t="s">
        <v>61</v>
      </c>
      <c r="AF86" s="35" t="s">
        <v>1718</v>
      </c>
      <c r="AG86" s="46"/>
    </row>
    <row r="87" ht="44.25" customHeight="1">
      <c r="A87" s="35">
        <v>86.0</v>
      </c>
      <c r="B87" s="37" t="s">
        <v>1721</v>
      </c>
      <c r="C87" s="35" t="s">
        <v>188</v>
      </c>
      <c r="D87" s="35" t="s">
        <v>485</v>
      </c>
      <c r="E87" s="35" t="s">
        <v>487</v>
      </c>
      <c r="F87" s="35" t="s">
        <v>1725</v>
      </c>
      <c r="G87" s="41" t="s">
        <v>1728</v>
      </c>
      <c r="H87" s="35" t="s">
        <v>59</v>
      </c>
      <c r="I87" s="35" t="s">
        <v>61</v>
      </c>
      <c r="J87" s="35" t="s">
        <v>62</v>
      </c>
      <c r="K87" s="35" t="s">
        <v>111</v>
      </c>
      <c r="L87" s="35">
        <v>109.0</v>
      </c>
      <c r="M87" s="35" t="s">
        <v>1734</v>
      </c>
      <c r="N87" s="35" t="s">
        <v>66</v>
      </c>
      <c r="O87" s="52"/>
      <c r="P87" s="35" t="s">
        <v>1736</v>
      </c>
      <c r="Q87" s="52"/>
      <c r="R87" s="35">
        <v>1.0</v>
      </c>
      <c r="S87" s="35">
        <v>1.0</v>
      </c>
      <c r="T87" s="52"/>
      <c r="U87" s="35">
        <v>12.0</v>
      </c>
      <c r="V87" s="35"/>
      <c r="W87" s="35" t="s">
        <v>93</v>
      </c>
      <c r="X87" s="35" t="s">
        <v>1740</v>
      </c>
      <c r="Y87" s="35" t="s">
        <v>1741</v>
      </c>
      <c r="Z87" s="35" t="s">
        <v>1743</v>
      </c>
      <c r="AA87" s="46">
        <v>46023.0</v>
      </c>
      <c r="AB87" s="46">
        <v>46387.0</v>
      </c>
      <c r="AC87" s="35" t="s">
        <v>1745</v>
      </c>
      <c r="AD87" s="35" t="s">
        <v>79</v>
      </c>
      <c r="AE87" s="35" t="s">
        <v>61</v>
      </c>
      <c r="AF87" s="35" t="s">
        <v>1748</v>
      </c>
      <c r="AG87" s="46"/>
    </row>
    <row r="88" ht="44.25" customHeight="1">
      <c r="A88" s="35">
        <v>87.0</v>
      </c>
      <c r="B88" s="37" t="s">
        <v>1752</v>
      </c>
      <c r="C88" s="35" t="s">
        <v>188</v>
      </c>
      <c r="D88" s="35" t="s">
        <v>485</v>
      </c>
      <c r="E88" s="35" t="s">
        <v>1754</v>
      </c>
      <c r="F88" s="35" t="s">
        <v>1755</v>
      </c>
      <c r="G88" s="41" t="s">
        <v>1756</v>
      </c>
      <c r="H88" s="35" t="s">
        <v>59</v>
      </c>
      <c r="I88" s="35" t="s">
        <v>61</v>
      </c>
      <c r="J88" s="35" t="s">
        <v>62</v>
      </c>
      <c r="K88" s="35" t="s">
        <v>111</v>
      </c>
      <c r="L88" s="35">
        <v>31.0</v>
      </c>
      <c r="M88" s="35" t="s">
        <v>1760</v>
      </c>
      <c r="N88" s="35" t="s">
        <v>66</v>
      </c>
      <c r="O88" s="52"/>
      <c r="P88" s="35" t="s">
        <v>1764</v>
      </c>
      <c r="Q88" s="52"/>
      <c r="R88" s="35">
        <v>1.0</v>
      </c>
      <c r="S88" s="35">
        <v>1.0</v>
      </c>
      <c r="T88" s="52"/>
      <c r="U88" s="52"/>
      <c r="V88" s="35"/>
      <c r="W88" s="35" t="s">
        <v>93</v>
      </c>
      <c r="X88" s="35" t="s">
        <v>1770</v>
      </c>
      <c r="Y88" s="35" t="s">
        <v>1772</v>
      </c>
      <c r="Z88" s="35" t="s">
        <v>1775</v>
      </c>
      <c r="AA88" s="46">
        <v>46023.0</v>
      </c>
      <c r="AB88" s="46">
        <v>46387.0</v>
      </c>
      <c r="AC88" s="35" t="s">
        <v>1778</v>
      </c>
      <c r="AD88" s="35" t="s">
        <v>79</v>
      </c>
      <c r="AE88" s="35" t="s">
        <v>61</v>
      </c>
      <c r="AF88" s="102"/>
      <c r="AG88" s="46"/>
    </row>
    <row r="89" ht="44.25" customHeight="1">
      <c r="A89" s="35">
        <v>88.0</v>
      </c>
      <c r="B89" s="37" t="s">
        <v>1788</v>
      </c>
      <c r="C89" s="35" t="s">
        <v>188</v>
      </c>
      <c r="D89" s="35" t="s">
        <v>530</v>
      </c>
      <c r="E89" s="35" t="s">
        <v>1791</v>
      </c>
      <c r="F89" s="35" t="s">
        <v>1793</v>
      </c>
      <c r="G89" s="41" t="s">
        <v>1794</v>
      </c>
      <c r="H89" s="35" t="s">
        <v>59</v>
      </c>
      <c r="I89" s="35" t="s">
        <v>61</v>
      </c>
      <c r="J89" s="35" t="s">
        <v>62</v>
      </c>
      <c r="K89" s="35" t="s">
        <v>63</v>
      </c>
      <c r="L89" s="35">
        <v>42.0</v>
      </c>
      <c r="M89" s="35" t="s">
        <v>1795</v>
      </c>
      <c r="N89" s="35" t="s">
        <v>66</v>
      </c>
      <c r="O89" s="52"/>
      <c r="P89" s="35" t="s">
        <v>1796</v>
      </c>
      <c r="Q89" s="35">
        <v>1.0</v>
      </c>
      <c r="R89" s="52"/>
      <c r="S89" s="35">
        <v>1.0</v>
      </c>
      <c r="T89" s="52"/>
      <c r="U89" s="52"/>
      <c r="V89" s="35"/>
      <c r="W89" s="35" t="s">
        <v>74</v>
      </c>
      <c r="X89" s="35" t="s">
        <v>1798</v>
      </c>
      <c r="Y89" s="35" t="s">
        <v>1799</v>
      </c>
      <c r="Z89" s="35" t="s">
        <v>1800</v>
      </c>
      <c r="AA89" s="46">
        <v>46023.0</v>
      </c>
      <c r="AB89" s="46">
        <v>46387.0</v>
      </c>
      <c r="AC89" s="35" t="s">
        <v>1802</v>
      </c>
      <c r="AD89" s="35" t="s">
        <v>79</v>
      </c>
      <c r="AE89" s="35" t="s">
        <v>1804</v>
      </c>
      <c r="AF89" s="35" t="s">
        <v>1806</v>
      </c>
      <c r="AG89" s="46"/>
    </row>
    <row r="90" ht="44.25" customHeight="1">
      <c r="A90" s="35">
        <v>89.0</v>
      </c>
      <c r="B90" s="37" t="s">
        <v>1807</v>
      </c>
      <c r="C90" s="35" t="s">
        <v>188</v>
      </c>
      <c r="D90" s="35" t="s">
        <v>530</v>
      </c>
      <c r="E90" s="35" t="s">
        <v>1791</v>
      </c>
      <c r="F90" s="35" t="s">
        <v>1811</v>
      </c>
      <c r="G90" s="41" t="s">
        <v>1813</v>
      </c>
      <c r="H90" s="35" t="s">
        <v>59</v>
      </c>
      <c r="I90" s="35" t="s">
        <v>61</v>
      </c>
      <c r="J90" s="35" t="s">
        <v>62</v>
      </c>
      <c r="K90" s="35" t="s">
        <v>111</v>
      </c>
      <c r="L90" s="35">
        <v>25.0</v>
      </c>
      <c r="M90" s="35" t="s">
        <v>956</v>
      </c>
      <c r="N90" s="35" t="s">
        <v>66</v>
      </c>
      <c r="O90" s="52"/>
      <c r="P90" s="35" t="s">
        <v>1816</v>
      </c>
      <c r="Q90" s="35">
        <v>1.0</v>
      </c>
      <c r="R90" s="52"/>
      <c r="S90" s="35">
        <v>1.0</v>
      </c>
      <c r="T90" s="52"/>
      <c r="U90" s="52"/>
      <c r="V90" s="35"/>
      <c r="W90" s="35" t="s">
        <v>93</v>
      </c>
      <c r="X90" s="35" t="s">
        <v>1820</v>
      </c>
      <c r="Y90" s="35" t="s">
        <v>1822</v>
      </c>
      <c r="Z90" s="74" t="s">
        <v>1823</v>
      </c>
      <c r="AA90" s="46">
        <v>46023.0</v>
      </c>
      <c r="AB90" s="46">
        <v>46387.0</v>
      </c>
      <c r="AC90" s="35" t="s">
        <v>1824</v>
      </c>
      <c r="AD90" s="35" t="s">
        <v>79</v>
      </c>
      <c r="AE90" s="35" t="s">
        <v>61</v>
      </c>
      <c r="AF90" s="52"/>
      <c r="AG90" s="46"/>
    </row>
    <row r="91" ht="44.25" customHeight="1">
      <c r="A91" s="35">
        <v>90.0</v>
      </c>
      <c r="B91" s="37" t="s">
        <v>1752</v>
      </c>
      <c r="C91" s="35" t="s">
        <v>188</v>
      </c>
      <c r="D91" s="35" t="s">
        <v>530</v>
      </c>
      <c r="E91" s="35" t="s">
        <v>1791</v>
      </c>
      <c r="F91" s="35" t="s">
        <v>1829</v>
      </c>
      <c r="G91" s="41" t="s">
        <v>1830</v>
      </c>
      <c r="H91" s="35" t="s">
        <v>59</v>
      </c>
      <c r="I91" s="35" t="s">
        <v>61</v>
      </c>
      <c r="J91" s="35" t="s">
        <v>62</v>
      </c>
      <c r="K91" s="35" t="s">
        <v>111</v>
      </c>
      <c r="L91" s="35">
        <v>50.0</v>
      </c>
      <c r="M91" s="35" t="s">
        <v>1837</v>
      </c>
      <c r="N91" s="35" t="s">
        <v>66</v>
      </c>
      <c r="O91" s="52"/>
      <c r="P91" s="35" t="s">
        <v>1840</v>
      </c>
      <c r="Q91" s="52"/>
      <c r="R91" s="35">
        <v>1.0</v>
      </c>
      <c r="S91" s="35">
        <v>1.0</v>
      </c>
      <c r="T91" s="52"/>
      <c r="U91" s="35">
        <v>7.0</v>
      </c>
      <c r="V91" s="35"/>
      <c r="W91" s="35" t="s">
        <v>93</v>
      </c>
      <c r="X91" s="35" t="s">
        <v>1843</v>
      </c>
      <c r="Y91" s="35" t="s">
        <v>1844</v>
      </c>
      <c r="Z91" s="35" t="s">
        <v>1845</v>
      </c>
      <c r="AA91" s="46">
        <v>46023.0</v>
      </c>
      <c r="AB91" s="46">
        <v>46387.0</v>
      </c>
      <c r="AC91" s="35" t="s">
        <v>1847</v>
      </c>
      <c r="AD91" s="35" t="s">
        <v>79</v>
      </c>
      <c r="AE91" s="35" t="s">
        <v>61</v>
      </c>
      <c r="AF91" s="52"/>
      <c r="AG91" s="46"/>
    </row>
    <row r="92" ht="44.25" customHeight="1">
      <c r="A92" s="35">
        <v>91.0</v>
      </c>
      <c r="B92" s="35">
        <v>4757.0</v>
      </c>
      <c r="C92" s="35" t="s">
        <v>265</v>
      </c>
      <c r="D92" s="35" t="s">
        <v>1776</v>
      </c>
      <c r="E92" s="35" t="s">
        <v>1777</v>
      </c>
      <c r="F92" s="35" t="s">
        <v>1851</v>
      </c>
      <c r="G92" s="41" t="s">
        <v>1852</v>
      </c>
      <c r="H92" s="35" t="s">
        <v>59</v>
      </c>
      <c r="I92" s="35" t="s">
        <v>61</v>
      </c>
      <c r="J92" s="35" t="s">
        <v>62</v>
      </c>
      <c r="K92" s="35" t="s">
        <v>111</v>
      </c>
      <c r="L92" s="35">
        <v>30.0</v>
      </c>
      <c r="M92" s="35" t="s">
        <v>1856</v>
      </c>
      <c r="N92" s="35" t="s">
        <v>66</v>
      </c>
      <c r="O92" s="35" t="s">
        <v>67</v>
      </c>
      <c r="P92" s="35" t="s">
        <v>1858</v>
      </c>
      <c r="Q92" s="35">
        <v>0.0</v>
      </c>
      <c r="R92" s="35">
        <v>1.0</v>
      </c>
      <c r="S92" s="35">
        <v>1.0</v>
      </c>
      <c r="T92" s="52"/>
      <c r="U92" s="35">
        <v>7.0</v>
      </c>
      <c r="V92" s="35" t="s">
        <v>61</v>
      </c>
      <c r="W92" s="35" t="s">
        <v>93</v>
      </c>
      <c r="X92" s="35" t="s">
        <v>1862</v>
      </c>
      <c r="Y92" s="35" t="s">
        <v>1864</v>
      </c>
      <c r="Z92" s="35" t="s">
        <v>1866</v>
      </c>
      <c r="AA92" s="46">
        <v>46023.0</v>
      </c>
      <c r="AB92" s="46">
        <v>46387.0</v>
      </c>
      <c r="AC92" s="35" t="s">
        <v>1868</v>
      </c>
      <c r="AD92" s="35" t="s">
        <v>79</v>
      </c>
      <c r="AE92" s="35" t="s">
        <v>1870</v>
      </c>
      <c r="AF92" s="35" t="s">
        <v>1871</v>
      </c>
      <c r="AG92" s="46"/>
    </row>
    <row r="93" ht="44.25" customHeight="1">
      <c r="A93" s="35">
        <v>92.0</v>
      </c>
      <c r="B93" s="37" t="s">
        <v>1873</v>
      </c>
      <c r="C93" s="35" t="s">
        <v>265</v>
      </c>
      <c r="D93" s="35" t="s">
        <v>579</v>
      </c>
      <c r="E93" s="35" t="s">
        <v>580</v>
      </c>
      <c r="F93" s="35" t="s">
        <v>1874</v>
      </c>
      <c r="G93" s="41" t="s">
        <v>1877</v>
      </c>
      <c r="H93" s="35" t="s">
        <v>59</v>
      </c>
      <c r="I93" s="35" t="s">
        <v>61</v>
      </c>
      <c r="J93" s="35" t="s">
        <v>62</v>
      </c>
      <c r="K93" s="35" t="s">
        <v>63</v>
      </c>
      <c r="L93" s="35">
        <v>34.0</v>
      </c>
      <c r="M93" s="35" t="s">
        <v>1883</v>
      </c>
      <c r="N93" s="35" t="s">
        <v>66</v>
      </c>
      <c r="O93" s="35" t="s">
        <v>67</v>
      </c>
      <c r="P93" s="35" t="s">
        <v>1886</v>
      </c>
      <c r="Q93" s="35">
        <v>1.0</v>
      </c>
      <c r="R93" s="35">
        <v>0.0</v>
      </c>
      <c r="S93" s="35">
        <v>1.0</v>
      </c>
      <c r="T93" s="52"/>
      <c r="U93" s="35" t="s">
        <v>61</v>
      </c>
      <c r="V93" s="35" t="s">
        <v>61</v>
      </c>
      <c r="W93" s="35" t="s">
        <v>93</v>
      </c>
      <c r="X93" s="35" t="s">
        <v>1887</v>
      </c>
      <c r="Y93" s="35" t="s">
        <v>1889</v>
      </c>
      <c r="Z93" s="35" t="s">
        <v>1890</v>
      </c>
      <c r="AA93" s="46">
        <v>46023.0</v>
      </c>
      <c r="AB93" s="46">
        <v>46387.0</v>
      </c>
      <c r="AC93" s="35" t="s">
        <v>1892</v>
      </c>
      <c r="AD93" s="35" t="s">
        <v>79</v>
      </c>
      <c r="AE93" s="52"/>
      <c r="AF93" s="52"/>
      <c r="AG93" s="46"/>
    </row>
    <row r="94" ht="44.25" customHeight="1">
      <c r="A94" s="35">
        <v>93.0</v>
      </c>
      <c r="B94" s="37" t="s">
        <v>1897</v>
      </c>
      <c r="C94" s="35" t="s">
        <v>265</v>
      </c>
      <c r="D94" s="35" t="s">
        <v>579</v>
      </c>
      <c r="E94" s="35" t="s">
        <v>580</v>
      </c>
      <c r="F94" s="35" t="s">
        <v>1898</v>
      </c>
      <c r="G94" s="41" t="s">
        <v>1900</v>
      </c>
      <c r="H94" s="35" t="s">
        <v>59</v>
      </c>
      <c r="I94" s="35" t="s">
        <v>61</v>
      </c>
      <c r="J94" s="35" t="s">
        <v>62</v>
      </c>
      <c r="K94" s="35" t="s">
        <v>111</v>
      </c>
      <c r="L94" s="35">
        <v>60.0</v>
      </c>
      <c r="M94" s="35" t="s">
        <v>1902</v>
      </c>
      <c r="N94" s="35" t="s">
        <v>66</v>
      </c>
      <c r="O94" s="35" t="s">
        <v>67</v>
      </c>
      <c r="P94" s="35" t="s">
        <v>1904</v>
      </c>
      <c r="Q94" s="35">
        <v>0.0</v>
      </c>
      <c r="R94" s="35">
        <v>1.0</v>
      </c>
      <c r="S94" s="35">
        <v>1.0</v>
      </c>
      <c r="T94" s="52"/>
      <c r="U94" s="35">
        <v>10.0</v>
      </c>
      <c r="V94" s="35" t="s">
        <v>61</v>
      </c>
      <c r="W94" s="35" t="s">
        <v>93</v>
      </c>
      <c r="X94" s="35" t="s">
        <v>1905</v>
      </c>
      <c r="Y94" s="35" t="s">
        <v>1906</v>
      </c>
      <c r="Z94" s="35" t="s">
        <v>1907</v>
      </c>
      <c r="AA94" s="46">
        <v>46023.0</v>
      </c>
      <c r="AB94" s="46">
        <v>46387.0</v>
      </c>
      <c r="AC94" s="35" t="s">
        <v>1909</v>
      </c>
      <c r="AD94" s="35" t="s">
        <v>79</v>
      </c>
      <c r="AE94" s="73"/>
      <c r="AF94" s="52"/>
      <c r="AG94" s="46"/>
    </row>
    <row r="95" ht="44.25" customHeight="1">
      <c r="A95" s="35">
        <v>94.0</v>
      </c>
      <c r="B95" s="37" t="s">
        <v>1911</v>
      </c>
      <c r="C95" s="35" t="s">
        <v>265</v>
      </c>
      <c r="D95" s="35" t="s">
        <v>579</v>
      </c>
      <c r="E95" s="35" t="s">
        <v>580</v>
      </c>
      <c r="F95" s="35" t="s">
        <v>1914</v>
      </c>
      <c r="G95" s="41" t="s">
        <v>1917</v>
      </c>
      <c r="H95" s="35" t="s">
        <v>59</v>
      </c>
      <c r="I95" s="35" t="s">
        <v>61</v>
      </c>
      <c r="J95" s="35" t="s">
        <v>62</v>
      </c>
      <c r="K95" s="35" t="s">
        <v>111</v>
      </c>
      <c r="L95" s="35">
        <v>50.0</v>
      </c>
      <c r="M95" s="35" t="s">
        <v>1920</v>
      </c>
      <c r="N95" s="35" t="s">
        <v>66</v>
      </c>
      <c r="O95" s="35" t="s">
        <v>67</v>
      </c>
      <c r="P95" s="35" t="s">
        <v>1921</v>
      </c>
      <c r="Q95" s="35">
        <v>0.0</v>
      </c>
      <c r="R95" s="35">
        <v>1.0</v>
      </c>
      <c r="S95" s="35">
        <v>1.0</v>
      </c>
      <c r="T95" s="52"/>
      <c r="U95" s="35">
        <v>9.0</v>
      </c>
      <c r="V95" s="35" t="s">
        <v>61</v>
      </c>
      <c r="W95" s="35" t="s">
        <v>93</v>
      </c>
      <c r="X95" s="35" t="s">
        <v>1925</v>
      </c>
      <c r="Y95" s="35" t="s">
        <v>1927</v>
      </c>
      <c r="Z95" s="35" t="s">
        <v>1928</v>
      </c>
      <c r="AA95" s="46">
        <v>46023.0</v>
      </c>
      <c r="AB95" s="46">
        <v>46387.0</v>
      </c>
      <c r="AC95" s="35" t="s">
        <v>1929</v>
      </c>
      <c r="AD95" s="35" t="s">
        <v>79</v>
      </c>
      <c r="AE95" s="52"/>
      <c r="AF95" s="52"/>
      <c r="AG95" s="46"/>
    </row>
    <row r="96" ht="44.25" customHeight="1">
      <c r="A96" s="35">
        <v>95.0</v>
      </c>
      <c r="B96" s="37" t="s">
        <v>1932</v>
      </c>
      <c r="C96" s="35" t="s">
        <v>265</v>
      </c>
      <c r="D96" s="35" t="s">
        <v>579</v>
      </c>
      <c r="E96" s="35" t="s">
        <v>580</v>
      </c>
      <c r="F96" s="35" t="s">
        <v>1934</v>
      </c>
      <c r="G96" s="41" t="s">
        <v>1935</v>
      </c>
      <c r="H96" s="35" t="s">
        <v>59</v>
      </c>
      <c r="I96" s="35" t="s">
        <v>61</v>
      </c>
      <c r="J96" s="35" t="s">
        <v>62</v>
      </c>
      <c r="K96" s="35" t="s">
        <v>111</v>
      </c>
      <c r="L96" s="35">
        <v>100.0</v>
      </c>
      <c r="M96" s="35" t="s">
        <v>1938</v>
      </c>
      <c r="N96" s="35" t="s">
        <v>66</v>
      </c>
      <c r="O96" s="35" t="s">
        <v>67</v>
      </c>
      <c r="P96" s="35" t="s">
        <v>1941</v>
      </c>
      <c r="Q96" s="35">
        <v>0.0</v>
      </c>
      <c r="R96" s="35">
        <v>1.0</v>
      </c>
      <c r="S96" s="35">
        <v>1.0</v>
      </c>
      <c r="T96" s="52"/>
      <c r="U96" s="35">
        <v>12.0</v>
      </c>
      <c r="V96" s="35" t="s">
        <v>61</v>
      </c>
      <c r="W96" s="35" t="s">
        <v>93</v>
      </c>
      <c r="X96" s="35" t="s">
        <v>1944</v>
      </c>
      <c r="Y96" s="35" t="s">
        <v>1946</v>
      </c>
      <c r="Z96" s="35" t="s">
        <v>1947</v>
      </c>
      <c r="AA96" s="46">
        <v>46023.0</v>
      </c>
      <c r="AB96" s="46">
        <v>46387.0</v>
      </c>
      <c r="AC96" s="35" t="s">
        <v>1950</v>
      </c>
      <c r="AD96" s="35" t="s">
        <v>79</v>
      </c>
      <c r="AE96" s="102"/>
      <c r="AF96" s="52"/>
      <c r="AG96" s="46"/>
    </row>
    <row r="97" ht="44.25" customHeight="1">
      <c r="A97" s="35">
        <v>96.0</v>
      </c>
      <c r="B97" s="37" t="s">
        <v>1953</v>
      </c>
      <c r="C97" s="35" t="s">
        <v>265</v>
      </c>
      <c r="D97" s="35" t="s">
        <v>579</v>
      </c>
      <c r="E97" s="35" t="s">
        <v>580</v>
      </c>
      <c r="F97" s="35" t="s">
        <v>1954</v>
      </c>
      <c r="G97" s="41" t="s">
        <v>1955</v>
      </c>
      <c r="H97" s="35" t="s">
        <v>59</v>
      </c>
      <c r="I97" s="35" t="s">
        <v>61</v>
      </c>
      <c r="J97" s="35" t="s">
        <v>62</v>
      </c>
      <c r="K97" s="35" t="s">
        <v>63</v>
      </c>
      <c r="L97" s="35">
        <v>47.0</v>
      </c>
      <c r="M97" s="35" t="s">
        <v>1963</v>
      </c>
      <c r="N97" s="35" t="s">
        <v>66</v>
      </c>
      <c r="O97" s="35" t="s">
        <v>67</v>
      </c>
      <c r="P97" s="35" t="s">
        <v>1965</v>
      </c>
      <c r="Q97" s="35">
        <v>1.0</v>
      </c>
      <c r="R97" s="35">
        <v>0.0</v>
      </c>
      <c r="S97" s="35">
        <v>1.0</v>
      </c>
      <c r="T97" s="52"/>
      <c r="U97" s="35">
        <v>16.0</v>
      </c>
      <c r="V97" s="35" t="s">
        <v>61</v>
      </c>
      <c r="W97" s="35" t="s">
        <v>93</v>
      </c>
      <c r="X97" s="35" t="s">
        <v>1966</v>
      </c>
      <c r="Y97" s="35" t="s">
        <v>1967</v>
      </c>
      <c r="Z97" s="35" t="s">
        <v>1968</v>
      </c>
      <c r="AA97" s="46">
        <v>46023.0</v>
      </c>
      <c r="AB97" s="46">
        <v>46387.0</v>
      </c>
      <c r="AC97" s="35" t="s">
        <v>1969</v>
      </c>
      <c r="AD97" s="35" t="s">
        <v>79</v>
      </c>
      <c r="AE97" s="73"/>
      <c r="AF97" s="52"/>
      <c r="AG97" s="46"/>
    </row>
    <row r="98" ht="44.25" customHeight="1">
      <c r="A98" s="35">
        <v>97.0</v>
      </c>
      <c r="B98" s="37" t="s">
        <v>1970</v>
      </c>
      <c r="C98" s="35" t="s">
        <v>265</v>
      </c>
      <c r="D98" s="35" t="s">
        <v>579</v>
      </c>
      <c r="E98" s="35" t="s">
        <v>1809</v>
      </c>
      <c r="F98" s="35" t="s">
        <v>1810</v>
      </c>
      <c r="G98" s="41" t="s">
        <v>1974</v>
      </c>
      <c r="H98" s="35" t="s">
        <v>59</v>
      </c>
      <c r="I98" s="35" t="s">
        <v>61</v>
      </c>
      <c r="J98" s="35" t="s">
        <v>62</v>
      </c>
      <c r="K98" s="35" t="s">
        <v>63</v>
      </c>
      <c r="L98" s="35">
        <v>35.0</v>
      </c>
      <c r="M98" s="35" t="s">
        <v>1975</v>
      </c>
      <c r="N98" s="35" t="s">
        <v>66</v>
      </c>
      <c r="O98" s="35" t="s">
        <v>67</v>
      </c>
      <c r="P98" s="35" t="s">
        <v>1977</v>
      </c>
      <c r="Q98" s="35">
        <v>1.0</v>
      </c>
      <c r="R98" s="35">
        <v>0.0</v>
      </c>
      <c r="S98" s="35">
        <v>1.0</v>
      </c>
      <c r="T98" s="52"/>
      <c r="U98" s="35">
        <v>13.0</v>
      </c>
      <c r="V98" s="35" t="s">
        <v>61</v>
      </c>
      <c r="W98" s="35" t="s">
        <v>93</v>
      </c>
      <c r="X98" s="35" t="s">
        <v>1980</v>
      </c>
      <c r="Y98" s="35" t="s">
        <v>1983</v>
      </c>
      <c r="Z98" s="35" t="s">
        <v>1984</v>
      </c>
      <c r="AA98" s="46">
        <v>46023.0</v>
      </c>
      <c r="AB98" s="46">
        <v>46387.0</v>
      </c>
      <c r="AC98" s="35" t="s">
        <v>1986</v>
      </c>
      <c r="AD98" s="35" t="s">
        <v>79</v>
      </c>
      <c r="AE98" s="52"/>
      <c r="AF98" s="52"/>
      <c r="AG98" s="46"/>
    </row>
    <row r="99" ht="44.25" customHeight="1">
      <c r="A99" s="35">
        <v>98.0</v>
      </c>
      <c r="B99" s="37" t="s">
        <v>1987</v>
      </c>
      <c r="C99" s="35" t="s">
        <v>265</v>
      </c>
      <c r="D99" s="35" t="s">
        <v>579</v>
      </c>
      <c r="E99" s="35" t="s">
        <v>651</v>
      </c>
      <c r="F99" s="35" t="s">
        <v>1992</v>
      </c>
      <c r="G99" s="41" t="s">
        <v>1993</v>
      </c>
      <c r="H99" s="35" t="s">
        <v>59</v>
      </c>
      <c r="I99" s="35" t="s">
        <v>61</v>
      </c>
      <c r="J99" s="35" t="s">
        <v>62</v>
      </c>
      <c r="K99" s="35" t="s">
        <v>63</v>
      </c>
      <c r="L99" s="35">
        <v>12.0</v>
      </c>
      <c r="M99" s="52"/>
      <c r="N99" s="35" t="s">
        <v>66</v>
      </c>
      <c r="O99" s="35" t="s">
        <v>67</v>
      </c>
      <c r="P99" s="35" t="s">
        <v>1999</v>
      </c>
      <c r="Q99" s="35">
        <v>1.0</v>
      </c>
      <c r="R99" s="35">
        <v>0.0</v>
      </c>
      <c r="S99" s="35">
        <v>1.0</v>
      </c>
      <c r="T99" s="52"/>
      <c r="U99" s="52"/>
      <c r="V99" s="35" t="s">
        <v>61</v>
      </c>
      <c r="W99" s="35" t="s">
        <v>74</v>
      </c>
      <c r="X99" s="35" t="s">
        <v>2003</v>
      </c>
      <c r="Y99" s="35" t="s">
        <v>2004</v>
      </c>
      <c r="Z99" s="35" t="s">
        <v>2006</v>
      </c>
      <c r="AA99" s="46">
        <v>46023.0</v>
      </c>
      <c r="AB99" s="46">
        <v>46387.0</v>
      </c>
      <c r="AC99" s="35" t="s">
        <v>2009</v>
      </c>
      <c r="AD99" s="35" t="s">
        <v>79</v>
      </c>
      <c r="AE99" s="52"/>
      <c r="AF99" s="52"/>
      <c r="AG99" s="46"/>
    </row>
    <row r="100" ht="44.25" customHeight="1">
      <c r="A100" s="35">
        <v>99.0</v>
      </c>
      <c r="B100" s="37" t="s">
        <v>2010</v>
      </c>
      <c r="C100" s="35" t="s">
        <v>265</v>
      </c>
      <c r="D100" s="35" t="s">
        <v>579</v>
      </c>
      <c r="E100" s="35" t="s">
        <v>2012</v>
      </c>
      <c r="F100" s="35" t="s">
        <v>2013</v>
      </c>
      <c r="G100" s="41" t="s">
        <v>2014</v>
      </c>
      <c r="H100" s="35" t="s">
        <v>59</v>
      </c>
      <c r="I100" s="35" t="s">
        <v>61</v>
      </c>
      <c r="J100" s="35" t="s">
        <v>62</v>
      </c>
      <c r="K100" s="35" t="s">
        <v>63</v>
      </c>
      <c r="L100" s="35">
        <v>17.0</v>
      </c>
      <c r="M100" s="35" t="s">
        <v>2019</v>
      </c>
      <c r="N100" s="35" t="s">
        <v>66</v>
      </c>
      <c r="O100" s="35" t="s">
        <v>67</v>
      </c>
      <c r="P100" s="35" t="s">
        <v>2021</v>
      </c>
      <c r="Q100" s="35">
        <v>1.0</v>
      </c>
      <c r="R100" s="35">
        <v>0.0</v>
      </c>
      <c r="S100" s="35">
        <v>1.0</v>
      </c>
      <c r="T100" s="52"/>
      <c r="U100" s="35">
        <v>4.0</v>
      </c>
      <c r="V100" s="35" t="s">
        <v>61</v>
      </c>
      <c r="W100" s="35" t="s">
        <v>74</v>
      </c>
      <c r="X100" s="35" t="s">
        <v>2025</v>
      </c>
      <c r="Y100" s="35" t="s">
        <v>2028</v>
      </c>
      <c r="Z100" s="35" t="s">
        <v>2030</v>
      </c>
      <c r="AA100" s="46">
        <v>46023.0</v>
      </c>
      <c r="AB100" s="46">
        <v>46387.0</v>
      </c>
      <c r="AC100" s="35" t="s">
        <v>2032</v>
      </c>
      <c r="AD100" s="35" t="s">
        <v>79</v>
      </c>
      <c r="AE100" s="35" t="s">
        <v>1870</v>
      </c>
      <c r="AF100" s="35" t="s">
        <v>1871</v>
      </c>
      <c r="AG100" s="46"/>
    </row>
    <row r="101" ht="44.25" customHeight="1">
      <c r="A101" s="35">
        <v>100.0</v>
      </c>
      <c r="B101" s="37" t="s">
        <v>2035</v>
      </c>
      <c r="C101" s="35" t="s">
        <v>265</v>
      </c>
      <c r="D101" s="35" t="s">
        <v>579</v>
      </c>
      <c r="E101" s="35" t="s">
        <v>2036</v>
      </c>
      <c r="F101" s="35" t="s">
        <v>2037</v>
      </c>
      <c r="G101" s="41" t="s">
        <v>2040</v>
      </c>
      <c r="H101" s="35" t="s">
        <v>59</v>
      </c>
      <c r="I101" s="35" t="s">
        <v>61</v>
      </c>
      <c r="J101" s="35" t="s">
        <v>62</v>
      </c>
      <c r="K101" s="35" t="s">
        <v>111</v>
      </c>
      <c r="L101" s="35">
        <v>55.0</v>
      </c>
      <c r="M101" s="35" t="s">
        <v>2047</v>
      </c>
      <c r="N101" s="35" t="s">
        <v>66</v>
      </c>
      <c r="O101" s="35" t="s">
        <v>67</v>
      </c>
      <c r="P101" s="35" t="s">
        <v>2048</v>
      </c>
      <c r="Q101" s="35">
        <v>0.0</v>
      </c>
      <c r="R101" s="35">
        <v>1.0</v>
      </c>
      <c r="S101" s="35">
        <v>1.0</v>
      </c>
      <c r="T101" s="52"/>
      <c r="U101" s="35">
        <v>9.0</v>
      </c>
      <c r="V101" s="35" t="s">
        <v>61</v>
      </c>
      <c r="W101" s="35" t="s">
        <v>93</v>
      </c>
      <c r="X101" s="35" t="s">
        <v>2049</v>
      </c>
      <c r="Y101" s="35" t="s">
        <v>2050</v>
      </c>
      <c r="Z101" s="35" t="s">
        <v>2052</v>
      </c>
      <c r="AA101" s="46">
        <v>46023.0</v>
      </c>
      <c r="AB101" s="46">
        <v>46387.0</v>
      </c>
      <c r="AC101" s="35" t="s">
        <v>2053</v>
      </c>
      <c r="AD101" s="35" t="s">
        <v>79</v>
      </c>
      <c r="AE101" s="52"/>
      <c r="AF101" s="52"/>
      <c r="AG101" s="46"/>
    </row>
    <row r="102" ht="44.25" customHeight="1">
      <c r="A102" s="35">
        <v>101.0</v>
      </c>
      <c r="B102" s="35">
        <v>41241.0</v>
      </c>
      <c r="C102" s="35" t="s">
        <v>265</v>
      </c>
      <c r="D102" s="35" t="s">
        <v>709</v>
      </c>
      <c r="E102" s="35" t="s">
        <v>2061</v>
      </c>
      <c r="F102" s="35" t="s">
        <v>2062</v>
      </c>
      <c r="G102" s="41" t="s">
        <v>2063</v>
      </c>
      <c r="H102" s="35" t="s">
        <v>59</v>
      </c>
      <c r="I102" s="35" t="s">
        <v>61</v>
      </c>
      <c r="J102" s="35" t="s">
        <v>62</v>
      </c>
      <c r="K102" s="35" t="s">
        <v>63</v>
      </c>
      <c r="L102" s="35">
        <v>38.0</v>
      </c>
      <c r="M102" s="35" t="s">
        <v>2071</v>
      </c>
      <c r="N102" s="35" t="s">
        <v>66</v>
      </c>
      <c r="O102" s="35" t="s">
        <v>67</v>
      </c>
      <c r="P102" s="35" t="s">
        <v>2073</v>
      </c>
      <c r="Q102" s="35">
        <v>1.0</v>
      </c>
      <c r="R102" s="35" t="s">
        <v>61</v>
      </c>
      <c r="S102" s="35">
        <v>1.0</v>
      </c>
      <c r="T102" s="35" t="s">
        <v>61</v>
      </c>
      <c r="U102" s="35" t="s">
        <v>61</v>
      </c>
      <c r="V102" s="35" t="s">
        <v>61</v>
      </c>
      <c r="W102" s="35" t="s">
        <v>74</v>
      </c>
      <c r="X102" s="35" t="s">
        <v>2080</v>
      </c>
      <c r="Y102" s="35">
        <v>9.688569647E9</v>
      </c>
      <c r="Z102" s="112" t="s">
        <v>2082</v>
      </c>
      <c r="AA102" s="46">
        <v>46023.0</v>
      </c>
      <c r="AB102" s="46">
        <v>46387.0</v>
      </c>
      <c r="AC102" s="35" t="s">
        <v>2086</v>
      </c>
      <c r="AD102" s="35" t="s">
        <v>79</v>
      </c>
      <c r="AE102" s="52"/>
      <c r="AF102" s="52"/>
      <c r="AG102" s="46"/>
    </row>
    <row r="103" ht="44.25" customHeight="1">
      <c r="A103" s="35">
        <v>102.0</v>
      </c>
      <c r="B103" s="35">
        <v>2022.0</v>
      </c>
      <c r="C103" s="35" t="s">
        <v>265</v>
      </c>
      <c r="D103" s="35" t="s">
        <v>709</v>
      </c>
      <c r="E103" s="35" t="s">
        <v>2089</v>
      </c>
      <c r="F103" s="35" t="s">
        <v>2090</v>
      </c>
      <c r="G103" s="41" t="s">
        <v>2091</v>
      </c>
      <c r="H103" s="35" t="s">
        <v>59</v>
      </c>
      <c r="I103" s="35" t="s">
        <v>61</v>
      </c>
      <c r="J103" s="35" t="s">
        <v>62</v>
      </c>
      <c r="K103" s="35" t="s">
        <v>63</v>
      </c>
      <c r="L103" s="35">
        <v>26.0</v>
      </c>
      <c r="M103" s="35" t="s">
        <v>2097</v>
      </c>
      <c r="N103" s="35" t="s">
        <v>66</v>
      </c>
      <c r="O103" s="35" t="s">
        <v>67</v>
      </c>
      <c r="P103" s="35" t="s">
        <v>2099</v>
      </c>
      <c r="Q103" s="35">
        <v>1.0</v>
      </c>
      <c r="R103" s="35">
        <v>0.0</v>
      </c>
      <c r="S103" s="35">
        <v>1.0</v>
      </c>
      <c r="T103" s="35" t="s">
        <v>61</v>
      </c>
      <c r="U103" s="35">
        <v>7.0</v>
      </c>
      <c r="V103" s="35" t="s">
        <v>61</v>
      </c>
      <c r="W103" s="35" t="s">
        <v>74</v>
      </c>
      <c r="X103" s="35" t="s">
        <v>2104</v>
      </c>
      <c r="Y103" s="35" t="s">
        <v>2106</v>
      </c>
      <c r="Z103" s="112" t="s">
        <v>2108</v>
      </c>
      <c r="AA103" s="46">
        <v>46023.0</v>
      </c>
      <c r="AB103" s="46">
        <v>46387.0</v>
      </c>
      <c r="AC103" s="35" t="s">
        <v>2110</v>
      </c>
      <c r="AD103" s="35" t="s">
        <v>79</v>
      </c>
      <c r="AE103" s="52"/>
      <c r="AF103" s="52"/>
      <c r="AG103" s="46"/>
    </row>
    <row r="104" ht="44.25" customHeight="1">
      <c r="A104" s="35">
        <v>103.0</v>
      </c>
      <c r="B104" s="37" t="s">
        <v>2113</v>
      </c>
      <c r="C104" s="35" t="s">
        <v>265</v>
      </c>
      <c r="D104" s="35" t="s">
        <v>709</v>
      </c>
      <c r="E104" s="35" t="s">
        <v>1882</v>
      </c>
      <c r="F104" s="35" t="s">
        <v>2117</v>
      </c>
      <c r="G104" s="41" t="s">
        <v>2118</v>
      </c>
      <c r="H104" s="35" t="s">
        <v>59</v>
      </c>
      <c r="I104" s="35" t="s">
        <v>61</v>
      </c>
      <c r="J104" s="35" t="s">
        <v>62</v>
      </c>
      <c r="K104" s="35" t="s">
        <v>111</v>
      </c>
      <c r="L104" s="35">
        <v>52.0</v>
      </c>
      <c r="M104" s="35" t="s">
        <v>2120</v>
      </c>
      <c r="N104" s="35" t="s">
        <v>66</v>
      </c>
      <c r="O104" s="35" t="s">
        <v>67</v>
      </c>
      <c r="P104" s="35" t="s">
        <v>2123</v>
      </c>
      <c r="Q104" s="35">
        <v>0.0</v>
      </c>
      <c r="R104" s="35">
        <v>1.0</v>
      </c>
      <c r="S104" s="35">
        <v>1.0</v>
      </c>
      <c r="T104" s="52"/>
      <c r="U104" s="35">
        <v>12.0</v>
      </c>
      <c r="V104" s="35" t="s">
        <v>533</v>
      </c>
      <c r="W104" s="35" t="s">
        <v>93</v>
      </c>
      <c r="X104" s="35" t="s">
        <v>2124</v>
      </c>
      <c r="Y104" s="35">
        <v>9.176223417E9</v>
      </c>
      <c r="Z104" s="35" t="s">
        <v>2127</v>
      </c>
      <c r="AA104" s="46">
        <v>46023.0</v>
      </c>
      <c r="AB104" s="46">
        <v>46387.0</v>
      </c>
      <c r="AC104" s="35" t="s">
        <v>2128</v>
      </c>
      <c r="AD104" s="35" t="s">
        <v>79</v>
      </c>
      <c r="AE104" s="52"/>
      <c r="AF104" s="52"/>
      <c r="AG104" s="46"/>
    </row>
    <row r="105" ht="44.25" customHeight="1">
      <c r="A105" s="35">
        <v>104.0</v>
      </c>
      <c r="B105" s="37" t="s">
        <v>2130</v>
      </c>
      <c r="C105" s="35" t="s">
        <v>265</v>
      </c>
      <c r="D105" s="35" t="s">
        <v>709</v>
      </c>
      <c r="E105" s="35" t="s">
        <v>1882</v>
      </c>
      <c r="F105" s="35" t="s">
        <v>2137</v>
      </c>
      <c r="G105" s="41" t="s">
        <v>2139</v>
      </c>
      <c r="H105" s="35" t="s">
        <v>59</v>
      </c>
      <c r="I105" s="35" t="s">
        <v>61</v>
      </c>
      <c r="J105" s="35" t="s">
        <v>62</v>
      </c>
      <c r="K105" s="35" t="s">
        <v>111</v>
      </c>
      <c r="L105" s="35">
        <v>78.0</v>
      </c>
      <c r="M105" s="35" t="s">
        <v>2143</v>
      </c>
      <c r="N105" s="35" t="s">
        <v>66</v>
      </c>
      <c r="O105" s="52"/>
      <c r="P105" s="35" t="s">
        <v>2145</v>
      </c>
      <c r="Q105" s="35">
        <v>1.0</v>
      </c>
      <c r="R105" s="35">
        <v>0.0</v>
      </c>
      <c r="S105" s="35">
        <v>1.0</v>
      </c>
      <c r="T105" s="52"/>
      <c r="U105" s="35" t="s">
        <v>61</v>
      </c>
      <c r="V105" s="35" t="s">
        <v>61</v>
      </c>
      <c r="W105" s="35" t="s">
        <v>93</v>
      </c>
      <c r="X105" s="35" t="s">
        <v>2150</v>
      </c>
      <c r="Y105" s="35" t="s">
        <v>2152</v>
      </c>
      <c r="Z105" s="35" t="s">
        <v>2154</v>
      </c>
      <c r="AA105" s="46">
        <v>46023.0</v>
      </c>
      <c r="AB105" s="46">
        <v>46387.0</v>
      </c>
      <c r="AC105" s="35" t="s">
        <v>2155</v>
      </c>
      <c r="AD105" s="35" t="s">
        <v>79</v>
      </c>
      <c r="AE105" s="102"/>
      <c r="AF105" s="52"/>
      <c r="AG105" s="46"/>
    </row>
    <row r="106" ht="44.25" customHeight="1">
      <c r="A106" s="35">
        <v>105.0</v>
      </c>
      <c r="B106" s="37" t="s">
        <v>2161</v>
      </c>
      <c r="C106" s="35" t="s">
        <v>265</v>
      </c>
      <c r="D106" s="35" t="s">
        <v>709</v>
      </c>
      <c r="E106" s="35" t="s">
        <v>1882</v>
      </c>
      <c r="F106" s="35" t="s">
        <v>2165</v>
      </c>
      <c r="G106" s="41" t="s">
        <v>2166</v>
      </c>
      <c r="H106" s="35" t="s">
        <v>59</v>
      </c>
      <c r="I106" s="35" t="s">
        <v>61</v>
      </c>
      <c r="J106" s="35" t="s">
        <v>62</v>
      </c>
      <c r="K106" s="35" t="s">
        <v>63</v>
      </c>
      <c r="L106" s="35">
        <v>17.0</v>
      </c>
      <c r="M106" s="35" t="s">
        <v>2170</v>
      </c>
      <c r="N106" s="35" t="s">
        <v>66</v>
      </c>
      <c r="O106" s="35" t="s">
        <v>67</v>
      </c>
      <c r="P106" s="35" t="s">
        <v>61</v>
      </c>
      <c r="Q106" s="52"/>
      <c r="R106" s="52"/>
      <c r="S106" s="52"/>
      <c r="T106" s="35" t="s">
        <v>2173</v>
      </c>
      <c r="U106" s="35" t="s">
        <v>61</v>
      </c>
      <c r="V106" s="35" t="s">
        <v>61</v>
      </c>
      <c r="W106" s="35" t="s">
        <v>74</v>
      </c>
      <c r="X106" s="35" t="s">
        <v>2174</v>
      </c>
      <c r="Y106" s="35" t="s">
        <v>2175</v>
      </c>
      <c r="Z106" s="112" t="s">
        <v>2176</v>
      </c>
      <c r="AA106" s="46">
        <v>46023.0</v>
      </c>
      <c r="AB106" s="46">
        <v>46387.0</v>
      </c>
      <c r="AC106" s="35" t="s">
        <v>2205</v>
      </c>
      <c r="AD106" s="35" t="s">
        <v>79</v>
      </c>
      <c r="AE106" s="52"/>
      <c r="AF106" s="52"/>
      <c r="AG106" s="46"/>
    </row>
    <row r="107" ht="44.25" customHeight="1">
      <c r="A107" s="35">
        <v>106.0</v>
      </c>
      <c r="B107" s="37" t="s">
        <v>2207</v>
      </c>
      <c r="C107" s="35" t="s">
        <v>265</v>
      </c>
      <c r="D107" s="35" t="s">
        <v>709</v>
      </c>
      <c r="E107" s="35" t="s">
        <v>1882</v>
      </c>
      <c r="F107" s="35" t="s">
        <v>2210</v>
      </c>
      <c r="G107" s="41" t="s">
        <v>2211</v>
      </c>
      <c r="H107" s="35" t="s">
        <v>59</v>
      </c>
      <c r="I107" s="35" t="s">
        <v>61</v>
      </c>
      <c r="J107" s="35" t="s">
        <v>62</v>
      </c>
      <c r="K107" s="35" t="s">
        <v>63</v>
      </c>
      <c r="L107" s="35">
        <v>29.0</v>
      </c>
      <c r="M107" s="35" t="s">
        <v>2214</v>
      </c>
      <c r="N107" s="35" t="s">
        <v>66</v>
      </c>
      <c r="O107" s="35" t="s">
        <v>67</v>
      </c>
      <c r="P107" s="35" t="s">
        <v>2216</v>
      </c>
      <c r="Q107" s="35">
        <v>1.0</v>
      </c>
      <c r="R107" s="35">
        <v>0.0</v>
      </c>
      <c r="S107" s="35">
        <v>1.0</v>
      </c>
      <c r="T107" s="35" t="s">
        <v>61</v>
      </c>
      <c r="U107" s="35" t="s">
        <v>61</v>
      </c>
      <c r="V107" s="35" t="s">
        <v>61</v>
      </c>
      <c r="W107" s="35" t="s">
        <v>74</v>
      </c>
      <c r="X107" s="35" t="s">
        <v>2221</v>
      </c>
      <c r="Y107" s="35" t="s">
        <v>2223</v>
      </c>
      <c r="Z107" s="35" t="s">
        <v>2226</v>
      </c>
      <c r="AA107" s="46">
        <v>46023.0</v>
      </c>
      <c r="AB107" s="46">
        <v>46387.0</v>
      </c>
      <c r="AC107" s="35" t="s">
        <v>2228</v>
      </c>
      <c r="AD107" s="35" t="s">
        <v>79</v>
      </c>
      <c r="AE107" s="52"/>
      <c r="AF107" s="52"/>
      <c r="AG107" s="46"/>
    </row>
    <row r="108" ht="44.25" customHeight="1">
      <c r="A108" s="35">
        <v>107.0</v>
      </c>
      <c r="B108" s="35">
        <v>372.0</v>
      </c>
      <c r="C108" s="35" t="s">
        <v>265</v>
      </c>
      <c r="D108" s="35" t="s">
        <v>709</v>
      </c>
      <c r="E108" s="35" t="s">
        <v>1882</v>
      </c>
      <c r="F108" s="35" t="s">
        <v>2236</v>
      </c>
      <c r="G108" s="41" t="s">
        <v>2237</v>
      </c>
      <c r="H108" s="35" t="s">
        <v>59</v>
      </c>
      <c r="I108" s="35" t="s">
        <v>61</v>
      </c>
      <c r="J108" s="35" t="s">
        <v>62</v>
      </c>
      <c r="K108" s="35" t="s">
        <v>63</v>
      </c>
      <c r="L108" s="35">
        <v>21.0</v>
      </c>
      <c r="M108" s="35" t="s">
        <v>2240</v>
      </c>
      <c r="N108" s="35" t="s">
        <v>66</v>
      </c>
      <c r="O108" s="35" t="s">
        <v>67</v>
      </c>
      <c r="P108" s="35" t="s">
        <v>2242</v>
      </c>
      <c r="Q108" s="35">
        <v>1.0</v>
      </c>
      <c r="R108" s="35" t="s">
        <v>61</v>
      </c>
      <c r="S108" s="35">
        <v>1.0</v>
      </c>
      <c r="T108" s="52"/>
      <c r="U108" s="52"/>
      <c r="V108" s="35" t="s">
        <v>61</v>
      </c>
      <c r="W108" s="35" t="s">
        <v>93</v>
      </c>
      <c r="X108" s="35" t="s">
        <v>2244</v>
      </c>
      <c r="Y108" s="35" t="s">
        <v>2245</v>
      </c>
      <c r="Z108" s="112" t="s">
        <v>2246</v>
      </c>
      <c r="AA108" s="46">
        <v>46023.0</v>
      </c>
      <c r="AB108" s="46">
        <v>46387.0</v>
      </c>
      <c r="AC108" s="35" t="s">
        <v>2247</v>
      </c>
      <c r="AD108" s="35" t="s">
        <v>79</v>
      </c>
      <c r="AE108" s="52"/>
      <c r="AF108" s="52"/>
      <c r="AG108" s="46"/>
    </row>
    <row r="109" ht="44.25" customHeight="1">
      <c r="A109" s="35">
        <v>108.0</v>
      </c>
      <c r="B109" s="37" t="s">
        <v>2249</v>
      </c>
      <c r="C109" s="35" t="s">
        <v>265</v>
      </c>
      <c r="D109" s="35" t="s">
        <v>709</v>
      </c>
      <c r="E109" s="35" t="s">
        <v>710</v>
      </c>
      <c r="F109" s="35" t="s">
        <v>2252</v>
      </c>
      <c r="G109" s="41" t="s">
        <v>2253</v>
      </c>
      <c r="H109" s="35" t="s">
        <v>59</v>
      </c>
      <c r="I109" s="35" t="s">
        <v>61</v>
      </c>
      <c r="J109" s="35" t="s">
        <v>62</v>
      </c>
      <c r="K109" s="35" t="s">
        <v>63</v>
      </c>
      <c r="L109" s="35">
        <v>99.0</v>
      </c>
      <c r="M109" s="35" t="s">
        <v>2261</v>
      </c>
      <c r="N109" s="35" t="s">
        <v>66</v>
      </c>
      <c r="O109" s="35" t="s">
        <v>67</v>
      </c>
      <c r="P109" s="35" t="s">
        <v>2263</v>
      </c>
      <c r="Q109" s="35">
        <v>1.0</v>
      </c>
      <c r="R109" s="35">
        <v>0.0</v>
      </c>
      <c r="S109" s="35">
        <v>1.0</v>
      </c>
      <c r="T109" s="52"/>
      <c r="U109" s="35" t="s">
        <v>61</v>
      </c>
      <c r="V109" s="35" t="s">
        <v>61</v>
      </c>
      <c r="W109" s="35" t="s">
        <v>93</v>
      </c>
      <c r="X109" s="35" t="s">
        <v>2265</v>
      </c>
      <c r="Y109" s="35" t="s">
        <v>2266</v>
      </c>
      <c r="Z109" s="35" t="s">
        <v>2267</v>
      </c>
      <c r="AA109" s="46">
        <v>46023.0</v>
      </c>
      <c r="AB109" s="46">
        <v>46387.0</v>
      </c>
      <c r="AC109" s="35" t="s">
        <v>2269</v>
      </c>
      <c r="AD109" s="35" t="s">
        <v>79</v>
      </c>
      <c r="AE109" s="52"/>
      <c r="AF109" s="52"/>
      <c r="AG109" s="46"/>
    </row>
    <row r="110" ht="44.25" customHeight="1">
      <c r="A110" s="35">
        <v>109.0</v>
      </c>
      <c r="B110" s="37" t="s">
        <v>2273</v>
      </c>
      <c r="C110" s="35" t="s">
        <v>265</v>
      </c>
      <c r="D110" s="35" t="s">
        <v>709</v>
      </c>
      <c r="E110" s="35" t="s">
        <v>710</v>
      </c>
      <c r="F110" s="35" t="s">
        <v>2277</v>
      </c>
      <c r="G110" s="41" t="s">
        <v>2279</v>
      </c>
      <c r="H110" s="35" t="s">
        <v>59</v>
      </c>
      <c r="I110" s="35" t="s">
        <v>61</v>
      </c>
      <c r="J110" s="35" t="s">
        <v>62</v>
      </c>
      <c r="K110" s="35" t="s">
        <v>111</v>
      </c>
      <c r="L110" s="35">
        <v>100.0</v>
      </c>
      <c r="M110" s="35" t="s">
        <v>2282</v>
      </c>
      <c r="N110" s="35" t="s">
        <v>66</v>
      </c>
      <c r="O110" s="35" t="s">
        <v>67</v>
      </c>
      <c r="P110" s="35" t="s">
        <v>2284</v>
      </c>
      <c r="Q110" s="35">
        <v>0.0</v>
      </c>
      <c r="R110" s="35">
        <v>1.0</v>
      </c>
      <c r="S110" s="35">
        <v>1.0</v>
      </c>
      <c r="T110" s="52"/>
      <c r="U110" s="35">
        <v>23.0</v>
      </c>
      <c r="V110" s="35" t="s">
        <v>61</v>
      </c>
      <c r="W110" s="35" t="s">
        <v>93</v>
      </c>
      <c r="X110" s="35" t="s">
        <v>2287</v>
      </c>
      <c r="Y110" s="35" t="s">
        <v>2288</v>
      </c>
      <c r="Z110" s="35" t="s">
        <v>2289</v>
      </c>
      <c r="AA110" s="46">
        <v>46023.0</v>
      </c>
      <c r="AB110" s="46">
        <v>46387.0</v>
      </c>
      <c r="AC110" s="35" t="s">
        <v>2291</v>
      </c>
      <c r="AD110" s="35" t="s">
        <v>79</v>
      </c>
      <c r="AE110" s="102"/>
      <c r="AF110" s="52"/>
      <c r="AG110" s="46"/>
    </row>
    <row r="111" ht="44.25" customHeight="1">
      <c r="A111" s="35">
        <v>110.0</v>
      </c>
      <c r="B111" s="37" t="s">
        <v>2295</v>
      </c>
      <c r="C111" s="35" t="s">
        <v>265</v>
      </c>
      <c r="D111" s="35" t="s">
        <v>709</v>
      </c>
      <c r="E111" s="35" t="s">
        <v>710</v>
      </c>
      <c r="F111" s="35" t="s">
        <v>2301</v>
      </c>
      <c r="G111" s="41" t="s">
        <v>2304</v>
      </c>
      <c r="H111" s="35" t="s">
        <v>59</v>
      </c>
      <c r="I111" s="35" t="s">
        <v>61</v>
      </c>
      <c r="J111" s="35" t="s">
        <v>62</v>
      </c>
      <c r="K111" s="35" t="s">
        <v>63</v>
      </c>
      <c r="L111" s="35">
        <v>54.0</v>
      </c>
      <c r="M111" s="35" t="s">
        <v>2308</v>
      </c>
      <c r="N111" s="35" t="s">
        <v>66</v>
      </c>
      <c r="O111" s="35" t="s">
        <v>67</v>
      </c>
      <c r="P111" s="35" t="s">
        <v>2309</v>
      </c>
      <c r="Q111" s="35">
        <v>1.0</v>
      </c>
      <c r="R111" s="35">
        <v>0.0</v>
      </c>
      <c r="S111" s="35">
        <v>1.0</v>
      </c>
      <c r="T111" s="52"/>
      <c r="U111" s="35" t="s">
        <v>61</v>
      </c>
      <c r="V111" s="35" t="s">
        <v>61</v>
      </c>
      <c r="W111" s="35" t="s">
        <v>93</v>
      </c>
      <c r="X111" s="35" t="s">
        <v>2317</v>
      </c>
      <c r="Y111" s="35" t="s">
        <v>2319</v>
      </c>
      <c r="Z111" s="35" t="s">
        <v>2320</v>
      </c>
      <c r="AA111" s="46">
        <v>46023.0</v>
      </c>
      <c r="AB111" s="46">
        <v>46387.0</v>
      </c>
      <c r="AC111" s="35" t="s">
        <v>2322</v>
      </c>
      <c r="AD111" s="35" t="s">
        <v>79</v>
      </c>
      <c r="AE111" s="52"/>
      <c r="AF111" s="52"/>
      <c r="AG111" s="46"/>
    </row>
    <row r="112" ht="44.25" customHeight="1">
      <c r="A112" s="35">
        <v>111.0</v>
      </c>
      <c r="B112" s="37" t="s">
        <v>2324</v>
      </c>
      <c r="C112" s="35" t="s">
        <v>265</v>
      </c>
      <c r="D112" s="35" t="s">
        <v>709</v>
      </c>
      <c r="E112" s="35" t="s">
        <v>710</v>
      </c>
      <c r="F112" s="35" t="s">
        <v>2325</v>
      </c>
      <c r="G112" s="41" t="s">
        <v>2328</v>
      </c>
      <c r="H112" s="35" t="s">
        <v>59</v>
      </c>
      <c r="I112" s="52"/>
      <c r="J112" s="35" t="s">
        <v>62</v>
      </c>
      <c r="K112" s="35" t="s">
        <v>63</v>
      </c>
      <c r="L112" s="35">
        <v>15.0</v>
      </c>
      <c r="M112" s="35" t="s">
        <v>2335</v>
      </c>
      <c r="N112" s="35" t="s">
        <v>66</v>
      </c>
      <c r="O112" s="35" t="s">
        <v>67</v>
      </c>
      <c r="P112" s="35" t="s">
        <v>61</v>
      </c>
      <c r="Q112" s="52"/>
      <c r="R112" s="52"/>
      <c r="S112" s="52"/>
      <c r="T112" s="35" t="s">
        <v>2339</v>
      </c>
      <c r="U112" s="35" t="s">
        <v>61</v>
      </c>
      <c r="V112" s="35" t="s">
        <v>61</v>
      </c>
      <c r="W112" s="35" t="s">
        <v>74</v>
      </c>
      <c r="X112" s="35" t="s">
        <v>2343</v>
      </c>
      <c r="Y112" s="35" t="s">
        <v>2345</v>
      </c>
      <c r="Z112" s="35" t="s">
        <v>2347</v>
      </c>
      <c r="AA112" s="46">
        <v>46023.0</v>
      </c>
      <c r="AB112" s="46">
        <v>46387.0</v>
      </c>
      <c r="AC112" s="35" t="s">
        <v>2349</v>
      </c>
      <c r="AD112" s="35" t="s">
        <v>79</v>
      </c>
      <c r="AE112" s="52"/>
      <c r="AF112" s="52"/>
      <c r="AG112" s="46"/>
    </row>
    <row r="113" ht="44.25" customHeight="1">
      <c r="A113" s="35">
        <v>112.0</v>
      </c>
      <c r="B113" s="35">
        <v>5565.0</v>
      </c>
      <c r="C113" s="35" t="s">
        <v>265</v>
      </c>
      <c r="D113" s="35" t="s">
        <v>709</v>
      </c>
      <c r="E113" s="35" t="s">
        <v>710</v>
      </c>
      <c r="F113" s="35" t="s">
        <v>2356</v>
      </c>
      <c r="G113" s="41" t="s">
        <v>2357</v>
      </c>
      <c r="H113" s="35" t="s">
        <v>59</v>
      </c>
      <c r="I113" s="35" t="s">
        <v>61</v>
      </c>
      <c r="J113" s="35" t="s">
        <v>62</v>
      </c>
      <c r="K113" s="35" t="s">
        <v>63</v>
      </c>
      <c r="L113" s="35">
        <v>30.0</v>
      </c>
      <c r="M113" s="35" t="s">
        <v>2369</v>
      </c>
      <c r="N113" s="35" t="s">
        <v>66</v>
      </c>
      <c r="O113" s="35" t="s">
        <v>67</v>
      </c>
      <c r="P113" s="35" t="s">
        <v>61</v>
      </c>
      <c r="Q113" s="52"/>
      <c r="R113" s="52"/>
      <c r="S113" s="52"/>
      <c r="T113" s="35" t="s">
        <v>2173</v>
      </c>
      <c r="U113" s="35" t="s">
        <v>61</v>
      </c>
      <c r="V113" s="35" t="s">
        <v>61</v>
      </c>
      <c r="W113" s="35" t="s">
        <v>93</v>
      </c>
      <c r="X113" s="35" t="s">
        <v>2376</v>
      </c>
      <c r="Y113" s="35" t="s">
        <v>2378</v>
      </c>
      <c r="Z113" s="112" t="s">
        <v>2380</v>
      </c>
      <c r="AA113" s="46">
        <v>46023.0</v>
      </c>
      <c r="AB113" s="46">
        <v>46387.0</v>
      </c>
      <c r="AC113" s="35" t="s">
        <v>2381</v>
      </c>
      <c r="AD113" s="35" t="s">
        <v>79</v>
      </c>
      <c r="AE113" s="52"/>
      <c r="AF113" s="52"/>
      <c r="AG113" s="46"/>
    </row>
    <row r="114" ht="44.25" customHeight="1">
      <c r="A114" s="35">
        <v>113.0</v>
      </c>
      <c r="B114" s="35">
        <v>2192.0</v>
      </c>
      <c r="C114" s="35" t="s">
        <v>265</v>
      </c>
      <c r="D114" s="35" t="s">
        <v>709</v>
      </c>
      <c r="E114" s="35" t="s">
        <v>2385</v>
      </c>
      <c r="F114" s="35" t="s">
        <v>596</v>
      </c>
      <c r="G114" s="41" t="s">
        <v>2389</v>
      </c>
      <c r="H114" s="35" t="s">
        <v>59</v>
      </c>
      <c r="I114" s="35" t="s">
        <v>61</v>
      </c>
      <c r="J114" s="35" t="s">
        <v>62</v>
      </c>
      <c r="K114" s="35" t="s">
        <v>63</v>
      </c>
      <c r="L114" s="35">
        <v>30.0</v>
      </c>
      <c r="M114" s="35" t="s">
        <v>2399</v>
      </c>
      <c r="N114" s="35" t="s">
        <v>66</v>
      </c>
      <c r="O114" s="35" t="s">
        <v>67</v>
      </c>
      <c r="P114" s="35" t="s">
        <v>2400</v>
      </c>
      <c r="Q114" s="35">
        <v>1.0</v>
      </c>
      <c r="R114" s="35" t="s">
        <v>61</v>
      </c>
      <c r="S114" s="35">
        <v>1.0</v>
      </c>
      <c r="T114" s="52"/>
      <c r="U114" s="35" t="s">
        <v>61</v>
      </c>
      <c r="V114" s="35" t="s">
        <v>61</v>
      </c>
      <c r="W114" s="35" t="s">
        <v>74</v>
      </c>
      <c r="X114" s="35" t="s">
        <v>2403</v>
      </c>
      <c r="Y114" s="35" t="s">
        <v>2404</v>
      </c>
      <c r="Z114" s="112" t="s">
        <v>2405</v>
      </c>
      <c r="AA114" s="46">
        <v>46023.0</v>
      </c>
      <c r="AB114" s="46">
        <v>46387.0</v>
      </c>
      <c r="AC114" s="35" t="s">
        <v>2407</v>
      </c>
      <c r="AD114" s="35" t="s">
        <v>79</v>
      </c>
      <c r="AE114" s="52"/>
      <c r="AF114" s="52"/>
      <c r="AG114" s="46"/>
    </row>
    <row r="115" ht="44.25" customHeight="1">
      <c r="A115" s="35">
        <v>114.0</v>
      </c>
      <c r="B115" s="35">
        <v>369.0</v>
      </c>
      <c r="C115" s="35" t="s">
        <v>265</v>
      </c>
      <c r="D115" s="35" t="s">
        <v>709</v>
      </c>
      <c r="E115" s="35" t="s">
        <v>1930</v>
      </c>
      <c r="F115" s="35" t="s">
        <v>2416</v>
      </c>
      <c r="G115" s="41" t="s">
        <v>2417</v>
      </c>
      <c r="H115" s="35" t="s">
        <v>59</v>
      </c>
      <c r="I115" s="35" t="s">
        <v>61</v>
      </c>
      <c r="J115" s="35" t="s">
        <v>62</v>
      </c>
      <c r="K115" s="35" t="s">
        <v>63</v>
      </c>
      <c r="L115" s="35">
        <v>17.0</v>
      </c>
      <c r="M115" s="35" t="s">
        <v>2426</v>
      </c>
      <c r="N115" s="35" t="s">
        <v>66</v>
      </c>
      <c r="O115" s="35" t="s">
        <v>67</v>
      </c>
      <c r="P115" s="35" t="s">
        <v>2427</v>
      </c>
      <c r="Q115" s="35">
        <v>1.0</v>
      </c>
      <c r="R115" s="35">
        <v>0.0</v>
      </c>
      <c r="S115" s="35">
        <v>1.0</v>
      </c>
      <c r="T115" s="35" t="s">
        <v>61</v>
      </c>
      <c r="U115" s="35" t="s">
        <v>61</v>
      </c>
      <c r="V115" s="35" t="s">
        <v>61</v>
      </c>
      <c r="W115" s="35" t="s">
        <v>74</v>
      </c>
      <c r="X115" s="35" t="s">
        <v>2431</v>
      </c>
      <c r="Y115" s="35" t="s">
        <v>2433</v>
      </c>
      <c r="Z115" s="35" t="s">
        <v>2435</v>
      </c>
      <c r="AA115" s="46">
        <v>46023.0</v>
      </c>
      <c r="AB115" s="46">
        <v>46387.0</v>
      </c>
      <c r="AC115" s="35" t="s">
        <v>2436</v>
      </c>
      <c r="AD115" s="35" t="s">
        <v>79</v>
      </c>
      <c r="AE115" s="52"/>
      <c r="AF115" s="52"/>
      <c r="AG115" s="46"/>
    </row>
    <row r="116" ht="44.25" customHeight="1">
      <c r="A116" s="35">
        <v>115.0</v>
      </c>
      <c r="B116" s="37" t="s">
        <v>2440</v>
      </c>
      <c r="C116" s="35" t="s">
        <v>265</v>
      </c>
      <c r="D116" s="35" t="s">
        <v>709</v>
      </c>
      <c r="E116" s="35" t="s">
        <v>1948</v>
      </c>
      <c r="F116" s="35" t="s">
        <v>2442</v>
      </c>
      <c r="G116" s="41" t="s">
        <v>2443</v>
      </c>
      <c r="H116" s="35" t="s">
        <v>59</v>
      </c>
      <c r="I116" s="35" t="s">
        <v>61</v>
      </c>
      <c r="J116" s="35" t="s">
        <v>62</v>
      </c>
      <c r="K116" s="35" t="s">
        <v>63</v>
      </c>
      <c r="L116" s="35">
        <v>17.0</v>
      </c>
      <c r="M116" s="35" t="s">
        <v>2450</v>
      </c>
      <c r="N116" s="35" t="s">
        <v>66</v>
      </c>
      <c r="O116" s="35" t="s">
        <v>67</v>
      </c>
      <c r="P116" s="35" t="s">
        <v>2452</v>
      </c>
      <c r="Q116" s="35">
        <v>1.0</v>
      </c>
      <c r="R116" s="35">
        <v>0.0</v>
      </c>
      <c r="S116" s="35">
        <v>1.0</v>
      </c>
      <c r="T116" s="52"/>
      <c r="U116" s="35" t="s">
        <v>61</v>
      </c>
      <c r="V116" s="35" t="s">
        <v>61</v>
      </c>
      <c r="W116" s="35" t="s">
        <v>74</v>
      </c>
      <c r="X116" s="35" t="s">
        <v>2456</v>
      </c>
      <c r="Y116" s="35" t="s">
        <v>2458</v>
      </c>
      <c r="Z116" s="35" t="s">
        <v>2460</v>
      </c>
      <c r="AA116" s="46">
        <v>46023.0</v>
      </c>
      <c r="AB116" s="46">
        <v>46387.0</v>
      </c>
      <c r="AC116" s="35" t="s">
        <v>2462</v>
      </c>
      <c r="AD116" s="35" t="s">
        <v>79</v>
      </c>
      <c r="AE116" s="52"/>
      <c r="AF116" s="52"/>
      <c r="AG116" s="46"/>
    </row>
    <row r="117" ht="44.25" customHeight="1">
      <c r="A117" s="35">
        <v>116.0</v>
      </c>
      <c r="B117" s="37" t="s">
        <v>2468</v>
      </c>
      <c r="C117" s="35" t="s">
        <v>265</v>
      </c>
      <c r="D117" s="35" t="s">
        <v>709</v>
      </c>
      <c r="E117" s="35" t="s">
        <v>1971</v>
      </c>
      <c r="F117" s="35" t="s">
        <v>2469</v>
      </c>
      <c r="G117" s="41" t="s">
        <v>2470</v>
      </c>
      <c r="H117" s="35" t="s">
        <v>59</v>
      </c>
      <c r="I117" s="52"/>
      <c r="J117" s="35" t="s">
        <v>62</v>
      </c>
      <c r="K117" s="35" t="s">
        <v>63</v>
      </c>
      <c r="L117" s="35">
        <v>16.0</v>
      </c>
      <c r="M117" s="52"/>
      <c r="N117" s="35" t="s">
        <v>66</v>
      </c>
      <c r="O117" s="35" t="s">
        <v>67</v>
      </c>
      <c r="P117" s="35" t="s">
        <v>61</v>
      </c>
      <c r="Q117" s="35">
        <v>1.0</v>
      </c>
      <c r="R117" s="35">
        <v>0.0</v>
      </c>
      <c r="S117" s="35">
        <v>1.0</v>
      </c>
      <c r="T117" s="35" t="s">
        <v>2478</v>
      </c>
      <c r="U117" s="35" t="s">
        <v>61</v>
      </c>
      <c r="V117" s="35" t="s">
        <v>61</v>
      </c>
      <c r="W117" s="35" t="s">
        <v>74</v>
      </c>
      <c r="X117" s="35" t="s">
        <v>2480</v>
      </c>
      <c r="Y117" s="35" t="s">
        <v>2482</v>
      </c>
      <c r="Z117" s="35" t="s">
        <v>2485</v>
      </c>
      <c r="AA117" s="46">
        <v>46023.0</v>
      </c>
      <c r="AB117" s="46">
        <v>46387.0</v>
      </c>
      <c r="AC117" s="35" t="s">
        <v>2487</v>
      </c>
      <c r="AD117" s="35" t="s">
        <v>79</v>
      </c>
      <c r="AE117" s="52"/>
      <c r="AF117" s="52"/>
      <c r="AG117" s="46"/>
    </row>
    <row r="118" ht="44.25" customHeight="1">
      <c r="A118" s="35">
        <v>117.0</v>
      </c>
      <c r="B118" s="37" t="s">
        <v>2492</v>
      </c>
      <c r="C118" s="35" t="s">
        <v>265</v>
      </c>
      <c r="D118" s="35" t="s">
        <v>709</v>
      </c>
      <c r="E118" s="35" t="s">
        <v>1971</v>
      </c>
      <c r="F118" s="35" t="s">
        <v>2493</v>
      </c>
      <c r="G118" s="41" t="s">
        <v>2494</v>
      </c>
      <c r="H118" s="35" t="s">
        <v>59</v>
      </c>
      <c r="I118" s="35" t="s">
        <v>61</v>
      </c>
      <c r="J118" s="35" t="s">
        <v>62</v>
      </c>
      <c r="K118" s="35" t="s">
        <v>63</v>
      </c>
      <c r="L118" s="35">
        <v>17.0</v>
      </c>
      <c r="M118" s="35" t="s">
        <v>2498</v>
      </c>
      <c r="N118" s="35" t="s">
        <v>66</v>
      </c>
      <c r="O118" s="35" t="s">
        <v>67</v>
      </c>
      <c r="P118" s="35" t="s">
        <v>61</v>
      </c>
      <c r="Q118" s="52"/>
      <c r="R118" s="52"/>
      <c r="S118" s="52"/>
      <c r="T118" s="35" t="s">
        <v>2504</v>
      </c>
      <c r="U118" s="35" t="s">
        <v>61</v>
      </c>
      <c r="V118" s="35" t="s">
        <v>61</v>
      </c>
      <c r="W118" s="35" t="s">
        <v>74</v>
      </c>
      <c r="X118" s="35" t="s">
        <v>2507</v>
      </c>
      <c r="Y118" s="35" t="s">
        <v>2508</v>
      </c>
      <c r="Z118" s="35" t="s">
        <v>2510</v>
      </c>
      <c r="AA118" s="46">
        <v>46023.0</v>
      </c>
      <c r="AB118" s="46">
        <v>46387.0</v>
      </c>
      <c r="AC118" s="35" t="s">
        <v>2511</v>
      </c>
      <c r="AD118" s="35" t="s">
        <v>79</v>
      </c>
      <c r="AE118" s="52"/>
      <c r="AF118" s="52"/>
      <c r="AG118" s="46"/>
    </row>
    <row r="119" ht="44.25" customHeight="1">
      <c r="A119" s="35">
        <v>118.0</v>
      </c>
      <c r="B119" s="37" t="s">
        <v>2515</v>
      </c>
      <c r="C119" s="35" t="s">
        <v>265</v>
      </c>
      <c r="D119" s="35" t="s">
        <v>709</v>
      </c>
      <c r="E119" s="35" t="s">
        <v>1988</v>
      </c>
      <c r="F119" s="35" t="s">
        <v>2516</v>
      </c>
      <c r="G119" s="41" t="s">
        <v>2519</v>
      </c>
      <c r="H119" s="35" t="s">
        <v>59</v>
      </c>
      <c r="I119" s="35" t="s">
        <v>61</v>
      </c>
      <c r="J119" s="35" t="s">
        <v>62</v>
      </c>
      <c r="K119" s="35" t="s">
        <v>111</v>
      </c>
      <c r="L119" s="35">
        <v>70.0</v>
      </c>
      <c r="M119" s="35" t="s">
        <v>2522</v>
      </c>
      <c r="N119" s="35" t="s">
        <v>66</v>
      </c>
      <c r="O119" s="35" t="s">
        <v>67</v>
      </c>
      <c r="P119" s="35" t="s">
        <v>2527</v>
      </c>
      <c r="Q119" s="35">
        <v>0.0</v>
      </c>
      <c r="R119" s="35">
        <v>1.0</v>
      </c>
      <c r="S119" s="35">
        <v>1.0</v>
      </c>
      <c r="T119" s="52"/>
      <c r="U119" s="35">
        <v>16.0</v>
      </c>
      <c r="V119" s="35" t="s">
        <v>533</v>
      </c>
      <c r="W119" s="35" t="s">
        <v>93</v>
      </c>
      <c r="X119" s="35" t="s">
        <v>2530</v>
      </c>
      <c r="Y119" s="35" t="s">
        <v>2531</v>
      </c>
      <c r="Z119" s="35" t="s">
        <v>2533</v>
      </c>
      <c r="AA119" s="46">
        <v>46023.0</v>
      </c>
      <c r="AB119" s="46">
        <v>46387.0</v>
      </c>
      <c r="AC119" s="35" t="s">
        <v>2536</v>
      </c>
      <c r="AD119" s="35" t="s">
        <v>79</v>
      </c>
      <c r="AE119" s="52"/>
      <c r="AF119" s="52"/>
      <c r="AG119" s="46"/>
    </row>
    <row r="120" ht="44.25" customHeight="1">
      <c r="A120" s="35">
        <v>119.0</v>
      </c>
      <c r="B120" s="37" t="s">
        <v>2537</v>
      </c>
      <c r="C120" s="35" t="s">
        <v>265</v>
      </c>
      <c r="D120" s="35" t="s">
        <v>709</v>
      </c>
      <c r="E120" s="35" t="s">
        <v>1988</v>
      </c>
      <c r="F120" s="35" t="s">
        <v>2540</v>
      </c>
      <c r="G120" s="41" t="s">
        <v>2543</v>
      </c>
      <c r="H120" s="35" t="s">
        <v>59</v>
      </c>
      <c r="I120" s="35" t="s">
        <v>61</v>
      </c>
      <c r="J120" s="35" t="s">
        <v>62</v>
      </c>
      <c r="K120" s="35" t="s">
        <v>63</v>
      </c>
      <c r="L120" s="35">
        <v>45.0</v>
      </c>
      <c r="M120" s="35" t="s">
        <v>2549</v>
      </c>
      <c r="N120" s="35" t="s">
        <v>66</v>
      </c>
      <c r="O120" s="35" t="s">
        <v>67</v>
      </c>
      <c r="P120" s="35" t="s">
        <v>2550</v>
      </c>
      <c r="Q120" s="35">
        <v>1.0</v>
      </c>
      <c r="R120" s="35">
        <v>0.0</v>
      </c>
      <c r="S120" s="35">
        <v>1.0</v>
      </c>
      <c r="T120" s="52"/>
      <c r="U120" s="35">
        <v>13.0</v>
      </c>
      <c r="V120" s="35" t="s">
        <v>61</v>
      </c>
      <c r="W120" s="35" t="s">
        <v>93</v>
      </c>
      <c r="X120" s="35" t="s">
        <v>2555</v>
      </c>
      <c r="Y120" s="35" t="s">
        <v>2556</v>
      </c>
      <c r="Z120" s="35" t="s">
        <v>2558</v>
      </c>
      <c r="AA120" s="46">
        <v>46023.0</v>
      </c>
      <c r="AB120" s="46">
        <v>46387.0</v>
      </c>
      <c r="AC120" s="35" t="s">
        <v>2560</v>
      </c>
      <c r="AD120" s="35" t="s">
        <v>79</v>
      </c>
      <c r="AE120" s="52"/>
      <c r="AF120" s="52"/>
      <c r="AG120" s="46"/>
    </row>
    <row r="121" ht="44.25" customHeight="1">
      <c r="A121" s="35">
        <v>120.0</v>
      </c>
      <c r="B121" s="37" t="s">
        <v>2562</v>
      </c>
      <c r="C121" s="35" t="s">
        <v>265</v>
      </c>
      <c r="D121" s="35" t="s">
        <v>709</v>
      </c>
      <c r="E121" s="35" t="s">
        <v>1988</v>
      </c>
      <c r="F121" s="35" t="s">
        <v>2563</v>
      </c>
      <c r="G121" s="41" t="s">
        <v>2565</v>
      </c>
      <c r="H121" s="35" t="s">
        <v>59</v>
      </c>
      <c r="I121" s="35" t="s">
        <v>61</v>
      </c>
      <c r="J121" s="35" t="s">
        <v>62</v>
      </c>
      <c r="K121" s="35" t="s">
        <v>63</v>
      </c>
      <c r="L121" s="35">
        <v>17.0</v>
      </c>
      <c r="M121" s="35" t="s">
        <v>2568</v>
      </c>
      <c r="N121" s="35" t="s">
        <v>66</v>
      </c>
      <c r="O121" s="35" t="s">
        <v>67</v>
      </c>
      <c r="P121" s="35" t="s">
        <v>61</v>
      </c>
      <c r="Q121" s="52"/>
      <c r="R121" s="52"/>
      <c r="S121" s="52"/>
      <c r="T121" s="35" t="s">
        <v>2573</v>
      </c>
      <c r="U121" s="35" t="s">
        <v>61</v>
      </c>
      <c r="V121" s="35" t="s">
        <v>61</v>
      </c>
      <c r="W121" s="35" t="s">
        <v>74</v>
      </c>
      <c r="X121" s="35" t="s">
        <v>2575</v>
      </c>
      <c r="Y121" s="35" t="s">
        <v>2577</v>
      </c>
      <c r="Z121" s="35" t="s">
        <v>2579</v>
      </c>
      <c r="AA121" s="46">
        <v>46023.0</v>
      </c>
      <c r="AB121" s="46">
        <v>46387.0</v>
      </c>
      <c r="AC121" s="35" t="s">
        <v>2581</v>
      </c>
      <c r="AD121" s="35" t="s">
        <v>79</v>
      </c>
      <c r="AE121" s="52"/>
      <c r="AF121" s="52"/>
      <c r="AG121" s="46"/>
    </row>
    <row r="122" ht="44.25" customHeight="1">
      <c r="A122" s="35">
        <v>121.0</v>
      </c>
      <c r="B122" s="37" t="s">
        <v>2585</v>
      </c>
      <c r="C122" s="35" t="s">
        <v>265</v>
      </c>
      <c r="D122" s="35" t="s">
        <v>709</v>
      </c>
      <c r="E122" s="35" t="s">
        <v>1988</v>
      </c>
      <c r="F122" s="35" t="s">
        <v>1931</v>
      </c>
      <c r="G122" s="41" t="s">
        <v>2587</v>
      </c>
      <c r="H122" s="35" t="s">
        <v>59</v>
      </c>
      <c r="I122" s="35" t="s">
        <v>61</v>
      </c>
      <c r="J122" s="35" t="s">
        <v>62</v>
      </c>
      <c r="K122" s="35" t="s">
        <v>63</v>
      </c>
      <c r="L122" s="35">
        <v>12.0</v>
      </c>
      <c r="M122" s="35" t="s">
        <v>2592</v>
      </c>
      <c r="N122" s="35" t="s">
        <v>66</v>
      </c>
      <c r="O122" s="35" t="s">
        <v>67</v>
      </c>
      <c r="P122" s="35" t="s">
        <v>2599</v>
      </c>
      <c r="Q122" s="35">
        <v>1.0</v>
      </c>
      <c r="R122" s="35">
        <v>0.0</v>
      </c>
      <c r="S122" s="35">
        <v>1.0</v>
      </c>
      <c r="T122" s="52"/>
      <c r="U122" s="35" t="s">
        <v>61</v>
      </c>
      <c r="V122" s="35" t="s">
        <v>61</v>
      </c>
      <c r="W122" s="35" t="s">
        <v>74</v>
      </c>
      <c r="X122" s="35" t="s">
        <v>2600</v>
      </c>
      <c r="Y122" s="35" t="s">
        <v>2601</v>
      </c>
      <c r="Z122" s="35" t="s">
        <v>2602</v>
      </c>
      <c r="AA122" s="46">
        <v>46023.0</v>
      </c>
      <c r="AB122" s="46">
        <v>46387.0</v>
      </c>
      <c r="AC122" s="35" t="s">
        <v>2604</v>
      </c>
      <c r="AD122" s="35" t="s">
        <v>79</v>
      </c>
      <c r="AE122" s="102"/>
      <c r="AF122" s="52"/>
      <c r="AG122" s="46"/>
    </row>
    <row r="123" ht="44.25" customHeight="1">
      <c r="A123" s="35">
        <v>122.0</v>
      </c>
      <c r="B123" s="37" t="s">
        <v>2606</v>
      </c>
      <c r="C123" s="35" t="s">
        <v>265</v>
      </c>
      <c r="D123" s="35" t="s">
        <v>709</v>
      </c>
      <c r="E123" s="35" t="s">
        <v>1988</v>
      </c>
      <c r="F123" s="35" t="s">
        <v>2607</v>
      </c>
      <c r="G123" s="41" t="s">
        <v>2608</v>
      </c>
      <c r="H123" s="35" t="s">
        <v>59</v>
      </c>
      <c r="I123" s="35" t="s">
        <v>61</v>
      </c>
      <c r="J123" s="35" t="s">
        <v>62</v>
      </c>
      <c r="K123" s="35" t="s">
        <v>63</v>
      </c>
      <c r="L123" s="35">
        <v>40.0</v>
      </c>
      <c r="M123" s="35" t="s">
        <v>2613</v>
      </c>
      <c r="N123" s="35" t="s">
        <v>66</v>
      </c>
      <c r="O123" s="35" t="s">
        <v>67</v>
      </c>
      <c r="P123" s="35" t="s">
        <v>2614</v>
      </c>
      <c r="Q123" s="35">
        <v>1.0</v>
      </c>
      <c r="R123" s="35">
        <v>0.0</v>
      </c>
      <c r="S123" s="35">
        <v>1.0</v>
      </c>
      <c r="T123" s="35" t="s">
        <v>61</v>
      </c>
      <c r="U123" s="35" t="s">
        <v>61</v>
      </c>
      <c r="V123" s="35" t="s">
        <v>61</v>
      </c>
      <c r="W123" s="35" t="s">
        <v>93</v>
      </c>
      <c r="X123" s="35" t="s">
        <v>2619</v>
      </c>
      <c r="Y123" s="35" t="s">
        <v>2621</v>
      </c>
      <c r="Z123" s="35" t="s">
        <v>2622</v>
      </c>
      <c r="AA123" s="46">
        <v>46023.0</v>
      </c>
      <c r="AB123" s="46">
        <v>46387.0</v>
      </c>
      <c r="AC123" s="35" t="s">
        <v>2624</v>
      </c>
      <c r="AD123" s="35" t="s">
        <v>79</v>
      </c>
      <c r="AE123" s="52"/>
      <c r="AF123" s="52"/>
      <c r="AG123" s="46"/>
    </row>
    <row r="124" ht="44.25" customHeight="1">
      <c r="A124" s="35">
        <v>123.0</v>
      </c>
      <c r="B124" s="37" t="s">
        <v>2626</v>
      </c>
      <c r="C124" s="35" t="s">
        <v>265</v>
      </c>
      <c r="D124" s="35" t="s">
        <v>709</v>
      </c>
      <c r="E124" s="35" t="s">
        <v>1988</v>
      </c>
      <c r="F124" s="35" t="s">
        <v>2629</v>
      </c>
      <c r="G124" s="41" t="s">
        <v>2635</v>
      </c>
      <c r="H124" s="35" t="s">
        <v>59</v>
      </c>
      <c r="I124" s="35" t="s">
        <v>61</v>
      </c>
      <c r="J124" s="35" t="s">
        <v>62</v>
      </c>
      <c r="K124" s="35" t="s">
        <v>63</v>
      </c>
      <c r="L124" s="35">
        <v>17.0</v>
      </c>
      <c r="M124" s="52"/>
      <c r="N124" s="35" t="s">
        <v>66</v>
      </c>
      <c r="O124" s="35" t="s">
        <v>67</v>
      </c>
      <c r="P124" s="35" t="s">
        <v>61</v>
      </c>
      <c r="Q124" s="52"/>
      <c r="R124" s="52"/>
      <c r="S124" s="52"/>
      <c r="T124" s="35" t="s">
        <v>2645</v>
      </c>
      <c r="U124" s="35" t="s">
        <v>61</v>
      </c>
      <c r="V124" s="35" t="s">
        <v>61</v>
      </c>
      <c r="W124" s="35" t="s">
        <v>74</v>
      </c>
      <c r="X124" s="35" t="s">
        <v>2648</v>
      </c>
      <c r="Y124" s="35" t="s">
        <v>2649</v>
      </c>
      <c r="Z124" s="112" t="s">
        <v>2651</v>
      </c>
      <c r="AA124" s="46">
        <v>46023.0</v>
      </c>
      <c r="AB124" s="46">
        <v>46387.0</v>
      </c>
      <c r="AC124" s="35" t="s">
        <v>2652</v>
      </c>
      <c r="AD124" s="35" t="s">
        <v>79</v>
      </c>
      <c r="AE124" s="52"/>
      <c r="AF124" s="52"/>
      <c r="AG124" s="46"/>
    </row>
    <row r="125" ht="44.25" customHeight="1">
      <c r="A125" s="35">
        <v>124.0</v>
      </c>
      <c r="B125" s="37" t="s">
        <v>2658</v>
      </c>
      <c r="C125" s="35" t="s">
        <v>265</v>
      </c>
      <c r="D125" s="35" t="s">
        <v>709</v>
      </c>
      <c r="E125" s="35" t="s">
        <v>1988</v>
      </c>
      <c r="F125" s="35" t="s">
        <v>2661</v>
      </c>
      <c r="G125" s="41" t="s">
        <v>2635</v>
      </c>
      <c r="H125" s="35" t="s">
        <v>59</v>
      </c>
      <c r="I125" s="35" t="s">
        <v>61</v>
      </c>
      <c r="J125" s="35" t="s">
        <v>62</v>
      </c>
      <c r="K125" s="35" t="s">
        <v>63</v>
      </c>
      <c r="L125" s="35">
        <v>17.0</v>
      </c>
      <c r="M125" s="35" t="s">
        <v>2667</v>
      </c>
      <c r="N125" s="35" t="s">
        <v>66</v>
      </c>
      <c r="O125" s="35" t="s">
        <v>67</v>
      </c>
      <c r="P125" s="35" t="s">
        <v>2669</v>
      </c>
      <c r="Q125" s="35">
        <v>1.0</v>
      </c>
      <c r="R125" s="35" t="s">
        <v>61</v>
      </c>
      <c r="S125" s="35">
        <v>1.0</v>
      </c>
      <c r="T125" s="52"/>
      <c r="U125" s="35">
        <v>7.0</v>
      </c>
      <c r="V125" s="35" t="s">
        <v>61</v>
      </c>
      <c r="W125" s="35" t="s">
        <v>74</v>
      </c>
      <c r="X125" s="35" t="s">
        <v>2671</v>
      </c>
      <c r="Y125" s="35" t="s">
        <v>2672</v>
      </c>
      <c r="Z125" s="112" t="s">
        <v>2651</v>
      </c>
      <c r="AA125" s="46">
        <v>46023.0</v>
      </c>
      <c r="AB125" s="46">
        <v>46387.0</v>
      </c>
      <c r="AC125" s="35" t="s">
        <v>2676</v>
      </c>
      <c r="AD125" s="35" t="s">
        <v>79</v>
      </c>
      <c r="AE125" s="52"/>
      <c r="AF125" s="52"/>
      <c r="AG125" s="46"/>
    </row>
    <row r="126" ht="44.25" customHeight="1">
      <c r="A126" s="35">
        <v>125.0</v>
      </c>
      <c r="B126" s="37" t="s">
        <v>2680</v>
      </c>
      <c r="C126" s="35" t="s">
        <v>265</v>
      </c>
      <c r="D126" s="35" t="s">
        <v>709</v>
      </c>
      <c r="E126" s="35" t="s">
        <v>1988</v>
      </c>
      <c r="F126" s="35" t="s">
        <v>2684</v>
      </c>
      <c r="G126" s="41" t="s">
        <v>2688</v>
      </c>
      <c r="H126" s="35" t="s">
        <v>59</v>
      </c>
      <c r="I126" s="35" t="s">
        <v>61</v>
      </c>
      <c r="J126" s="35" t="s">
        <v>62</v>
      </c>
      <c r="K126" s="35" t="s">
        <v>63</v>
      </c>
      <c r="L126" s="35">
        <v>32.0</v>
      </c>
      <c r="M126" s="35" t="s">
        <v>2693</v>
      </c>
      <c r="N126" s="35" t="s">
        <v>66</v>
      </c>
      <c r="O126" s="35" t="s">
        <v>67</v>
      </c>
      <c r="P126" s="35" t="s">
        <v>2697</v>
      </c>
      <c r="Q126" s="35">
        <v>1.0</v>
      </c>
      <c r="R126" s="35" t="s">
        <v>61</v>
      </c>
      <c r="S126" s="35">
        <v>1.0</v>
      </c>
      <c r="T126" s="52"/>
      <c r="U126" s="35">
        <v>8.0</v>
      </c>
      <c r="V126" s="35" t="s">
        <v>61</v>
      </c>
      <c r="W126" s="35" t="s">
        <v>74</v>
      </c>
      <c r="X126" s="35" t="s">
        <v>2701</v>
      </c>
      <c r="Y126" s="35" t="s">
        <v>2702</v>
      </c>
      <c r="Z126" s="112" t="s">
        <v>2703</v>
      </c>
      <c r="AA126" s="46">
        <v>46023.0</v>
      </c>
      <c r="AB126" s="46">
        <v>46387.0</v>
      </c>
      <c r="AC126" s="35" t="s">
        <v>2705</v>
      </c>
      <c r="AD126" s="35" t="s">
        <v>79</v>
      </c>
      <c r="AE126" s="52"/>
      <c r="AF126" s="52"/>
      <c r="AG126" s="46"/>
    </row>
    <row r="127" ht="44.25" customHeight="1">
      <c r="A127" s="35">
        <v>126.0</v>
      </c>
      <c r="B127" s="35">
        <v>5617.0</v>
      </c>
      <c r="C127" s="35" t="s">
        <v>265</v>
      </c>
      <c r="D127" s="35" t="s">
        <v>709</v>
      </c>
      <c r="E127" s="35" t="s">
        <v>1988</v>
      </c>
      <c r="F127" s="35" t="s">
        <v>2709</v>
      </c>
      <c r="G127" s="41" t="s">
        <v>2711</v>
      </c>
      <c r="H127" s="35" t="s">
        <v>59</v>
      </c>
      <c r="I127" s="35" t="s">
        <v>61</v>
      </c>
      <c r="J127" s="35" t="s">
        <v>62</v>
      </c>
      <c r="K127" s="35" t="s">
        <v>111</v>
      </c>
      <c r="L127" s="35">
        <v>74.0</v>
      </c>
      <c r="M127" s="35" t="s">
        <v>2718</v>
      </c>
      <c r="N127" s="35" t="s">
        <v>66</v>
      </c>
      <c r="O127" s="35" t="s">
        <v>67</v>
      </c>
      <c r="P127" s="35" t="s">
        <v>2721</v>
      </c>
      <c r="Q127" s="35" t="s">
        <v>61</v>
      </c>
      <c r="R127" s="35">
        <v>1.0</v>
      </c>
      <c r="S127" s="35">
        <v>1.0</v>
      </c>
      <c r="T127" s="52"/>
      <c r="U127" s="35">
        <v>10.0</v>
      </c>
      <c r="V127" s="35" t="s">
        <v>61</v>
      </c>
      <c r="W127" s="35" t="s">
        <v>93</v>
      </c>
      <c r="X127" s="35" t="s">
        <v>2724</v>
      </c>
      <c r="Y127" s="35" t="s">
        <v>2725</v>
      </c>
      <c r="Z127" s="112" t="s">
        <v>2726</v>
      </c>
      <c r="AA127" s="46">
        <v>46023.0</v>
      </c>
      <c r="AB127" s="46">
        <v>46387.0</v>
      </c>
      <c r="AC127" s="35" t="s">
        <v>2729</v>
      </c>
      <c r="AD127" s="35" t="s">
        <v>79</v>
      </c>
      <c r="AE127" s="52"/>
      <c r="AF127" s="52"/>
      <c r="AG127" s="46"/>
    </row>
    <row r="128" ht="44.25" customHeight="1">
      <c r="A128" s="35">
        <v>127.0</v>
      </c>
      <c r="B128" s="35">
        <v>317.0</v>
      </c>
      <c r="C128" s="35" t="s">
        <v>265</v>
      </c>
      <c r="D128" s="35" t="s">
        <v>709</v>
      </c>
      <c r="E128" s="35" t="s">
        <v>1988</v>
      </c>
      <c r="F128" s="35" t="s">
        <v>2734</v>
      </c>
      <c r="G128" s="41" t="s">
        <v>2737</v>
      </c>
      <c r="H128" s="35" t="s">
        <v>59</v>
      </c>
      <c r="I128" s="35" t="s">
        <v>61</v>
      </c>
      <c r="J128" s="35" t="s">
        <v>62</v>
      </c>
      <c r="K128" s="35" t="s">
        <v>63</v>
      </c>
      <c r="L128" s="35">
        <v>15.0</v>
      </c>
      <c r="M128" s="35" t="s">
        <v>61</v>
      </c>
      <c r="N128" s="35" t="s">
        <v>66</v>
      </c>
      <c r="O128" s="35" t="s">
        <v>67</v>
      </c>
      <c r="P128" s="35" t="s">
        <v>2745</v>
      </c>
      <c r="Q128" s="35">
        <v>1.0</v>
      </c>
      <c r="R128" s="35" t="s">
        <v>61</v>
      </c>
      <c r="S128" s="35">
        <v>1.0</v>
      </c>
      <c r="T128" s="52"/>
      <c r="U128" s="35" t="s">
        <v>61</v>
      </c>
      <c r="V128" s="35" t="s">
        <v>61</v>
      </c>
      <c r="W128" s="35" t="s">
        <v>74</v>
      </c>
      <c r="X128" s="35" t="s">
        <v>2747</v>
      </c>
      <c r="Y128" s="35" t="s">
        <v>2749</v>
      </c>
      <c r="Z128" s="35" t="s">
        <v>2750</v>
      </c>
      <c r="AA128" s="46">
        <v>46023.0</v>
      </c>
      <c r="AB128" s="46">
        <v>46387.0</v>
      </c>
      <c r="AC128" s="35" t="s">
        <v>2752</v>
      </c>
      <c r="AD128" s="35" t="s">
        <v>79</v>
      </c>
      <c r="AE128" s="52"/>
      <c r="AF128" s="52"/>
      <c r="AG128" s="46"/>
    </row>
    <row r="129" ht="44.25" customHeight="1">
      <c r="A129" s="35">
        <v>128.0</v>
      </c>
      <c r="B129" s="35">
        <v>4199.0</v>
      </c>
      <c r="C129" s="35" t="s">
        <v>265</v>
      </c>
      <c r="D129" s="35" t="s">
        <v>709</v>
      </c>
      <c r="E129" s="35" t="s">
        <v>1988</v>
      </c>
      <c r="F129" s="35" t="s">
        <v>2755</v>
      </c>
      <c r="G129" s="41" t="s">
        <v>2756</v>
      </c>
      <c r="H129" s="35" t="s">
        <v>59</v>
      </c>
      <c r="I129" s="35" t="s">
        <v>61</v>
      </c>
      <c r="J129" s="35" t="s">
        <v>62</v>
      </c>
      <c r="K129" s="35" t="s">
        <v>63</v>
      </c>
      <c r="L129" s="35">
        <v>25.0</v>
      </c>
      <c r="M129" s="35" t="s">
        <v>61</v>
      </c>
      <c r="N129" s="35" t="s">
        <v>66</v>
      </c>
      <c r="O129" s="35" t="s">
        <v>67</v>
      </c>
      <c r="P129" s="35" t="s">
        <v>2764</v>
      </c>
      <c r="Q129" s="35">
        <v>1.0</v>
      </c>
      <c r="R129" s="35" t="s">
        <v>61</v>
      </c>
      <c r="S129" s="35">
        <v>1.0</v>
      </c>
      <c r="T129" s="52"/>
      <c r="U129" s="35" t="s">
        <v>61</v>
      </c>
      <c r="V129" s="35" t="s">
        <v>61</v>
      </c>
      <c r="W129" s="35" t="s">
        <v>74</v>
      </c>
      <c r="X129" s="35" t="s">
        <v>2768</v>
      </c>
      <c r="Y129" s="35" t="s">
        <v>2770</v>
      </c>
      <c r="Z129" s="112" t="s">
        <v>2772</v>
      </c>
      <c r="AA129" s="46">
        <v>46023.0</v>
      </c>
      <c r="AB129" s="46">
        <v>46387.0</v>
      </c>
      <c r="AC129" s="35" t="s">
        <v>2773</v>
      </c>
      <c r="AD129" s="35" t="s">
        <v>79</v>
      </c>
      <c r="AE129" s="52"/>
      <c r="AF129" s="52"/>
      <c r="AG129" s="46"/>
    </row>
    <row r="130" ht="44.25" customHeight="1">
      <c r="A130" s="35">
        <v>129.0</v>
      </c>
      <c r="B130" s="37" t="s">
        <v>2776</v>
      </c>
      <c r="C130" s="35" t="s">
        <v>265</v>
      </c>
      <c r="D130" s="35" t="s">
        <v>709</v>
      </c>
      <c r="E130" s="35" t="s">
        <v>2778</v>
      </c>
      <c r="F130" s="35" t="s">
        <v>2779</v>
      </c>
      <c r="G130" s="41" t="s">
        <v>2780</v>
      </c>
      <c r="H130" s="35" t="s">
        <v>59</v>
      </c>
      <c r="I130" s="35" t="s">
        <v>61</v>
      </c>
      <c r="J130" s="35" t="s">
        <v>62</v>
      </c>
      <c r="K130" s="35" t="s">
        <v>63</v>
      </c>
      <c r="L130" s="35">
        <v>17.0</v>
      </c>
      <c r="M130" s="35" t="s">
        <v>2785</v>
      </c>
      <c r="N130" s="35" t="s">
        <v>66</v>
      </c>
      <c r="O130" s="35" t="s">
        <v>67</v>
      </c>
      <c r="P130" s="35" t="s">
        <v>61</v>
      </c>
      <c r="Q130" s="35">
        <v>0.0</v>
      </c>
      <c r="R130" s="35">
        <v>0.0</v>
      </c>
      <c r="S130" s="35">
        <v>0.0</v>
      </c>
      <c r="T130" s="35" t="s">
        <v>2787</v>
      </c>
      <c r="U130" s="52"/>
      <c r="V130" s="35" t="s">
        <v>61</v>
      </c>
      <c r="W130" s="35" t="s">
        <v>74</v>
      </c>
      <c r="X130" s="35" t="s">
        <v>2789</v>
      </c>
      <c r="Y130" s="35" t="s">
        <v>2791</v>
      </c>
      <c r="Z130" s="35" t="s">
        <v>2793</v>
      </c>
      <c r="AA130" s="46">
        <v>46023.0</v>
      </c>
      <c r="AB130" s="46">
        <v>46387.0</v>
      </c>
      <c r="AC130" s="35" t="s">
        <v>2797</v>
      </c>
      <c r="AD130" s="35" t="s">
        <v>79</v>
      </c>
      <c r="AE130" s="52"/>
      <c r="AF130" s="52"/>
      <c r="AG130" s="46"/>
    </row>
    <row r="131" ht="44.25" customHeight="1">
      <c r="A131" s="35">
        <v>130.0</v>
      </c>
      <c r="B131" s="37" t="s">
        <v>2798</v>
      </c>
      <c r="C131" s="35" t="s">
        <v>265</v>
      </c>
      <c r="D131" s="35" t="s">
        <v>709</v>
      </c>
      <c r="E131" s="35" t="s">
        <v>2799</v>
      </c>
      <c r="F131" s="35" t="s">
        <v>2801</v>
      </c>
      <c r="G131" s="41" t="s">
        <v>2802</v>
      </c>
      <c r="H131" s="35" t="s">
        <v>59</v>
      </c>
      <c r="I131" s="35" t="s">
        <v>61</v>
      </c>
      <c r="J131" s="35" t="s">
        <v>62</v>
      </c>
      <c r="K131" s="35" t="s">
        <v>111</v>
      </c>
      <c r="L131" s="35">
        <v>33.0</v>
      </c>
      <c r="M131" s="35" t="s">
        <v>2806</v>
      </c>
      <c r="N131" s="35" t="s">
        <v>66</v>
      </c>
      <c r="O131" s="35" t="s">
        <v>67</v>
      </c>
      <c r="P131" s="35" t="s">
        <v>2809</v>
      </c>
      <c r="Q131" s="35">
        <v>0.0</v>
      </c>
      <c r="R131" s="35">
        <v>1.0</v>
      </c>
      <c r="S131" s="35">
        <v>0.0</v>
      </c>
      <c r="T131" s="35" t="s">
        <v>61</v>
      </c>
      <c r="U131" s="35">
        <v>9.0</v>
      </c>
      <c r="V131" s="35" t="s">
        <v>61</v>
      </c>
      <c r="W131" s="35" t="s">
        <v>93</v>
      </c>
      <c r="X131" s="35" t="s">
        <v>2811</v>
      </c>
      <c r="Y131" s="35">
        <v>9.394588972E9</v>
      </c>
      <c r="Z131" s="112" t="s">
        <v>2814</v>
      </c>
      <c r="AA131" s="46">
        <v>46023.0</v>
      </c>
      <c r="AB131" s="46">
        <v>46387.0</v>
      </c>
      <c r="AC131" s="35" t="s">
        <v>2838</v>
      </c>
      <c r="AD131" s="35" t="s">
        <v>79</v>
      </c>
      <c r="AE131" s="102"/>
      <c r="AF131" s="52"/>
      <c r="AG131" s="46"/>
    </row>
    <row r="132" ht="44.25" customHeight="1">
      <c r="A132" s="35">
        <v>131.0</v>
      </c>
      <c r="B132" s="37" t="s">
        <v>2841</v>
      </c>
      <c r="C132" s="35" t="s">
        <v>265</v>
      </c>
      <c r="D132" s="35" t="s">
        <v>709</v>
      </c>
      <c r="E132" s="35" t="s">
        <v>2799</v>
      </c>
      <c r="F132" s="35" t="s">
        <v>2842</v>
      </c>
      <c r="G132" s="41" t="s">
        <v>2845</v>
      </c>
      <c r="H132" s="35" t="s">
        <v>59</v>
      </c>
      <c r="I132" s="35" t="s">
        <v>61</v>
      </c>
      <c r="J132" s="35" t="s">
        <v>62</v>
      </c>
      <c r="K132" s="35" t="s">
        <v>111</v>
      </c>
      <c r="L132" s="35">
        <v>80.0</v>
      </c>
      <c r="M132" s="35" t="s">
        <v>2849</v>
      </c>
      <c r="N132" s="35" t="s">
        <v>66</v>
      </c>
      <c r="O132" s="35" t="s">
        <v>67</v>
      </c>
      <c r="P132" s="35" t="s">
        <v>2850</v>
      </c>
      <c r="Q132" s="35">
        <v>0.0</v>
      </c>
      <c r="R132" s="35">
        <v>1.0</v>
      </c>
      <c r="S132" s="35">
        <v>1.0</v>
      </c>
      <c r="T132" s="52"/>
      <c r="U132" s="35">
        <v>20.0</v>
      </c>
      <c r="V132" s="35" t="s">
        <v>61</v>
      </c>
      <c r="W132" s="35" t="s">
        <v>93</v>
      </c>
      <c r="X132" s="35" t="s">
        <v>2852</v>
      </c>
      <c r="Y132" s="35" t="s">
        <v>2854</v>
      </c>
      <c r="Z132" s="35" t="s">
        <v>2855</v>
      </c>
      <c r="AA132" s="46">
        <v>46023.0</v>
      </c>
      <c r="AB132" s="46">
        <v>46387.0</v>
      </c>
      <c r="AC132" s="35" t="s">
        <v>2856</v>
      </c>
      <c r="AD132" s="35" t="s">
        <v>79</v>
      </c>
      <c r="AE132" s="102"/>
      <c r="AF132" s="52"/>
      <c r="AG132" s="46"/>
    </row>
    <row r="133" ht="44.25" customHeight="1">
      <c r="A133" s="35">
        <v>132.0</v>
      </c>
      <c r="B133" s="37" t="s">
        <v>2857</v>
      </c>
      <c r="C133" s="35" t="s">
        <v>265</v>
      </c>
      <c r="D133" s="35" t="s">
        <v>709</v>
      </c>
      <c r="E133" s="35" t="s">
        <v>2799</v>
      </c>
      <c r="F133" s="35" t="s">
        <v>2860</v>
      </c>
      <c r="G133" s="41" t="s">
        <v>2862</v>
      </c>
      <c r="H133" s="35" t="s">
        <v>59</v>
      </c>
      <c r="I133" s="35" t="s">
        <v>61</v>
      </c>
      <c r="J133" s="35" t="s">
        <v>62</v>
      </c>
      <c r="K133" s="35" t="s">
        <v>111</v>
      </c>
      <c r="L133" s="35">
        <v>60.0</v>
      </c>
      <c r="M133" s="35" t="s">
        <v>2865</v>
      </c>
      <c r="N133" s="35" t="s">
        <v>66</v>
      </c>
      <c r="O133" s="35" t="s">
        <v>67</v>
      </c>
      <c r="P133" s="35" t="s">
        <v>2868</v>
      </c>
      <c r="Q133" s="35">
        <v>0.0</v>
      </c>
      <c r="R133" s="35">
        <v>1.0</v>
      </c>
      <c r="S133" s="35">
        <v>1.0</v>
      </c>
      <c r="T133" s="52"/>
      <c r="U133" s="35">
        <v>6.0</v>
      </c>
      <c r="V133" s="35" t="s">
        <v>61</v>
      </c>
      <c r="W133" s="35" t="s">
        <v>93</v>
      </c>
      <c r="X133" s="35" t="s">
        <v>2871</v>
      </c>
      <c r="Y133" s="35" t="s">
        <v>2872</v>
      </c>
      <c r="Z133" s="35" t="s">
        <v>2874</v>
      </c>
      <c r="AA133" s="46">
        <v>46023.0</v>
      </c>
      <c r="AB133" s="46">
        <v>46387.0</v>
      </c>
      <c r="AC133" s="35" t="s">
        <v>2876</v>
      </c>
      <c r="AD133" s="35" t="s">
        <v>79</v>
      </c>
      <c r="AE133" s="52"/>
      <c r="AF133" s="52"/>
      <c r="AG133" s="46"/>
    </row>
    <row r="134" ht="44.25" customHeight="1">
      <c r="A134" s="35">
        <v>133.0</v>
      </c>
      <c r="B134" s="35">
        <v>348.0</v>
      </c>
      <c r="C134" s="35" t="s">
        <v>265</v>
      </c>
      <c r="D134" s="35" t="s">
        <v>709</v>
      </c>
      <c r="E134" s="35" t="s">
        <v>2799</v>
      </c>
      <c r="F134" s="35" t="s">
        <v>2880</v>
      </c>
      <c r="G134" s="41" t="s">
        <v>2882</v>
      </c>
      <c r="H134" s="35" t="s">
        <v>59</v>
      </c>
      <c r="I134" s="35" t="s">
        <v>61</v>
      </c>
      <c r="J134" s="35" t="s">
        <v>62</v>
      </c>
      <c r="K134" s="35" t="s">
        <v>63</v>
      </c>
      <c r="L134" s="35">
        <v>14.0</v>
      </c>
      <c r="M134" s="35" t="s">
        <v>2889</v>
      </c>
      <c r="N134" s="35" t="s">
        <v>66</v>
      </c>
      <c r="O134" s="35" t="s">
        <v>67</v>
      </c>
      <c r="P134" s="35" t="s">
        <v>61</v>
      </c>
      <c r="Q134" s="35" t="s">
        <v>61</v>
      </c>
      <c r="R134" s="35" t="s">
        <v>61</v>
      </c>
      <c r="S134" s="35" t="s">
        <v>61</v>
      </c>
      <c r="T134" s="35" t="s">
        <v>2893</v>
      </c>
      <c r="U134" s="35" t="s">
        <v>61</v>
      </c>
      <c r="V134" s="35" t="s">
        <v>61</v>
      </c>
      <c r="W134" s="35" t="s">
        <v>74</v>
      </c>
      <c r="X134" s="35" t="s">
        <v>2895</v>
      </c>
      <c r="Y134" s="35" t="s">
        <v>2896</v>
      </c>
      <c r="Z134" s="112" t="s">
        <v>2898</v>
      </c>
      <c r="AA134" s="46">
        <v>46023.0</v>
      </c>
      <c r="AB134" s="46">
        <v>46387.0</v>
      </c>
      <c r="AC134" s="35" t="s">
        <v>2900</v>
      </c>
      <c r="AD134" s="35" t="s">
        <v>79</v>
      </c>
      <c r="AE134" s="52"/>
      <c r="AF134" s="52"/>
      <c r="AG134" s="46"/>
    </row>
    <row r="135" ht="44.25" customHeight="1">
      <c r="A135" s="35">
        <v>134.0</v>
      </c>
      <c r="B135" s="35">
        <v>1805.0</v>
      </c>
      <c r="C135" s="35" t="s">
        <v>265</v>
      </c>
      <c r="D135" s="35" t="s">
        <v>709</v>
      </c>
      <c r="E135" s="35" t="s">
        <v>2904</v>
      </c>
      <c r="F135" s="35" t="s">
        <v>2905</v>
      </c>
      <c r="G135" s="41" t="s">
        <v>2906</v>
      </c>
      <c r="H135" s="35" t="s">
        <v>59</v>
      </c>
      <c r="I135" s="35" t="s">
        <v>61</v>
      </c>
      <c r="J135" s="35" t="s">
        <v>62</v>
      </c>
      <c r="K135" s="35" t="s">
        <v>63</v>
      </c>
      <c r="L135" s="35">
        <v>17.0</v>
      </c>
      <c r="M135" s="35" t="s">
        <v>2912</v>
      </c>
      <c r="N135" s="35" t="s">
        <v>66</v>
      </c>
      <c r="O135" s="35" t="s">
        <v>67</v>
      </c>
      <c r="P135" s="35" t="s">
        <v>2915</v>
      </c>
      <c r="Q135" s="35">
        <v>1.0</v>
      </c>
      <c r="R135" s="35" t="s">
        <v>61</v>
      </c>
      <c r="S135" s="35">
        <v>1.0</v>
      </c>
      <c r="T135" s="52"/>
      <c r="U135" s="35">
        <v>8.0</v>
      </c>
      <c r="V135" s="35" t="s">
        <v>61</v>
      </c>
      <c r="W135" s="35" t="s">
        <v>74</v>
      </c>
      <c r="X135" s="35" t="s">
        <v>2918</v>
      </c>
      <c r="Y135" s="35" t="s">
        <v>2920</v>
      </c>
      <c r="Z135" s="35" t="s">
        <v>2922</v>
      </c>
      <c r="AA135" s="46">
        <v>46023.0</v>
      </c>
      <c r="AB135" s="46">
        <v>46387.0</v>
      </c>
      <c r="AC135" s="35" t="s">
        <v>2923</v>
      </c>
      <c r="AD135" s="35" t="s">
        <v>79</v>
      </c>
      <c r="AE135" s="52"/>
      <c r="AF135" s="52"/>
      <c r="AG135" s="46"/>
    </row>
    <row r="136" ht="44.25" customHeight="1">
      <c r="A136" s="35">
        <v>135.0</v>
      </c>
      <c r="B136" s="37" t="s">
        <v>2925</v>
      </c>
      <c r="C136" s="35" t="s">
        <v>265</v>
      </c>
      <c r="D136" s="35" t="s">
        <v>709</v>
      </c>
      <c r="E136" s="35" t="s">
        <v>2928</v>
      </c>
      <c r="F136" s="35" t="s">
        <v>2929</v>
      </c>
      <c r="G136" s="41" t="s">
        <v>2930</v>
      </c>
      <c r="H136" s="35" t="s">
        <v>59</v>
      </c>
      <c r="I136" s="35" t="s">
        <v>61</v>
      </c>
      <c r="J136" s="35" t="s">
        <v>62</v>
      </c>
      <c r="K136" s="35" t="s">
        <v>63</v>
      </c>
      <c r="L136" s="35">
        <v>15.0</v>
      </c>
      <c r="M136" s="35" t="s">
        <v>2933</v>
      </c>
      <c r="N136" s="35" t="s">
        <v>66</v>
      </c>
      <c r="O136" s="35" t="s">
        <v>67</v>
      </c>
      <c r="P136" s="35" t="s">
        <v>2935</v>
      </c>
      <c r="Q136" s="35">
        <v>1.0</v>
      </c>
      <c r="R136" s="35">
        <v>0.0</v>
      </c>
      <c r="S136" s="35">
        <v>1.0</v>
      </c>
      <c r="T136" s="52"/>
      <c r="U136" s="52"/>
      <c r="V136" s="35" t="s">
        <v>61</v>
      </c>
      <c r="W136" s="35" t="s">
        <v>74</v>
      </c>
      <c r="X136" s="35" t="s">
        <v>2939</v>
      </c>
      <c r="Y136" s="35" t="s">
        <v>2940</v>
      </c>
      <c r="Z136" s="35" t="s">
        <v>2941</v>
      </c>
      <c r="AA136" s="46">
        <v>46023.0</v>
      </c>
      <c r="AB136" s="46">
        <v>46387.0</v>
      </c>
      <c r="AC136" s="35" t="s">
        <v>2943</v>
      </c>
      <c r="AD136" s="35" t="s">
        <v>79</v>
      </c>
      <c r="AE136" s="52"/>
      <c r="AF136" s="52"/>
      <c r="AG136" s="46"/>
    </row>
    <row r="137" ht="44.25" customHeight="1">
      <c r="A137" s="35">
        <v>136.0</v>
      </c>
      <c r="B137" s="37" t="s">
        <v>2944</v>
      </c>
      <c r="C137" s="35" t="s">
        <v>265</v>
      </c>
      <c r="D137" s="35" t="s">
        <v>709</v>
      </c>
      <c r="E137" s="35" t="s">
        <v>2928</v>
      </c>
      <c r="F137" s="35" t="s">
        <v>2946</v>
      </c>
      <c r="G137" s="41" t="s">
        <v>2948</v>
      </c>
      <c r="H137" s="35" t="s">
        <v>59</v>
      </c>
      <c r="I137" s="35" t="s">
        <v>61</v>
      </c>
      <c r="J137" s="35" t="s">
        <v>62</v>
      </c>
      <c r="K137" s="35" t="s">
        <v>111</v>
      </c>
      <c r="L137" s="35">
        <v>50.0</v>
      </c>
      <c r="M137" s="35" t="s">
        <v>2954</v>
      </c>
      <c r="N137" s="35" t="s">
        <v>66</v>
      </c>
      <c r="O137" s="35" t="s">
        <v>67</v>
      </c>
      <c r="P137" s="35" t="s">
        <v>2955</v>
      </c>
      <c r="Q137" s="35">
        <v>0.0</v>
      </c>
      <c r="R137" s="35">
        <v>1.0</v>
      </c>
      <c r="S137" s="35">
        <v>1.0</v>
      </c>
      <c r="T137" s="52"/>
      <c r="U137" s="35">
        <v>10.0</v>
      </c>
      <c r="V137" s="35" t="s">
        <v>61</v>
      </c>
      <c r="W137" s="35" t="s">
        <v>93</v>
      </c>
      <c r="X137" s="35" t="s">
        <v>2958</v>
      </c>
      <c r="Y137" s="35" t="s">
        <v>2961</v>
      </c>
      <c r="Z137" s="35" t="s">
        <v>2963</v>
      </c>
      <c r="AA137" s="46">
        <v>46023.0</v>
      </c>
      <c r="AB137" s="46">
        <v>46387.0</v>
      </c>
      <c r="AC137" s="35" t="s">
        <v>2964</v>
      </c>
      <c r="AD137" s="35" t="s">
        <v>79</v>
      </c>
      <c r="AE137" s="52"/>
      <c r="AF137" s="52"/>
      <c r="AG137" s="46"/>
    </row>
    <row r="138" ht="44.25" customHeight="1">
      <c r="A138" s="35">
        <v>137.0</v>
      </c>
      <c r="B138" s="37" t="s">
        <v>2965</v>
      </c>
      <c r="C138" s="35" t="s">
        <v>265</v>
      </c>
      <c r="D138" s="35" t="s">
        <v>709</v>
      </c>
      <c r="E138" s="35" t="s">
        <v>2928</v>
      </c>
      <c r="F138" s="35" t="s">
        <v>2966</v>
      </c>
      <c r="G138" s="41" t="s">
        <v>2968</v>
      </c>
      <c r="H138" s="35" t="s">
        <v>59</v>
      </c>
      <c r="I138" s="35" t="s">
        <v>61</v>
      </c>
      <c r="J138" s="35" t="s">
        <v>62</v>
      </c>
      <c r="K138" s="35" t="s">
        <v>111</v>
      </c>
      <c r="L138" s="35">
        <v>29.0</v>
      </c>
      <c r="M138" s="35" t="s">
        <v>2973</v>
      </c>
      <c r="N138" s="35" t="s">
        <v>66</v>
      </c>
      <c r="O138" s="35" t="s">
        <v>67</v>
      </c>
      <c r="P138" s="35" t="s">
        <v>2976</v>
      </c>
      <c r="Q138" s="35">
        <v>0.0</v>
      </c>
      <c r="R138" s="35">
        <v>1.0</v>
      </c>
      <c r="S138" s="35">
        <v>1.0</v>
      </c>
      <c r="T138" s="35" t="s">
        <v>61</v>
      </c>
      <c r="U138" s="35" t="s">
        <v>61</v>
      </c>
      <c r="V138" s="35" t="s">
        <v>61</v>
      </c>
      <c r="W138" s="35" t="s">
        <v>93</v>
      </c>
      <c r="X138" s="35" t="s">
        <v>2978</v>
      </c>
      <c r="Y138" s="35" t="s">
        <v>2980</v>
      </c>
      <c r="Z138" s="35" t="s">
        <v>2982</v>
      </c>
      <c r="AA138" s="46">
        <v>46023.0</v>
      </c>
      <c r="AB138" s="46">
        <v>46387.0</v>
      </c>
      <c r="AC138" s="35" t="s">
        <v>2984</v>
      </c>
      <c r="AD138" s="35" t="s">
        <v>79</v>
      </c>
      <c r="AE138" s="52"/>
      <c r="AF138" s="52"/>
      <c r="AG138" s="46"/>
    </row>
    <row r="139" ht="44.25" customHeight="1">
      <c r="A139" s="35">
        <v>138.0</v>
      </c>
      <c r="B139" s="37" t="s">
        <v>2985</v>
      </c>
      <c r="C139" s="35" t="s">
        <v>265</v>
      </c>
      <c r="D139" s="35" t="s">
        <v>709</v>
      </c>
      <c r="E139" s="35" t="s">
        <v>2928</v>
      </c>
      <c r="F139" s="35" t="s">
        <v>2986</v>
      </c>
      <c r="G139" s="41" t="s">
        <v>2987</v>
      </c>
      <c r="H139" s="35" t="s">
        <v>59</v>
      </c>
      <c r="I139" s="35" t="s">
        <v>61</v>
      </c>
      <c r="J139" s="35" t="s">
        <v>62</v>
      </c>
      <c r="K139" s="35" t="s">
        <v>63</v>
      </c>
      <c r="L139" s="35">
        <v>14.0</v>
      </c>
      <c r="M139" s="35" t="s">
        <v>61</v>
      </c>
      <c r="N139" s="35" t="s">
        <v>66</v>
      </c>
      <c r="O139" s="35" t="s">
        <v>67</v>
      </c>
      <c r="P139" s="35" t="s">
        <v>2990</v>
      </c>
      <c r="Q139" s="35">
        <v>1.0</v>
      </c>
      <c r="R139" s="35">
        <v>0.0</v>
      </c>
      <c r="S139" s="35">
        <v>1.0</v>
      </c>
      <c r="T139" s="35" t="s">
        <v>61</v>
      </c>
      <c r="U139" s="35" t="s">
        <v>61</v>
      </c>
      <c r="V139" s="35" t="s">
        <v>61</v>
      </c>
      <c r="W139" s="35" t="s">
        <v>74</v>
      </c>
      <c r="X139" s="35" t="s">
        <v>2991</v>
      </c>
      <c r="Y139" s="35" t="s">
        <v>2992</v>
      </c>
      <c r="Z139" s="112" t="s">
        <v>2993</v>
      </c>
      <c r="AA139" s="46">
        <v>46023.0</v>
      </c>
      <c r="AB139" s="46">
        <v>46387.0</v>
      </c>
      <c r="AC139" s="35" t="s">
        <v>2994</v>
      </c>
      <c r="AD139" s="35" t="s">
        <v>79</v>
      </c>
      <c r="AE139" s="52"/>
      <c r="AF139" s="52"/>
      <c r="AG139" s="46"/>
    </row>
    <row r="140" ht="44.25" customHeight="1">
      <c r="A140" s="35">
        <v>139.0</v>
      </c>
      <c r="B140" s="37" t="s">
        <v>2996</v>
      </c>
      <c r="C140" s="35" t="s">
        <v>265</v>
      </c>
      <c r="D140" s="35" t="s">
        <v>709</v>
      </c>
      <c r="E140" s="35" t="s">
        <v>2997</v>
      </c>
      <c r="F140" s="35" t="s">
        <v>2998</v>
      </c>
      <c r="G140" s="41" t="s">
        <v>2999</v>
      </c>
      <c r="H140" s="35" t="s">
        <v>59</v>
      </c>
      <c r="I140" s="35" t="s">
        <v>61</v>
      </c>
      <c r="J140" s="35" t="s">
        <v>62</v>
      </c>
      <c r="K140" s="35" t="s">
        <v>63</v>
      </c>
      <c r="L140" s="35">
        <v>18.0</v>
      </c>
      <c r="M140" s="35" t="s">
        <v>61</v>
      </c>
      <c r="N140" s="35" t="s">
        <v>66</v>
      </c>
      <c r="O140" s="35" t="s">
        <v>67</v>
      </c>
      <c r="P140" s="35" t="s">
        <v>61</v>
      </c>
      <c r="Q140" s="35" t="s">
        <v>61</v>
      </c>
      <c r="R140" s="35" t="s">
        <v>61</v>
      </c>
      <c r="S140" s="35" t="s">
        <v>61</v>
      </c>
      <c r="T140" s="35" t="s">
        <v>3004</v>
      </c>
      <c r="U140" s="35" t="s">
        <v>61</v>
      </c>
      <c r="V140" s="35" t="s">
        <v>61</v>
      </c>
      <c r="W140" s="35" t="s">
        <v>74</v>
      </c>
      <c r="X140" s="35" t="s">
        <v>3006</v>
      </c>
      <c r="Y140" s="35" t="s">
        <v>3007</v>
      </c>
      <c r="Z140" s="35" t="s">
        <v>3009</v>
      </c>
      <c r="AA140" s="46">
        <v>46023.0</v>
      </c>
      <c r="AB140" s="46">
        <v>46387.0</v>
      </c>
      <c r="AC140" s="35" t="s">
        <v>3012</v>
      </c>
      <c r="AD140" s="35" t="s">
        <v>79</v>
      </c>
      <c r="AE140" s="52"/>
      <c r="AF140" s="52"/>
      <c r="AG140" s="46"/>
    </row>
    <row r="141" ht="44.25" customHeight="1">
      <c r="A141" s="35">
        <v>140.0</v>
      </c>
      <c r="B141" s="37" t="s">
        <v>3014</v>
      </c>
      <c r="C141" s="35" t="s">
        <v>265</v>
      </c>
      <c r="D141" s="35" t="s">
        <v>709</v>
      </c>
      <c r="E141" s="35" t="s">
        <v>2997</v>
      </c>
      <c r="F141" s="35" t="s">
        <v>3016</v>
      </c>
      <c r="G141" s="41" t="s">
        <v>3018</v>
      </c>
      <c r="H141" s="35" t="s">
        <v>59</v>
      </c>
      <c r="I141" s="35" t="s">
        <v>61</v>
      </c>
      <c r="J141" s="35" t="s">
        <v>62</v>
      </c>
      <c r="K141" s="35" t="s">
        <v>111</v>
      </c>
      <c r="L141" s="35">
        <v>30.0</v>
      </c>
      <c r="M141" s="35" t="s">
        <v>3021</v>
      </c>
      <c r="N141" s="35" t="s">
        <v>66</v>
      </c>
      <c r="O141" s="35" t="s">
        <v>67</v>
      </c>
      <c r="P141" s="35" t="s">
        <v>3024</v>
      </c>
      <c r="Q141" s="52"/>
      <c r="R141" s="35">
        <v>1.0</v>
      </c>
      <c r="S141" s="52"/>
      <c r="T141" s="52"/>
      <c r="U141" s="35">
        <v>7.0</v>
      </c>
      <c r="V141" s="35" t="s">
        <v>61</v>
      </c>
      <c r="W141" s="35" t="s">
        <v>93</v>
      </c>
      <c r="X141" s="35" t="s">
        <v>3027</v>
      </c>
      <c r="Y141" s="35" t="s">
        <v>3028</v>
      </c>
      <c r="Z141" s="35" t="s">
        <v>3030</v>
      </c>
      <c r="AA141" s="46">
        <v>46112.0</v>
      </c>
      <c r="AB141" s="46">
        <v>46387.0</v>
      </c>
      <c r="AC141" s="35" t="s">
        <v>3033</v>
      </c>
      <c r="AD141" s="35" t="s">
        <v>79</v>
      </c>
      <c r="AE141" s="52"/>
      <c r="AF141" s="35" t="s">
        <v>3035</v>
      </c>
      <c r="AG141" s="46"/>
    </row>
    <row r="142" ht="44.25" customHeight="1">
      <c r="A142" s="35">
        <v>141.0</v>
      </c>
      <c r="B142" s="37" t="s">
        <v>3036</v>
      </c>
      <c r="C142" s="35" t="s">
        <v>265</v>
      </c>
      <c r="D142" s="35" t="s">
        <v>709</v>
      </c>
      <c r="E142" s="35" t="s">
        <v>3037</v>
      </c>
      <c r="F142" s="35" t="s">
        <v>3038</v>
      </c>
      <c r="G142" s="41" t="s">
        <v>3039</v>
      </c>
      <c r="H142" s="35" t="s">
        <v>59</v>
      </c>
      <c r="I142" s="35" t="s">
        <v>61</v>
      </c>
      <c r="J142" s="35" t="s">
        <v>62</v>
      </c>
      <c r="K142" s="35" t="s">
        <v>63</v>
      </c>
      <c r="L142" s="35">
        <v>53.0</v>
      </c>
      <c r="M142" s="35" t="s">
        <v>3044</v>
      </c>
      <c r="N142" s="35" t="s">
        <v>66</v>
      </c>
      <c r="O142" s="35" t="s">
        <v>67</v>
      </c>
      <c r="P142" s="35" t="s">
        <v>3047</v>
      </c>
      <c r="Q142" s="35">
        <v>1.0</v>
      </c>
      <c r="R142" s="35" t="s">
        <v>61</v>
      </c>
      <c r="S142" s="35">
        <v>1.0</v>
      </c>
      <c r="T142" s="52"/>
      <c r="U142" s="35">
        <v>11.0</v>
      </c>
      <c r="V142" s="35" t="s">
        <v>61</v>
      </c>
      <c r="W142" s="35" t="s">
        <v>93</v>
      </c>
      <c r="X142" s="35" t="s">
        <v>3049</v>
      </c>
      <c r="Y142" s="35" t="s">
        <v>3050</v>
      </c>
      <c r="Z142" s="112" t="s">
        <v>3052</v>
      </c>
      <c r="AA142" s="46">
        <v>46023.0</v>
      </c>
      <c r="AB142" s="46">
        <v>46387.0</v>
      </c>
      <c r="AC142" s="35" t="s">
        <v>3054</v>
      </c>
      <c r="AD142" s="35" t="s">
        <v>79</v>
      </c>
      <c r="AE142" s="52"/>
      <c r="AF142" s="52"/>
      <c r="AG142" s="46"/>
    </row>
    <row r="143" ht="44.25" customHeight="1">
      <c r="A143" s="35">
        <v>142.0</v>
      </c>
      <c r="B143" s="37" t="s">
        <v>3056</v>
      </c>
      <c r="C143" s="35" t="s">
        <v>265</v>
      </c>
      <c r="D143" s="35" t="s">
        <v>709</v>
      </c>
      <c r="E143" s="35" t="s">
        <v>2023</v>
      </c>
      <c r="F143" s="35" t="s">
        <v>3057</v>
      </c>
      <c r="G143" s="41" t="s">
        <v>3058</v>
      </c>
      <c r="H143" s="35" t="s">
        <v>59</v>
      </c>
      <c r="I143" s="35" t="s">
        <v>61</v>
      </c>
      <c r="J143" s="35" t="s">
        <v>62</v>
      </c>
      <c r="K143" s="35" t="s">
        <v>63</v>
      </c>
      <c r="L143" s="35">
        <v>60.0</v>
      </c>
      <c r="M143" s="35" t="s">
        <v>3064</v>
      </c>
      <c r="N143" s="35" t="s">
        <v>66</v>
      </c>
      <c r="O143" s="35" t="s">
        <v>67</v>
      </c>
      <c r="P143" s="35" t="s">
        <v>61</v>
      </c>
      <c r="Q143" s="52"/>
      <c r="R143" s="52"/>
      <c r="S143" s="52"/>
      <c r="T143" s="35" t="s">
        <v>3068</v>
      </c>
      <c r="U143" s="35" t="s">
        <v>61</v>
      </c>
      <c r="V143" s="35" t="s">
        <v>61</v>
      </c>
      <c r="W143" s="35" t="s">
        <v>93</v>
      </c>
      <c r="X143" s="35" t="s">
        <v>3069</v>
      </c>
      <c r="Y143" s="35" t="s">
        <v>3070</v>
      </c>
      <c r="Z143" s="35" t="s">
        <v>3071</v>
      </c>
      <c r="AA143" s="46">
        <v>46023.0</v>
      </c>
      <c r="AB143" s="46">
        <v>46387.0</v>
      </c>
      <c r="AC143" s="35" t="s">
        <v>3072</v>
      </c>
      <c r="AD143" s="35" t="s">
        <v>79</v>
      </c>
      <c r="AE143" s="102"/>
      <c r="AF143" s="52"/>
      <c r="AG143" s="46"/>
    </row>
    <row r="144" ht="44.25" customHeight="1">
      <c r="A144" s="35">
        <v>143.0</v>
      </c>
      <c r="B144" s="37" t="s">
        <v>3074</v>
      </c>
      <c r="C144" s="35" t="s">
        <v>265</v>
      </c>
      <c r="D144" s="35" t="s">
        <v>709</v>
      </c>
      <c r="E144" s="35" t="s">
        <v>2023</v>
      </c>
      <c r="F144" s="35" t="s">
        <v>3078</v>
      </c>
      <c r="G144" s="41" t="s">
        <v>3080</v>
      </c>
      <c r="H144" s="35" t="s">
        <v>59</v>
      </c>
      <c r="I144" s="35" t="s">
        <v>61</v>
      </c>
      <c r="J144" s="35" t="s">
        <v>62</v>
      </c>
      <c r="K144" s="35" t="s">
        <v>111</v>
      </c>
      <c r="L144" s="35">
        <v>65.0</v>
      </c>
      <c r="M144" s="35" t="s">
        <v>3085</v>
      </c>
      <c r="N144" s="35" t="s">
        <v>66</v>
      </c>
      <c r="O144" s="35" t="s">
        <v>67</v>
      </c>
      <c r="P144" s="35" t="s">
        <v>61</v>
      </c>
      <c r="Q144" s="35">
        <v>0.0</v>
      </c>
      <c r="R144" s="35">
        <v>0.0</v>
      </c>
      <c r="S144" s="35">
        <v>0.0</v>
      </c>
      <c r="T144" s="41" t="s">
        <v>3086</v>
      </c>
      <c r="U144" s="35">
        <v>15.0</v>
      </c>
      <c r="V144" s="35" t="s">
        <v>61</v>
      </c>
      <c r="W144" s="35" t="s">
        <v>93</v>
      </c>
      <c r="X144" s="35" t="s">
        <v>3089</v>
      </c>
      <c r="Y144" s="35" t="s">
        <v>3090</v>
      </c>
      <c r="Z144" s="35" t="s">
        <v>3091</v>
      </c>
      <c r="AA144" s="46">
        <v>46023.0</v>
      </c>
      <c r="AB144" s="46">
        <v>46387.0</v>
      </c>
      <c r="AC144" s="35" t="s">
        <v>3092</v>
      </c>
      <c r="AD144" s="35" t="s">
        <v>79</v>
      </c>
      <c r="AE144" s="52"/>
      <c r="AF144" s="52"/>
      <c r="AG144" s="46"/>
    </row>
    <row r="145" ht="44.25" customHeight="1">
      <c r="A145" s="35">
        <v>144.0</v>
      </c>
      <c r="B145" s="37" t="s">
        <v>3093</v>
      </c>
      <c r="C145" s="35" t="s">
        <v>265</v>
      </c>
      <c r="D145" s="35" t="s">
        <v>709</v>
      </c>
      <c r="E145" s="35" t="s">
        <v>2023</v>
      </c>
      <c r="F145" s="35" t="s">
        <v>3094</v>
      </c>
      <c r="G145" s="41" t="s">
        <v>3095</v>
      </c>
      <c r="H145" s="35" t="s">
        <v>59</v>
      </c>
      <c r="I145" s="35" t="s">
        <v>61</v>
      </c>
      <c r="J145" s="35" t="s">
        <v>62</v>
      </c>
      <c r="K145" s="35" t="s">
        <v>111</v>
      </c>
      <c r="L145" s="35">
        <v>105.0</v>
      </c>
      <c r="M145" s="35" t="s">
        <v>3097</v>
      </c>
      <c r="N145" s="35" t="s">
        <v>66</v>
      </c>
      <c r="O145" s="35" t="s">
        <v>72</v>
      </c>
      <c r="P145" s="35" t="s">
        <v>3100</v>
      </c>
      <c r="Q145" s="35">
        <v>0.0</v>
      </c>
      <c r="R145" s="35">
        <v>1.0</v>
      </c>
      <c r="S145" s="35">
        <v>1.0</v>
      </c>
      <c r="T145" s="52"/>
      <c r="U145" s="35">
        <v>20.0</v>
      </c>
      <c r="V145" s="35" t="s">
        <v>61</v>
      </c>
      <c r="W145" s="35" t="s">
        <v>93</v>
      </c>
      <c r="X145" s="35" t="s">
        <v>3103</v>
      </c>
      <c r="Y145" s="35" t="s">
        <v>3104</v>
      </c>
      <c r="Z145" s="35" t="s">
        <v>3105</v>
      </c>
      <c r="AA145" s="46">
        <v>46023.0</v>
      </c>
      <c r="AB145" s="46">
        <v>46387.0</v>
      </c>
      <c r="AC145" s="35" t="s">
        <v>3106</v>
      </c>
      <c r="AD145" s="35" t="s">
        <v>79</v>
      </c>
      <c r="AE145" s="102"/>
      <c r="AF145" s="52"/>
      <c r="AG145" s="46"/>
    </row>
    <row r="146" ht="44.25" customHeight="1">
      <c r="A146" s="35">
        <v>145.0</v>
      </c>
      <c r="B146" s="37" t="s">
        <v>3108</v>
      </c>
      <c r="C146" s="35" t="s">
        <v>265</v>
      </c>
      <c r="D146" s="35" t="s">
        <v>709</v>
      </c>
      <c r="E146" s="35" t="s">
        <v>2023</v>
      </c>
      <c r="F146" s="35" t="s">
        <v>3111</v>
      </c>
      <c r="G146" s="41" t="s">
        <v>3112</v>
      </c>
      <c r="H146" s="35" t="s">
        <v>59</v>
      </c>
      <c r="I146" s="35" t="s">
        <v>61</v>
      </c>
      <c r="J146" s="35" t="s">
        <v>62</v>
      </c>
      <c r="K146" s="35" t="s">
        <v>63</v>
      </c>
      <c r="L146" s="35">
        <v>36.0</v>
      </c>
      <c r="M146" s="35" t="s">
        <v>3114</v>
      </c>
      <c r="N146" s="35" t="s">
        <v>66</v>
      </c>
      <c r="O146" s="35" t="s">
        <v>67</v>
      </c>
      <c r="P146" s="35" t="s">
        <v>3116</v>
      </c>
      <c r="Q146" s="35">
        <v>1.0</v>
      </c>
      <c r="R146" s="35">
        <v>0.0</v>
      </c>
      <c r="S146" s="35">
        <v>1.0</v>
      </c>
      <c r="T146" s="52"/>
      <c r="U146" s="35" t="s">
        <v>61</v>
      </c>
      <c r="V146" s="35" t="s">
        <v>61</v>
      </c>
      <c r="W146" s="35" t="s">
        <v>74</v>
      </c>
      <c r="X146" s="35" t="s">
        <v>3120</v>
      </c>
      <c r="Y146" s="35" t="s">
        <v>3121</v>
      </c>
      <c r="Z146" s="112" t="s">
        <v>3122</v>
      </c>
      <c r="AA146" s="46">
        <v>46023.0</v>
      </c>
      <c r="AB146" s="46">
        <v>46387.0</v>
      </c>
      <c r="AC146" s="35" t="s">
        <v>3124</v>
      </c>
      <c r="AD146" s="35" t="s">
        <v>79</v>
      </c>
      <c r="AE146" s="52"/>
      <c r="AF146" s="52"/>
      <c r="AG146" s="46"/>
    </row>
    <row r="147" ht="44.25" customHeight="1">
      <c r="A147" s="35">
        <v>146.0</v>
      </c>
      <c r="B147" s="35">
        <v>48784.0</v>
      </c>
      <c r="C147" s="35" t="s">
        <v>265</v>
      </c>
      <c r="D147" s="35" t="s">
        <v>709</v>
      </c>
      <c r="E147" s="35" t="s">
        <v>2023</v>
      </c>
      <c r="F147" s="35" t="s">
        <v>3128</v>
      </c>
      <c r="G147" s="41" t="s">
        <v>3130</v>
      </c>
      <c r="H147" s="35" t="s">
        <v>59</v>
      </c>
      <c r="I147" s="35" t="s">
        <v>61</v>
      </c>
      <c r="J147" s="35" t="s">
        <v>62</v>
      </c>
      <c r="K147" s="35" t="s">
        <v>111</v>
      </c>
      <c r="L147" s="35">
        <v>50.0</v>
      </c>
      <c r="M147" s="35" t="s">
        <v>3135</v>
      </c>
      <c r="N147" s="35" t="s">
        <v>66</v>
      </c>
      <c r="O147" s="35" t="s">
        <v>67</v>
      </c>
      <c r="P147" s="35" t="s">
        <v>3136</v>
      </c>
      <c r="Q147" s="35" t="s">
        <v>61</v>
      </c>
      <c r="R147" s="35">
        <v>1.0</v>
      </c>
      <c r="S147" s="35">
        <v>1.0</v>
      </c>
      <c r="T147" s="52"/>
      <c r="U147" s="35">
        <v>20.0</v>
      </c>
      <c r="V147" s="35" t="s">
        <v>61</v>
      </c>
      <c r="W147" s="35" t="s">
        <v>93</v>
      </c>
      <c r="X147" s="35" t="s">
        <v>3141</v>
      </c>
      <c r="Y147" s="35" t="s">
        <v>3142</v>
      </c>
      <c r="Z147" s="35" t="s">
        <v>3143</v>
      </c>
      <c r="AA147" s="46">
        <v>46023.0</v>
      </c>
      <c r="AB147" s="46">
        <v>46387.0</v>
      </c>
      <c r="AC147" s="35" t="s">
        <v>3144</v>
      </c>
      <c r="AD147" s="35" t="s">
        <v>79</v>
      </c>
      <c r="AE147" s="52"/>
      <c r="AF147" s="52"/>
      <c r="AG147" s="46"/>
    </row>
    <row r="148" ht="44.25" customHeight="1">
      <c r="A148" s="35">
        <v>147.0</v>
      </c>
      <c r="B148" s="35">
        <v>32086.0</v>
      </c>
      <c r="C148" s="35" t="s">
        <v>265</v>
      </c>
      <c r="D148" s="35" t="s">
        <v>709</v>
      </c>
      <c r="E148" s="35" t="s">
        <v>2023</v>
      </c>
      <c r="F148" s="35" t="s">
        <v>3146</v>
      </c>
      <c r="G148" s="41" t="s">
        <v>3147</v>
      </c>
      <c r="H148" s="35" t="s">
        <v>59</v>
      </c>
      <c r="I148" s="35" t="s">
        <v>61</v>
      </c>
      <c r="J148" s="35" t="s">
        <v>62</v>
      </c>
      <c r="K148" s="35" t="s">
        <v>111</v>
      </c>
      <c r="L148" s="35">
        <v>65.0</v>
      </c>
      <c r="M148" s="35" t="s">
        <v>3153</v>
      </c>
      <c r="N148" s="35" t="s">
        <v>66</v>
      </c>
      <c r="O148" s="35" t="s">
        <v>67</v>
      </c>
      <c r="P148" s="35" t="s">
        <v>3156</v>
      </c>
      <c r="Q148" s="35" t="s">
        <v>61</v>
      </c>
      <c r="R148" s="35">
        <v>1.0</v>
      </c>
      <c r="S148" s="35">
        <v>1.0</v>
      </c>
      <c r="T148" s="52"/>
      <c r="U148" s="35">
        <v>15.0</v>
      </c>
      <c r="V148" s="35" t="s">
        <v>61</v>
      </c>
      <c r="W148" s="35" t="s">
        <v>93</v>
      </c>
      <c r="X148" s="35" t="s">
        <v>3159</v>
      </c>
      <c r="Y148" s="35" t="s">
        <v>3161</v>
      </c>
      <c r="Z148" s="112" t="s">
        <v>3162</v>
      </c>
      <c r="AA148" s="46">
        <v>46023.0</v>
      </c>
      <c r="AB148" s="46">
        <v>46387.0</v>
      </c>
      <c r="AC148" s="35" t="s">
        <v>3164</v>
      </c>
      <c r="AD148" s="35" t="s">
        <v>79</v>
      </c>
      <c r="AE148" s="52"/>
      <c r="AF148" s="52"/>
      <c r="AG148" s="46"/>
    </row>
    <row r="149" ht="44.25" customHeight="1">
      <c r="A149" s="35">
        <v>148.0</v>
      </c>
      <c r="B149" s="37" t="s">
        <v>3167</v>
      </c>
      <c r="C149" s="35" t="s">
        <v>265</v>
      </c>
      <c r="D149" s="35" t="s">
        <v>709</v>
      </c>
      <c r="E149" s="35" t="s">
        <v>2044</v>
      </c>
      <c r="F149" s="35" t="s">
        <v>3170</v>
      </c>
      <c r="G149" s="41" t="s">
        <v>3171</v>
      </c>
      <c r="H149" s="35" t="s">
        <v>59</v>
      </c>
      <c r="I149" s="35" t="s">
        <v>61</v>
      </c>
      <c r="J149" s="35" t="s">
        <v>62</v>
      </c>
      <c r="K149" s="35" t="s">
        <v>63</v>
      </c>
      <c r="L149" s="35">
        <v>33.0</v>
      </c>
      <c r="M149" s="35" t="s">
        <v>3176</v>
      </c>
      <c r="N149" s="35" t="s">
        <v>66</v>
      </c>
      <c r="O149" s="35" t="s">
        <v>67</v>
      </c>
      <c r="P149" s="35" t="s">
        <v>3178</v>
      </c>
      <c r="Q149" s="35">
        <v>1.0</v>
      </c>
      <c r="R149" s="35">
        <v>0.0</v>
      </c>
      <c r="S149" s="35">
        <v>1.0</v>
      </c>
      <c r="T149" s="52"/>
      <c r="U149" s="35" t="s">
        <v>61</v>
      </c>
      <c r="V149" s="35" t="s">
        <v>61</v>
      </c>
      <c r="W149" s="35" t="s">
        <v>74</v>
      </c>
      <c r="X149" s="35" t="s">
        <v>3182</v>
      </c>
      <c r="Y149" s="35" t="s">
        <v>3183</v>
      </c>
      <c r="Z149" s="35" t="s">
        <v>3185</v>
      </c>
      <c r="AA149" s="46">
        <v>46023.0</v>
      </c>
      <c r="AB149" s="46">
        <v>46387.0</v>
      </c>
      <c r="AC149" s="35" t="s">
        <v>3186</v>
      </c>
      <c r="AD149" s="35" t="s">
        <v>79</v>
      </c>
      <c r="AE149" s="52"/>
      <c r="AF149" s="52"/>
      <c r="AG149" s="46"/>
    </row>
    <row r="150" ht="44.25" customHeight="1">
      <c r="A150" s="35">
        <v>149.0</v>
      </c>
      <c r="B150" s="37" t="s">
        <v>3188</v>
      </c>
      <c r="C150" s="35" t="s">
        <v>265</v>
      </c>
      <c r="D150" s="35" t="s">
        <v>709</v>
      </c>
      <c r="E150" s="35" t="s">
        <v>2059</v>
      </c>
      <c r="F150" s="35" t="s">
        <v>3192</v>
      </c>
      <c r="G150" s="41" t="s">
        <v>3194</v>
      </c>
      <c r="H150" s="35" t="s">
        <v>59</v>
      </c>
      <c r="I150" s="35" t="s">
        <v>61</v>
      </c>
      <c r="J150" s="35" t="s">
        <v>62</v>
      </c>
      <c r="K150" s="35" t="s">
        <v>63</v>
      </c>
      <c r="L150" s="35">
        <v>25.0</v>
      </c>
      <c r="M150" s="35" t="s">
        <v>3197</v>
      </c>
      <c r="N150" s="35" t="s">
        <v>66</v>
      </c>
      <c r="O150" s="35" t="s">
        <v>67</v>
      </c>
      <c r="P150" s="35" t="s">
        <v>3201</v>
      </c>
      <c r="Q150" s="35">
        <v>1.0</v>
      </c>
      <c r="R150" s="52"/>
      <c r="S150" s="52"/>
      <c r="T150" s="52"/>
      <c r="U150" s="52"/>
      <c r="V150" s="35" t="s">
        <v>61</v>
      </c>
      <c r="W150" s="35" t="s">
        <v>74</v>
      </c>
      <c r="X150" s="35" t="s">
        <v>3202</v>
      </c>
      <c r="Y150" s="35" t="s">
        <v>3203</v>
      </c>
      <c r="Z150" s="35" t="s">
        <v>3205</v>
      </c>
      <c r="AA150" s="46">
        <v>46023.0</v>
      </c>
      <c r="AB150" s="46">
        <v>46387.0</v>
      </c>
      <c r="AC150" s="35" t="s">
        <v>3206</v>
      </c>
      <c r="AD150" s="35" t="s">
        <v>79</v>
      </c>
      <c r="AE150" s="52"/>
      <c r="AF150" s="52"/>
      <c r="AG150" s="46"/>
    </row>
    <row r="151" ht="44.25" customHeight="1">
      <c r="A151" s="35">
        <v>150.0</v>
      </c>
      <c r="B151" s="37" t="s">
        <v>3210</v>
      </c>
      <c r="C151" s="35" t="s">
        <v>265</v>
      </c>
      <c r="D151" s="35" t="s">
        <v>709</v>
      </c>
      <c r="E151" s="35" t="s">
        <v>283</v>
      </c>
      <c r="F151" s="35" t="s">
        <v>3213</v>
      </c>
      <c r="G151" s="41" t="s">
        <v>3215</v>
      </c>
      <c r="H151" s="35" t="s">
        <v>59</v>
      </c>
      <c r="I151" s="35" t="s">
        <v>61</v>
      </c>
      <c r="J151" s="35" t="s">
        <v>62</v>
      </c>
      <c r="K151" s="35" t="s">
        <v>63</v>
      </c>
      <c r="L151" s="35">
        <v>29.0</v>
      </c>
      <c r="M151" s="35" t="s">
        <v>3216</v>
      </c>
      <c r="N151" s="35" t="s">
        <v>66</v>
      </c>
      <c r="O151" s="35" t="s">
        <v>67</v>
      </c>
      <c r="P151" s="35" t="s">
        <v>3217</v>
      </c>
      <c r="Q151" s="35">
        <v>1.0</v>
      </c>
      <c r="R151" s="35">
        <v>0.0</v>
      </c>
      <c r="S151" s="35">
        <v>1.0</v>
      </c>
      <c r="T151" s="35" t="s">
        <v>61</v>
      </c>
      <c r="U151" s="35">
        <v>29.0</v>
      </c>
      <c r="V151" s="35" t="s">
        <v>61</v>
      </c>
      <c r="W151" s="35" t="s">
        <v>74</v>
      </c>
      <c r="X151" s="35" t="s">
        <v>3220</v>
      </c>
      <c r="Y151" s="35" t="s">
        <v>3222</v>
      </c>
      <c r="Z151" s="35" t="s">
        <v>3223</v>
      </c>
      <c r="AA151" s="46">
        <v>46023.0</v>
      </c>
      <c r="AB151" s="46">
        <v>46387.0</v>
      </c>
      <c r="AC151" s="35" t="s">
        <v>3224</v>
      </c>
      <c r="AD151" s="35" t="s">
        <v>79</v>
      </c>
      <c r="AE151" s="52"/>
      <c r="AF151" s="52"/>
      <c r="AG151" s="46"/>
    </row>
    <row r="152" ht="44.25" customHeight="1">
      <c r="A152" s="35">
        <v>151.0</v>
      </c>
      <c r="B152" s="37" t="s">
        <v>3225</v>
      </c>
      <c r="C152" s="35" t="s">
        <v>265</v>
      </c>
      <c r="D152" s="35" t="s">
        <v>709</v>
      </c>
      <c r="E152" s="35" t="s">
        <v>283</v>
      </c>
      <c r="F152" s="35" t="s">
        <v>3226</v>
      </c>
      <c r="G152" s="41" t="s">
        <v>3228</v>
      </c>
      <c r="H152" s="35" t="s">
        <v>59</v>
      </c>
      <c r="I152" s="35" t="s">
        <v>61</v>
      </c>
      <c r="J152" s="35" t="s">
        <v>62</v>
      </c>
      <c r="K152" s="35" t="s">
        <v>63</v>
      </c>
      <c r="L152" s="35">
        <v>17.0</v>
      </c>
      <c r="M152" s="35" t="s">
        <v>3230</v>
      </c>
      <c r="N152" s="35" t="s">
        <v>66</v>
      </c>
      <c r="O152" s="35" t="s">
        <v>67</v>
      </c>
      <c r="P152" s="35" t="s">
        <v>3232</v>
      </c>
      <c r="Q152" s="35">
        <v>1.0</v>
      </c>
      <c r="R152" s="35">
        <v>0.0</v>
      </c>
      <c r="S152" s="35">
        <v>1.0</v>
      </c>
      <c r="T152" s="52"/>
      <c r="U152" s="35">
        <v>10.0</v>
      </c>
      <c r="V152" s="35" t="s">
        <v>61</v>
      </c>
      <c r="W152" s="35" t="s">
        <v>74</v>
      </c>
      <c r="X152" s="35" t="s">
        <v>3234</v>
      </c>
      <c r="Y152" s="35" t="s">
        <v>3235</v>
      </c>
      <c r="Z152" s="112" t="s">
        <v>3236</v>
      </c>
      <c r="AA152" s="46">
        <v>46023.0</v>
      </c>
      <c r="AB152" s="46">
        <v>46387.0</v>
      </c>
      <c r="AC152" s="35" t="s">
        <v>3237</v>
      </c>
      <c r="AD152" s="35" t="s">
        <v>79</v>
      </c>
      <c r="AE152" s="52"/>
      <c r="AF152" s="52"/>
      <c r="AG152" s="46"/>
    </row>
    <row r="153" ht="44.25" customHeight="1">
      <c r="A153" s="35">
        <v>152.0</v>
      </c>
      <c r="B153" s="35">
        <v>51321.0</v>
      </c>
      <c r="C153" s="35" t="s">
        <v>265</v>
      </c>
      <c r="D153" s="35" t="s">
        <v>709</v>
      </c>
      <c r="E153" s="35" t="s">
        <v>283</v>
      </c>
      <c r="F153" s="35" t="s">
        <v>3239</v>
      </c>
      <c r="G153" s="41" t="s">
        <v>3240</v>
      </c>
      <c r="H153" s="35" t="s">
        <v>59</v>
      </c>
      <c r="I153" s="52"/>
      <c r="J153" s="35" t="s">
        <v>62</v>
      </c>
      <c r="K153" s="35" t="s">
        <v>111</v>
      </c>
      <c r="L153" s="35">
        <v>44.0</v>
      </c>
      <c r="M153" s="35" t="s">
        <v>3245</v>
      </c>
      <c r="N153" s="35" t="s">
        <v>66</v>
      </c>
      <c r="O153" s="35" t="s">
        <v>67</v>
      </c>
      <c r="P153" s="35" t="s">
        <v>3247</v>
      </c>
      <c r="Q153" s="35">
        <v>0.0</v>
      </c>
      <c r="R153" s="35">
        <v>1.0</v>
      </c>
      <c r="S153" s="35">
        <v>1.0</v>
      </c>
      <c r="T153" s="35" t="s">
        <v>61</v>
      </c>
      <c r="U153" s="35">
        <v>8.0</v>
      </c>
      <c r="V153" s="35" t="s">
        <v>61</v>
      </c>
      <c r="W153" s="35" t="s">
        <v>93</v>
      </c>
      <c r="X153" s="35" t="s">
        <v>3250</v>
      </c>
      <c r="Y153" s="35">
        <v>9.175704414E9</v>
      </c>
      <c r="Z153" s="112" t="s">
        <v>3251</v>
      </c>
      <c r="AA153" s="46">
        <v>46023.0</v>
      </c>
      <c r="AB153" s="46">
        <v>46387.0</v>
      </c>
      <c r="AC153" s="35" t="s">
        <v>3253</v>
      </c>
      <c r="AD153" s="35" t="s">
        <v>79</v>
      </c>
      <c r="AE153" s="52"/>
      <c r="AF153" s="52"/>
      <c r="AG153" s="46"/>
    </row>
    <row r="154" ht="44.25" customHeight="1">
      <c r="A154" s="35">
        <v>153.0</v>
      </c>
      <c r="B154" s="35">
        <v>1892.0</v>
      </c>
      <c r="C154" s="35" t="s">
        <v>265</v>
      </c>
      <c r="D154" s="35" t="s">
        <v>774</v>
      </c>
      <c r="E154" s="35" t="s">
        <v>775</v>
      </c>
      <c r="F154" s="35" t="s">
        <v>3256</v>
      </c>
      <c r="G154" s="41" t="s">
        <v>3257</v>
      </c>
      <c r="H154" s="35" t="s">
        <v>59</v>
      </c>
      <c r="I154" s="35" t="s">
        <v>61</v>
      </c>
      <c r="J154" s="35" t="s">
        <v>62</v>
      </c>
      <c r="K154" s="35" t="s">
        <v>111</v>
      </c>
      <c r="L154" s="35">
        <v>94.0</v>
      </c>
      <c r="M154" s="35" t="s">
        <v>3262</v>
      </c>
      <c r="N154" s="35" t="s">
        <v>71</v>
      </c>
      <c r="O154" s="35" t="s">
        <v>67</v>
      </c>
      <c r="P154" s="35" t="s">
        <v>3264</v>
      </c>
      <c r="Q154" s="52"/>
      <c r="R154" s="35">
        <v>1.0</v>
      </c>
      <c r="S154" s="35">
        <v>1.0</v>
      </c>
      <c r="T154" s="35" t="s">
        <v>61</v>
      </c>
      <c r="U154" s="35">
        <v>12.0</v>
      </c>
      <c r="V154" s="35" t="s">
        <v>61</v>
      </c>
      <c r="W154" s="35" t="s">
        <v>93</v>
      </c>
      <c r="X154" s="35" t="s">
        <v>3269</v>
      </c>
      <c r="Y154" s="35" t="s">
        <v>3270</v>
      </c>
      <c r="Z154" s="35" t="s">
        <v>3272</v>
      </c>
      <c r="AA154" s="46">
        <v>46023.0</v>
      </c>
      <c r="AB154" s="46">
        <v>46387.0</v>
      </c>
      <c r="AC154" s="35" t="s">
        <v>3273</v>
      </c>
      <c r="AD154" s="35" t="s">
        <v>79</v>
      </c>
      <c r="AE154" s="102"/>
      <c r="AF154" s="52"/>
      <c r="AG154" s="46"/>
    </row>
    <row r="155" ht="44.25" customHeight="1">
      <c r="A155" s="35">
        <v>154.0</v>
      </c>
      <c r="B155" s="35">
        <v>399.0</v>
      </c>
      <c r="C155" s="35" t="s">
        <v>265</v>
      </c>
      <c r="D155" s="35" t="s">
        <v>774</v>
      </c>
      <c r="E155" s="35" t="s">
        <v>775</v>
      </c>
      <c r="F155" s="35" t="s">
        <v>3276</v>
      </c>
      <c r="G155" s="41" t="s">
        <v>3277</v>
      </c>
      <c r="H155" s="35" t="s">
        <v>59</v>
      </c>
      <c r="I155" s="35" t="s">
        <v>61</v>
      </c>
      <c r="J155" s="35" t="s">
        <v>62</v>
      </c>
      <c r="K155" s="35" t="s">
        <v>111</v>
      </c>
      <c r="L155" s="35">
        <v>133.0</v>
      </c>
      <c r="M155" s="35" t="s">
        <v>3279</v>
      </c>
      <c r="N155" s="35" t="s">
        <v>71</v>
      </c>
      <c r="O155" s="35" t="s">
        <v>67</v>
      </c>
      <c r="P155" s="35" t="s">
        <v>3282</v>
      </c>
      <c r="Q155" s="35">
        <v>0.0</v>
      </c>
      <c r="R155" s="35">
        <v>1.0</v>
      </c>
      <c r="S155" s="35">
        <v>1.0</v>
      </c>
      <c r="T155" s="35" t="s">
        <v>61</v>
      </c>
      <c r="U155" s="35">
        <v>17.0</v>
      </c>
      <c r="V155" s="35" t="s">
        <v>533</v>
      </c>
      <c r="W155" s="35" t="s">
        <v>93</v>
      </c>
      <c r="X155" s="35" t="s">
        <v>3284</v>
      </c>
      <c r="Y155" s="35" t="s">
        <v>3285</v>
      </c>
      <c r="Z155" s="112" t="s">
        <v>3286</v>
      </c>
      <c r="AA155" s="46">
        <v>46023.0</v>
      </c>
      <c r="AB155" s="46">
        <v>46387.0</v>
      </c>
      <c r="AC155" s="35" t="s">
        <v>3287</v>
      </c>
      <c r="AD155" s="35" t="s">
        <v>79</v>
      </c>
      <c r="AE155" s="52"/>
      <c r="AF155" s="52"/>
      <c r="AG155" s="46"/>
    </row>
    <row r="156" ht="44.25" customHeight="1">
      <c r="A156" s="35">
        <v>155.0</v>
      </c>
      <c r="B156" s="35">
        <v>4316.0</v>
      </c>
      <c r="C156" s="35" t="s">
        <v>265</v>
      </c>
      <c r="D156" s="35" t="s">
        <v>774</v>
      </c>
      <c r="E156" s="35" t="s">
        <v>775</v>
      </c>
      <c r="F156" s="35" t="s">
        <v>3291</v>
      </c>
      <c r="G156" s="41" t="s">
        <v>3292</v>
      </c>
      <c r="H156" s="35" t="s">
        <v>59</v>
      </c>
      <c r="I156" s="52"/>
      <c r="J156" s="35" t="s">
        <v>62</v>
      </c>
      <c r="K156" s="35" t="s">
        <v>111</v>
      </c>
      <c r="L156" s="35">
        <v>100.0</v>
      </c>
      <c r="M156" s="35" t="s">
        <v>3295</v>
      </c>
      <c r="N156" s="35" t="s">
        <v>221</v>
      </c>
      <c r="O156" s="35" t="s">
        <v>67</v>
      </c>
      <c r="P156" s="35" t="s">
        <v>3296</v>
      </c>
      <c r="Q156" s="35">
        <v>0.0</v>
      </c>
      <c r="R156" s="35">
        <v>2.0</v>
      </c>
      <c r="S156" s="35">
        <v>2.0</v>
      </c>
      <c r="T156" s="35" t="s">
        <v>61</v>
      </c>
      <c r="U156" s="35">
        <v>30.0</v>
      </c>
      <c r="V156" s="35" t="s">
        <v>533</v>
      </c>
      <c r="W156" s="35" t="s">
        <v>93</v>
      </c>
      <c r="X156" s="35" t="s">
        <v>3302</v>
      </c>
      <c r="Y156" s="52"/>
      <c r="Z156" s="35" t="s">
        <v>3304</v>
      </c>
      <c r="AA156" s="46">
        <v>46023.0</v>
      </c>
      <c r="AB156" s="46">
        <v>46387.0</v>
      </c>
      <c r="AC156" s="35" t="s">
        <v>3305</v>
      </c>
      <c r="AD156" s="35" t="s">
        <v>79</v>
      </c>
      <c r="AE156" s="35"/>
      <c r="AF156" s="35"/>
      <c r="AG156" s="46"/>
    </row>
    <row r="157" ht="44.25" customHeight="1">
      <c r="A157" s="35">
        <v>156.0</v>
      </c>
      <c r="B157" s="35">
        <v>3960.0</v>
      </c>
      <c r="C157" s="35" t="s">
        <v>265</v>
      </c>
      <c r="D157" s="35" t="s">
        <v>774</v>
      </c>
      <c r="E157" s="35" t="s">
        <v>775</v>
      </c>
      <c r="F157" s="35" t="s">
        <v>3310</v>
      </c>
      <c r="G157" s="41" t="s">
        <v>3311</v>
      </c>
      <c r="H157" s="35" t="s">
        <v>59</v>
      </c>
      <c r="I157" s="35" t="s">
        <v>61</v>
      </c>
      <c r="J157" s="35" t="s">
        <v>62</v>
      </c>
      <c r="K157" s="35" t="s">
        <v>68</v>
      </c>
      <c r="L157" s="35">
        <v>125.0</v>
      </c>
      <c r="M157" s="35" t="s">
        <v>3315</v>
      </c>
      <c r="N157" s="35" t="s">
        <v>71</v>
      </c>
      <c r="O157" s="35" t="s">
        <v>67</v>
      </c>
      <c r="P157" s="35" t="s">
        <v>3317</v>
      </c>
      <c r="Q157" s="35">
        <v>0.0</v>
      </c>
      <c r="R157" s="35">
        <v>1.0</v>
      </c>
      <c r="S157" s="35">
        <v>1.0</v>
      </c>
      <c r="T157" s="35" t="s">
        <v>61</v>
      </c>
      <c r="U157" s="35">
        <v>17.0</v>
      </c>
      <c r="V157" s="35" t="s">
        <v>533</v>
      </c>
      <c r="W157" s="35" t="s">
        <v>93</v>
      </c>
      <c r="X157" s="35" t="s">
        <v>3319</v>
      </c>
      <c r="Y157" s="35">
        <v>9.294909859E9</v>
      </c>
      <c r="Z157" s="112" t="s">
        <v>3320</v>
      </c>
      <c r="AA157" s="46">
        <v>46023.0</v>
      </c>
      <c r="AB157" s="46">
        <v>46387.0</v>
      </c>
      <c r="AC157" s="35" t="s">
        <v>3322</v>
      </c>
      <c r="AD157" s="35" t="s">
        <v>79</v>
      </c>
      <c r="AE157" s="52"/>
      <c r="AF157" s="52"/>
      <c r="AG157" s="46"/>
    </row>
    <row r="158" ht="44.25" customHeight="1">
      <c r="A158" s="35">
        <v>157.0</v>
      </c>
      <c r="B158" s="35">
        <v>4636.0</v>
      </c>
      <c r="C158" s="35" t="s">
        <v>265</v>
      </c>
      <c r="D158" s="35" t="s">
        <v>774</v>
      </c>
      <c r="E158" s="35" t="s">
        <v>775</v>
      </c>
      <c r="F158" s="35" t="s">
        <v>3326</v>
      </c>
      <c r="G158" s="41" t="s">
        <v>3327</v>
      </c>
      <c r="H158" s="35" t="s">
        <v>59</v>
      </c>
      <c r="I158" s="35" t="s">
        <v>61</v>
      </c>
      <c r="J158" s="35" t="s">
        <v>62</v>
      </c>
      <c r="K158" s="35" t="s">
        <v>111</v>
      </c>
      <c r="L158" s="35">
        <v>50.0</v>
      </c>
      <c r="M158" s="35" t="s">
        <v>3332</v>
      </c>
      <c r="N158" s="35" t="s">
        <v>221</v>
      </c>
      <c r="O158" s="35" t="s">
        <v>67</v>
      </c>
      <c r="P158" s="35" t="s">
        <v>3333</v>
      </c>
      <c r="Q158" s="35">
        <v>1.0</v>
      </c>
      <c r="R158" s="35">
        <v>0.0</v>
      </c>
      <c r="S158" s="35">
        <v>1.0</v>
      </c>
      <c r="T158" s="35" t="s">
        <v>61</v>
      </c>
      <c r="U158" s="35">
        <v>15.0</v>
      </c>
      <c r="V158" s="35" t="s">
        <v>61</v>
      </c>
      <c r="W158" s="35" t="s">
        <v>93</v>
      </c>
      <c r="X158" s="35" t="s">
        <v>3335</v>
      </c>
      <c r="Y158" s="35" t="s">
        <v>3337</v>
      </c>
      <c r="Z158" s="112" t="s">
        <v>3339</v>
      </c>
      <c r="AA158" s="46">
        <v>46023.0</v>
      </c>
      <c r="AB158" s="46">
        <v>46387.0</v>
      </c>
      <c r="AC158" s="35" t="s">
        <v>3341</v>
      </c>
      <c r="AD158" s="35" t="s">
        <v>79</v>
      </c>
      <c r="AE158" s="52"/>
      <c r="AF158" s="52"/>
      <c r="AG158" s="46"/>
    </row>
    <row r="159" ht="44.25" customHeight="1">
      <c r="A159" s="35">
        <v>158.0</v>
      </c>
      <c r="B159" s="35">
        <v>367.0</v>
      </c>
      <c r="C159" s="35" t="s">
        <v>265</v>
      </c>
      <c r="D159" s="35" t="s">
        <v>774</v>
      </c>
      <c r="E159" s="35" t="s">
        <v>3345</v>
      </c>
      <c r="F159" s="35" t="s">
        <v>3347</v>
      </c>
      <c r="G159" s="41" t="s">
        <v>3349</v>
      </c>
      <c r="H159" s="35" t="s">
        <v>59</v>
      </c>
      <c r="I159" s="35" t="s">
        <v>61</v>
      </c>
      <c r="J159" s="35" t="s">
        <v>62</v>
      </c>
      <c r="K159" s="35" t="s">
        <v>63</v>
      </c>
      <c r="L159" s="35">
        <v>17.0</v>
      </c>
      <c r="M159" s="35" t="s">
        <v>3353</v>
      </c>
      <c r="N159" s="35" t="s">
        <v>66</v>
      </c>
      <c r="O159" s="35" t="s">
        <v>67</v>
      </c>
      <c r="P159" s="35" t="s">
        <v>3354</v>
      </c>
      <c r="Q159" s="35">
        <v>1.0</v>
      </c>
      <c r="R159" s="35">
        <v>0.0</v>
      </c>
      <c r="S159" s="35">
        <v>1.0</v>
      </c>
      <c r="T159" s="35" t="s">
        <v>61</v>
      </c>
      <c r="U159" s="35">
        <v>6.0</v>
      </c>
      <c r="V159" s="35" t="s">
        <v>61</v>
      </c>
      <c r="W159" s="35" t="s">
        <v>74</v>
      </c>
      <c r="X159" s="35" t="s">
        <v>3356</v>
      </c>
      <c r="Y159" s="35" t="s">
        <v>3357</v>
      </c>
      <c r="Z159" s="112" t="s">
        <v>3358</v>
      </c>
      <c r="AA159" s="46">
        <v>46023.0</v>
      </c>
      <c r="AB159" s="46">
        <v>46387.0</v>
      </c>
      <c r="AC159" s="35" t="s">
        <v>3359</v>
      </c>
      <c r="AD159" s="35" t="s">
        <v>79</v>
      </c>
      <c r="AE159" s="52"/>
      <c r="AF159" s="52"/>
      <c r="AG159" s="46"/>
    </row>
    <row r="160" ht="44.25" customHeight="1">
      <c r="A160" s="35">
        <v>159.0</v>
      </c>
      <c r="B160" s="35">
        <v>2929.0</v>
      </c>
      <c r="C160" s="35" t="s">
        <v>265</v>
      </c>
      <c r="D160" s="35" t="s">
        <v>774</v>
      </c>
      <c r="E160" s="35" t="s">
        <v>3345</v>
      </c>
      <c r="F160" s="35" t="s">
        <v>3363</v>
      </c>
      <c r="G160" s="41" t="s">
        <v>3364</v>
      </c>
      <c r="H160" s="35" t="s">
        <v>59</v>
      </c>
      <c r="I160" s="35" t="s">
        <v>61</v>
      </c>
      <c r="J160" s="35" t="s">
        <v>62</v>
      </c>
      <c r="K160" s="35" t="s">
        <v>63</v>
      </c>
      <c r="L160" s="35">
        <v>17.0</v>
      </c>
      <c r="M160" s="35" t="s">
        <v>2214</v>
      </c>
      <c r="N160" s="35" t="s">
        <v>66</v>
      </c>
      <c r="O160" s="35" t="s">
        <v>67</v>
      </c>
      <c r="P160" s="35" t="s">
        <v>3370</v>
      </c>
      <c r="Q160" s="35">
        <v>1.0</v>
      </c>
      <c r="R160" s="35">
        <v>0.0</v>
      </c>
      <c r="S160" s="35">
        <v>1.0</v>
      </c>
      <c r="T160" s="35" t="s">
        <v>61</v>
      </c>
      <c r="U160" s="35" t="s">
        <v>61</v>
      </c>
      <c r="V160" s="35" t="s">
        <v>61</v>
      </c>
      <c r="W160" s="35" t="s">
        <v>74</v>
      </c>
      <c r="X160" s="35" t="s">
        <v>3372</v>
      </c>
      <c r="Y160" s="35" t="s">
        <v>3373</v>
      </c>
      <c r="Z160" s="112" t="s">
        <v>3375</v>
      </c>
      <c r="AA160" s="46">
        <v>46023.0</v>
      </c>
      <c r="AB160" s="46">
        <v>46387.0</v>
      </c>
      <c r="AC160" s="35" t="s">
        <v>3376</v>
      </c>
      <c r="AD160" s="35" t="s">
        <v>79</v>
      </c>
      <c r="AE160" s="52"/>
      <c r="AF160" s="52"/>
      <c r="AG160" s="46"/>
    </row>
    <row r="161" ht="44.25" customHeight="1">
      <c r="A161" s="35">
        <v>160.0</v>
      </c>
      <c r="B161" s="35">
        <v>392.0</v>
      </c>
      <c r="C161" s="35" t="s">
        <v>265</v>
      </c>
      <c r="D161" s="35" t="s">
        <v>774</v>
      </c>
      <c r="E161" s="35" t="s">
        <v>2140</v>
      </c>
      <c r="F161" s="35" t="s">
        <v>3379</v>
      </c>
      <c r="G161" s="41" t="s">
        <v>3381</v>
      </c>
      <c r="H161" s="35" t="s">
        <v>59</v>
      </c>
      <c r="I161" s="35" t="s">
        <v>61</v>
      </c>
      <c r="J161" s="35" t="s">
        <v>62</v>
      </c>
      <c r="K161" s="35" t="s">
        <v>111</v>
      </c>
      <c r="L161" s="35">
        <v>40.0</v>
      </c>
      <c r="M161" s="35" t="s">
        <v>3386</v>
      </c>
      <c r="N161" s="35" t="s">
        <v>66</v>
      </c>
      <c r="O161" s="35" t="s">
        <v>67</v>
      </c>
      <c r="P161" s="35" t="s">
        <v>3390</v>
      </c>
      <c r="Q161" s="35">
        <v>0.0</v>
      </c>
      <c r="R161" s="35">
        <v>1.0</v>
      </c>
      <c r="S161" s="35">
        <v>1.0</v>
      </c>
      <c r="T161" s="35" t="s">
        <v>61</v>
      </c>
      <c r="U161" s="35">
        <v>8.0</v>
      </c>
      <c r="V161" s="35" t="s">
        <v>61</v>
      </c>
      <c r="W161" s="35" t="s">
        <v>93</v>
      </c>
      <c r="X161" s="35" t="s">
        <v>3391</v>
      </c>
      <c r="Y161" s="35" t="s">
        <v>3392</v>
      </c>
      <c r="Z161" s="112" t="s">
        <v>3394</v>
      </c>
      <c r="AA161" s="46">
        <v>46023.0</v>
      </c>
      <c r="AB161" s="46">
        <v>46387.0</v>
      </c>
      <c r="AC161" s="35" t="s">
        <v>3397</v>
      </c>
      <c r="AD161" s="35" t="s">
        <v>79</v>
      </c>
      <c r="AE161" s="52"/>
      <c r="AF161" s="52"/>
      <c r="AG161" s="46"/>
    </row>
    <row r="162" ht="44.25" customHeight="1">
      <c r="A162" s="35">
        <v>161.0</v>
      </c>
      <c r="B162" s="35">
        <v>2488.0</v>
      </c>
      <c r="C162" s="35" t="s">
        <v>265</v>
      </c>
      <c r="D162" s="35" t="s">
        <v>774</v>
      </c>
      <c r="E162" s="35" t="s">
        <v>2160</v>
      </c>
      <c r="F162" s="35" t="s">
        <v>3400</v>
      </c>
      <c r="G162" s="41" t="s">
        <v>3403</v>
      </c>
      <c r="H162" s="35" t="s">
        <v>59</v>
      </c>
      <c r="I162" s="35" t="s">
        <v>61</v>
      </c>
      <c r="J162" s="35" t="s">
        <v>62</v>
      </c>
      <c r="K162" s="35" t="s">
        <v>63</v>
      </c>
      <c r="L162" s="35">
        <v>17.0</v>
      </c>
      <c r="M162" s="35" t="s">
        <v>3408</v>
      </c>
      <c r="N162" s="35" t="s">
        <v>66</v>
      </c>
      <c r="O162" s="35" t="s">
        <v>67</v>
      </c>
      <c r="P162" s="35" t="s">
        <v>3410</v>
      </c>
      <c r="Q162" s="35">
        <v>1.0</v>
      </c>
      <c r="R162" s="35">
        <v>0.0</v>
      </c>
      <c r="S162" s="35">
        <v>1.0</v>
      </c>
      <c r="T162" s="35" t="s">
        <v>61</v>
      </c>
      <c r="U162" s="35" t="s">
        <v>61</v>
      </c>
      <c r="V162" s="35" t="s">
        <v>61</v>
      </c>
      <c r="W162" s="35" t="s">
        <v>74</v>
      </c>
      <c r="X162" s="35" t="s">
        <v>3412</v>
      </c>
      <c r="Y162" s="35" t="s">
        <v>3414</v>
      </c>
      <c r="Z162" s="112" t="s">
        <v>3416</v>
      </c>
      <c r="AA162" s="46">
        <v>46023.0</v>
      </c>
      <c r="AB162" s="46">
        <v>46387.0</v>
      </c>
      <c r="AC162" s="35" t="s">
        <v>3418</v>
      </c>
      <c r="AD162" s="35" t="s">
        <v>79</v>
      </c>
      <c r="AE162" s="52"/>
      <c r="AF162" s="52"/>
      <c r="AG162" s="46"/>
    </row>
    <row r="163" ht="44.25" customHeight="1">
      <c r="A163" s="35">
        <v>162.0</v>
      </c>
      <c r="B163" s="35">
        <v>38497.0</v>
      </c>
      <c r="C163" s="35" t="s">
        <v>265</v>
      </c>
      <c r="D163" s="35" t="s">
        <v>774</v>
      </c>
      <c r="E163" s="35" t="s">
        <v>3420</v>
      </c>
      <c r="F163" s="35" t="s">
        <v>3421</v>
      </c>
      <c r="G163" s="41" t="s">
        <v>3422</v>
      </c>
      <c r="H163" s="35" t="s">
        <v>59</v>
      </c>
      <c r="I163" s="35" t="s">
        <v>61</v>
      </c>
      <c r="J163" s="35" t="s">
        <v>62</v>
      </c>
      <c r="K163" s="35" t="s">
        <v>63</v>
      </c>
      <c r="L163" s="35">
        <v>29.0</v>
      </c>
      <c r="M163" s="35" t="s">
        <v>3427</v>
      </c>
      <c r="N163" s="35" t="s">
        <v>66</v>
      </c>
      <c r="O163" s="35" t="s">
        <v>67</v>
      </c>
      <c r="P163" s="35" t="s">
        <v>61</v>
      </c>
      <c r="Q163" s="35">
        <v>0.0</v>
      </c>
      <c r="R163" s="35">
        <v>0.0</v>
      </c>
      <c r="S163" s="35">
        <v>0.0</v>
      </c>
      <c r="T163" s="35" t="s">
        <v>3429</v>
      </c>
      <c r="U163" s="35">
        <v>16.0</v>
      </c>
      <c r="V163" s="35" t="s">
        <v>61</v>
      </c>
      <c r="W163" s="35" t="s">
        <v>93</v>
      </c>
      <c r="X163" s="35" t="s">
        <v>3430</v>
      </c>
      <c r="Y163" s="35" t="s">
        <v>3432</v>
      </c>
      <c r="Z163" s="112" t="s">
        <v>3433</v>
      </c>
      <c r="AA163" s="46">
        <v>46023.0</v>
      </c>
      <c r="AB163" s="46">
        <v>46387.0</v>
      </c>
      <c r="AC163" s="35" t="s">
        <v>3434</v>
      </c>
      <c r="AD163" s="35" t="s">
        <v>79</v>
      </c>
      <c r="AE163" s="52"/>
      <c r="AF163" s="52"/>
      <c r="AG163" s="46"/>
    </row>
    <row r="164" ht="44.25" customHeight="1">
      <c r="A164" s="35">
        <v>163.0</v>
      </c>
      <c r="B164" s="35">
        <v>1686.0</v>
      </c>
      <c r="C164" s="35" t="s">
        <v>265</v>
      </c>
      <c r="D164" s="35" t="s">
        <v>774</v>
      </c>
      <c r="E164" s="35" t="s">
        <v>2193</v>
      </c>
      <c r="F164" s="35" t="s">
        <v>3438</v>
      </c>
      <c r="G164" s="41" t="s">
        <v>3439</v>
      </c>
      <c r="H164" s="35" t="s">
        <v>59</v>
      </c>
      <c r="I164" s="35" t="s">
        <v>61</v>
      </c>
      <c r="J164" s="35" t="s">
        <v>62</v>
      </c>
      <c r="K164" s="35" t="s">
        <v>63</v>
      </c>
      <c r="L164" s="35">
        <v>80.0</v>
      </c>
      <c r="M164" s="35" t="s">
        <v>3444</v>
      </c>
      <c r="N164" s="35" t="s">
        <v>66</v>
      </c>
      <c r="O164" s="35" t="s">
        <v>67</v>
      </c>
      <c r="P164" s="35" t="s">
        <v>3446</v>
      </c>
      <c r="Q164" s="35">
        <v>1.0</v>
      </c>
      <c r="R164" s="52"/>
      <c r="S164" s="35">
        <v>1.0</v>
      </c>
      <c r="T164" s="35" t="s">
        <v>61</v>
      </c>
      <c r="U164" s="35">
        <v>13.0</v>
      </c>
      <c r="V164" s="35" t="s">
        <v>61</v>
      </c>
      <c r="W164" s="35" t="s">
        <v>93</v>
      </c>
      <c r="X164" s="35" t="s">
        <v>3448</v>
      </c>
      <c r="Y164" s="35" t="s">
        <v>3449</v>
      </c>
      <c r="Z164" s="35" t="s">
        <v>3450</v>
      </c>
      <c r="AA164" s="46">
        <v>46023.0</v>
      </c>
      <c r="AB164" s="46">
        <v>46387.0</v>
      </c>
      <c r="AC164" s="35" t="s">
        <v>3453</v>
      </c>
      <c r="AD164" s="35" t="s">
        <v>79</v>
      </c>
      <c r="AE164" s="52"/>
      <c r="AF164" s="52"/>
      <c r="AG164" s="46"/>
    </row>
    <row r="165" ht="44.25" customHeight="1">
      <c r="A165" s="35">
        <v>164.0</v>
      </c>
      <c r="B165" s="35">
        <v>383.0</v>
      </c>
      <c r="C165" s="35" t="s">
        <v>265</v>
      </c>
      <c r="D165" s="35" t="s">
        <v>774</v>
      </c>
      <c r="E165" s="35" t="s">
        <v>2230</v>
      </c>
      <c r="F165" s="35" t="s">
        <v>3459</v>
      </c>
      <c r="G165" s="41" t="s">
        <v>3460</v>
      </c>
      <c r="H165" s="35" t="s">
        <v>59</v>
      </c>
      <c r="I165" s="35" t="s">
        <v>61</v>
      </c>
      <c r="J165" s="35" t="s">
        <v>62</v>
      </c>
      <c r="K165" s="35" t="s">
        <v>63</v>
      </c>
      <c r="L165" s="35">
        <v>50.0</v>
      </c>
      <c r="M165" s="35" t="s">
        <v>3466</v>
      </c>
      <c r="N165" s="35" t="s">
        <v>66</v>
      </c>
      <c r="O165" s="35" t="s">
        <v>67</v>
      </c>
      <c r="P165" s="35" t="s">
        <v>3467</v>
      </c>
      <c r="Q165" s="35">
        <v>1.0</v>
      </c>
      <c r="R165" s="35">
        <v>0.0</v>
      </c>
      <c r="S165" s="35">
        <v>1.0</v>
      </c>
      <c r="T165" s="35" t="s">
        <v>61</v>
      </c>
      <c r="U165" s="35">
        <v>10.0</v>
      </c>
      <c r="V165" s="35" t="s">
        <v>61</v>
      </c>
      <c r="W165" s="35" t="s">
        <v>93</v>
      </c>
      <c r="X165" s="35" t="s">
        <v>3471</v>
      </c>
      <c r="Y165" s="35" t="s">
        <v>3473</v>
      </c>
      <c r="Z165" s="112" t="s">
        <v>3474</v>
      </c>
      <c r="AA165" s="46">
        <v>46023.0</v>
      </c>
      <c r="AB165" s="46">
        <v>46387.0</v>
      </c>
      <c r="AC165" s="35" t="s">
        <v>3476</v>
      </c>
      <c r="AD165" s="35" t="s">
        <v>79</v>
      </c>
      <c r="AE165" s="52"/>
      <c r="AF165" s="52"/>
      <c r="AG165" s="46"/>
    </row>
    <row r="166" ht="44.25" customHeight="1">
      <c r="A166" s="35">
        <v>165.0</v>
      </c>
      <c r="B166" s="35">
        <v>342.0</v>
      </c>
      <c r="C166" s="35" t="s">
        <v>265</v>
      </c>
      <c r="D166" s="35" t="s">
        <v>774</v>
      </c>
      <c r="E166" s="35" t="s">
        <v>2230</v>
      </c>
      <c r="F166" s="35" t="s">
        <v>3479</v>
      </c>
      <c r="G166" s="41" t="s">
        <v>3481</v>
      </c>
      <c r="H166" s="35" t="s">
        <v>59</v>
      </c>
      <c r="I166" s="35" t="s">
        <v>61</v>
      </c>
      <c r="J166" s="35" t="s">
        <v>62</v>
      </c>
      <c r="K166" s="35" t="s">
        <v>111</v>
      </c>
      <c r="L166" s="35">
        <v>100.0</v>
      </c>
      <c r="M166" s="35" t="s">
        <v>3483</v>
      </c>
      <c r="N166" s="35" t="s">
        <v>66</v>
      </c>
      <c r="O166" s="35" t="s">
        <v>67</v>
      </c>
      <c r="P166" s="35" t="s">
        <v>3485</v>
      </c>
      <c r="Q166" s="35">
        <v>0.0</v>
      </c>
      <c r="R166" s="35">
        <v>1.0</v>
      </c>
      <c r="S166" s="35">
        <v>1.0</v>
      </c>
      <c r="T166" s="35" t="s">
        <v>61</v>
      </c>
      <c r="U166" s="35">
        <v>26.0</v>
      </c>
      <c r="V166" s="35" t="s">
        <v>61</v>
      </c>
      <c r="W166" s="35" t="s">
        <v>93</v>
      </c>
      <c r="X166" s="35" t="s">
        <v>3487</v>
      </c>
      <c r="Y166" s="35">
        <v>9.20962281E9</v>
      </c>
      <c r="Z166" s="112" t="s">
        <v>3490</v>
      </c>
      <c r="AA166" s="46">
        <v>46023.0</v>
      </c>
      <c r="AB166" s="46">
        <v>46387.0</v>
      </c>
      <c r="AC166" s="35" t="s">
        <v>3492</v>
      </c>
      <c r="AD166" s="35" t="s">
        <v>79</v>
      </c>
      <c r="AE166" s="52"/>
      <c r="AF166" s="35"/>
      <c r="AG166" s="46"/>
    </row>
    <row r="167" ht="44.25" customHeight="1">
      <c r="A167" s="35">
        <v>166.0</v>
      </c>
      <c r="B167" s="35">
        <v>40175.0</v>
      </c>
      <c r="C167" s="35" t="s">
        <v>265</v>
      </c>
      <c r="D167" s="35" t="s">
        <v>774</v>
      </c>
      <c r="E167" s="35" t="s">
        <v>2230</v>
      </c>
      <c r="F167" s="35" t="s">
        <v>3494</v>
      </c>
      <c r="G167" s="41" t="s">
        <v>3496</v>
      </c>
      <c r="H167" s="35" t="s">
        <v>59</v>
      </c>
      <c r="I167" s="35" t="s">
        <v>61</v>
      </c>
      <c r="J167" s="35" t="s">
        <v>62</v>
      </c>
      <c r="K167" s="35" t="s">
        <v>63</v>
      </c>
      <c r="L167" s="35">
        <v>29.0</v>
      </c>
      <c r="M167" s="35" t="s">
        <v>3500</v>
      </c>
      <c r="N167" s="35" t="s">
        <v>66</v>
      </c>
      <c r="O167" s="35" t="s">
        <v>67</v>
      </c>
      <c r="P167" s="35" t="s">
        <v>61</v>
      </c>
      <c r="Q167" s="52"/>
      <c r="R167" s="52"/>
      <c r="S167" s="52"/>
      <c r="T167" s="35" t="s">
        <v>3429</v>
      </c>
      <c r="U167" s="35" t="s">
        <v>61</v>
      </c>
      <c r="V167" s="35" t="s">
        <v>61</v>
      </c>
      <c r="W167" s="35" t="s">
        <v>93</v>
      </c>
      <c r="X167" s="35" t="s">
        <v>3503</v>
      </c>
      <c r="Y167" s="35" t="s">
        <v>3505</v>
      </c>
      <c r="Z167" s="35" t="s">
        <v>3507</v>
      </c>
      <c r="AA167" s="46">
        <v>46023.0</v>
      </c>
      <c r="AB167" s="46">
        <v>46387.0</v>
      </c>
      <c r="AC167" s="35" t="s">
        <v>3510</v>
      </c>
      <c r="AD167" s="35" t="s">
        <v>79</v>
      </c>
      <c r="AE167" s="52"/>
      <c r="AF167" s="52"/>
      <c r="AG167" s="46"/>
    </row>
    <row r="168" ht="44.25" customHeight="1">
      <c r="A168" s="35">
        <v>167.0</v>
      </c>
      <c r="B168" s="35">
        <v>52071.0</v>
      </c>
      <c r="C168" s="35" t="s">
        <v>265</v>
      </c>
      <c r="D168" s="35" t="s">
        <v>774</v>
      </c>
      <c r="E168" s="35" t="s">
        <v>2257</v>
      </c>
      <c r="F168" s="35" t="s">
        <v>3513</v>
      </c>
      <c r="G168" s="41" t="s">
        <v>3515</v>
      </c>
      <c r="H168" s="35" t="s">
        <v>59</v>
      </c>
      <c r="I168" s="52"/>
      <c r="J168" s="35" t="s">
        <v>62</v>
      </c>
      <c r="K168" s="35" t="s">
        <v>63</v>
      </c>
      <c r="L168" s="35">
        <v>52.0</v>
      </c>
      <c r="M168" s="35" t="s">
        <v>3518</v>
      </c>
      <c r="N168" s="35" t="s">
        <v>66</v>
      </c>
      <c r="O168" s="35" t="s">
        <v>67</v>
      </c>
      <c r="P168" s="35" t="s">
        <v>3519</v>
      </c>
      <c r="Q168" s="35">
        <v>1.0</v>
      </c>
      <c r="R168" s="35">
        <v>0.0</v>
      </c>
      <c r="S168" s="35">
        <v>1.0</v>
      </c>
      <c r="T168" s="35" t="s">
        <v>61</v>
      </c>
      <c r="U168" s="35">
        <v>8.0</v>
      </c>
      <c r="V168" s="35" t="s">
        <v>61</v>
      </c>
      <c r="W168" s="35" t="s">
        <v>93</v>
      </c>
      <c r="X168" s="35" t="s">
        <v>3522</v>
      </c>
      <c r="Y168" s="35" t="s">
        <v>3524</v>
      </c>
      <c r="Z168" s="112" t="s">
        <v>3526</v>
      </c>
      <c r="AA168" s="46">
        <v>46023.0</v>
      </c>
      <c r="AB168" s="46">
        <v>46387.0</v>
      </c>
      <c r="AC168" s="35" t="s">
        <v>3527</v>
      </c>
      <c r="AD168" s="35" t="s">
        <v>79</v>
      </c>
      <c r="AE168" s="52"/>
      <c r="AF168" s="52"/>
      <c r="AG168" s="46"/>
    </row>
    <row r="169" ht="44.25" customHeight="1">
      <c r="A169" s="35">
        <v>168.0</v>
      </c>
      <c r="B169" s="35">
        <v>5661.0</v>
      </c>
      <c r="C169" s="35" t="s">
        <v>265</v>
      </c>
      <c r="D169" s="35" t="s">
        <v>881</v>
      </c>
      <c r="E169" s="35" t="s">
        <v>2299</v>
      </c>
      <c r="F169" s="35" t="s">
        <v>3530</v>
      </c>
      <c r="G169" s="41" t="s">
        <v>3532</v>
      </c>
      <c r="H169" s="35" t="s">
        <v>59</v>
      </c>
      <c r="I169" s="35" t="s">
        <v>61</v>
      </c>
      <c r="J169" s="35" t="s">
        <v>62</v>
      </c>
      <c r="K169" s="35" t="s">
        <v>111</v>
      </c>
      <c r="L169" s="35">
        <v>115.0</v>
      </c>
      <c r="M169" s="35" t="s">
        <v>3536</v>
      </c>
      <c r="N169" s="35" t="s">
        <v>71</v>
      </c>
      <c r="O169" s="35" t="s">
        <v>67</v>
      </c>
      <c r="P169" s="35" t="s">
        <v>3538</v>
      </c>
      <c r="Q169" s="35">
        <v>0.0</v>
      </c>
      <c r="R169" s="35">
        <v>1.0</v>
      </c>
      <c r="S169" s="35">
        <v>1.0</v>
      </c>
      <c r="T169" s="35" t="s">
        <v>61</v>
      </c>
      <c r="U169" s="35">
        <v>46.0</v>
      </c>
      <c r="V169" s="35" t="s">
        <v>533</v>
      </c>
      <c r="W169" s="35" t="s">
        <v>93</v>
      </c>
      <c r="X169" s="35" t="s">
        <v>3543</v>
      </c>
      <c r="Y169" s="35" t="s">
        <v>3544</v>
      </c>
      <c r="Z169" s="112" t="s">
        <v>3545</v>
      </c>
      <c r="AA169" s="46">
        <v>46023.0</v>
      </c>
      <c r="AB169" s="46">
        <v>46387.0</v>
      </c>
      <c r="AC169" s="35" t="s">
        <v>3550</v>
      </c>
      <c r="AD169" s="35" t="s">
        <v>79</v>
      </c>
      <c r="AE169" s="52"/>
      <c r="AF169" s="52"/>
      <c r="AG169" s="46"/>
    </row>
    <row r="170" ht="44.25" customHeight="1">
      <c r="A170" s="35">
        <v>169.0</v>
      </c>
      <c r="B170" s="35">
        <v>10089.0</v>
      </c>
      <c r="C170" s="35" t="s">
        <v>265</v>
      </c>
      <c r="D170" s="35" t="s">
        <v>881</v>
      </c>
      <c r="E170" s="35" t="s">
        <v>2299</v>
      </c>
      <c r="F170" s="35" t="s">
        <v>3552</v>
      </c>
      <c r="G170" s="41" t="s">
        <v>3553</v>
      </c>
      <c r="H170" s="35" t="s">
        <v>59</v>
      </c>
      <c r="I170" s="35" t="s">
        <v>61</v>
      </c>
      <c r="J170" s="35" t="s">
        <v>62</v>
      </c>
      <c r="K170" s="35" t="s">
        <v>63</v>
      </c>
      <c r="L170" s="35">
        <v>28.0</v>
      </c>
      <c r="M170" s="35" t="s">
        <v>3562</v>
      </c>
      <c r="N170" s="35" t="s">
        <v>66</v>
      </c>
      <c r="O170" s="35" t="s">
        <v>67</v>
      </c>
      <c r="P170" s="35" t="s">
        <v>61</v>
      </c>
      <c r="Q170" s="35">
        <v>0.0</v>
      </c>
      <c r="R170" s="35">
        <v>0.0</v>
      </c>
      <c r="S170" s="35">
        <v>0.0</v>
      </c>
      <c r="T170" s="35" t="s">
        <v>3565</v>
      </c>
      <c r="U170" s="52"/>
      <c r="V170" s="35" t="s">
        <v>61</v>
      </c>
      <c r="W170" s="35" t="s">
        <v>93</v>
      </c>
      <c r="X170" s="35" t="s">
        <v>3569</v>
      </c>
      <c r="Y170" s="35" t="s">
        <v>3571</v>
      </c>
      <c r="Z170" s="112" t="s">
        <v>3572</v>
      </c>
      <c r="AA170" s="46">
        <v>46023.0</v>
      </c>
      <c r="AB170" s="46">
        <v>46387.0</v>
      </c>
      <c r="AC170" s="35" t="s">
        <v>3573</v>
      </c>
      <c r="AD170" s="35" t="s">
        <v>79</v>
      </c>
      <c r="AE170" s="52"/>
      <c r="AF170" s="52"/>
      <c r="AG170" s="46"/>
    </row>
    <row r="171" ht="44.25" customHeight="1">
      <c r="A171" s="35">
        <v>170.0</v>
      </c>
      <c r="B171" s="35">
        <v>4700.0</v>
      </c>
      <c r="C171" s="35" t="s">
        <v>265</v>
      </c>
      <c r="D171" s="35" t="s">
        <v>881</v>
      </c>
      <c r="E171" s="35" t="s">
        <v>2299</v>
      </c>
      <c r="F171" s="35" t="s">
        <v>3579</v>
      </c>
      <c r="G171" s="41" t="s">
        <v>3582</v>
      </c>
      <c r="H171" s="35" t="s">
        <v>59</v>
      </c>
      <c r="I171" s="35" t="s">
        <v>61</v>
      </c>
      <c r="J171" s="35" t="s">
        <v>62</v>
      </c>
      <c r="K171" s="35" t="s">
        <v>111</v>
      </c>
      <c r="L171" s="35">
        <v>69.0</v>
      </c>
      <c r="M171" s="35" t="s">
        <v>3587</v>
      </c>
      <c r="N171" s="35" t="s">
        <v>66</v>
      </c>
      <c r="O171" s="35" t="s">
        <v>67</v>
      </c>
      <c r="P171" s="35" t="s">
        <v>3589</v>
      </c>
      <c r="Q171" s="35">
        <v>0.0</v>
      </c>
      <c r="R171" s="35">
        <v>1.0</v>
      </c>
      <c r="S171" s="35">
        <v>1.0</v>
      </c>
      <c r="T171" s="35" t="s">
        <v>61</v>
      </c>
      <c r="U171" s="35">
        <v>11.0</v>
      </c>
      <c r="V171" s="35" t="s">
        <v>61</v>
      </c>
      <c r="W171" s="35" t="s">
        <v>93</v>
      </c>
      <c r="X171" s="35" t="s">
        <v>3592</v>
      </c>
      <c r="Y171" s="35" t="s">
        <v>3595</v>
      </c>
      <c r="Z171" s="112" t="s">
        <v>3596</v>
      </c>
      <c r="AA171" s="46">
        <v>46023.0</v>
      </c>
      <c r="AB171" s="46">
        <v>46387.0</v>
      </c>
      <c r="AC171" s="35" t="s">
        <v>3597</v>
      </c>
      <c r="AD171" s="35" t="s">
        <v>79</v>
      </c>
      <c r="AE171" s="52"/>
      <c r="AF171" s="52"/>
      <c r="AG171" s="46"/>
    </row>
    <row r="172" ht="44.25" customHeight="1">
      <c r="A172" s="35">
        <v>171.0</v>
      </c>
      <c r="B172" s="35">
        <v>2740.0</v>
      </c>
      <c r="C172" s="35" t="s">
        <v>265</v>
      </c>
      <c r="D172" s="35" t="s">
        <v>881</v>
      </c>
      <c r="E172" s="35" t="s">
        <v>2299</v>
      </c>
      <c r="F172" s="35" t="s">
        <v>3618</v>
      </c>
      <c r="G172" s="41" t="s">
        <v>3620</v>
      </c>
      <c r="H172" s="35" t="s">
        <v>59</v>
      </c>
      <c r="I172" s="35" t="s">
        <v>61</v>
      </c>
      <c r="J172" s="35" t="s">
        <v>62</v>
      </c>
      <c r="K172" s="35" t="s">
        <v>68</v>
      </c>
      <c r="L172" s="35">
        <v>178.0</v>
      </c>
      <c r="M172" s="35" t="s">
        <v>3627</v>
      </c>
      <c r="N172" s="35" t="s">
        <v>71</v>
      </c>
      <c r="O172" s="35" t="s">
        <v>67</v>
      </c>
      <c r="P172" s="35" t="s">
        <v>3631</v>
      </c>
      <c r="Q172" s="35">
        <v>0.0</v>
      </c>
      <c r="R172" s="35">
        <v>1.0</v>
      </c>
      <c r="S172" s="35">
        <v>1.0</v>
      </c>
      <c r="T172" s="35" t="s">
        <v>61</v>
      </c>
      <c r="U172" s="35">
        <v>40.0</v>
      </c>
      <c r="V172" s="35" t="s">
        <v>61</v>
      </c>
      <c r="W172" s="35" t="s">
        <v>93</v>
      </c>
      <c r="X172" s="35" t="s">
        <v>3632</v>
      </c>
      <c r="Y172" s="35" t="s">
        <v>3633</v>
      </c>
      <c r="Z172" s="112" t="s">
        <v>3634</v>
      </c>
      <c r="AA172" s="46">
        <v>46023.0</v>
      </c>
      <c r="AB172" s="46">
        <v>46387.0</v>
      </c>
      <c r="AC172" s="35" t="s">
        <v>3635</v>
      </c>
      <c r="AD172" s="35" t="s">
        <v>79</v>
      </c>
      <c r="AE172" s="52"/>
      <c r="AF172" s="52"/>
      <c r="AG172" s="46"/>
    </row>
    <row r="173" ht="44.25" customHeight="1">
      <c r="A173" s="35">
        <v>172.0</v>
      </c>
      <c r="B173" s="35">
        <v>2820.0</v>
      </c>
      <c r="C173" s="35" t="s">
        <v>265</v>
      </c>
      <c r="D173" s="35" t="s">
        <v>881</v>
      </c>
      <c r="E173" s="35" t="s">
        <v>2299</v>
      </c>
      <c r="F173" s="35" t="s">
        <v>3641</v>
      </c>
      <c r="G173" s="41" t="s">
        <v>3642</v>
      </c>
      <c r="H173" s="35" t="s">
        <v>59</v>
      </c>
      <c r="I173" s="35" t="s">
        <v>61</v>
      </c>
      <c r="J173" s="35" t="s">
        <v>62</v>
      </c>
      <c r="K173" s="35" t="s">
        <v>111</v>
      </c>
      <c r="L173" s="35">
        <v>79.0</v>
      </c>
      <c r="M173" s="35" t="s">
        <v>3646</v>
      </c>
      <c r="N173" s="35" t="s">
        <v>66</v>
      </c>
      <c r="O173" s="35" t="s">
        <v>67</v>
      </c>
      <c r="P173" s="35" t="s">
        <v>3647</v>
      </c>
      <c r="Q173" s="35">
        <v>0.0</v>
      </c>
      <c r="R173" s="35">
        <v>1.0</v>
      </c>
      <c r="S173" s="35">
        <v>1.0</v>
      </c>
      <c r="T173" s="35" t="s">
        <v>61</v>
      </c>
      <c r="U173" s="35">
        <v>20.0</v>
      </c>
      <c r="V173" s="35" t="s">
        <v>61</v>
      </c>
      <c r="W173" s="35" t="s">
        <v>93</v>
      </c>
      <c r="X173" s="35" t="s">
        <v>3650</v>
      </c>
      <c r="Y173" s="35" t="s">
        <v>3651</v>
      </c>
      <c r="Z173" s="112" t="s">
        <v>3652</v>
      </c>
      <c r="AA173" s="46">
        <v>46023.0</v>
      </c>
      <c r="AB173" s="46">
        <v>46387.0</v>
      </c>
      <c r="AC173" s="35" t="s">
        <v>3654</v>
      </c>
      <c r="AD173" s="35" t="s">
        <v>79</v>
      </c>
      <c r="AE173" s="52"/>
      <c r="AF173" s="52"/>
      <c r="AG173" s="46"/>
    </row>
    <row r="174" ht="44.25" customHeight="1">
      <c r="A174" s="35">
        <v>173.0</v>
      </c>
      <c r="B174" s="35">
        <v>23754.0</v>
      </c>
      <c r="C174" s="35" t="s">
        <v>265</v>
      </c>
      <c r="D174" s="35" t="s">
        <v>881</v>
      </c>
      <c r="E174" s="35" t="s">
        <v>2299</v>
      </c>
      <c r="F174" s="35" t="s">
        <v>3661</v>
      </c>
      <c r="G174" s="41" t="s">
        <v>3662</v>
      </c>
      <c r="H174" s="35" t="s">
        <v>59</v>
      </c>
      <c r="I174" s="35" t="s">
        <v>61</v>
      </c>
      <c r="J174" s="35" t="s">
        <v>62</v>
      </c>
      <c r="K174" s="35" t="s">
        <v>63</v>
      </c>
      <c r="L174" s="35">
        <v>17.0</v>
      </c>
      <c r="M174" s="35" t="s">
        <v>3667</v>
      </c>
      <c r="N174" s="35" t="s">
        <v>66</v>
      </c>
      <c r="O174" s="35" t="s">
        <v>67</v>
      </c>
      <c r="P174" s="35" t="s">
        <v>3668</v>
      </c>
      <c r="Q174" s="35">
        <v>0.0</v>
      </c>
      <c r="R174" s="35">
        <v>1.0</v>
      </c>
      <c r="S174" s="35">
        <v>1.0</v>
      </c>
      <c r="T174" s="35" t="s">
        <v>61</v>
      </c>
      <c r="U174" s="35">
        <v>12.0</v>
      </c>
      <c r="V174" s="35" t="s">
        <v>61</v>
      </c>
      <c r="W174" s="35" t="s">
        <v>74</v>
      </c>
      <c r="X174" s="35" t="s">
        <v>3669</v>
      </c>
      <c r="Y174" s="35" t="s">
        <v>3670</v>
      </c>
      <c r="Z174" s="112" t="s">
        <v>3671</v>
      </c>
      <c r="AA174" s="46">
        <v>46023.0</v>
      </c>
      <c r="AB174" s="46">
        <v>46387.0</v>
      </c>
      <c r="AC174" s="35" t="s">
        <v>3673</v>
      </c>
      <c r="AD174" s="35" t="s">
        <v>79</v>
      </c>
      <c r="AE174" s="35" t="s">
        <v>61</v>
      </c>
      <c r="AF174" s="52"/>
      <c r="AG174" s="46"/>
    </row>
    <row r="175" ht="44.25" customHeight="1">
      <c r="A175" s="35">
        <v>174.0</v>
      </c>
      <c r="B175" s="35">
        <v>38109.0</v>
      </c>
      <c r="C175" s="35" t="s">
        <v>265</v>
      </c>
      <c r="D175" s="35" t="s">
        <v>881</v>
      </c>
      <c r="E175" s="35" t="s">
        <v>2299</v>
      </c>
      <c r="F175" s="35" t="s">
        <v>3681</v>
      </c>
      <c r="G175" s="41" t="s">
        <v>3682</v>
      </c>
      <c r="H175" s="35" t="s">
        <v>59</v>
      </c>
      <c r="I175" s="35" t="s">
        <v>61</v>
      </c>
      <c r="J175" s="35" t="s">
        <v>62</v>
      </c>
      <c r="K175" s="35" t="s">
        <v>111</v>
      </c>
      <c r="L175" s="35">
        <v>60.0</v>
      </c>
      <c r="M175" s="35" t="s">
        <v>3686</v>
      </c>
      <c r="N175" s="35" t="s">
        <v>66</v>
      </c>
      <c r="O175" s="35" t="s">
        <v>67</v>
      </c>
      <c r="P175" s="35" t="s">
        <v>3688</v>
      </c>
      <c r="Q175" s="35">
        <v>0.0</v>
      </c>
      <c r="R175" s="35">
        <v>1.0</v>
      </c>
      <c r="S175" s="35">
        <v>1.0</v>
      </c>
      <c r="T175" s="35" t="s">
        <v>61</v>
      </c>
      <c r="U175" s="35">
        <v>8.0</v>
      </c>
      <c r="V175" s="35" t="s">
        <v>61</v>
      </c>
      <c r="W175" s="35" t="s">
        <v>93</v>
      </c>
      <c r="X175" s="35" t="s">
        <v>3689</v>
      </c>
      <c r="Y175" s="35" t="s">
        <v>3690</v>
      </c>
      <c r="Z175" s="35" t="s">
        <v>3692</v>
      </c>
      <c r="AA175" s="46">
        <v>46023.0</v>
      </c>
      <c r="AB175" s="46">
        <v>46387.0</v>
      </c>
      <c r="AC175" s="35" t="s">
        <v>3693</v>
      </c>
      <c r="AD175" s="35" t="s">
        <v>79</v>
      </c>
      <c r="AE175" s="35" t="s">
        <v>3695</v>
      </c>
      <c r="AF175" s="52"/>
      <c r="AG175" s="46"/>
    </row>
    <row r="176" ht="44.25" customHeight="1">
      <c r="A176" s="35">
        <v>175.0</v>
      </c>
      <c r="B176" s="35">
        <v>5085.0</v>
      </c>
      <c r="C176" s="35" t="s">
        <v>265</v>
      </c>
      <c r="D176" s="35" t="s">
        <v>881</v>
      </c>
      <c r="E176" s="35" t="s">
        <v>2299</v>
      </c>
      <c r="F176" s="35" t="s">
        <v>3698</v>
      </c>
      <c r="G176" s="41" t="s">
        <v>3699</v>
      </c>
      <c r="H176" s="35" t="s">
        <v>59</v>
      </c>
      <c r="I176" s="35" t="s">
        <v>61</v>
      </c>
      <c r="J176" s="35" t="s">
        <v>62</v>
      </c>
      <c r="K176" s="35" t="s">
        <v>111</v>
      </c>
      <c r="L176" s="35">
        <v>95.0</v>
      </c>
      <c r="M176" s="35" t="s">
        <v>3701</v>
      </c>
      <c r="N176" s="35" t="s">
        <v>66</v>
      </c>
      <c r="O176" s="35" t="s">
        <v>67</v>
      </c>
      <c r="P176" s="35" t="s">
        <v>3703</v>
      </c>
      <c r="Q176" s="35">
        <v>0.0</v>
      </c>
      <c r="R176" s="35">
        <v>1.0</v>
      </c>
      <c r="S176" s="35">
        <v>1.0</v>
      </c>
      <c r="T176" s="35" t="s">
        <v>61</v>
      </c>
      <c r="U176" s="35">
        <v>20.0</v>
      </c>
      <c r="V176" s="35" t="s">
        <v>533</v>
      </c>
      <c r="W176" s="35" t="s">
        <v>93</v>
      </c>
      <c r="X176" s="35" t="s">
        <v>3706</v>
      </c>
      <c r="Y176" s="35" t="s">
        <v>3707</v>
      </c>
      <c r="Z176" s="35" t="s">
        <v>3708</v>
      </c>
      <c r="AA176" s="46">
        <v>46023.0</v>
      </c>
      <c r="AB176" s="46">
        <v>46387.0</v>
      </c>
      <c r="AC176" s="35" t="s">
        <v>3709</v>
      </c>
      <c r="AD176" s="35" t="s">
        <v>79</v>
      </c>
      <c r="AE176" s="35" t="s">
        <v>643</v>
      </c>
      <c r="AF176" s="52"/>
      <c r="AG176" s="46"/>
    </row>
    <row r="177" ht="44.25" customHeight="1">
      <c r="A177" s="35">
        <v>176.0</v>
      </c>
      <c r="B177" s="35">
        <v>305.0</v>
      </c>
      <c r="C177" s="35" t="s">
        <v>265</v>
      </c>
      <c r="D177" s="35" t="s">
        <v>881</v>
      </c>
      <c r="E177" s="35" t="s">
        <v>3712</v>
      </c>
      <c r="F177" s="35" t="s">
        <v>3714</v>
      </c>
      <c r="G177" s="41" t="s">
        <v>3716</v>
      </c>
      <c r="H177" s="35" t="s">
        <v>59</v>
      </c>
      <c r="I177" s="35" t="s">
        <v>61</v>
      </c>
      <c r="J177" s="35" t="s">
        <v>62</v>
      </c>
      <c r="K177" s="35" t="s">
        <v>63</v>
      </c>
      <c r="L177" s="35">
        <v>15.0</v>
      </c>
      <c r="M177" s="35" t="s">
        <v>3723</v>
      </c>
      <c r="N177" s="35" t="s">
        <v>66</v>
      </c>
      <c r="O177" s="35" t="s">
        <v>67</v>
      </c>
      <c r="P177" s="35" t="s">
        <v>3726</v>
      </c>
      <c r="Q177" s="35">
        <v>1.0</v>
      </c>
      <c r="R177" s="35">
        <v>0.0</v>
      </c>
      <c r="S177" s="35">
        <v>1.0</v>
      </c>
      <c r="T177" s="35" t="s">
        <v>61</v>
      </c>
      <c r="U177" s="35">
        <v>11.0</v>
      </c>
      <c r="V177" s="35" t="s">
        <v>61</v>
      </c>
      <c r="W177" s="35" t="s">
        <v>74</v>
      </c>
      <c r="X177" s="35" t="s">
        <v>3729</v>
      </c>
      <c r="Y177" s="35" t="s">
        <v>3731</v>
      </c>
      <c r="Z177" s="112" t="s">
        <v>3732</v>
      </c>
      <c r="AA177" s="46">
        <v>46023.0</v>
      </c>
      <c r="AB177" s="46">
        <v>46387.0</v>
      </c>
      <c r="AC177" s="35" t="s">
        <v>3733</v>
      </c>
      <c r="AD177" s="35" t="s">
        <v>79</v>
      </c>
      <c r="AE177" s="52"/>
      <c r="AF177" s="52"/>
      <c r="AG177" s="46"/>
    </row>
    <row r="178" ht="44.25" customHeight="1">
      <c r="A178" s="35">
        <v>177.0</v>
      </c>
      <c r="B178" s="35">
        <v>3092.0</v>
      </c>
      <c r="C178" s="35" t="s">
        <v>265</v>
      </c>
      <c r="D178" s="35" t="s">
        <v>881</v>
      </c>
      <c r="E178" s="35" t="s">
        <v>3712</v>
      </c>
      <c r="F178" s="35" t="s">
        <v>3737</v>
      </c>
      <c r="G178" s="41" t="s">
        <v>3739</v>
      </c>
      <c r="H178" s="35" t="s">
        <v>59</v>
      </c>
      <c r="I178" s="35" t="s">
        <v>61</v>
      </c>
      <c r="J178" s="35" t="s">
        <v>62</v>
      </c>
      <c r="K178" s="35" t="s">
        <v>63</v>
      </c>
      <c r="L178" s="35">
        <v>29.0</v>
      </c>
      <c r="M178" s="35" t="s">
        <v>3741</v>
      </c>
      <c r="N178" s="35" t="s">
        <v>66</v>
      </c>
      <c r="O178" s="35" t="s">
        <v>67</v>
      </c>
      <c r="P178" s="35" t="s">
        <v>3743</v>
      </c>
      <c r="Q178" s="35">
        <v>1.0</v>
      </c>
      <c r="R178" s="35">
        <v>0.0</v>
      </c>
      <c r="S178" s="35">
        <v>1.0</v>
      </c>
      <c r="T178" s="35" t="s">
        <v>61</v>
      </c>
      <c r="U178" s="35">
        <v>8.0</v>
      </c>
      <c r="V178" s="35" t="s">
        <v>61</v>
      </c>
      <c r="W178" s="35" t="s">
        <v>74</v>
      </c>
      <c r="X178" s="35" t="s">
        <v>3751</v>
      </c>
      <c r="Y178" s="35" t="s">
        <v>3754</v>
      </c>
      <c r="Z178" s="112" t="s">
        <v>3757</v>
      </c>
      <c r="AA178" s="46">
        <v>46023.0</v>
      </c>
      <c r="AB178" s="46">
        <v>46387.0</v>
      </c>
      <c r="AC178" s="35" t="s">
        <v>3759</v>
      </c>
      <c r="AD178" s="35" t="s">
        <v>79</v>
      </c>
      <c r="AE178" s="52"/>
      <c r="AF178" s="52"/>
      <c r="AG178" s="46"/>
    </row>
    <row r="179" ht="44.25" customHeight="1">
      <c r="A179" s="35">
        <v>178.0</v>
      </c>
      <c r="B179" s="35">
        <v>1680.0</v>
      </c>
      <c r="C179" s="35" t="s">
        <v>265</v>
      </c>
      <c r="D179" s="35" t="s">
        <v>881</v>
      </c>
      <c r="E179" s="35" t="s">
        <v>3712</v>
      </c>
      <c r="F179" s="35" t="s">
        <v>3767</v>
      </c>
      <c r="G179" s="41" t="s">
        <v>3768</v>
      </c>
      <c r="H179" s="35" t="s">
        <v>59</v>
      </c>
      <c r="I179" s="35" t="s">
        <v>61</v>
      </c>
      <c r="J179" s="35" t="s">
        <v>62</v>
      </c>
      <c r="K179" s="35" t="s">
        <v>63</v>
      </c>
      <c r="L179" s="35">
        <v>17.0</v>
      </c>
      <c r="M179" s="35" t="s">
        <v>61</v>
      </c>
      <c r="N179" s="35" t="s">
        <v>66</v>
      </c>
      <c r="O179" s="35" t="s">
        <v>67</v>
      </c>
      <c r="P179" s="35" t="s">
        <v>3769</v>
      </c>
      <c r="Q179" s="35">
        <v>1.0</v>
      </c>
      <c r="R179" s="35">
        <v>0.0</v>
      </c>
      <c r="S179" s="35">
        <v>1.0</v>
      </c>
      <c r="T179" s="35" t="s">
        <v>61</v>
      </c>
      <c r="U179" s="52"/>
      <c r="V179" s="35" t="s">
        <v>61</v>
      </c>
      <c r="W179" s="35" t="s">
        <v>74</v>
      </c>
      <c r="X179" s="35" t="s">
        <v>3773</v>
      </c>
      <c r="Y179" s="35" t="s">
        <v>3775</v>
      </c>
      <c r="Z179" s="112" t="s">
        <v>3776</v>
      </c>
      <c r="AA179" s="46">
        <v>46023.0</v>
      </c>
      <c r="AB179" s="46">
        <v>46387.0</v>
      </c>
      <c r="AC179" s="35" t="s">
        <v>3777</v>
      </c>
      <c r="AD179" s="35" t="s">
        <v>79</v>
      </c>
      <c r="AE179" s="52"/>
      <c r="AF179" s="52"/>
      <c r="AG179" s="46"/>
    </row>
    <row r="180" ht="44.25" customHeight="1">
      <c r="A180" s="35">
        <v>179.0</v>
      </c>
      <c r="B180" s="35">
        <v>34411.0</v>
      </c>
      <c r="C180" s="35" t="s">
        <v>265</v>
      </c>
      <c r="D180" s="35" t="s">
        <v>881</v>
      </c>
      <c r="E180" s="35" t="s">
        <v>3712</v>
      </c>
      <c r="F180" s="35" t="s">
        <v>3778</v>
      </c>
      <c r="G180" s="41" t="s">
        <v>3779</v>
      </c>
      <c r="H180" s="35" t="s">
        <v>59</v>
      </c>
      <c r="I180" s="35" t="s">
        <v>61</v>
      </c>
      <c r="J180" s="35" t="s">
        <v>62</v>
      </c>
      <c r="K180" s="35" t="s">
        <v>111</v>
      </c>
      <c r="L180" s="35">
        <v>60.0</v>
      </c>
      <c r="M180" s="35" t="s">
        <v>3780</v>
      </c>
      <c r="N180" s="35" t="s">
        <v>66</v>
      </c>
      <c r="O180" s="35" t="s">
        <v>67</v>
      </c>
      <c r="P180" s="35" t="s">
        <v>3782</v>
      </c>
      <c r="Q180" s="35">
        <v>0.0</v>
      </c>
      <c r="R180" s="35">
        <v>1.0</v>
      </c>
      <c r="S180" s="35">
        <v>1.0</v>
      </c>
      <c r="T180" s="35" t="s">
        <v>61</v>
      </c>
      <c r="U180" s="35">
        <v>14.0</v>
      </c>
      <c r="V180" s="35" t="s">
        <v>61</v>
      </c>
      <c r="W180" s="35" t="s">
        <v>93</v>
      </c>
      <c r="X180" s="35" t="s">
        <v>3783</v>
      </c>
      <c r="Y180" s="35" t="s">
        <v>3784</v>
      </c>
      <c r="Z180" s="35" t="s">
        <v>3785</v>
      </c>
      <c r="AA180" s="46">
        <v>46023.0</v>
      </c>
      <c r="AB180" s="46">
        <v>46387.0</v>
      </c>
      <c r="AC180" s="35" t="s">
        <v>3786</v>
      </c>
      <c r="AD180" s="35" t="s">
        <v>79</v>
      </c>
      <c r="AE180" s="35" t="s">
        <v>61</v>
      </c>
      <c r="AF180" s="52"/>
      <c r="AG180" s="46"/>
    </row>
    <row r="181" ht="44.25" customHeight="1">
      <c r="A181" s="35">
        <v>180.0</v>
      </c>
      <c r="B181" s="35">
        <v>32089.0</v>
      </c>
      <c r="C181" s="35" t="s">
        <v>265</v>
      </c>
      <c r="D181" s="35" t="s">
        <v>881</v>
      </c>
      <c r="E181" s="35" t="s">
        <v>2375</v>
      </c>
      <c r="F181" s="35" t="s">
        <v>3793</v>
      </c>
      <c r="G181" s="41" t="s">
        <v>3794</v>
      </c>
      <c r="H181" s="35" t="s">
        <v>59</v>
      </c>
      <c r="I181" s="35" t="s">
        <v>61</v>
      </c>
      <c r="J181" s="35" t="s">
        <v>62</v>
      </c>
      <c r="K181" s="35" t="s">
        <v>63</v>
      </c>
      <c r="L181" s="35">
        <v>36.0</v>
      </c>
      <c r="M181" s="35" t="s">
        <v>3801</v>
      </c>
      <c r="N181" s="35" t="s">
        <v>66</v>
      </c>
      <c r="O181" s="35" t="s">
        <v>67</v>
      </c>
      <c r="P181" s="35" t="s">
        <v>3803</v>
      </c>
      <c r="Q181" s="35">
        <v>0.0</v>
      </c>
      <c r="R181" s="35">
        <v>1.0</v>
      </c>
      <c r="S181" s="35">
        <v>1.0</v>
      </c>
      <c r="T181" s="35" t="s">
        <v>61</v>
      </c>
      <c r="U181" s="35">
        <v>9.0</v>
      </c>
      <c r="V181" s="35" t="s">
        <v>61</v>
      </c>
      <c r="W181" s="35" t="s">
        <v>74</v>
      </c>
      <c r="X181" s="35" t="s">
        <v>3812</v>
      </c>
      <c r="Y181" s="35" t="s">
        <v>3813</v>
      </c>
      <c r="Z181" s="112" t="s">
        <v>3815</v>
      </c>
      <c r="AA181" s="46">
        <v>46023.0</v>
      </c>
      <c r="AB181" s="46">
        <v>46387.0</v>
      </c>
      <c r="AC181" s="35" t="s">
        <v>3817</v>
      </c>
      <c r="AD181" s="35" t="s">
        <v>79</v>
      </c>
      <c r="AE181" s="52"/>
      <c r="AF181" s="52"/>
      <c r="AG181" s="46"/>
    </row>
    <row r="182" ht="44.25" customHeight="1">
      <c r="A182" s="35">
        <v>181.0</v>
      </c>
      <c r="B182" s="35">
        <v>5718.0</v>
      </c>
      <c r="C182" s="35" t="s">
        <v>265</v>
      </c>
      <c r="D182" s="35" t="s">
        <v>881</v>
      </c>
      <c r="E182" s="35" t="s">
        <v>2375</v>
      </c>
      <c r="F182" s="35" t="s">
        <v>3824</v>
      </c>
      <c r="G182" s="41" t="s">
        <v>3826</v>
      </c>
      <c r="H182" s="35" t="s">
        <v>59</v>
      </c>
      <c r="I182" s="35" t="s">
        <v>61</v>
      </c>
      <c r="J182" s="35" t="s">
        <v>62</v>
      </c>
      <c r="K182" s="35" t="s">
        <v>111</v>
      </c>
      <c r="L182" s="35">
        <v>47.0</v>
      </c>
      <c r="M182" s="35" t="s">
        <v>3832</v>
      </c>
      <c r="N182" s="35" t="s">
        <v>66</v>
      </c>
      <c r="O182" s="35" t="s">
        <v>67</v>
      </c>
      <c r="P182" s="35" t="s">
        <v>3834</v>
      </c>
      <c r="Q182" s="35">
        <v>0.0</v>
      </c>
      <c r="R182" s="35">
        <v>1.0</v>
      </c>
      <c r="S182" s="35">
        <v>1.0</v>
      </c>
      <c r="T182" s="35" t="s">
        <v>61</v>
      </c>
      <c r="U182" s="35">
        <v>14.0</v>
      </c>
      <c r="V182" s="35" t="s">
        <v>61</v>
      </c>
      <c r="W182" s="35" t="s">
        <v>93</v>
      </c>
      <c r="X182" s="35" t="s">
        <v>3836</v>
      </c>
      <c r="Y182" s="35" t="s">
        <v>3837</v>
      </c>
      <c r="Z182" s="35" t="s">
        <v>3838</v>
      </c>
      <c r="AA182" s="46">
        <v>46023.0</v>
      </c>
      <c r="AB182" s="46">
        <v>46387.0</v>
      </c>
      <c r="AC182" s="35" t="s">
        <v>3840</v>
      </c>
      <c r="AD182" s="35" t="s">
        <v>79</v>
      </c>
      <c r="AE182" s="35" t="s">
        <v>61</v>
      </c>
      <c r="AF182" s="52"/>
      <c r="AG182" s="46"/>
    </row>
    <row r="183" ht="44.25" customHeight="1">
      <c r="A183" s="35">
        <v>182.0</v>
      </c>
      <c r="B183" s="35">
        <v>2544.0</v>
      </c>
      <c r="C183" s="35" t="s">
        <v>265</v>
      </c>
      <c r="D183" s="35" t="s">
        <v>881</v>
      </c>
      <c r="E183" s="35" t="s">
        <v>2375</v>
      </c>
      <c r="F183" s="35" t="s">
        <v>3844</v>
      </c>
      <c r="G183" s="41" t="s">
        <v>3845</v>
      </c>
      <c r="H183" s="35" t="s">
        <v>59</v>
      </c>
      <c r="I183" s="35" t="s">
        <v>61</v>
      </c>
      <c r="J183" s="35" t="s">
        <v>62</v>
      </c>
      <c r="K183" s="35" t="s">
        <v>63</v>
      </c>
      <c r="L183" s="35">
        <v>50.0</v>
      </c>
      <c r="M183" s="35" t="s">
        <v>3848</v>
      </c>
      <c r="N183" s="35" t="s">
        <v>66</v>
      </c>
      <c r="O183" s="35" t="s">
        <v>67</v>
      </c>
      <c r="P183" s="35" t="s">
        <v>3849</v>
      </c>
      <c r="Q183" s="35">
        <v>1.0</v>
      </c>
      <c r="R183" s="35">
        <v>0.0</v>
      </c>
      <c r="S183" s="35">
        <v>1.0</v>
      </c>
      <c r="T183" s="35" t="s">
        <v>61</v>
      </c>
      <c r="U183" s="35">
        <v>6.0</v>
      </c>
      <c r="V183" s="35" t="s">
        <v>61</v>
      </c>
      <c r="W183" s="35" t="s">
        <v>74</v>
      </c>
      <c r="X183" s="35" t="s">
        <v>3852</v>
      </c>
      <c r="Y183" s="35" t="s">
        <v>3853</v>
      </c>
      <c r="Z183" s="112" t="s">
        <v>3854</v>
      </c>
      <c r="AA183" s="46">
        <v>46023.0</v>
      </c>
      <c r="AB183" s="46">
        <v>46387.0</v>
      </c>
      <c r="AC183" s="35" t="s">
        <v>3855</v>
      </c>
      <c r="AD183" s="35" t="s">
        <v>79</v>
      </c>
      <c r="AE183" s="35" t="s">
        <v>61</v>
      </c>
      <c r="AF183" s="52"/>
      <c r="AG183" s="46"/>
    </row>
    <row r="184" ht="44.25" customHeight="1">
      <c r="A184" s="35">
        <v>183.0</v>
      </c>
      <c r="B184" s="35">
        <v>32094.0</v>
      </c>
      <c r="C184" s="35" t="s">
        <v>265</v>
      </c>
      <c r="D184" s="35" t="s">
        <v>881</v>
      </c>
      <c r="E184" s="35" t="s">
        <v>2395</v>
      </c>
      <c r="F184" s="35" t="s">
        <v>3860</v>
      </c>
      <c r="G184" s="41" t="s">
        <v>3861</v>
      </c>
      <c r="H184" s="35" t="s">
        <v>59</v>
      </c>
      <c r="I184" s="35" t="s">
        <v>61</v>
      </c>
      <c r="J184" s="35" t="s">
        <v>62</v>
      </c>
      <c r="K184" s="35" t="s">
        <v>111</v>
      </c>
      <c r="L184" s="35">
        <v>65.0</v>
      </c>
      <c r="M184" s="35" t="s">
        <v>3862</v>
      </c>
      <c r="N184" s="35" t="s">
        <v>71</v>
      </c>
      <c r="O184" s="35" t="s">
        <v>67</v>
      </c>
      <c r="P184" s="35" t="s">
        <v>3864</v>
      </c>
      <c r="Q184" s="35">
        <v>0.0</v>
      </c>
      <c r="R184" s="35">
        <v>1.0</v>
      </c>
      <c r="S184" s="35">
        <v>1.0</v>
      </c>
      <c r="T184" s="35" t="s">
        <v>61</v>
      </c>
      <c r="U184" s="35">
        <v>36.0</v>
      </c>
      <c r="V184" s="35" t="s">
        <v>61</v>
      </c>
      <c r="W184" s="35" t="s">
        <v>93</v>
      </c>
      <c r="X184" s="35" t="s">
        <v>3866</v>
      </c>
      <c r="Y184" s="35" t="s">
        <v>3867</v>
      </c>
      <c r="Z184" s="112" t="s">
        <v>3868</v>
      </c>
      <c r="AA184" s="46">
        <v>46023.0</v>
      </c>
      <c r="AB184" s="46">
        <v>46387.0</v>
      </c>
      <c r="AC184" s="35" t="s">
        <v>3870</v>
      </c>
      <c r="AD184" s="35" t="s">
        <v>79</v>
      </c>
      <c r="AE184" s="35" t="s">
        <v>61</v>
      </c>
      <c r="AF184" s="52"/>
      <c r="AG184" s="46"/>
    </row>
    <row r="185" ht="44.25" customHeight="1">
      <c r="A185" s="35">
        <v>184.0</v>
      </c>
      <c r="B185" s="35">
        <v>4225.0</v>
      </c>
      <c r="C185" s="35" t="s">
        <v>265</v>
      </c>
      <c r="D185" s="35" t="s">
        <v>881</v>
      </c>
      <c r="E185" s="35" t="s">
        <v>2438</v>
      </c>
      <c r="F185" s="35" t="s">
        <v>3874</v>
      </c>
      <c r="G185" s="41" t="s">
        <v>3875</v>
      </c>
      <c r="H185" s="35" t="s">
        <v>59</v>
      </c>
      <c r="I185" s="35" t="s">
        <v>61</v>
      </c>
      <c r="J185" s="35" t="s">
        <v>62</v>
      </c>
      <c r="K185" s="35" t="s">
        <v>111</v>
      </c>
      <c r="L185" s="35">
        <v>120.0</v>
      </c>
      <c r="M185" s="35" t="s">
        <v>3878</v>
      </c>
      <c r="N185" s="35" t="s">
        <v>71</v>
      </c>
      <c r="O185" s="35" t="s">
        <v>67</v>
      </c>
      <c r="P185" s="35" t="s">
        <v>3880</v>
      </c>
      <c r="Q185" s="52"/>
      <c r="R185" s="35">
        <v>2.0</v>
      </c>
      <c r="S185" s="35">
        <v>2.0</v>
      </c>
      <c r="T185" s="35" t="s">
        <v>61</v>
      </c>
      <c r="U185" s="35">
        <v>45.0</v>
      </c>
      <c r="V185" s="35" t="s">
        <v>61</v>
      </c>
      <c r="W185" s="35" t="s">
        <v>93</v>
      </c>
      <c r="X185" s="35" t="s">
        <v>3882</v>
      </c>
      <c r="Y185" s="35" t="s">
        <v>3884</v>
      </c>
      <c r="Z185" s="112" t="s">
        <v>3885</v>
      </c>
      <c r="AA185" s="46">
        <v>46023.0</v>
      </c>
      <c r="AB185" s="46">
        <v>46387.0</v>
      </c>
      <c r="AC185" s="35" t="s">
        <v>3886</v>
      </c>
      <c r="AD185" s="35" t="s">
        <v>79</v>
      </c>
      <c r="AE185" s="35" t="s">
        <v>61</v>
      </c>
      <c r="AF185" s="52"/>
      <c r="AG185" s="46"/>
    </row>
    <row r="186" ht="44.25" customHeight="1">
      <c r="A186" s="35">
        <v>185.0</v>
      </c>
      <c r="B186" s="35">
        <v>360.0</v>
      </c>
      <c r="C186" s="35" t="s">
        <v>265</v>
      </c>
      <c r="D186" s="35" t="s">
        <v>881</v>
      </c>
      <c r="E186" s="35" t="s">
        <v>2438</v>
      </c>
      <c r="F186" s="35" t="s">
        <v>3891</v>
      </c>
      <c r="G186" s="41" t="s">
        <v>3892</v>
      </c>
      <c r="H186" s="35" t="s">
        <v>59</v>
      </c>
      <c r="I186" s="35" t="s">
        <v>61</v>
      </c>
      <c r="J186" s="35" t="s">
        <v>62</v>
      </c>
      <c r="K186" s="35" t="s">
        <v>111</v>
      </c>
      <c r="L186" s="35">
        <v>62.0</v>
      </c>
      <c r="M186" s="35" t="s">
        <v>3900</v>
      </c>
      <c r="N186" s="35" t="s">
        <v>66</v>
      </c>
      <c r="O186" s="35" t="s">
        <v>67</v>
      </c>
      <c r="P186" s="35" t="s">
        <v>3902</v>
      </c>
      <c r="Q186" s="35">
        <v>0.0</v>
      </c>
      <c r="R186" s="35">
        <v>1.0</v>
      </c>
      <c r="S186" s="35">
        <v>1.0</v>
      </c>
      <c r="T186" s="35" t="s">
        <v>61</v>
      </c>
      <c r="U186" s="35">
        <v>17.0</v>
      </c>
      <c r="V186" s="35" t="s">
        <v>61</v>
      </c>
      <c r="W186" s="35" t="s">
        <v>93</v>
      </c>
      <c r="X186" s="35" t="s">
        <v>3904</v>
      </c>
      <c r="Y186" s="35" t="s">
        <v>3905</v>
      </c>
      <c r="Z186" s="112" t="s">
        <v>3906</v>
      </c>
      <c r="AA186" s="46">
        <v>46023.0</v>
      </c>
      <c r="AB186" s="46">
        <v>46387.0</v>
      </c>
      <c r="AC186" s="35" t="s">
        <v>3909</v>
      </c>
      <c r="AD186" s="35" t="s">
        <v>79</v>
      </c>
      <c r="AE186" s="35" t="s">
        <v>1462</v>
      </c>
      <c r="AF186" s="35" t="s">
        <v>3911</v>
      </c>
      <c r="AG186" s="46"/>
    </row>
    <row r="187" ht="44.25" customHeight="1">
      <c r="A187" s="35">
        <v>186.0</v>
      </c>
      <c r="B187" s="35">
        <v>4699.0</v>
      </c>
      <c r="C187" s="35" t="s">
        <v>265</v>
      </c>
      <c r="D187" s="35" t="s">
        <v>881</v>
      </c>
      <c r="E187" s="35" t="s">
        <v>2488</v>
      </c>
      <c r="F187" s="35" t="s">
        <v>3913</v>
      </c>
      <c r="G187" s="41" t="s">
        <v>3914</v>
      </c>
      <c r="H187" s="35" t="s">
        <v>59</v>
      </c>
      <c r="I187" s="35" t="s">
        <v>61</v>
      </c>
      <c r="J187" s="35" t="s">
        <v>62</v>
      </c>
      <c r="K187" s="35" t="s">
        <v>111</v>
      </c>
      <c r="L187" s="35">
        <v>91.0</v>
      </c>
      <c r="M187" s="35" t="s">
        <v>3917</v>
      </c>
      <c r="N187" s="35" t="s">
        <v>66</v>
      </c>
      <c r="O187" s="35" t="s">
        <v>67</v>
      </c>
      <c r="P187" s="35" t="s">
        <v>3920</v>
      </c>
      <c r="Q187" s="35">
        <v>0.0</v>
      </c>
      <c r="R187" s="35">
        <v>1.0</v>
      </c>
      <c r="S187" s="35">
        <v>1.0</v>
      </c>
      <c r="T187" s="35" t="s">
        <v>61</v>
      </c>
      <c r="U187" s="35">
        <v>18.0</v>
      </c>
      <c r="V187" s="35" t="s">
        <v>61</v>
      </c>
      <c r="W187" s="35" t="s">
        <v>93</v>
      </c>
      <c r="X187" s="35" t="s">
        <v>3921</v>
      </c>
      <c r="Y187" s="35" t="s">
        <v>3922</v>
      </c>
      <c r="Z187" s="112" t="s">
        <v>3923</v>
      </c>
      <c r="AA187" s="46">
        <v>46023.0</v>
      </c>
      <c r="AB187" s="46">
        <v>46387.0</v>
      </c>
      <c r="AC187" s="35" t="s">
        <v>3925</v>
      </c>
      <c r="AD187" s="35" t="s">
        <v>79</v>
      </c>
      <c r="AE187" s="35" t="s">
        <v>643</v>
      </c>
      <c r="AF187" s="52"/>
      <c r="AG187" s="46"/>
    </row>
    <row r="188" ht="44.25" customHeight="1">
      <c r="A188" s="35">
        <v>187.0</v>
      </c>
      <c r="B188" s="35">
        <v>32088.0</v>
      </c>
      <c r="C188" s="35" t="s">
        <v>265</v>
      </c>
      <c r="D188" s="35" t="s">
        <v>881</v>
      </c>
      <c r="E188" s="35" t="s">
        <v>2488</v>
      </c>
      <c r="F188" s="35" t="s">
        <v>3928</v>
      </c>
      <c r="G188" s="41" t="s">
        <v>3929</v>
      </c>
      <c r="H188" s="35" t="s">
        <v>59</v>
      </c>
      <c r="I188" s="35" t="s">
        <v>61</v>
      </c>
      <c r="J188" s="35" t="s">
        <v>62</v>
      </c>
      <c r="K188" s="35" t="s">
        <v>111</v>
      </c>
      <c r="L188" s="35">
        <v>103.0</v>
      </c>
      <c r="M188" s="35" t="s">
        <v>3932</v>
      </c>
      <c r="N188" s="35" t="s">
        <v>71</v>
      </c>
      <c r="O188" s="35" t="s">
        <v>67</v>
      </c>
      <c r="P188" s="35" t="s">
        <v>3935</v>
      </c>
      <c r="Q188" s="35">
        <v>0.0</v>
      </c>
      <c r="R188" s="35">
        <v>1.0</v>
      </c>
      <c r="S188" s="35">
        <v>1.0</v>
      </c>
      <c r="T188" s="35" t="s">
        <v>61</v>
      </c>
      <c r="U188" s="35">
        <v>14.0</v>
      </c>
      <c r="V188" s="35" t="s">
        <v>61</v>
      </c>
      <c r="W188" s="35" t="s">
        <v>93</v>
      </c>
      <c r="X188" s="35" t="s">
        <v>3937</v>
      </c>
      <c r="Y188" s="35" t="s">
        <v>3938</v>
      </c>
      <c r="Z188" s="112" t="s">
        <v>3939</v>
      </c>
      <c r="AA188" s="46">
        <v>46023.0</v>
      </c>
      <c r="AB188" s="46">
        <v>46387.0</v>
      </c>
      <c r="AC188" s="35" t="s">
        <v>3941</v>
      </c>
      <c r="AD188" s="35" t="s">
        <v>79</v>
      </c>
      <c r="AE188" s="35" t="s">
        <v>61</v>
      </c>
      <c r="AF188" s="52"/>
      <c r="AG188" s="46"/>
    </row>
    <row r="189" ht="44.25" customHeight="1">
      <c r="A189" s="35">
        <v>188.0</v>
      </c>
      <c r="B189" s="35">
        <v>3375.0</v>
      </c>
      <c r="C189" s="35" t="s">
        <v>265</v>
      </c>
      <c r="D189" s="35" t="s">
        <v>881</v>
      </c>
      <c r="E189" s="35" t="s">
        <v>2488</v>
      </c>
      <c r="F189" s="35" t="s">
        <v>3944</v>
      </c>
      <c r="G189" s="41" t="s">
        <v>3946</v>
      </c>
      <c r="H189" s="35" t="s">
        <v>59</v>
      </c>
      <c r="I189" s="35" t="s">
        <v>61</v>
      </c>
      <c r="J189" s="35" t="s">
        <v>62</v>
      </c>
      <c r="K189" s="35" t="s">
        <v>63</v>
      </c>
      <c r="L189" s="35">
        <v>17.0</v>
      </c>
      <c r="M189" s="35" t="s">
        <v>3948</v>
      </c>
      <c r="N189" s="35" t="s">
        <v>66</v>
      </c>
      <c r="O189" s="35" t="s">
        <v>67</v>
      </c>
      <c r="P189" s="35" t="s">
        <v>3950</v>
      </c>
      <c r="Q189" s="35">
        <v>1.0</v>
      </c>
      <c r="R189" s="35">
        <v>0.0</v>
      </c>
      <c r="S189" s="35">
        <v>1.0</v>
      </c>
      <c r="T189" s="35" t="s">
        <v>61</v>
      </c>
      <c r="U189" s="35">
        <v>6.0</v>
      </c>
      <c r="V189" s="35" t="s">
        <v>61</v>
      </c>
      <c r="W189" s="35" t="s">
        <v>74</v>
      </c>
      <c r="X189" s="35" t="s">
        <v>3954</v>
      </c>
      <c r="Y189" s="35" t="s">
        <v>3955</v>
      </c>
      <c r="Z189" s="35" t="s">
        <v>3956</v>
      </c>
      <c r="AA189" s="46">
        <v>46023.0</v>
      </c>
      <c r="AB189" s="46">
        <v>46387.0</v>
      </c>
      <c r="AC189" s="35" t="s">
        <v>3957</v>
      </c>
      <c r="AD189" s="35" t="s">
        <v>79</v>
      </c>
      <c r="AE189" s="35" t="s">
        <v>61</v>
      </c>
      <c r="AF189" s="52"/>
      <c r="AG189" s="46"/>
    </row>
    <row r="190" ht="44.25" customHeight="1">
      <c r="A190" s="35">
        <v>189.0</v>
      </c>
      <c r="B190" s="35">
        <v>4635.0</v>
      </c>
      <c r="C190" s="35" t="s">
        <v>265</v>
      </c>
      <c r="D190" s="35" t="s">
        <v>881</v>
      </c>
      <c r="E190" s="35" t="s">
        <v>2512</v>
      </c>
      <c r="F190" s="35" t="s">
        <v>3961</v>
      </c>
      <c r="G190" s="41" t="s">
        <v>3962</v>
      </c>
      <c r="H190" s="35" t="s">
        <v>59</v>
      </c>
      <c r="I190" s="35" t="s">
        <v>61</v>
      </c>
      <c r="J190" s="35" t="s">
        <v>62</v>
      </c>
      <c r="K190" s="35" t="s">
        <v>63</v>
      </c>
      <c r="L190" s="35">
        <v>20.0</v>
      </c>
      <c r="M190" s="35" t="s">
        <v>3965</v>
      </c>
      <c r="N190" s="35" t="s">
        <v>66</v>
      </c>
      <c r="O190" s="35" t="s">
        <v>67</v>
      </c>
      <c r="P190" s="35" t="s">
        <v>3966</v>
      </c>
      <c r="Q190" s="35">
        <v>1.0</v>
      </c>
      <c r="R190" s="35">
        <v>0.0</v>
      </c>
      <c r="S190" s="35">
        <v>1.0</v>
      </c>
      <c r="T190" s="35" t="s">
        <v>61</v>
      </c>
      <c r="U190" s="35">
        <v>0.0</v>
      </c>
      <c r="V190" s="35" t="s">
        <v>61</v>
      </c>
      <c r="W190" s="35" t="s">
        <v>74</v>
      </c>
      <c r="X190" s="35" t="s">
        <v>3970</v>
      </c>
      <c r="Y190" s="35" t="s">
        <v>3972</v>
      </c>
      <c r="Z190" s="35" t="s">
        <v>3973</v>
      </c>
      <c r="AA190" s="46">
        <v>46023.0</v>
      </c>
      <c r="AB190" s="46">
        <v>46387.0</v>
      </c>
      <c r="AC190" s="35" t="s">
        <v>3974</v>
      </c>
      <c r="AD190" s="35" t="s">
        <v>79</v>
      </c>
      <c r="AE190" s="35" t="s">
        <v>1870</v>
      </c>
      <c r="AF190" s="52"/>
      <c r="AG190" s="46"/>
    </row>
    <row r="191" ht="44.25" customHeight="1">
      <c r="A191" s="35">
        <v>190.0</v>
      </c>
      <c r="B191" s="35">
        <v>38402.0</v>
      </c>
      <c r="C191" s="35" t="s">
        <v>265</v>
      </c>
      <c r="D191" s="35" t="s">
        <v>881</v>
      </c>
      <c r="E191" s="35" t="s">
        <v>2532</v>
      </c>
      <c r="F191" s="35" t="s">
        <v>3979</v>
      </c>
      <c r="G191" s="41" t="s">
        <v>3980</v>
      </c>
      <c r="H191" s="35" t="s">
        <v>59</v>
      </c>
      <c r="I191" s="35" t="s">
        <v>61</v>
      </c>
      <c r="J191" s="35" t="s">
        <v>62</v>
      </c>
      <c r="K191" s="35" t="s">
        <v>63</v>
      </c>
      <c r="L191" s="35">
        <v>41.0</v>
      </c>
      <c r="M191" s="35" t="s">
        <v>3982</v>
      </c>
      <c r="N191" s="35" t="s">
        <v>66</v>
      </c>
      <c r="O191" s="35" t="s">
        <v>67</v>
      </c>
      <c r="P191" s="35" t="s">
        <v>3983</v>
      </c>
      <c r="Q191" s="35">
        <v>1.0</v>
      </c>
      <c r="R191" s="35">
        <v>0.0</v>
      </c>
      <c r="S191" s="35">
        <v>1.0</v>
      </c>
      <c r="T191" s="35" t="s">
        <v>61</v>
      </c>
      <c r="U191" s="35">
        <v>7.0</v>
      </c>
      <c r="V191" s="35" t="s">
        <v>61</v>
      </c>
      <c r="W191" s="35" t="s">
        <v>74</v>
      </c>
      <c r="X191" s="35" t="s">
        <v>3985</v>
      </c>
      <c r="Y191" s="35">
        <v>9.053683104E9</v>
      </c>
      <c r="Z191" s="35" t="s">
        <v>3986</v>
      </c>
      <c r="AA191" s="46">
        <v>46023.0</v>
      </c>
      <c r="AB191" s="46">
        <v>46387.0</v>
      </c>
      <c r="AC191" s="35" t="s">
        <v>3987</v>
      </c>
      <c r="AD191" s="35" t="s">
        <v>79</v>
      </c>
      <c r="AE191" s="35" t="s">
        <v>61</v>
      </c>
      <c r="AF191" s="52"/>
      <c r="AG191" s="46"/>
    </row>
    <row r="192" ht="44.25" customHeight="1">
      <c r="A192" s="35">
        <v>191.0</v>
      </c>
      <c r="B192" s="35">
        <v>38005.0</v>
      </c>
      <c r="C192" s="35" t="s">
        <v>265</v>
      </c>
      <c r="D192" s="35" t="s">
        <v>881</v>
      </c>
      <c r="E192" s="35" t="s">
        <v>168</v>
      </c>
      <c r="F192" s="35" t="s">
        <v>3992</v>
      </c>
      <c r="G192" s="41" t="s">
        <v>3993</v>
      </c>
      <c r="H192" s="35" t="s">
        <v>59</v>
      </c>
      <c r="I192" s="35" t="s">
        <v>61</v>
      </c>
      <c r="J192" s="35" t="s">
        <v>62</v>
      </c>
      <c r="K192" s="35" t="s">
        <v>111</v>
      </c>
      <c r="L192" s="35">
        <v>138.0</v>
      </c>
      <c r="M192" s="35" t="s">
        <v>4000</v>
      </c>
      <c r="N192" s="35" t="s">
        <v>71</v>
      </c>
      <c r="O192" s="35" t="s">
        <v>67</v>
      </c>
      <c r="P192" s="35" t="s">
        <v>4002</v>
      </c>
      <c r="Q192" s="35">
        <v>0.0</v>
      </c>
      <c r="R192" s="35">
        <v>2.0</v>
      </c>
      <c r="S192" s="35">
        <v>2.0</v>
      </c>
      <c r="T192" s="35" t="s">
        <v>61</v>
      </c>
      <c r="U192" s="35">
        <v>24.0</v>
      </c>
      <c r="V192" s="35" t="s">
        <v>61</v>
      </c>
      <c r="W192" s="35" t="s">
        <v>93</v>
      </c>
      <c r="X192" s="35" t="s">
        <v>4004</v>
      </c>
      <c r="Y192" s="35" t="s">
        <v>4006</v>
      </c>
      <c r="Z192" s="112" t="s">
        <v>4008</v>
      </c>
      <c r="AA192" s="46">
        <v>46023.0</v>
      </c>
      <c r="AB192" s="46">
        <v>46387.0</v>
      </c>
      <c r="AC192" s="35" t="s">
        <v>4010</v>
      </c>
      <c r="AD192" s="35" t="s">
        <v>79</v>
      </c>
      <c r="AE192" s="35" t="s">
        <v>61</v>
      </c>
      <c r="AF192" s="52"/>
      <c r="AG192" s="46"/>
    </row>
    <row r="193" ht="44.25" customHeight="1">
      <c r="A193" s="35">
        <v>192.0</v>
      </c>
      <c r="B193" s="35">
        <v>3314.0</v>
      </c>
      <c r="C193" s="35" t="s">
        <v>265</v>
      </c>
      <c r="D193" s="35" t="s">
        <v>881</v>
      </c>
      <c r="E193" s="35" t="s">
        <v>168</v>
      </c>
      <c r="F193" s="35" t="s">
        <v>4013</v>
      </c>
      <c r="G193" s="41" t="s">
        <v>4015</v>
      </c>
      <c r="H193" s="35" t="s">
        <v>59</v>
      </c>
      <c r="I193" s="35" t="s">
        <v>61</v>
      </c>
      <c r="J193" s="35" t="s">
        <v>62</v>
      </c>
      <c r="K193" s="35" t="s">
        <v>111</v>
      </c>
      <c r="L193" s="35">
        <v>129.0</v>
      </c>
      <c r="M193" s="35" t="s">
        <v>4018</v>
      </c>
      <c r="N193" s="35" t="s">
        <v>71</v>
      </c>
      <c r="O193" s="35" t="s">
        <v>67</v>
      </c>
      <c r="P193" s="35" t="s">
        <v>4019</v>
      </c>
      <c r="Q193" s="35">
        <v>0.0</v>
      </c>
      <c r="R193" s="35">
        <v>1.0</v>
      </c>
      <c r="S193" s="35">
        <v>1.0</v>
      </c>
      <c r="T193" s="35" t="s">
        <v>61</v>
      </c>
      <c r="U193" s="35">
        <v>23.0</v>
      </c>
      <c r="V193" s="35" t="s">
        <v>61</v>
      </c>
      <c r="W193" s="35" t="s">
        <v>93</v>
      </c>
      <c r="X193" s="35" t="s">
        <v>4022</v>
      </c>
      <c r="Y193" s="35" t="s">
        <v>4024</v>
      </c>
      <c r="Z193" s="112" t="s">
        <v>4025</v>
      </c>
      <c r="AA193" s="46">
        <v>46023.0</v>
      </c>
      <c r="AB193" s="46">
        <v>46387.0</v>
      </c>
      <c r="AC193" s="35" t="s">
        <v>4026</v>
      </c>
      <c r="AD193" s="35" t="s">
        <v>79</v>
      </c>
      <c r="AE193" s="35" t="s">
        <v>61</v>
      </c>
      <c r="AF193" s="52"/>
      <c r="AG193" s="46"/>
    </row>
    <row r="194" ht="44.25" customHeight="1">
      <c r="A194" s="35">
        <v>193.0</v>
      </c>
      <c r="B194" s="35">
        <v>4330.0</v>
      </c>
      <c r="C194" s="35" t="s">
        <v>265</v>
      </c>
      <c r="D194" s="35" t="s">
        <v>881</v>
      </c>
      <c r="E194" s="35" t="s">
        <v>168</v>
      </c>
      <c r="F194" s="35" t="s">
        <v>4029</v>
      </c>
      <c r="G194" s="41" t="s">
        <v>4030</v>
      </c>
      <c r="H194" s="35" t="s">
        <v>59</v>
      </c>
      <c r="I194" s="35" t="s">
        <v>61</v>
      </c>
      <c r="J194" s="35" t="s">
        <v>62</v>
      </c>
      <c r="K194" s="35" t="s">
        <v>68</v>
      </c>
      <c r="L194" s="35">
        <v>115.0</v>
      </c>
      <c r="M194" s="35" t="s">
        <v>4033</v>
      </c>
      <c r="N194" s="35" t="s">
        <v>71</v>
      </c>
      <c r="O194" s="35" t="s">
        <v>67</v>
      </c>
      <c r="P194" s="35" t="s">
        <v>4034</v>
      </c>
      <c r="Q194" s="35">
        <v>0.0</v>
      </c>
      <c r="R194" s="35">
        <v>1.0</v>
      </c>
      <c r="S194" s="35">
        <v>1.0</v>
      </c>
      <c r="T194" s="35" t="s">
        <v>61</v>
      </c>
      <c r="U194" s="35">
        <v>30.0</v>
      </c>
      <c r="V194" s="35" t="s">
        <v>533</v>
      </c>
      <c r="W194" s="35" t="s">
        <v>93</v>
      </c>
      <c r="X194" s="35" t="s">
        <v>4037</v>
      </c>
      <c r="Y194" s="35" t="s">
        <v>4039</v>
      </c>
      <c r="Z194" s="112" t="s">
        <v>4040</v>
      </c>
      <c r="AA194" s="46">
        <v>46023.0</v>
      </c>
      <c r="AB194" s="46">
        <v>46387.0</v>
      </c>
      <c r="AC194" s="35" t="s">
        <v>4041</v>
      </c>
      <c r="AD194" s="35" t="s">
        <v>79</v>
      </c>
      <c r="AE194" s="35" t="s">
        <v>61</v>
      </c>
      <c r="AF194" s="52"/>
      <c r="AG194" s="46"/>
    </row>
    <row r="195" ht="44.25" customHeight="1">
      <c r="A195" s="35">
        <v>194.0</v>
      </c>
      <c r="B195" s="35">
        <v>4078.0</v>
      </c>
      <c r="C195" s="35" t="s">
        <v>265</v>
      </c>
      <c r="D195" s="35" t="s">
        <v>881</v>
      </c>
      <c r="E195" s="35" t="s">
        <v>168</v>
      </c>
      <c r="F195" s="35" t="s">
        <v>4045</v>
      </c>
      <c r="G195" s="41" t="s">
        <v>4048</v>
      </c>
      <c r="H195" s="35" t="s">
        <v>59</v>
      </c>
      <c r="I195" s="35" t="s">
        <v>61</v>
      </c>
      <c r="J195" s="35" t="s">
        <v>62</v>
      </c>
      <c r="K195" s="35" t="s">
        <v>63</v>
      </c>
      <c r="L195" s="35">
        <v>61.0</v>
      </c>
      <c r="M195" s="35" t="s">
        <v>4053</v>
      </c>
      <c r="N195" s="35" t="s">
        <v>66</v>
      </c>
      <c r="O195" s="35" t="s">
        <v>67</v>
      </c>
      <c r="P195" s="35" t="s">
        <v>4055</v>
      </c>
      <c r="Q195" s="35">
        <v>1.0</v>
      </c>
      <c r="R195" s="35">
        <v>0.0</v>
      </c>
      <c r="S195" s="35">
        <v>1.0</v>
      </c>
      <c r="T195" s="35" t="s">
        <v>61</v>
      </c>
      <c r="U195" s="35">
        <v>6.0</v>
      </c>
      <c r="V195" s="35" t="s">
        <v>61</v>
      </c>
      <c r="W195" s="35" t="s">
        <v>93</v>
      </c>
      <c r="X195" s="35" t="s">
        <v>4057</v>
      </c>
      <c r="Y195" s="35" t="s">
        <v>4058</v>
      </c>
      <c r="Z195" s="112" t="s">
        <v>4059</v>
      </c>
      <c r="AA195" s="46">
        <v>46023.0</v>
      </c>
      <c r="AB195" s="46">
        <v>46387.0</v>
      </c>
      <c r="AC195" s="35" t="s">
        <v>4061</v>
      </c>
      <c r="AD195" s="35" t="s">
        <v>79</v>
      </c>
      <c r="AE195" s="35" t="s">
        <v>643</v>
      </c>
      <c r="AF195" s="52"/>
      <c r="AG195" s="46"/>
    </row>
    <row r="196" ht="44.25" customHeight="1">
      <c r="A196" s="35">
        <v>195.0</v>
      </c>
      <c r="B196" s="35">
        <v>5093.0</v>
      </c>
      <c r="C196" s="35" t="s">
        <v>265</v>
      </c>
      <c r="D196" s="35" t="s">
        <v>881</v>
      </c>
      <c r="E196" s="35" t="s">
        <v>168</v>
      </c>
      <c r="F196" s="35" t="s">
        <v>4066</v>
      </c>
      <c r="G196" s="41" t="s">
        <v>4067</v>
      </c>
      <c r="H196" s="35" t="s">
        <v>59</v>
      </c>
      <c r="I196" s="35" t="s">
        <v>61</v>
      </c>
      <c r="J196" s="35" t="s">
        <v>62</v>
      </c>
      <c r="K196" s="35" t="s">
        <v>111</v>
      </c>
      <c r="L196" s="35">
        <v>71.0</v>
      </c>
      <c r="M196" s="35" t="s">
        <v>4071</v>
      </c>
      <c r="N196" s="35" t="s">
        <v>66</v>
      </c>
      <c r="O196" s="35" t="s">
        <v>67</v>
      </c>
      <c r="P196" s="35" t="s">
        <v>4073</v>
      </c>
      <c r="Q196" s="35">
        <v>0.0</v>
      </c>
      <c r="R196" s="35">
        <v>1.0</v>
      </c>
      <c r="S196" s="35">
        <v>1.0</v>
      </c>
      <c r="T196" s="35" t="s">
        <v>61</v>
      </c>
      <c r="U196" s="35">
        <v>11.0</v>
      </c>
      <c r="V196" s="35" t="s">
        <v>61</v>
      </c>
      <c r="W196" s="35" t="s">
        <v>93</v>
      </c>
      <c r="X196" s="35" t="s">
        <v>4074</v>
      </c>
      <c r="Y196" s="35" t="s">
        <v>4077</v>
      </c>
      <c r="Z196" s="112" t="s">
        <v>4078</v>
      </c>
      <c r="AA196" s="46">
        <v>46023.0</v>
      </c>
      <c r="AB196" s="46">
        <v>46387.0</v>
      </c>
      <c r="AC196" s="35" t="s">
        <v>4079</v>
      </c>
      <c r="AD196" s="35" t="s">
        <v>79</v>
      </c>
      <c r="AE196" s="35" t="s">
        <v>643</v>
      </c>
      <c r="AF196" s="52"/>
      <c r="AG196" s="46"/>
    </row>
    <row r="197" ht="44.25" customHeight="1">
      <c r="A197" s="35">
        <v>196.0</v>
      </c>
      <c r="B197" s="35">
        <v>2284.0</v>
      </c>
      <c r="C197" s="35" t="s">
        <v>265</v>
      </c>
      <c r="D197" s="35" t="s">
        <v>881</v>
      </c>
      <c r="E197" s="35" t="s">
        <v>4082</v>
      </c>
      <c r="F197" s="35" t="s">
        <v>4083</v>
      </c>
      <c r="G197" s="41" t="s">
        <v>4084</v>
      </c>
      <c r="H197" s="35" t="s">
        <v>59</v>
      </c>
      <c r="I197" s="35" t="s">
        <v>61</v>
      </c>
      <c r="J197" s="35" t="s">
        <v>62</v>
      </c>
      <c r="K197" s="35" t="s">
        <v>63</v>
      </c>
      <c r="L197" s="35">
        <v>12.0</v>
      </c>
      <c r="M197" s="35" t="s">
        <v>4085</v>
      </c>
      <c r="N197" s="35" t="s">
        <v>66</v>
      </c>
      <c r="O197" s="35" t="s">
        <v>67</v>
      </c>
      <c r="P197" s="35" t="s">
        <v>61</v>
      </c>
      <c r="Q197" s="35">
        <v>0.0</v>
      </c>
      <c r="R197" s="35">
        <v>0.0</v>
      </c>
      <c r="S197" s="35">
        <v>0.0</v>
      </c>
      <c r="T197" s="35" t="s">
        <v>4086</v>
      </c>
      <c r="U197" s="35">
        <v>0.0</v>
      </c>
      <c r="V197" s="35" t="s">
        <v>61</v>
      </c>
      <c r="W197" s="35" t="s">
        <v>74</v>
      </c>
      <c r="X197" s="35" t="s">
        <v>4089</v>
      </c>
      <c r="Y197" s="35" t="s">
        <v>4091</v>
      </c>
      <c r="Z197" s="112" t="s">
        <v>4092</v>
      </c>
      <c r="AA197" s="46">
        <v>46023.0</v>
      </c>
      <c r="AB197" s="46">
        <v>46387.0</v>
      </c>
      <c r="AC197" s="35" t="s">
        <v>4094</v>
      </c>
      <c r="AD197" s="35" t="s">
        <v>79</v>
      </c>
      <c r="AE197" s="35" t="s">
        <v>61</v>
      </c>
      <c r="AF197" s="52"/>
      <c r="AG197" s="46"/>
    </row>
    <row r="198" ht="44.25" customHeight="1">
      <c r="A198" s="35">
        <v>197.0</v>
      </c>
      <c r="B198" s="35">
        <v>347.0</v>
      </c>
      <c r="C198" s="35" t="s">
        <v>265</v>
      </c>
      <c r="D198" s="35" t="s">
        <v>2719</v>
      </c>
      <c r="E198" s="35" t="s">
        <v>2720</v>
      </c>
      <c r="F198" s="35" t="s">
        <v>4095</v>
      </c>
      <c r="G198" s="41" t="s">
        <v>4097</v>
      </c>
      <c r="H198" s="35" t="s">
        <v>59</v>
      </c>
      <c r="I198" s="35" t="s">
        <v>61</v>
      </c>
      <c r="J198" s="35" t="s">
        <v>62</v>
      </c>
      <c r="K198" s="35" t="s">
        <v>63</v>
      </c>
      <c r="L198" s="35">
        <v>20.0</v>
      </c>
      <c r="M198" s="35" t="s">
        <v>2214</v>
      </c>
      <c r="N198" s="35" t="s">
        <v>66</v>
      </c>
      <c r="O198" s="35" t="s">
        <v>67</v>
      </c>
      <c r="P198" s="35" t="s">
        <v>4100</v>
      </c>
      <c r="Q198" s="35">
        <v>1.0</v>
      </c>
      <c r="R198" s="35">
        <v>0.0</v>
      </c>
      <c r="S198" s="35">
        <v>1.0</v>
      </c>
      <c r="T198" s="35" t="s">
        <v>61</v>
      </c>
      <c r="U198" s="52"/>
      <c r="V198" s="35" t="s">
        <v>61</v>
      </c>
      <c r="W198" s="35" t="s">
        <v>74</v>
      </c>
      <c r="X198" s="35" t="s">
        <v>4103</v>
      </c>
      <c r="Y198" s="35" t="s">
        <v>4104</v>
      </c>
      <c r="Z198" s="35" t="s">
        <v>4105</v>
      </c>
      <c r="AA198" s="46">
        <v>46023.0</v>
      </c>
      <c r="AB198" s="46">
        <v>46387.0</v>
      </c>
      <c r="AC198" s="35" t="s">
        <v>4106</v>
      </c>
      <c r="AD198" s="35" t="s">
        <v>79</v>
      </c>
      <c r="AE198" s="35" t="s">
        <v>61</v>
      </c>
      <c r="AF198" s="52"/>
      <c r="AG198" s="46"/>
    </row>
    <row r="199" ht="44.25" customHeight="1">
      <c r="A199" s="35">
        <v>198.0</v>
      </c>
      <c r="B199" s="35">
        <v>3412.0</v>
      </c>
      <c r="C199" s="35" t="s">
        <v>265</v>
      </c>
      <c r="D199" s="35" t="s">
        <v>2719</v>
      </c>
      <c r="E199" s="35" t="s">
        <v>2720</v>
      </c>
      <c r="F199" s="35" t="s">
        <v>4113</v>
      </c>
      <c r="G199" s="41" t="s">
        <v>4114</v>
      </c>
      <c r="H199" s="35" t="s">
        <v>59</v>
      </c>
      <c r="I199" s="35" t="s">
        <v>61</v>
      </c>
      <c r="J199" s="35" t="s">
        <v>62</v>
      </c>
      <c r="K199" s="35" t="s">
        <v>111</v>
      </c>
      <c r="L199" s="35">
        <v>57.0</v>
      </c>
      <c r="M199" s="35" t="s">
        <v>4117</v>
      </c>
      <c r="N199" s="35" t="s">
        <v>66</v>
      </c>
      <c r="O199" s="35" t="s">
        <v>67</v>
      </c>
      <c r="P199" s="35" t="s">
        <v>4118</v>
      </c>
      <c r="Q199" s="35">
        <v>0.0</v>
      </c>
      <c r="R199" s="35">
        <v>1.0</v>
      </c>
      <c r="S199" s="35">
        <v>1.0</v>
      </c>
      <c r="T199" s="35" t="s">
        <v>61</v>
      </c>
      <c r="U199" s="35">
        <v>12.0</v>
      </c>
      <c r="V199" s="35" t="s">
        <v>61</v>
      </c>
      <c r="W199" s="35" t="s">
        <v>93</v>
      </c>
      <c r="X199" s="35" t="s">
        <v>4120</v>
      </c>
      <c r="Y199" s="35" t="s">
        <v>4123</v>
      </c>
      <c r="Z199" s="35" t="s">
        <v>4124</v>
      </c>
      <c r="AA199" s="46">
        <v>46023.0</v>
      </c>
      <c r="AB199" s="46">
        <v>46387.0</v>
      </c>
      <c r="AC199" s="35" t="s">
        <v>4125</v>
      </c>
      <c r="AD199" s="35" t="s">
        <v>79</v>
      </c>
      <c r="AE199" s="35" t="s">
        <v>61</v>
      </c>
      <c r="AF199" s="52"/>
      <c r="AG199" s="46"/>
    </row>
    <row r="200" ht="44.25" customHeight="1">
      <c r="A200" s="35">
        <v>199.0</v>
      </c>
      <c r="B200" s="35">
        <v>35325.0</v>
      </c>
      <c r="C200" s="35" t="s">
        <v>265</v>
      </c>
      <c r="D200" s="35" t="s">
        <v>2719</v>
      </c>
      <c r="E200" s="35" t="s">
        <v>2741</v>
      </c>
      <c r="F200" s="35" t="s">
        <v>4130</v>
      </c>
      <c r="G200" s="41" t="s">
        <v>4131</v>
      </c>
      <c r="H200" s="35" t="s">
        <v>59</v>
      </c>
      <c r="I200" s="35" t="s">
        <v>61</v>
      </c>
      <c r="J200" s="35" t="s">
        <v>62</v>
      </c>
      <c r="K200" s="35" t="s">
        <v>63</v>
      </c>
      <c r="L200" s="35">
        <v>45.0</v>
      </c>
      <c r="M200" s="35" t="s">
        <v>4138</v>
      </c>
      <c r="N200" s="35" t="s">
        <v>66</v>
      </c>
      <c r="O200" s="35" t="s">
        <v>67</v>
      </c>
      <c r="P200" s="35" t="s">
        <v>4140</v>
      </c>
      <c r="Q200" s="35">
        <v>0.0</v>
      </c>
      <c r="R200" s="35">
        <v>1.0</v>
      </c>
      <c r="S200" s="35">
        <v>1.0</v>
      </c>
      <c r="T200" s="35" t="s">
        <v>61</v>
      </c>
      <c r="U200" s="52"/>
      <c r="V200" s="35" t="s">
        <v>61</v>
      </c>
      <c r="W200" s="35" t="s">
        <v>93</v>
      </c>
      <c r="X200" s="35" t="s">
        <v>4142</v>
      </c>
      <c r="Y200" s="35" t="s">
        <v>4144</v>
      </c>
      <c r="Z200" s="112" t="s">
        <v>4146</v>
      </c>
      <c r="AA200" s="46">
        <v>46023.0</v>
      </c>
      <c r="AB200" s="46">
        <v>46387.0</v>
      </c>
      <c r="AC200" s="35" t="s">
        <v>4147</v>
      </c>
      <c r="AD200" s="35" t="s">
        <v>79</v>
      </c>
      <c r="AE200" s="35" t="s">
        <v>61</v>
      </c>
      <c r="AF200" s="52"/>
      <c r="AG200" s="46"/>
    </row>
    <row r="201" ht="44.25" customHeight="1">
      <c r="A201" s="35">
        <v>200.0</v>
      </c>
      <c r="B201" s="35">
        <v>781.0</v>
      </c>
      <c r="C201" s="35" t="s">
        <v>265</v>
      </c>
      <c r="D201" s="35" t="s">
        <v>2719</v>
      </c>
      <c r="E201" s="35" t="s">
        <v>729</v>
      </c>
      <c r="F201" s="35" t="s">
        <v>4148</v>
      </c>
      <c r="G201" s="41" t="s">
        <v>4149</v>
      </c>
      <c r="H201" s="35" t="s">
        <v>59</v>
      </c>
      <c r="I201" s="35" t="s">
        <v>61</v>
      </c>
      <c r="J201" s="35" t="s">
        <v>62</v>
      </c>
      <c r="K201" s="35" t="s">
        <v>63</v>
      </c>
      <c r="L201" s="35">
        <v>41.0</v>
      </c>
      <c r="M201" s="35" t="s">
        <v>4151</v>
      </c>
      <c r="N201" s="35" t="s">
        <v>66</v>
      </c>
      <c r="O201" s="35" t="s">
        <v>67</v>
      </c>
      <c r="P201" s="35" t="s">
        <v>4152</v>
      </c>
      <c r="Q201" s="35">
        <v>1.0</v>
      </c>
      <c r="R201" s="35">
        <v>0.0</v>
      </c>
      <c r="S201" s="35">
        <v>1.0</v>
      </c>
      <c r="T201" s="35" t="s">
        <v>61</v>
      </c>
      <c r="U201" s="52"/>
      <c r="V201" s="35" t="s">
        <v>61</v>
      </c>
      <c r="W201" s="35" t="s">
        <v>93</v>
      </c>
      <c r="X201" s="35" t="s">
        <v>4154</v>
      </c>
      <c r="Y201" s="35" t="s">
        <v>4155</v>
      </c>
      <c r="Z201" s="112" t="s">
        <v>4156</v>
      </c>
      <c r="AA201" s="46">
        <v>46023.0</v>
      </c>
      <c r="AB201" s="46">
        <v>46387.0</v>
      </c>
      <c r="AC201" s="35" t="s">
        <v>4157</v>
      </c>
      <c r="AD201" s="35" t="s">
        <v>79</v>
      </c>
      <c r="AE201" s="35" t="s">
        <v>61</v>
      </c>
      <c r="AF201" s="52"/>
      <c r="AG201" s="46"/>
    </row>
    <row r="202" ht="44.25" customHeight="1">
      <c r="A202" s="35">
        <v>201.0</v>
      </c>
      <c r="B202" s="35">
        <v>5060.0</v>
      </c>
      <c r="C202" s="35" t="s">
        <v>265</v>
      </c>
      <c r="D202" s="35" t="s">
        <v>2719</v>
      </c>
      <c r="E202" s="35" t="s">
        <v>729</v>
      </c>
      <c r="F202" s="35" t="s">
        <v>4161</v>
      </c>
      <c r="G202" s="41" t="s">
        <v>4162</v>
      </c>
      <c r="H202" s="35" t="s">
        <v>59</v>
      </c>
      <c r="I202" s="35" t="s">
        <v>61</v>
      </c>
      <c r="J202" s="35" t="s">
        <v>62</v>
      </c>
      <c r="K202" s="35" t="s">
        <v>63</v>
      </c>
      <c r="L202" s="35">
        <v>29.0</v>
      </c>
      <c r="M202" s="52"/>
      <c r="N202" s="35" t="s">
        <v>66</v>
      </c>
      <c r="O202" s="35" t="s">
        <v>67</v>
      </c>
      <c r="P202" s="35" t="s">
        <v>4165</v>
      </c>
      <c r="Q202" s="35">
        <v>1.0</v>
      </c>
      <c r="R202" s="35">
        <v>0.0</v>
      </c>
      <c r="S202" s="35">
        <v>1.0</v>
      </c>
      <c r="T202" s="35" t="s">
        <v>61</v>
      </c>
      <c r="U202" s="52"/>
      <c r="V202" s="35" t="s">
        <v>61</v>
      </c>
      <c r="W202" s="35" t="s">
        <v>74</v>
      </c>
      <c r="X202" s="35" t="s">
        <v>4168</v>
      </c>
      <c r="Y202" s="35" t="s">
        <v>4169</v>
      </c>
      <c r="Z202" s="112" t="s">
        <v>4170</v>
      </c>
      <c r="AA202" s="46">
        <v>46023.0</v>
      </c>
      <c r="AB202" s="46">
        <v>46387.0</v>
      </c>
      <c r="AC202" s="35" t="s">
        <v>4171</v>
      </c>
      <c r="AD202" s="35" t="s">
        <v>79</v>
      </c>
      <c r="AE202" s="35" t="s">
        <v>61</v>
      </c>
      <c r="AF202" s="52"/>
      <c r="AG202" s="46"/>
    </row>
    <row r="203" ht="44.25" customHeight="1">
      <c r="A203" s="35">
        <v>202.0</v>
      </c>
      <c r="B203" s="35">
        <v>6869.0</v>
      </c>
      <c r="C203" s="35" t="s">
        <v>265</v>
      </c>
      <c r="D203" s="35" t="s">
        <v>2719</v>
      </c>
      <c r="E203" s="35" t="s">
        <v>4174</v>
      </c>
      <c r="F203" s="35" t="s">
        <v>4175</v>
      </c>
      <c r="G203" s="41" t="s">
        <v>4176</v>
      </c>
      <c r="H203" s="35" t="s">
        <v>59</v>
      </c>
      <c r="I203" s="35" t="s">
        <v>61</v>
      </c>
      <c r="J203" s="35" t="s">
        <v>62</v>
      </c>
      <c r="K203" s="35" t="s">
        <v>63</v>
      </c>
      <c r="L203" s="35">
        <v>20.0</v>
      </c>
      <c r="M203" s="35" t="s">
        <v>1831</v>
      </c>
      <c r="N203" s="35" t="s">
        <v>66</v>
      </c>
      <c r="O203" s="35" t="s">
        <v>67</v>
      </c>
      <c r="P203" s="35" t="s">
        <v>4179</v>
      </c>
      <c r="Q203" s="35">
        <v>1.0</v>
      </c>
      <c r="R203" s="35">
        <v>0.0</v>
      </c>
      <c r="S203" s="35">
        <v>1.0</v>
      </c>
      <c r="T203" s="35" t="s">
        <v>61</v>
      </c>
      <c r="U203" s="52"/>
      <c r="V203" s="35" t="s">
        <v>61</v>
      </c>
      <c r="W203" s="35" t="s">
        <v>74</v>
      </c>
      <c r="X203" s="35" t="s">
        <v>4183</v>
      </c>
      <c r="Y203" s="35" t="s">
        <v>4184</v>
      </c>
      <c r="Z203" s="112" t="s">
        <v>4185</v>
      </c>
      <c r="AA203" s="46">
        <v>46023.0</v>
      </c>
      <c r="AB203" s="46">
        <v>46387.0</v>
      </c>
      <c r="AC203" s="35" t="s">
        <v>4186</v>
      </c>
      <c r="AD203" s="35" t="s">
        <v>79</v>
      </c>
      <c r="AE203" s="35" t="s">
        <v>61</v>
      </c>
      <c r="AF203" s="35"/>
      <c r="AG203" s="46"/>
    </row>
    <row r="204" ht="44.25" customHeight="1">
      <c r="A204" s="35">
        <v>203.0</v>
      </c>
      <c r="B204" s="35">
        <v>3229.0</v>
      </c>
      <c r="C204" s="35" t="s">
        <v>265</v>
      </c>
      <c r="D204" s="35" t="s">
        <v>2719</v>
      </c>
      <c r="E204" s="35" t="s">
        <v>4188</v>
      </c>
      <c r="F204" s="35" t="s">
        <v>4189</v>
      </c>
      <c r="G204" s="41" t="s">
        <v>4190</v>
      </c>
      <c r="H204" s="35" t="s">
        <v>59</v>
      </c>
      <c r="I204" s="35" t="s">
        <v>61</v>
      </c>
      <c r="J204" s="35" t="s">
        <v>62</v>
      </c>
      <c r="K204" s="35" t="s">
        <v>63</v>
      </c>
      <c r="L204" s="35">
        <v>48.0</v>
      </c>
      <c r="M204" s="35" t="s">
        <v>4192</v>
      </c>
      <c r="N204" s="35" t="s">
        <v>66</v>
      </c>
      <c r="O204" s="35" t="s">
        <v>67</v>
      </c>
      <c r="P204" s="35" t="s">
        <v>4193</v>
      </c>
      <c r="Q204" s="35">
        <v>1.0</v>
      </c>
      <c r="R204" s="35">
        <v>0.0</v>
      </c>
      <c r="S204" s="35">
        <v>1.0</v>
      </c>
      <c r="T204" s="35" t="s">
        <v>61</v>
      </c>
      <c r="U204" s="52"/>
      <c r="V204" s="35" t="s">
        <v>61</v>
      </c>
      <c r="W204" s="35" t="s">
        <v>93</v>
      </c>
      <c r="X204" s="35" t="s">
        <v>4196</v>
      </c>
      <c r="Y204" s="35" t="s">
        <v>4197</v>
      </c>
      <c r="Z204" s="112" t="s">
        <v>4198</v>
      </c>
      <c r="AA204" s="46">
        <v>46023.0</v>
      </c>
      <c r="AB204" s="46">
        <v>46387.0</v>
      </c>
      <c r="AC204" s="35" t="s">
        <v>4200</v>
      </c>
      <c r="AD204" s="35" t="s">
        <v>79</v>
      </c>
      <c r="AE204" s="35" t="s">
        <v>61</v>
      </c>
      <c r="AF204" s="52"/>
      <c r="AG204" s="46"/>
    </row>
    <row r="205" ht="44.25" customHeight="1">
      <c r="A205" s="35">
        <v>204.0</v>
      </c>
      <c r="B205" s="35">
        <v>6688.0</v>
      </c>
      <c r="C205" s="35" t="s">
        <v>265</v>
      </c>
      <c r="D205" s="35" t="s">
        <v>2719</v>
      </c>
      <c r="E205" s="35" t="s">
        <v>2827</v>
      </c>
      <c r="F205" s="35" t="s">
        <v>2843</v>
      </c>
      <c r="G205" s="41" t="s">
        <v>4205</v>
      </c>
      <c r="H205" s="35" t="s">
        <v>59</v>
      </c>
      <c r="I205" s="35" t="s">
        <v>61</v>
      </c>
      <c r="J205" s="35" t="s">
        <v>62</v>
      </c>
      <c r="K205" s="35" t="s">
        <v>68</v>
      </c>
      <c r="L205" s="35">
        <v>138.0</v>
      </c>
      <c r="M205" s="35" t="s">
        <v>4210</v>
      </c>
      <c r="N205" s="35" t="s">
        <v>71</v>
      </c>
      <c r="O205" s="35" t="s">
        <v>67</v>
      </c>
      <c r="P205" s="35" t="s">
        <v>4212</v>
      </c>
      <c r="Q205" s="35">
        <v>0.0</v>
      </c>
      <c r="R205" s="35">
        <v>1.0</v>
      </c>
      <c r="S205" s="35">
        <v>1.0</v>
      </c>
      <c r="T205" s="35" t="s">
        <v>61</v>
      </c>
      <c r="U205" s="35">
        <v>19.0</v>
      </c>
      <c r="V205" s="35" t="s">
        <v>61</v>
      </c>
      <c r="W205" s="35" t="s">
        <v>93</v>
      </c>
      <c r="X205" s="35" t="s">
        <v>4214</v>
      </c>
      <c r="Y205" s="35" t="s">
        <v>4216</v>
      </c>
      <c r="Z205" s="112" t="s">
        <v>4218</v>
      </c>
      <c r="AA205" s="46">
        <v>46023.0</v>
      </c>
      <c r="AB205" s="46">
        <v>46387.0</v>
      </c>
      <c r="AC205" s="35" t="s">
        <v>4220</v>
      </c>
      <c r="AD205" s="35" t="s">
        <v>79</v>
      </c>
      <c r="AE205" s="35" t="s">
        <v>61</v>
      </c>
      <c r="AF205" s="52"/>
      <c r="AG205" s="46"/>
    </row>
    <row r="206" ht="44.25" customHeight="1">
      <c r="A206" s="35">
        <v>205.0</v>
      </c>
      <c r="B206" s="35">
        <v>2882.0</v>
      </c>
      <c r="C206" s="35" t="s">
        <v>265</v>
      </c>
      <c r="D206" s="35" t="s">
        <v>2719</v>
      </c>
      <c r="E206" s="35" t="s">
        <v>2827</v>
      </c>
      <c r="F206" s="35" t="s">
        <v>4222</v>
      </c>
      <c r="G206" s="41" t="s">
        <v>4223</v>
      </c>
      <c r="H206" s="35" t="s">
        <v>59</v>
      </c>
      <c r="I206" s="35" t="s">
        <v>61</v>
      </c>
      <c r="J206" s="35" t="s">
        <v>62</v>
      </c>
      <c r="K206" s="35" t="s">
        <v>111</v>
      </c>
      <c r="L206" s="35">
        <v>150.0</v>
      </c>
      <c r="M206" s="35" t="s">
        <v>4228</v>
      </c>
      <c r="N206" s="35" t="s">
        <v>221</v>
      </c>
      <c r="O206" s="35" t="s">
        <v>67</v>
      </c>
      <c r="P206" s="35" t="s">
        <v>4229</v>
      </c>
      <c r="Q206" s="35">
        <v>0.0</v>
      </c>
      <c r="R206" s="35">
        <v>1.0</v>
      </c>
      <c r="S206" s="35">
        <v>1.0</v>
      </c>
      <c r="T206" s="35" t="s">
        <v>61</v>
      </c>
      <c r="U206" s="35">
        <v>18.0</v>
      </c>
      <c r="V206" s="35" t="s">
        <v>61</v>
      </c>
      <c r="W206" s="35" t="s">
        <v>93</v>
      </c>
      <c r="X206" s="35" t="s">
        <v>4232</v>
      </c>
      <c r="Y206" s="35" t="s">
        <v>4234</v>
      </c>
      <c r="Z206" s="35" t="s">
        <v>4235</v>
      </c>
      <c r="AA206" s="46">
        <v>46023.0</v>
      </c>
      <c r="AB206" s="46">
        <v>46387.0</v>
      </c>
      <c r="AC206" s="35" t="s">
        <v>4236</v>
      </c>
      <c r="AD206" s="35" t="s">
        <v>79</v>
      </c>
      <c r="AE206" s="35" t="s">
        <v>643</v>
      </c>
      <c r="AF206" s="52"/>
      <c r="AG206" s="46"/>
    </row>
    <row r="207" ht="44.25" customHeight="1">
      <c r="A207" s="35">
        <v>206.0</v>
      </c>
      <c r="B207" s="35">
        <v>37096.0</v>
      </c>
      <c r="C207" s="35" t="s">
        <v>265</v>
      </c>
      <c r="D207" s="35" t="s">
        <v>2719</v>
      </c>
      <c r="E207" s="35" t="s">
        <v>2827</v>
      </c>
      <c r="F207" s="35" t="s">
        <v>4237</v>
      </c>
      <c r="G207" s="41" t="s">
        <v>4238</v>
      </c>
      <c r="H207" s="35" t="s">
        <v>59</v>
      </c>
      <c r="I207" s="35" t="s">
        <v>61</v>
      </c>
      <c r="J207" s="35" t="s">
        <v>62</v>
      </c>
      <c r="K207" s="35" t="s">
        <v>111</v>
      </c>
      <c r="L207" s="35">
        <v>100.0</v>
      </c>
      <c r="M207" s="35" t="s">
        <v>4239</v>
      </c>
      <c r="N207" s="35" t="s">
        <v>66</v>
      </c>
      <c r="O207" s="35" t="s">
        <v>67</v>
      </c>
      <c r="P207" s="35" t="s">
        <v>4240</v>
      </c>
      <c r="Q207" s="35">
        <v>0.0</v>
      </c>
      <c r="R207" s="35">
        <v>1.0</v>
      </c>
      <c r="S207" s="35">
        <v>1.0</v>
      </c>
      <c r="T207" s="35" t="s">
        <v>61</v>
      </c>
      <c r="U207" s="35">
        <v>14.0</v>
      </c>
      <c r="V207" s="35" t="s">
        <v>61</v>
      </c>
      <c r="W207" s="35" t="s">
        <v>93</v>
      </c>
      <c r="X207" s="35" t="s">
        <v>4241</v>
      </c>
      <c r="Y207" s="35" t="s">
        <v>4242</v>
      </c>
      <c r="Z207" s="112" t="s">
        <v>4243</v>
      </c>
      <c r="AA207" s="46">
        <v>46023.0</v>
      </c>
      <c r="AB207" s="46">
        <v>46387.0</v>
      </c>
      <c r="AC207" s="35" t="s">
        <v>4244</v>
      </c>
      <c r="AD207" s="35" t="s">
        <v>79</v>
      </c>
      <c r="AE207" s="35" t="s">
        <v>61</v>
      </c>
      <c r="AF207" s="52"/>
      <c r="AG207" s="46"/>
    </row>
    <row r="208" ht="44.25" customHeight="1">
      <c r="A208" s="35">
        <v>207.0</v>
      </c>
      <c r="B208" s="35">
        <v>393.0</v>
      </c>
      <c r="C208" s="35" t="s">
        <v>265</v>
      </c>
      <c r="D208" s="35" t="s">
        <v>2719</v>
      </c>
      <c r="E208" s="35" t="s">
        <v>2827</v>
      </c>
      <c r="F208" s="35" t="s">
        <v>4245</v>
      </c>
      <c r="G208" s="41" t="s">
        <v>4246</v>
      </c>
      <c r="H208" s="35" t="s">
        <v>59</v>
      </c>
      <c r="I208" s="35" t="s">
        <v>61</v>
      </c>
      <c r="J208" s="35" t="s">
        <v>62</v>
      </c>
      <c r="K208" s="35" t="s">
        <v>111</v>
      </c>
      <c r="L208" s="35">
        <v>90.0</v>
      </c>
      <c r="M208" s="35" t="s">
        <v>4248</v>
      </c>
      <c r="N208" s="35" t="s">
        <v>66</v>
      </c>
      <c r="O208" s="35" t="s">
        <v>67</v>
      </c>
      <c r="P208" s="35" t="s">
        <v>4249</v>
      </c>
      <c r="Q208" s="35">
        <v>0.0</v>
      </c>
      <c r="R208" s="35">
        <v>1.0</v>
      </c>
      <c r="S208" s="35">
        <v>1.0</v>
      </c>
      <c r="T208" s="35" t="s">
        <v>61</v>
      </c>
      <c r="U208" s="35">
        <v>12.0</v>
      </c>
      <c r="V208" s="35" t="s">
        <v>61</v>
      </c>
      <c r="W208" s="35" t="s">
        <v>93</v>
      </c>
      <c r="X208" s="35" t="s">
        <v>4250</v>
      </c>
      <c r="Y208" s="35" t="s">
        <v>4251</v>
      </c>
      <c r="Z208" s="35" t="s">
        <v>4252</v>
      </c>
      <c r="AA208" s="46">
        <v>46023.0</v>
      </c>
      <c r="AB208" s="46">
        <v>46387.0</v>
      </c>
      <c r="AC208" s="35" t="s">
        <v>4253</v>
      </c>
      <c r="AD208" s="35" t="s">
        <v>79</v>
      </c>
      <c r="AE208" s="35" t="s">
        <v>61</v>
      </c>
      <c r="AF208" s="52"/>
      <c r="AG208" s="46"/>
    </row>
    <row r="209" ht="44.25" customHeight="1">
      <c r="A209" s="35">
        <v>208.0</v>
      </c>
      <c r="B209" s="35">
        <v>3833.0</v>
      </c>
      <c r="C209" s="35" t="s">
        <v>265</v>
      </c>
      <c r="D209" s="35" t="s">
        <v>2719</v>
      </c>
      <c r="E209" s="35" t="s">
        <v>2827</v>
      </c>
      <c r="F209" s="35" t="s">
        <v>4254</v>
      </c>
      <c r="G209" s="41" t="s">
        <v>4255</v>
      </c>
      <c r="H209" s="35" t="s">
        <v>59</v>
      </c>
      <c r="I209" s="35" t="s">
        <v>61</v>
      </c>
      <c r="J209" s="35" t="s">
        <v>62</v>
      </c>
      <c r="K209" s="35" t="s">
        <v>111</v>
      </c>
      <c r="L209" s="35">
        <v>50.0</v>
      </c>
      <c r="M209" s="52"/>
      <c r="N209" s="35" t="s">
        <v>66</v>
      </c>
      <c r="O209" s="35" t="s">
        <v>67</v>
      </c>
      <c r="P209" s="35" t="s">
        <v>4256</v>
      </c>
      <c r="Q209" s="35">
        <v>0.0</v>
      </c>
      <c r="R209" s="35">
        <v>1.0</v>
      </c>
      <c r="S209" s="35">
        <v>1.0</v>
      </c>
      <c r="T209" s="35" t="s">
        <v>61</v>
      </c>
      <c r="U209" s="35">
        <v>0.0</v>
      </c>
      <c r="V209" s="35" t="s">
        <v>61</v>
      </c>
      <c r="W209" s="35" t="s">
        <v>93</v>
      </c>
      <c r="X209" s="35" t="s">
        <v>4257</v>
      </c>
      <c r="Y209" s="35" t="s">
        <v>4258</v>
      </c>
      <c r="Z209" s="112" t="s">
        <v>4259</v>
      </c>
      <c r="AA209" s="46">
        <v>46023.0</v>
      </c>
      <c r="AB209" s="46">
        <v>46387.0</v>
      </c>
      <c r="AC209" s="35" t="s">
        <v>4260</v>
      </c>
      <c r="AD209" s="35" t="s">
        <v>79</v>
      </c>
      <c r="AE209" s="35" t="s">
        <v>61</v>
      </c>
      <c r="AF209" s="52"/>
      <c r="AG209" s="46"/>
    </row>
    <row r="210" ht="44.25" customHeight="1">
      <c r="A210" s="35">
        <v>209.0</v>
      </c>
      <c r="B210" s="35">
        <v>39822.0</v>
      </c>
      <c r="C210" s="35" t="s">
        <v>265</v>
      </c>
      <c r="D210" s="35" t="s">
        <v>2719</v>
      </c>
      <c r="E210" s="35" t="s">
        <v>2827</v>
      </c>
      <c r="F210" s="35" t="s">
        <v>4262</v>
      </c>
      <c r="G210" s="41" t="s">
        <v>4264</v>
      </c>
      <c r="H210" s="35" t="s">
        <v>59</v>
      </c>
      <c r="I210" s="35" t="s">
        <v>61</v>
      </c>
      <c r="J210" s="35" t="s">
        <v>62</v>
      </c>
      <c r="K210" s="35" t="s">
        <v>111</v>
      </c>
      <c r="L210" s="35">
        <v>100.0</v>
      </c>
      <c r="M210" s="35" t="s">
        <v>4266</v>
      </c>
      <c r="N210" s="35" t="s">
        <v>66</v>
      </c>
      <c r="O210" s="35" t="s">
        <v>67</v>
      </c>
      <c r="P210" s="35" t="s">
        <v>4267</v>
      </c>
      <c r="Q210" s="35">
        <v>0.0</v>
      </c>
      <c r="R210" s="35">
        <v>1.0</v>
      </c>
      <c r="S210" s="35">
        <v>1.0</v>
      </c>
      <c r="T210" s="35" t="s">
        <v>61</v>
      </c>
      <c r="U210" s="35">
        <v>8.0</v>
      </c>
      <c r="V210" s="35" t="s">
        <v>61</v>
      </c>
      <c r="W210" s="35" t="s">
        <v>93</v>
      </c>
      <c r="X210" s="35" t="s">
        <v>4268</v>
      </c>
      <c r="Y210" s="35" t="s">
        <v>4269</v>
      </c>
      <c r="Z210" s="112" t="s">
        <v>4270</v>
      </c>
      <c r="AA210" s="46">
        <v>46023.0</v>
      </c>
      <c r="AB210" s="46">
        <v>46387.0</v>
      </c>
      <c r="AC210" s="35" t="s">
        <v>4271</v>
      </c>
      <c r="AD210" s="35" t="s">
        <v>79</v>
      </c>
      <c r="AE210" s="35" t="s">
        <v>61</v>
      </c>
      <c r="AF210" s="52"/>
      <c r="AG210" s="46"/>
    </row>
    <row r="211" ht="44.25" customHeight="1">
      <c r="A211" s="35">
        <v>210.0</v>
      </c>
      <c r="B211" s="35">
        <v>44262.0</v>
      </c>
      <c r="C211" s="35" t="s">
        <v>265</v>
      </c>
      <c r="D211" s="35" t="s">
        <v>2864</v>
      </c>
      <c r="E211" s="35" t="s">
        <v>2883</v>
      </c>
      <c r="F211" s="35" t="s">
        <v>4273</v>
      </c>
      <c r="G211" s="41" t="s">
        <v>4274</v>
      </c>
      <c r="H211" s="35" t="s">
        <v>59</v>
      </c>
      <c r="I211" s="35" t="s">
        <v>61</v>
      </c>
      <c r="J211" s="35" t="s">
        <v>62</v>
      </c>
      <c r="K211" s="35" t="s">
        <v>111</v>
      </c>
      <c r="L211" s="35">
        <v>80.0</v>
      </c>
      <c r="M211" s="35" t="s">
        <v>4275</v>
      </c>
      <c r="N211" s="35" t="s">
        <v>221</v>
      </c>
      <c r="O211" s="35" t="s">
        <v>67</v>
      </c>
      <c r="P211" s="35" t="s">
        <v>4276</v>
      </c>
      <c r="Q211" s="35">
        <v>0.0</v>
      </c>
      <c r="R211" s="35">
        <v>1.0</v>
      </c>
      <c r="S211" s="35">
        <v>1.0</v>
      </c>
      <c r="T211" s="35" t="s">
        <v>61</v>
      </c>
      <c r="U211" s="35">
        <v>13.0</v>
      </c>
      <c r="V211" s="35" t="s">
        <v>533</v>
      </c>
      <c r="W211" s="35" t="s">
        <v>93</v>
      </c>
      <c r="X211" s="35" t="s">
        <v>4277</v>
      </c>
      <c r="Y211" s="35" t="s">
        <v>4278</v>
      </c>
      <c r="Z211" s="112" t="s">
        <v>4279</v>
      </c>
      <c r="AA211" s="46">
        <v>46023.0</v>
      </c>
      <c r="AB211" s="46">
        <v>46387.0</v>
      </c>
      <c r="AC211" s="35" t="s">
        <v>4280</v>
      </c>
      <c r="AD211" s="35" t="s">
        <v>79</v>
      </c>
      <c r="AE211" s="35" t="s">
        <v>643</v>
      </c>
      <c r="AF211" s="52"/>
      <c r="AG211" s="46"/>
    </row>
    <row r="212" ht="44.25" customHeight="1">
      <c r="A212" s="35">
        <v>211.0</v>
      </c>
      <c r="B212" s="35">
        <v>4397.0</v>
      </c>
      <c r="C212" s="35" t="s">
        <v>265</v>
      </c>
      <c r="D212" s="35" t="s">
        <v>2864</v>
      </c>
      <c r="E212" s="35" t="s">
        <v>2883</v>
      </c>
      <c r="F212" s="35" t="s">
        <v>4281</v>
      </c>
      <c r="G212" s="41" t="s">
        <v>4282</v>
      </c>
      <c r="H212" s="35" t="s">
        <v>59</v>
      </c>
      <c r="I212" s="35" t="s">
        <v>61</v>
      </c>
      <c r="J212" s="35" t="s">
        <v>62</v>
      </c>
      <c r="K212" s="35" t="s">
        <v>63</v>
      </c>
      <c r="L212" s="35">
        <v>27.0</v>
      </c>
      <c r="M212" s="35" t="s">
        <v>4283</v>
      </c>
      <c r="N212" s="35" t="s">
        <v>66</v>
      </c>
      <c r="O212" s="35" t="s">
        <v>67</v>
      </c>
      <c r="P212" s="35" t="s">
        <v>4284</v>
      </c>
      <c r="Q212" s="35">
        <v>1.0</v>
      </c>
      <c r="R212" s="35">
        <v>0.0</v>
      </c>
      <c r="S212" s="35">
        <v>1.0</v>
      </c>
      <c r="T212" s="35" t="s">
        <v>61</v>
      </c>
      <c r="U212" s="35">
        <v>15.0</v>
      </c>
      <c r="V212" s="35" t="s">
        <v>61</v>
      </c>
      <c r="W212" s="35" t="s">
        <v>74</v>
      </c>
      <c r="X212" s="35" t="s">
        <v>4285</v>
      </c>
      <c r="Y212" s="35" t="s">
        <v>4286</v>
      </c>
      <c r="Z212" s="112" t="s">
        <v>4287</v>
      </c>
      <c r="AA212" s="46">
        <v>46023.0</v>
      </c>
      <c r="AB212" s="46">
        <v>46387.0</v>
      </c>
      <c r="AC212" s="35" t="s">
        <v>4288</v>
      </c>
      <c r="AD212" s="35" t="s">
        <v>79</v>
      </c>
      <c r="AE212" s="35" t="s">
        <v>61</v>
      </c>
      <c r="AF212" s="52"/>
      <c r="AG212" s="46"/>
    </row>
    <row r="213" ht="44.25" customHeight="1">
      <c r="A213" s="35">
        <v>212.0</v>
      </c>
      <c r="B213" s="35">
        <v>366.0</v>
      </c>
      <c r="C213" s="35" t="s">
        <v>265</v>
      </c>
      <c r="D213" s="35" t="s">
        <v>2864</v>
      </c>
      <c r="E213" s="35" t="s">
        <v>2901</v>
      </c>
      <c r="F213" s="35" t="s">
        <v>4289</v>
      </c>
      <c r="G213" s="41" t="s">
        <v>4291</v>
      </c>
      <c r="H213" s="35" t="s">
        <v>59</v>
      </c>
      <c r="I213" s="35" t="s">
        <v>61</v>
      </c>
      <c r="J213" s="35" t="s">
        <v>62</v>
      </c>
      <c r="K213" s="35" t="s">
        <v>63</v>
      </c>
      <c r="L213" s="35">
        <v>20.0</v>
      </c>
      <c r="M213" s="35" t="s">
        <v>4293</v>
      </c>
      <c r="N213" s="35" t="s">
        <v>66</v>
      </c>
      <c r="O213" s="35" t="s">
        <v>67</v>
      </c>
      <c r="P213" s="35" t="s">
        <v>4295</v>
      </c>
      <c r="Q213" s="35">
        <v>1.0</v>
      </c>
      <c r="R213" s="35">
        <v>0.0</v>
      </c>
      <c r="S213" s="35">
        <v>1.0</v>
      </c>
      <c r="T213" s="35" t="s">
        <v>61</v>
      </c>
      <c r="U213" s="35">
        <v>0.0</v>
      </c>
      <c r="V213" s="35" t="s">
        <v>61</v>
      </c>
      <c r="W213" s="35" t="s">
        <v>93</v>
      </c>
      <c r="X213" s="35" t="s">
        <v>4296</v>
      </c>
      <c r="Y213" s="35" t="s">
        <v>4297</v>
      </c>
      <c r="Z213" s="112" t="s">
        <v>4299</v>
      </c>
      <c r="AA213" s="46">
        <v>46023.0</v>
      </c>
      <c r="AB213" s="46">
        <v>46387.0</v>
      </c>
      <c r="AC213" s="35" t="s">
        <v>4301</v>
      </c>
      <c r="AD213" s="35" t="s">
        <v>79</v>
      </c>
      <c r="AE213" s="35" t="s">
        <v>61</v>
      </c>
      <c r="AF213" s="52"/>
      <c r="AG213" s="46"/>
    </row>
    <row r="214" ht="44.25" customHeight="1">
      <c r="A214" s="35">
        <v>213.0</v>
      </c>
      <c r="B214" s="35">
        <v>7694.0</v>
      </c>
      <c r="C214" s="35" t="s">
        <v>265</v>
      </c>
      <c r="D214" s="35" t="s">
        <v>2864</v>
      </c>
      <c r="E214" s="35" t="s">
        <v>2901</v>
      </c>
      <c r="F214" s="35" t="s">
        <v>4305</v>
      </c>
      <c r="G214" s="41" t="s">
        <v>4306</v>
      </c>
      <c r="H214" s="35" t="s">
        <v>59</v>
      </c>
      <c r="I214" s="35" t="s">
        <v>61</v>
      </c>
      <c r="J214" s="35" t="s">
        <v>62</v>
      </c>
      <c r="K214" s="35" t="s">
        <v>111</v>
      </c>
      <c r="L214" s="35">
        <v>82.0</v>
      </c>
      <c r="M214" s="35" t="s">
        <v>4310</v>
      </c>
      <c r="N214" s="35" t="s">
        <v>66</v>
      </c>
      <c r="O214" s="35" t="s">
        <v>67</v>
      </c>
      <c r="P214" s="35" t="s">
        <v>4313</v>
      </c>
      <c r="Q214" s="35">
        <v>0.0</v>
      </c>
      <c r="R214" s="35">
        <v>1.0</v>
      </c>
      <c r="S214" s="35">
        <v>1.0</v>
      </c>
      <c r="T214" s="35" t="s">
        <v>61</v>
      </c>
      <c r="U214" s="35">
        <v>12.0</v>
      </c>
      <c r="V214" s="35" t="s">
        <v>61</v>
      </c>
      <c r="W214" s="35" t="s">
        <v>93</v>
      </c>
      <c r="X214" s="35" t="s">
        <v>4315</v>
      </c>
      <c r="Y214" s="35" t="s">
        <v>4316</v>
      </c>
      <c r="Z214" s="112" t="s">
        <v>4317</v>
      </c>
      <c r="AA214" s="46">
        <v>46023.0</v>
      </c>
      <c r="AB214" s="46">
        <v>46387.0</v>
      </c>
      <c r="AC214" s="35" t="s">
        <v>4319</v>
      </c>
      <c r="AD214" s="35" t="s">
        <v>79</v>
      </c>
      <c r="AE214" s="35" t="s">
        <v>61</v>
      </c>
      <c r="AF214" s="52"/>
      <c r="AG214" s="46"/>
    </row>
    <row r="215" ht="44.25" customHeight="1">
      <c r="A215" s="35">
        <v>214.0</v>
      </c>
      <c r="B215" s="35">
        <v>31552.0</v>
      </c>
      <c r="C215" s="35" t="s">
        <v>265</v>
      </c>
      <c r="D215" s="35" t="s">
        <v>2864</v>
      </c>
      <c r="E215" s="35" t="s">
        <v>2901</v>
      </c>
      <c r="F215" s="35" t="s">
        <v>4323</v>
      </c>
      <c r="G215" s="41" t="s">
        <v>4324</v>
      </c>
      <c r="H215" s="35" t="s">
        <v>59</v>
      </c>
      <c r="I215" s="35" t="s">
        <v>61</v>
      </c>
      <c r="J215" s="35" t="s">
        <v>62</v>
      </c>
      <c r="K215" s="35" t="s">
        <v>63</v>
      </c>
      <c r="L215" s="35">
        <v>17.0</v>
      </c>
      <c r="M215" s="35" t="s">
        <v>4328</v>
      </c>
      <c r="N215" s="35" t="s">
        <v>66</v>
      </c>
      <c r="O215" s="35" t="s">
        <v>67</v>
      </c>
      <c r="P215" s="35" t="s">
        <v>4329</v>
      </c>
      <c r="Q215" s="35">
        <v>1.0</v>
      </c>
      <c r="R215" s="35">
        <v>0.0</v>
      </c>
      <c r="S215" s="35">
        <v>1.0</v>
      </c>
      <c r="T215" s="35" t="s">
        <v>61</v>
      </c>
      <c r="U215" s="35">
        <v>0.0</v>
      </c>
      <c r="V215" s="35" t="s">
        <v>61</v>
      </c>
      <c r="W215" s="35" t="s">
        <v>74</v>
      </c>
      <c r="X215" s="35" t="s">
        <v>4333</v>
      </c>
      <c r="Y215" s="35" t="s">
        <v>4335</v>
      </c>
      <c r="Z215" s="112" t="s">
        <v>4337</v>
      </c>
      <c r="AA215" s="46">
        <v>46023.0</v>
      </c>
      <c r="AB215" s="46">
        <v>46387.0</v>
      </c>
      <c r="AC215" s="35" t="s">
        <v>4338</v>
      </c>
      <c r="AD215" s="35" t="s">
        <v>79</v>
      </c>
      <c r="AE215" s="35" t="s">
        <v>61</v>
      </c>
      <c r="AF215" s="52"/>
      <c r="AG215" s="46"/>
    </row>
    <row r="216" ht="44.25" customHeight="1">
      <c r="A216" s="35">
        <v>215.0</v>
      </c>
      <c r="B216" s="35">
        <v>23755.0</v>
      </c>
      <c r="C216" s="35" t="s">
        <v>265</v>
      </c>
      <c r="D216" s="35" t="s">
        <v>2864</v>
      </c>
      <c r="E216" s="35" t="s">
        <v>4343</v>
      </c>
      <c r="F216" s="35" t="s">
        <v>4344</v>
      </c>
      <c r="G216" s="41" t="s">
        <v>4345</v>
      </c>
      <c r="H216" s="35" t="s">
        <v>59</v>
      </c>
      <c r="I216" s="35" t="s">
        <v>61</v>
      </c>
      <c r="J216" s="35" t="s">
        <v>62</v>
      </c>
      <c r="K216" s="35" t="s">
        <v>111</v>
      </c>
      <c r="L216" s="35">
        <v>87.0</v>
      </c>
      <c r="M216" s="35" t="s">
        <v>4348</v>
      </c>
      <c r="N216" s="35" t="s">
        <v>71</v>
      </c>
      <c r="O216" s="35" t="s">
        <v>67</v>
      </c>
      <c r="P216" s="35" t="s">
        <v>4350</v>
      </c>
      <c r="Q216" s="35">
        <v>0.0</v>
      </c>
      <c r="R216" s="35">
        <v>2.0</v>
      </c>
      <c r="S216" s="35">
        <v>2.0</v>
      </c>
      <c r="T216" s="35" t="s">
        <v>61</v>
      </c>
      <c r="U216" s="35">
        <v>20.0</v>
      </c>
      <c r="V216" s="35" t="s">
        <v>61</v>
      </c>
      <c r="W216" s="35" t="s">
        <v>93</v>
      </c>
      <c r="X216" s="35" t="s">
        <v>4353</v>
      </c>
      <c r="Y216" s="35" t="s">
        <v>4354</v>
      </c>
      <c r="Z216" s="112" t="s">
        <v>4355</v>
      </c>
      <c r="AA216" s="46">
        <v>46023.0</v>
      </c>
      <c r="AB216" s="46">
        <v>46387.0</v>
      </c>
      <c r="AC216" s="35" t="s">
        <v>4356</v>
      </c>
      <c r="AD216" s="35" t="s">
        <v>79</v>
      </c>
      <c r="AE216" s="35" t="s">
        <v>61</v>
      </c>
      <c r="AF216" s="52"/>
      <c r="AG216" s="46"/>
    </row>
    <row r="217" ht="44.25" customHeight="1">
      <c r="A217" s="35">
        <v>216.0</v>
      </c>
      <c r="B217" s="35"/>
      <c r="C217" s="35" t="s">
        <v>351</v>
      </c>
      <c r="D217" s="35" t="s">
        <v>935</v>
      </c>
      <c r="E217" s="35" t="s">
        <v>2967</v>
      </c>
      <c r="F217" s="35" t="s">
        <v>4360</v>
      </c>
      <c r="G217" s="41" t="s">
        <v>4361</v>
      </c>
      <c r="H217" s="35" t="s">
        <v>59</v>
      </c>
      <c r="I217" s="35" t="s">
        <v>61</v>
      </c>
      <c r="J217" s="35" t="s">
        <v>62</v>
      </c>
      <c r="K217" s="35" t="s">
        <v>63</v>
      </c>
      <c r="L217" s="35">
        <v>45.0</v>
      </c>
      <c r="M217" s="35" t="s">
        <v>4362</v>
      </c>
      <c r="N217" s="35" t="s">
        <v>66</v>
      </c>
      <c r="O217" s="35" t="s">
        <v>67</v>
      </c>
      <c r="P217" s="35" t="s">
        <v>4364</v>
      </c>
      <c r="Q217" s="64"/>
      <c r="R217" s="64"/>
      <c r="S217" s="64"/>
      <c r="T217" s="35" t="s">
        <v>955</v>
      </c>
      <c r="U217" s="35">
        <v>7.0</v>
      </c>
      <c r="V217" s="35" t="s">
        <v>61</v>
      </c>
      <c r="W217" s="35" t="s">
        <v>93</v>
      </c>
      <c r="X217" s="35" t="s">
        <v>4366</v>
      </c>
      <c r="Y217" s="35" t="s">
        <v>4367</v>
      </c>
      <c r="Z217" s="35" t="s">
        <v>4369</v>
      </c>
      <c r="AA217" s="46">
        <v>46023.0</v>
      </c>
      <c r="AB217" s="151">
        <v>46387.0</v>
      </c>
      <c r="AC217" s="35" t="s">
        <v>4379</v>
      </c>
      <c r="AD217" s="152"/>
      <c r="AE217" s="35"/>
      <c r="AF217" s="35"/>
      <c r="AG217" s="151"/>
    </row>
    <row r="218" ht="44.25" customHeight="1">
      <c r="A218" s="35">
        <v>217.0</v>
      </c>
      <c r="B218" s="35"/>
      <c r="C218" s="35" t="s">
        <v>351</v>
      </c>
      <c r="D218" s="35" t="s">
        <v>935</v>
      </c>
      <c r="E218" s="35" t="s">
        <v>2967</v>
      </c>
      <c r="F218" s="35" t="s">
        <v>4384</v>
      </c>
      <c r="G218" s="41" t="s">
        <v>4385</v>
      </c>
      <c r="H218" s="35" t="s">
        <v>59</v>
      </c>
      <c r="I218" s="35" t="s">
        <v>61</v>
      </c>
      <c r="J218" s="35" t="s">
        <v>62</v>
      </c>
      <c r="K218" s="35" t="s">
        <v>111</v>
      </c>
      <c r="L218" s="35">
        <v>40.0</v>
      </c>
      <c r="M218" s="35" t="s">
        <v>4388</v>
      </c>
      <c r="N218" s="35" t="s">
        <v>66</v>
      </c>
      <c r="O218" s="35" t="s">
        <v>67</v>
      </c>
      <c r="P218" s="35" t="s">
        <v>4389</v>
      </c>
      <c r="Q218" s="64"/>
      <c r="R218" s="64"/>
      <c r="S218" s="64"/>
      <c r="T218" s="35" t="s">
        <v>955</v>
      </c>
      <c r="U218" s="35">
        <v>12.0</v>
      </c>
      <c r="V218" s="35" t="s">
        <v>61</v>
      </c>
      <c r="W218" s="35" t="s">
        <v>93</v>
      </c>
      <c r="X218" s="35" t="s">
        <v>4390</v>
      </c>
      <c r="Y218" s="35">
        <v>9.273263432E9</v>
      </c>
      <c r="Z218" s="35" t="s">
        <v>4391</v>
      </c>
      <c r="AA218" s="46">
        <v>46023.0</v>
      </c>
      <c r="AB218" s="151">
        <v>46387.0</v>
      </c>
      <c r="AC218" s="35" t="s">
        <v>4392</v>
      </c>
      <c r="AD218" s="152"/>
      <c r="AE218" s="35"/>
      <c r="AF218" s="35"/>
      <c r="AG218" s="151"/>
    </row>
    <row r="219" ht="44.25" customHeight="1">
      <c r="A219" s="35">
        <v>218.0</v>
      </c>
      <c r="B219" s="35"/>
      <c r="C219" s="35" t="s">
        <v>351</v>
      </c>
      <c r="D219" s="35" t="s">
        <v>935</v>
      </c>
      <c r="E219" s="35" t="s">
        <v>2967</v>
      </c>
      <c r="F219" s="35" t="s">
        <v>4395</v>
      </c>
      <c r="G219" s="41" t="s">
        <v>4396</v>
      </c>
      <c r="H219" s="35" t="s">
        <v>59</v>
      </c>
      <c r="I219" s="35" t="s">
        <v>61</v>
      </c>
      <c r="J219" s="35" t="s">
        <v>62</v>
      </c>
      <c r="K219" s="35" t="s">
        <v>111</v>
      </c>
      <c r="L219" s="35">
        <v>58.0</v>
      </c>
      <c r="M219" s="35" t="s">
        <v>4397</v>
      </c>
      <c r="N219" s="35" t="s">
        <v>66</v>
      </c>
      <c r="O219" s="35" t="s">
        <v>67</v>
      </c>
      <c r="P219" s="35" t="s">
        <v>4398</v>
      </c>
      <c r="Q219" s="64"/>
      <c r="R219" s="64"/>
      <c r="S219" s="64"/>
      <c r="T219" s="35" t="s">
        <v>955</v>
      </c>
      <c r="U219" s="35">
        <v>7.0</v>
      </c>
      <c r="V219" s="35" t="s">
        <v>61</v>
      </c>
      <c r="W219" s="35" t="s">
        <v>93</v>
      </c>
      <c r="X219" s="35" t="s">
        <v>4400</v>
      </c>
      <c r="Y219" s="35">
        <v>9.175935143E9</v>
      </c>
      <c r="Z219" s="35" t="s">
        <v>4402</v>
      </c>
      <c r="AA219" s="46">
        <v>46023.0</v>
      </c>
      <c r="AB219" s="151">
        <v>46387.0</v>
      </c>
      <c r="AC219" s="35" t="s">
        <v>4403</v>
      </c>
      <c r="AD219" s="152"/>
      <c r="AE219" s="35"/>
      <c r="AF219" s="35"/>
      <c r="AG219" s="151"/>
    </row>
    <row r="220" ht="44.25" customHeight="1">
      <c r="A220" s="35">
        <v>219.0</v>
      </c>
      <c r="B220" s="35"/>
      <c r="C220" s="35" t="s">
        <v>351</v>
      </c>
      <c r="D220" s="35" t="s">
        <v>935</v>
      </c>
      <c r="E220" s="35" t="s">
        <v>936</v>
      </c>
      <c r="F220" s="35" t="s">
        <v>4404</v>
      </c>
      <c r="G220" s="41" t="s">
        <v>4405</v>
      </c>
      <c r="H220" s="35" t="s">
        <v>59</v>
      </c>
      <c r="I220" s="35" t="s">
        <v>61</v>
      </c>
      <c r="J220" s="35" t="s">
        <v>62</v>
      </c>
      <c r="K220" s="35" t="s">
        <v>111</v>
      </c>
      <c r="L220" s="35">
        <v>139.0</v>
      </c>
      <c r="M220" s="35" t="s">
        <v>4407</v>
      </c>
      <c r="N220" s="35" t="s">
        <v>66</v>
      </c>
      <c r="O220" s="35" t="s">
        <v>67</v>
      </c>
      <c r="P220" s="35" t="s">
        <v>4409</v>
      </c>
      <c r="Q220" s="64"/>
      <c r="R220" s="64"/>
      <c r="S220" s="64"/>
      <c r="T220" s="35" t="s">
        <v>4411</v>
      </c>
      <c r="U220" s="35">
        <v>9.0</v>
      </c>
      <c r="V220" s="35" t="s">
        <v>61</v>
      </c>
      <c r="W220" s="35" t="s">
        <v>93</v>
      </c>
      <c r="X220" s="35" t="s">
        <v>4413</v>
      </c>
      <c r="Y220" s="35" t="s">
        <v>4414</v>
      </c>
      <c r="Z220" s="35" t="s">
        <v>4415</v>
      </c>
      <c r="AA220" s="46">
        <v>46023.0</v>
      </c>
      <c r="AB220" s="151">
        <v>46387.0</v>
      </c>
      <c r="AC220" s="35" t="s">
        <v>4416</v>
      </c>
      <c r="AD220" s="152"/>
      <c r="AE220" s="35"/>
      <c r="AF220" s="35"/>
      <c r="AG220" s="151"/>
    </row>
    <row r="221" ht="44.25" customHeight="1">
      <c r="A221" s="35">
        <v>220.0</v>
      </c>
      <c r="B221" s="35"/>
      <c r="C221" s="35" t="s">
        <v>351</v>
      </c>
      <c r="D221" s="35" t="s">
        <v>935</v>
      </c>
      <c r="E221" s="35" t="s">
        <v>936</v>
      </c>
      <c r="F221" s="35" t="s">
        <v>4421</v>
      </c>
      <c r="G221" s="41" t="s">
        <v>4422</v>
      </c>
      <c r="H221" s="35" t="s">
        <v>59</v>
      </c>
      <c r="I221" s="35" t="s">
        <v>61</v>
      </c>
      <c r="J221" s="35" t="s">
        <v>62</v>
      </c>
      <c r="K221" s="35" t="s">
        <v>111</v>
      </c>
      <c r="L221" s="35">
        <v>78.0</v>
      </c>
      <c r="M221" s="35" t="s">
        <v>4423</v>
      </c>
      <c r="N221" s="35" t="s">
        <v>66</v>
      </c>
      <c r="O221" s="35" t="s">
        <v>67</v>
      </c>
      <c r="P221" s="35" t="s">
        <v>4424</v>
      </c>
      <c r="Q221" s="64"/>
      <c r="R221" s="64"/>
      <c r="S221" s="64"/>
      <c r="T221" s="35" t="s">
        <v>955</v>
      </c>
      <c r="U221" s="35"/>
      <c r="V221" s="35" t="s">
        <v>61</v>
      </c>
      <c r="W221" s="35" t="s">
        <v>93</v>
      </c>
      <c r="X221" s="35" t="s">
        <v>4426</v>
      </c>
      <c r="Y221" s="35" t="s">
        <v>4427</v>
      </c>
      <c r="Z221" s="35" t="s">
        <v>4429</v>
      </c>
      <c r="AA221" s="46">
        <v>46023.0</v>
      </c>
      <c r="AB221" s="151">
        <v>46387.0</v>
      </c>
      <c r="AC221" s="35" t="s">
        <v>4431</v>
      </c>
      <c r="AD221" s="152"/>
      <c r="AE221" s="35"/>
      <c r="AF221" s="35"/>
      <c r="AG221" s="151"/>
    </row>
    <row r="222" ht="44.25" customHeight="1">
      <c r="A222" s="35">
        <v>221.0</v>
      </c>
      <c r="B222" s="35"/>
      <c r="C222" s="35" t="s">
        <v>351</v>
      </c>
      <c r="D222" s="35" t="s">
        <v>935</v>
      </c>
      <c r="E222" s="35" t="s">
        <v>936</v>
      </c>
      <c r="F222" s="35" t="s">
        <v>4433</v>
      </c>
      <c r="G222" s="41" t="s">
        <v>4434</v>
      </c>
      <c r="H222" s="35" t="s">
        <v>59</v>
      </c>
      <c r="I222" s="35" t="s">
        <v>61</v>
      </c>
      <c r="J222" s="35" t="s">
        <v>62</v>
      </c>
      <c r="K222" s="35" t="s">
        <v>111</v>
      </c>
      <c r="L222" s="35">
        <v>100.0</v>
      </c>
      <c r="M222" s="35" t="s">
        <v>4437</v>
      </c>
      <c r="N222" s="35" t="s">
        <v>66</v>
      </c>
      <c r="O222" s="35" t="s">
        <v>67</v>
      </c>
      <c r="P222" s="35" t="s">
        <v>4439</v>
      </c>
      <c r="Q222" s="64"/>
      <c r="R222" s="64"/>
      <c r="S222" s="64"/>
      <c r="T222" s="35" t="s">
        <v>955</v>
      </c>
      <c r="U222" s="35" t="s">
        <v>955</v>
      </c>
      <c r="V222" s="35" t="s">
        <v>61</v>
      </c>
      <c r="W222" s="35" t="s">
        <v>93</v>
      </c>
      <c r="X222" s="35" t="s">
        <v>4441</v>
      </c>
      <c r="Y222" s="35" t="s">
        <v>4442</v>
      </c>
      <c r="Z222" s="35" t="s">
        <v>4443</v>
      </c>
      <c r="AA222" s="46">
        <v>46023.0</v>
      </c>
      <c r="AB222" s="151">
        <v>46387.0</v>
      </c>
      <c r="AC222" s="35" t="s">
        <v>4445</v>
      </c>
      <c r="AD222" s="152"/>
      <c r="AE222" s="35"/>
      <c r="AF222" s="35"/>
      <c r="AG222" s="151"/>
    </row>
    <row r="223" ht="44.25" customHeight="1">
      <c r="A223" s="35">
        <v>222.0</v>
      </c>
      <c r="B223" s="35"/>
      <c r="C223" s="35" t="s">
        <v>351</v>
      </c>
      <c r="D223" s="35" t="s">
        <v>935</v>
      </c>
      <c r="E223" s="35" t="s">
        <v>936</v>
      </c>
      <c r="F223" s="35" t="s">
        <v>4447</v>
      </c>
      <c r="G223" s="41" t="s">
        <v>4449</v>
      </c>
      <c r="H223" s="35" t="s">
        <v>59</v>
      </c>
      <c r="I223" s="35" t="s">
        <v>61</v>
      </c>
      <c r="J223" s="35" t="s">
        <v>62</v>
      </c>
      <c r="K223" s="35" t="s">
        <v>111</v>
      </c>
      <c r="L223" s="35">
        <v>100.0</v>
      </c>
      <c r="M223" s="35" t="s">
        <v>4452</v>
      </c>
      <c r="N223" s="35" t="s">
        <v>71</v>
      </c>
      <c r="O223" s="35"/>
      <c r="P223" s="35"/>
      <c r="Q223" s="64"/>
      <c r="R223" s="64"/>
      <c r="S223" s="64"/>
      <c r="T223" s="35" t="s">
        <v>4453</v>
      </c>
      <c r="U223" s="35">
        <v>5.0</v>
      </c>
      <c r="V223" s="35" t="s">
        <v>61</v>
      </c>
      <c r="W223" s="35" t="s">
        <v>93</v>
      </c>
      <c r="X223" s="35" t="s">
        <v>4455</v>
      </c>
      <c r="Y223" s="35">
        <v>9.166851791E9</v>
      </c>
      <c r="Z223" s="35" t="s">
        <v>4458</v>
      </c>
      <c r="AA223" s="46">
        <v>46023.0</v>
      </c>
      <c r="AB223" s="151">
        <v>46387.0</v>
      </c>
      <c r="AC223" s="35" t="s">
        <v>4459</v>
      </c>
      <c r="AD223" s="152"/>
      <c r="AE223" s="35"/>
      <c r="AF223" s="35"/>
      <c r="AG223" s="151"/>
    </row>
    <row r="224" ht="44.25" customHeight="1">
      <c r="A224" s="35">
        <v>223.0</v>
      </c>
      <c r="B224" s="35"/>
      <c r="C224" s="35" t="s">
        <v>351</v>
      </c>
      <c r="D224" s="35" t="s">
        <v>935</v>
      </c>
      <c r="E224" s="35" t="s">
        <v>936</v>
      </c>
      <c r="F224" s="35" t="s">
        <v>4460</v>
      </c>
      <c r="G224" s="41" t="s">
        <v>4461</v>
      </c>
      <c r="H224" s="35" t="s">
        <v>59</v>
      </c>
      <c r="I224" s="35" t="s">
        <v>61</v>
      </c>
      <c r="J224" s="35" t="s">
        <v>62</v>
      </c>
      <c r="K224" s="35" t="s">
        <v>111</v>
      </c>
      <c r="L224" s="35">
        <v>48.0</v>
      </c>
      <c r="M224" s="35" t="s">
        <v>4463</v>
      </c>
      <c r="N224" s="35" t="s">
        <v>66</v>
      </c>
      <c r="O224" s="35" t="s">
        <v>67</v>
      </c>
      <c r="P224" s="35" t="s">
        <v>4465</v>
      </c>
      <c r="Q224" s="64"/>
      <c r="R224" s="64"/>
      <c r="S224" s="64"/>
      <c r="T224" s="35" t="s">
        <v>955</v>
      </c>
      <c r="U224" s="35">
        <v>12.0</v>
      </c>
      <c r="V224" s="35" t="s">
        <v>61</v>
      </c>
      <c r="W224" s="35" t="s">
        <v>74</v>
      </c>
      <c r="X224" s="35" t="s">
        <v>4467</v>
      </c>
      <c r="Y224" s="35">
        <v>9.18921874E9</v>
      </c>
      <c r="Z224" s="35" t="s">
        <v>4468</v>
      </c>
      <c r="AA224" s="46">
        <v>46023.0</v>
      </c>
      <c r="AB224" s="151">
        <v>46387.0</v>
      </c>
      <c r="AC224" s="35" t="s">
        <v>4469</v>
      </c>
      <c r="AD224" s="152"/>
      <c r="AE224" s="35"/>
      <c r="AF224" s="35"/>
      <c r="AG224" s="151"/>
    </row>
    <row r="225" ht="44.25" customHeight="1">
      <c r="A225" s="35">
        <v>224.0</v>
      </c>
      <c r="B225" s="35"/>
      <c r="C225" s="35" t="s">
        <v>351</v>
      </c>
      <c r="D225" s="35" t="s">
        <v>935</v>
      </c>
      <c r="E225" s="35" t="s">
        <v>3008</v>
      </c>
      <c r="F225" s="35" t="s">
        <v>4473</v>
      </c>
      <c r="G225" s="41" t="s">
        <v>4474</v>
      </c>
      <c r="H225" s="35" t="s">
        <v>59</v>
      </c>
      <c r="I225" s="35" t="s">
        <v>61</v>
      </c>
      <c r="J225" s="35" t="s">
        <v>62</v>
      </c>
      <c r="K225" s="35" t="s">
        <v>111</v>
      </c>
      <c r="L225" s="35">
        <v>100.0</v>
      </c>
      <c r="M225" s="35" t="s">
        <v>4476</v>
      </c>
      <c r="N225" s="35" t="s">
        <v>66</v>
      </c>
      <c r="O225" s="35" t="s">
        <v>67</v>
      </c>
      <c r="P225" s="35" t="s">
        <v>4477</v>
      </c>
      <c r="Q225" s="64"/>
      <c r="R225" s="64"/>
      <c r="S225" s="64"/>
      <c r="T225" s="35" t="s">
        <v>955</v>
      </c>
      <c r="U225" s="35">
        <v>5.0</v>
      </c>
      <c r="V225" s="35" t="s">
        <v>61</v>
      </c>
      <c r="W225" s="35" t="s">
        <v>93</v>
      </c>
      <c r="X225" s="35" t="s">
        <v>4479</v>
      </c>
      <c r="Y225" s="35" t="s">
        <v>4481</v>
      </c>
      <c r="Z225" s="35" t="s">
        <v>4482</v>
      </c>
      <c r="AA225" s="46">
        <v>46023.0</v>
      </c>
      <c r="AB225" s="151">
        <v>46387.0</v>
      </c>
      <c r="AC225" s="35" t="s">
        <v>4484</v>
      </c>
      <c r="AD225" s="152"/>
      <c r="AE225" s="35"/>
      <c r="AF225" s="35"/>
      <c r="AG225" s="151"/>
    </row>
    <row r="226" ht="44.25" customHeight="1">
      <c r="A226" s="35">
        <v>225.0</v>
      </c>
      <c r="B226" s="35"/>
      <c r="C226" s="35" t="s">
        <v>351</v>
      </c>
      <c r="D226" s="35" t="s">
        <v>935</v>
      </c>
      <c r="E226" s="35" t="s">
        <v>4485</v>
      </c>
      <c r="F226" s="35" t="s">
        <v>4487</v>
      </c>
      <c r="G226" s="41" t="s">
        <v>4489</v>
      </c>
      <c r="H226" s="35" t="s">
        <v>59</v>
      </c>
      <c r="I226" s="35" t="s">
        <v>61</v>
      </c>
      <c r="J226" s="35" t="s">
        <v>62</v>
      </c>
      <c r="K226" s="35" t="s">
        <v>63</v>
      </c>
      <c r="L226" s="35">
        <v>35.0</v>
      </c>
      <c r="M226" s="35" t="s">
        <v>4492</v>
      </c>
      <c r="N226" s="35" t="s">
        <v>66</v>
      </c>
      <c r="O226" s="35" t="s">
        <v>67</v>
      </c>
      <c r="P226" s="35" t="s">
        <v>955</v>
      </c>
      <c r="Q226" s="64"/>
      <c r="R226" s="64"/>
      <c r="S226" s="64"/>
      <c r="T226" s="35" t="s">
        <v>955</v>
      </c>
      <c r="U226" s="35">
        <v>8.0</v>
      </c>
      <c r="V226" s="35" t="s">
        <v>61</v>
      </c>
      <c r="W226" s="35" t="s">
        <v>74</v>
      </c>
      <c r="X226" s="35" t="s">
        <v>4494</v>
      </c>
      <c r="Y226" s="35" t="s">
        <v>4495</v>
      </c>
      <c r="Z226" s="35" t="s">
        <v>4496</v>
      </c>
      <c r="AA226" s="46">
        <v>46023.0</v>
      </c>
      <c r="AB226" s="151">
        <v>46387.0</v>
      </c>
      <c r="AC226" s="35" t="s">
        <v>4498</v>
      </c>
      <c r="AD226" s="35" t="s">
        <v>638</v>
      </c>
      <c r="AE226" s="35" t="s">
        <v>643</v>
      </c>
      <c r="AF226" s="35" t="s">
        <v>4500</v>
      </c>
      <c r="AG226" s="151"/>
    </row>
    <row r="227" ht="44.25" customHeight="1">
      <c r="A227" s="35">
        <v>226.0</v>
      </c>
      <c r="B227" s="35"/>
      <c r="C227" s="35" t="s">
        <v>351</v>
      </c>
      <c r="D227" s="35" t="s">
        <v>935</v>
      </c>
      <c r="E227" s="35" t="s">
        <v>4503</v>
      </c>
      <c r="F227" s="35" t="s">
        <v>4505</v>
      </c>
      <c r="G227" s="41" t="s">
        <v>4506</v>
      </c>
      <c r="H227" s="35" t="s">
        <v>59</v>
      </c>
      <c r="I227" s="35" t="s">
        <v>61</v>
      </c>
      <c r="J227" s="35" t="s">
        <v>62</v>
      </c>
      <c r="K227" s="35" t="s">
        <v>63</v>
      </c>
      <c r="L227" s="35">
        <v>15.0</v>
      </c>
      <c r="M227" s="35" t="s">
        <v>4507</v>
      </c>
      <c r="N227" s="35" t="s">
        <v>66</v>
      </c>
      <c r="O227" s="35" t="s">
        <v>67</v>
      </c>
      <c r="P227" s="35" t="s">
        <v>4508</v>
      </c>
      <c r="Q227" s="64"/>
      <c r="R227" s="64"/>
      <c r="S227" s="64"/>
      <c r="T227" s="35" t="s">
        <v>955</v>
      </c>
      <c r="U227" s="35">
        <v>0.0</v>
      </c>
      <c r="V227" s="35" t="s">
        <v>61</v>
      </c>
      <c r="W227" s="35" t="s">
        <v>74</v>
      </c>
      <c r="X227" s="35" t="s">
        <v>4512</v>
      </c>
      <c r="Y227" s="35">
        <v>9.98971274E9</v>
      </c>
      <c r="Z227" s="35" t="s">
        <v>4513</v>
      </c>
      <c r="AA227" s="46">
        <v>46023.0</v>
      </c>
      <c r="AB227" s="151">
        <v>46387.0</v>
      </c>
      <c r="AC227" s="35" t="s">
        <v>4514</v>
      </c>
      <c r="AD227" s="152"/>
      <c r="AE227" s="35"/>
      <c r="AF227" s="35"/>
      <c r="AG227" s="151"/>
    </row>
    <row r="228" ht="44.25" customHeight="1">
      <c r="A228" s="35">
        <v>227.0</v>
      </c>
      <c r="B228" s="35"/>
      <c r="C228" s="35" t="s">
        <v>351</v>
      </c>
      <c r="D228" s="35" t="s">
        <v>935</v>
      </c>
      <c r="E228" s="35" t="s">
        <v>3051</v>
      </c>
      <c r="F228" s="35" t="s">
        <v>4516</v>
      </c>
      <c r="G228" s="41" t="s">
        <v>4517</v>
      </c>
      <c r="H228" s="35" t="s">
        <v>59</v>
      </c>
      <c r="I228" s="35" t="s">
        <v>61</v>
      </c>
      <c r="J228" s="35" t="s">
        <v>62</v>
      </c>
      <c r="K228" s="35" t="s">
        <v>111</v>
      </c>
      <c r="L228" s="35">
        <v>27.0</v>
      </c>
      <c r="M228" s="35" t="s">
        <v>4407</v>
      </c>
      <c r="N228" s="35" t="s">
        <v>66</v>
      </c>
      <c r="O228" s="35" t="s">
        <v>67</v>
      </c>
      <c r="P228" s="35" t="s">
        <v>4518</v>
      </c>
      <c r="Q228" s="64"/>
      <c r="R228" s="64"/>
      <c r="S228" s="64"/>
      <c r="T228" s="35" t="s">
        <v>955</v>
      </c>
      <c r="U228" s="35">
        <v>4.0</v>
      </c>
      <c r="V228" s="35" t="s">
        <v>61</v>
      </c>
      <c r="W228" s="35" t="s">
        <v>93</v>
      </c>
      <c r="X228" s="35" t="s">
        <v>4523</v>
      </c>
      <c r="Y228" s="35" t="s">
        <v>4524</v>
      </c>
      <c r="Z228" s="35" t="s">
        <v>4525</v>
      </c>
      <c r="AA228" s="46">
        <v>46023.0</v>
      </c>
      <c r="AB228" s="151">
        <v>46387.0</v>
      </c>
      <c r="AC228" s="35" t="s">
        <v>4526</v>
      </c>
      <c r="AD228" s="152"/>
      <c r="AE228" s="35"/>
      <c r="AF228" s="35"/>
      <c r="AG228" s="151"/>
    </row>
    <row r="229" ht="44.25" customHeight="1">
      <c r="A229" s="35">
        <v>228.0</v>
      </c>
      <c r="B229" s="35"/>
      <c r="C229" s="35" t="s">
        <v>351</v>
      </c>
      <c r="D229" s="35" t="s">
        <v>935</v>
      </c>
      <c r="E229" s="35" t="s">
        <v>3051</v>
      </c>
      <c r="F229" s="35" t="s">
        <v>3053</v>
      </c>
      <c r="G229" s="41" t="s">
        <v>4531</v>
      </c>
      <c r="H229" s="35" t="s">
        <v>59</v>
      </c>
      <c r="I229" s="35" t="s">
        <v>61</v>
      </c>
      <c r="J229" s="35" t="s">
        <v>62</v>
      </c>
      <c r="K229" s="35" t="s">
        <v>111</v>
      </c>
      <c r="L229" s="35">
        <v>50.0</v>
      </c>
      <c r="M229" s="35" t="s">
        <v>4532</v>
      </c>
      <c r="N229" s="35" t="s">
        <v>66</v>
      </c>
      <c r="O229" s="35" t="s">
        <v>67</v>
      </c>
      <c r="P229" s="35" t="s">
        <v>4533</v>
      </c>
      <c r="Q229" s="64"/>
      <c r="R229" s="64"/>
      <c r="S229" s="64"/>
      <c r="T229" s="35" t="s">
        <v>955</v>
      </c>
      <c r="U229" s="35">
        <v>8.0</v>
      </c>
      <c r="V229" s="35" t="s">
        <v>61</v>
      </c>
      <c r="W229" s="35" t="s">
        <v>93</v>
      </c>
      <c r="X229" s="35" t="s">
        <v>4535</v>
      </c>
      <c r="Y229" s="35" t="s">
        <v>4536</v>
      </c>
      <c r="Z229" s="35" t="s">
        <v>4538</v>
      </c>
      <c r="AA229" s="46">
        <v>46023.0</v>
      </c>
      <c r="AB229" s="151">
        <v>46387.0</v>
      </c>
      <c r="AC229" s="35" t="s">
        <v>4540</v>
      </c>
      <c r="AD229" s="152"/>
      <c r="AE229" s="35"/>
      <c r="AF229" s="35"/>
      <c r="AG229" s="151"/>
    </row>
    <row r="230" ht="44.25" customHeight="1">
      <c r="A230" s="35">
        <v>229.0</v>
      </c>
      <c r="B230" s="35"/>
      <c r="C230" s="35" t="s">
        <v>351</v>
      </c>
      <c r="D230" s="35" t="s">
        <v>935</v>
      </c>
      <c r="E230" s="35" t="s">
        <v>3051</v>
      </c>
      <c r="F230" s="35" t="s">
        <v>4542</v>
      </c>
      <c r="G230" s="41" t="s">
        <v>4543</v>
      </c>
      <c r="H230" s="35" t="s">
        <v>59</v>
      </c>
      <c r="I230" s="35" t="s">
        <v>61</v>
      </c>
      <c r="J230" s="35" t="s">
        <v>62</v>
      </c>
      <c r="K230" s="35" t="s">
        <v>111</v>
      </c>
      <c r="L230" s="35">
        <v>60.0</v>
      </c>
      <c r="M230" s="35" t="s">
        <v>4546</v>
      </c>
      <c r="N230" s="35" t="s">
        <v>66</v>
      </c>
      <c r="O230" s="35" t="s">
        <v>67</v>
      </c>
      <c r="P230" s="35" t="s">
        <v>4548</v>
      </c>
      <c r="Q230" s="64"/>
      <c r="R230" s="64"/>
      <c r="S230" s="64"/>
      <c r="T230" s="35" t="s">
        <v>955</v>
      </c>
      <c r="U230" s="35">
        <v>14.0</v>
      </c>
      <c r="V230" s="35" t="s">
        <v>61</v>
      </c>
      <c r="W230" s="35" t="s">
        <v>93</v>
      </c>
      <c r="X230" s="35" t="s">
        <v>4549</v>
      </c>
      <c r="Y230" s="35" t="s">
        <v>4550</v>
      </c>
      <c r="Z230" s="35" t="s">
        <v>4551</v>
      </c>
      <c r="AA230" s="46">
        <v>46023.0</v>
      </c>
      <c r="AB230" s="151">
        <v>46387.0</v>
      </c>
      <c r="AC230" s="35" t="s">
        <v>4552</v>
      </c>
      <c r="AD230" s="152"/>
      <c r="AE230" s="35"/>
      <c r="AF230" s="35"/>
      <c r="AG230" s="151"/>
    </row>
    <row r="231" ht="44.25" customHeight="1">
      <c r="A231" s="35">
        <v>230.0</v>
      </c>
      <c r="B231" s="35"/>
      <c r="C231" s="35" t="s">
        <v>351</v>
      </c>
      <c r="D231" s="35" t="s">
        <v>935</v>
      </c>
      <c r="E231" s="35" t="s">
        <v>3073</v>
      </c>
      <c r="F231" s="35" t="s">
        <v>4554</v>
      </c>
      <c r="G231" s="41" t="s">
        <v>4556</v>
      </c>
      <c r="H231" s="35" t="s">
        <v>59</v>
      </c>
      <c r="I231" s="35" t="s">
        <v>61</v>
      </c>
      <c r="J231" s="35" t="s">
        <v>62</v>
      </c>
      <c r="K231" s="35" t="s">
        <v>63</v>
      </c>
      <c r="L231" s="35">
        <v>35.0</v>
      </c>
      <c r="M231" s="35" t="s">
        <v>4558</v>
      </c>
      <c r="N231" s="35" t="s">
        <v>66</v>
      </c>
      <c r="O231" s="35" t="s">
        <v>67</v>
      </c>
      <c r="P231" s="35" t="s">
        <v>4560</v>
      </c>
      <c r="Q231" s="64"/>
      <c r="R231" s="64"/>
      <c r="S231" s="64"/>
      <c r="T231" s="35" t="s">
        <v>955</v>
      </c>
      <c r="U231" s="35" t="s">
        <v>955</v>
      </c>
      <c r="V231" s="35" t="s">
        <v>61</v>
      </c>
      <c r="W231" s="35" t="s">
        <v>74</v>
      </c>
      <c r="X231" s="35" t="s">
        <v>4561</v>
      </c>
      <c r="Y231" s="35" t="s">
        <v>4562</v>
      </c>
      <c r="Z231" s="35" t="s">
        <v>4564</v>
      </c>
      <c r="AA231" s="46">
        <v>46023.0</v>
      </c>
      <c r="AB231" s="151">
        <v>46387.0</v>
      </c>
      <c r="AC231" s="35" t="s">
        <v>4567</v>
      </c>
      <c r="AD231" s="152"/>
      <c r="AE231" s="35"/>
      <c r="AF231" s="35"/>
      <c r="AG231" s="151"/>
    </row>
    <row r="232" ht="44.25" customHeight="1">
      <c r="A232" s="35">
        <v>231.0</v>
      </c>
      <c r="B232" s="35"/>
      <c r="C232" s="35" t="s">
        <v>351</v>
      </c>
      <c r="D232" s="35" t="s">
        <v>935</v>
      </c>
      <c r="E232" s="35" t="s">
        <v>3073</v>
      </c>
      <c r="F232" s="35" t="s">
        <v>4568</v>
      </c>
      <c r="G232" s="41" t="s">
        <v>4569</v>
      </c>
      <c r="H232" s="35" t="s">
        <v>59</v>
      </c>
      <c r="I232" s="35" t="s">
        <v>61</v>
      </c>
      <c r="J232" s="35" t="s">
        <v>62</v>
      </c>
      <c r="K232" s="35" t="s">
        <v>111</v>
      </c>
      <c r="L232" s="35">
        <v>95.0</v>
      </c>
      <c r="M232" s="35" t="s">
        <v>4570</v>
      </c>
      <c r="N232" s="35" t="s">
        <v>71</v>
      </c>
      <c r="O232" s="35" t="s">
        <v>67</v>
      </c>
      <c r="P232" s="35" t="s">
        <v>4572</v>
      </c>
      <c r="Q232" s="64"/>
      <c r="R232" s="64"/>
      <c r="S232" s="64"/>
      <c r="T232" s="35" t="s">
        <v>4574</v>
      </c>
      <c r="U232" s="35">
        <v>15.0</v>
      </c>
      <c r="V232" s="35" t="s">
        <v>61</v>
      </c>
      <c r="W232" s="35" t="s">
        <v>93</v>
      </c>
      <c r="X232" s="35" t="s">
        <v>4576</v>
      </c>
      <c r="Y232" s="35" t="s">
        <v>4577</v>
      </c>
      <c r="Z232" s="35" t="s">
        <v>4578</v>
      </c>
      <c r="AA232" s="46">
        <v>46023.0</v>
      </c>
      <c r="AB232" s="151">
        <v>46387.0</v>
      </c>
      <c r="AC232" s="35" t="s">
        <v>4579</v>
      </c>
      <c r="AD232" s="152"/>
      <c r="AE232" s="35"/>
      <c r="AF232" s="35"/>
      <c r="AG232" s="151"/>
    </row>
    <row r="233" ht="44.25" customHeight="1">
      <c r="A233" s="35">
        <v>232.0</v>
      </c>
      <c r="B233" s="35"/>
      <c r="C233" s="35" t="s">
        <v>351</v>
      </c>
      <c r="D233" s="35" t="s">
        <v>935</v>
      </c>
      <c r="E233" s="35" t="s">
        <v>3073</v>
      </c>
      <c r="F233" s="35" t="s">
        <v>4583</v>
      </c>
      <c r="G233" s="41" t="s">
        <v>4584</v>
      </c>
      <c r="H233" s="35" t="s">
        <v>59</v>
      </c>
      <c r="I233" s="35" t="s">
        <v>61</v>
      </c>
      <c r="J233" s="35" t="s">
        <v>62</v>
      </c>
      <c r="K233" s="35" t="s">
        <v>68</v>
      </c>
      <c r="L233" s="35">
        <v>210.0</v>
      </c>
      <c r="M233" s="35" t="s">
        <v>4585</v>
      </c>
      <c r="N233" s="35" t="s">
        <v>71</v>
      </c>
      <c r="O233" s="35" t="s">
        <v>72</v>
      </c>
      <c r="P233" s="35" t="s">
        <v>1180</v>
      </c>
      <c r="Q233" s="64"/>
      <c r="R233" s="64"/>
      <c r="S233" s="64"/>
      <c r="T233" s="35"/>
      <c r="U233" s="35">
        <v>28.0</v>
      </c>
      <c r="V233" s="35" t="s">
        <v>533</v>
      </c>
      <c r="W233" s="35" t="s">
        <v>93</v>
      </c>
      <c r="X233" s="35" t="s">
        <v>4587</v>
      </c>
      <c r="Y233" s="35" t="s">
        <v>4588</v>
      </c>
      <c r="Z233" s="35" t="s">
        <v>4589</v>
      </c>
      <c r="AA233" s="46">
        <v>46023.0</v>
      </c>
      <c r="AB233" s="151">
        <v>46387.0</v>
      </c>
      <c r="AC233" s="35" t="s">
        <v>4590</v>
      </c>
      <c r="AD233" s="35" t="s">
        <v>79</v>
      </c>
      <c r="AE233" s="35"/>
      <c r="AF233" s="35" t="s">
        <v>4593</v>
      </c>
      <c r="AG233" s="151"/>
    </row>
    <row r="234" ht="44.25" customHeight="1">
      <c r="A234" s="35">
        <v>233.0</v>
      </c>
      <c r="B234" s="35"/>
      <c r="C234" s="35" t="s">
        <v>351</v>
      </c>
      <c r="D234" s="35" t="s">
        <v>935</v>
      </c>
      <c r="E234" s="35" t="s">
        <v>3073</v>
      </c>
      <c r="F234" s="35" t="s">
        <v>4595</v>
      </c>
      <c r="G234" s="41" t="s">
        <v>4596</v>
      </c>
      <c r="H234" s="35" t="s">
        <v>59</v>
      </c>
      <c r="I234" s="35" t="s">
        <v>61</v>
      </c>
      <c r="J234" s="35" t="s">
        <v>62</v>
      </c>
      <c r="K234" s="35" t="s">
        <v>111</v>
      </c>
      <c r="L234" s="35">
        <v>48.0</v>
      </c>
      <c r="M234" s="35" t="s">
        <v>4598</v>
      </c>
      <c r="N234" s="35" t="s">
        <v>66</v>
      </c>
      <c r="O234" s="35" t="s">
        <v>67</v>
      </c>
      <c r="P234" s="35" t="s">
        <v>4600</v>
      </c>
      <c r="Q234" s="64"/>
      <c r="R234" s="64"/>
      <c r="S234" s="64"/>
      <c r="T234" s="35" t="s">
        <v>4603</v>
      </c>
      <c r="U234" s="35">
        <v>8.0</v>
      </c>
      <c r="V234" s="35" t="s">
        <v>61</v>
      </c>
      <c r="W234" s="35" t="s">
        <v>93</v>
      </c>
      <c r="X234" s="35" t="s">
        <v>4604</v>
      </c>
      <c r="Y234" s="35" t="s">
        <v>4605</v>
      </c>
      <c r="Z234" s="35" t="s">
        <v>4606</v>
      </c>
      <c r="AA234" s="46">
        <v>46023.0</v>
      </c>
      <c r="AB234" s="151">
        <v>46387.0</v>
      </c>
      <c r="AC234" s="35" t="s">
        <v>4608</v>
      </c>
      <c r="AD234" s="152"/>
      <c r="AE234" s="35"/>
      <c r="AF234" s="35"/>
      <c r="AG234" s="151"/>
    </row>
    <row r="235" ht="44.25" customHeight="1">
      <c r="A235" s="35">
        <v>234.0</v>
      </c>
      <c r="B235" s="35"/>
      <c r="C235" s="35" t="s">
        <v>351</v>
      </c>
      <c r="D235" s="35" t="s">
        <v>935</v>
      </c>
      <c r="E235" s="35" t="s">
        <v>3073</v>
      </c>
      <c r="F235" s="35" t="s">
        <v>4610</v>
      </c>
      <c r="G235" s="41" t="s">
        <v>4611</v>
      </c>
      <c r="H235" s="35" t="s">
        <v>59</v>
      </c>
      <c r="I235" s="35" t="s">
        <v>61</v>
      </c>
      <c r="J235" s="35" t="s">
        <v>62</v>
      </c>
      <c r="K235" s="35" t="s">
        <v>111</v>
      </c>
      <c r="L235" s="35">
        <v>70.0</v>
      </c>
      <c r="M235" s="35" t="s">
        <v>4613</v>
      </c>
      <c r="N235" s="35" t="s">
        <v>71</v>
      </c>
      <c r="O235" s="35" t="s">
        <v>67</v>
      </c>
      <c r="P235" s="35" t="s">
        <v>4616</v>
      </c>
      <c r="Q235" s="64"/>
      <c r="R235" s="64"/>
      <c r="S235" s="64"/>
      <c r="T235" s="35" t="s">
        <v>955</v>
      </c>
      <c r="U235" s="35">
        <v>16.0</v>
      </c>
      <c r="V235" s="35" t="s">
        <v>61</v>
      </c>
      <c r="W235" s="35" t="s">
        <v>93</v>
      </c>
      <c r="X235" s="35" t="s">
        <v>4617</v>
      </c>
      <c r="Y235" s="35" t="s">
        <v>4619</v>
      </c>
      <c r="Z235" s="35" t="s">
        <v>4621</v>
      </c>
      <c r="AA235" s="46">
        <v>46023.0</v>
      </c>
      <c r="AB235" s="151">
        <v>46387.0</v>
      </c>
      <c r="AC235" s="35" t="s">
        <v>4623</v>
      </c>
      <c r="AD235" s="152"/>
      <c r="AE235" s="35"/>
      <c r="AF235" s="35"/>
      <c r="AG235" s="151"/>
    </row>
    <row r="236" ht="44.25" customHeight="1">
      <c r="A236" s="35">
        <v>235.0</v>
      </c>
      <c r="B236" s="35">
        <v>3888.0</v>
      </c>
      <c r="C236" s="35" t="s">
        <v>351</v>
      </c>
      <c r="D236" s="35" t="s">
        <v>935</v>
      </c>
      <c r="E236" s="35" t="s">
        <v>3073</v>
      </c>
      <c r="F236" s="35" t="s">
        <v>4625</v>
      </c>
      <c r="G236" s="41" t="s">
        <v>4626</v>
      </c>
      <c r="H236" s="35" t="s">
        <v>59</v>
      </c>
      <c r="I236" s="35" t="s">
        <v>61</v>
      </c>
      <c r="J236" s="35" t="s">
        <v>62</v>
      </c>
      <c r="K236" s="35" t="s">
        <v>111</v>
      </c>
      <c r="L236" s="35">
        <v>17.0</v>
      </c>
      <c r="M236" s="35" t="s">
        <v>4630</v>
      </c>
      <c r="N236" s="35" t="s">
        <v>66</v>
      </c>
      <c r="O236" s="35" t="s">
        <v>67</v>
      </c>
      <c r="P236" s="35" t="s">
        <v>4633</v>
      </c>
      <c r="Q236" s="64"/>
      <c r="R236" s="64"/>
      <c r="S236" s="64"/>
      <c r="T236" s="35" t="s">
        <v>955</v>
      </c>
      <c r="U236" s="35">
        <v>10.0</v>
      </c>
      <c r="V236" s="35" t="s">
        <v>61</v>
      </c>
      <c r="W236" s="35" t="s">
        <v>93</v>
      </c>
      <c r="X236" s="35" t="s">
        <v>4636</v>
      </c>
      <c r="Y236" s="35" t="s">
        <v>4637</v>
      </c>
      <c r="Z236" s="35" t="s">
        <v>4638</v>
      </c>
      <c r="AA236" s="46">
        <v>46023.0</v>
      </c>
      <c r="AB236" s="151">
        <v>46387.0</v>
      </c>
      <c r="AC236" s="35" t="s">
        <v>4639</v>
      </c>
      <c r="AD236" s="152"/>
      <c r="AE236" s="35"/>
      <c r="AF236" s="35"/>
      <c r="AG236" s="151"/>
    </row>
    <row r="237" ht="44.25" customHeight="1">
      <c r="A237" s="35">
        <v>236.0</v>
      </c>
      <c r="B237" s="35"/>
      <c r="C237" s="35" t="s">
        <v>351</v>
      </c>
      <c r="D237" s="35" t="s">
        <v>935</v>
      </c>
      <c r="E237" s="35" t="s">
        <v>3073</v>
      </c>
      <c r="F237" s="35" t="s">
        <v>4642</v>
      </c>
      <c r="G237" s="41" t="s">
        <v>4644</v>
      </c>
      <c r="H237" s="35" t="s">
        <v>59</v>
      </c>
      <c r="I237" s="35" t="s">
        <v>61</v>
      </c>
      <c r="J237" s="35" t="s">
        <v>62</v>
      </c>
      <c r="K237" s="35" t="s">
        <v>111</v>
      </c>
      <c r="L237" s="35">
        <v>60.0</v>
      </c>
      <c r="M237" s="35" t="s">
        <v>4645</v>
      </c>
      <c r="N237" s="35" t="s">
        <v>66</v>
      </c>
      <c r="O237" s="35" t="s">
        <v>67</v>
      </c>
      <c r="P237" s="35" t="s">
        <v>4646</v>
      </c>
      <c r="Q237" s="64"/>
      <c r="R237" s="64"/>
      <c r="S237" s="64"/>
      <c r="T237" s="35" t="s">
        <v>955</v>
      </c>
      <c r="U237" s="35">
        <v>5.0</v>
      </c>
      <c r="V237" s="35" t="s">
        <v>61</v>
      </c>
      <c r="W237" s="35" t="s">
        <v>93</v>
      </c>
      <c r="X237" s="35" t="s">
        <v>4648</v>
      </c>
      <c r="Y237" s="35" t="s">
        <v>4650</v>
      </c>
      <c r="Z237" s="35" t="s">
        <v>4651</v>
      </c>
      <c r="AA237" s="46">
        <v>46023.0</v>
      </c>
      <c r="AB237" s="151">
        <v>46387.0</v>
      </c>
      <c r="AC237" s="35" t="s">
        <v>4652</v>
      </c>
      <c r="AD237" s="152"/>
      <c r="AE237" s="35"/>
      <c r="AF237" s="35"/>
      <c r="AG237" s="151"/>
    </row>
    <row r="238" ht="44.25" customHeight="1">
      <c r="A238" s="35">
        <v>237.0</v>
      </c>
      <c r="B238" s="35"/>
      <c r="C238" s="35" t="s">
        <v>351</v>
      </c>
      <c r="D238" s="35" t="s">
        <v>935</v>
      </c>
      <c r="E238" s="35" t="s">
        <v>4654</v>
      </c>
      <c r="F238" s="35" t="s">
        <v>4656</v>
      </c>
      <c r="G238" s="41" t="s">
        <v>4659</v>
      </c>
      <c r="H238" s="35" t="s">
        <v>59</v>
      </c>
      <c r="I238" s="35" t="s">
        <v>61</v>
      </c>
      <c r="J238" s="35" t="s">
        <v>62</v>
      </c>
      <c r="K238" s="35" t="s">
        <v>63</v>
      </c>
      <c r="L238" s="35">
        <v>17.0</v>
      </c>
      <c r="M238" s="35" t="s">
        <v>4492</v>
      </c>
      <c r="N238" s="35" t="s">
        <v>66</v>
      </c>
      <c r="O238" s="35" t="s">
        <v>67</v>
      </c>
      <c r="P238" s="35" t="s">
        <v>4661</v>
      </c>
      <c r="Q238" s="64"/>
      <c r="R238" s="64"/>
      <c r="S238" s="64"/>
      <c r="T238" s="35" t="s">
        <v>955</v>
      </c>
      <c r="U238" s="35" t="s">
        <v>955</v>
      </c>
      <c r="V238" s="35" t="s">
        <v>61</v>
      </c>
      <c r="W238" s="35" t="s">
        <v>74</v>
      </c>
      <c r="X238" s="35" t="s">
        <v>4665</v>
      </c>
      <c r="Y238" s="35" t="s">
        <v>4666</v>
      </c>
      <c r="Z238" s="35" t="s">
        <v>4667</v>
      </c>
      <c r="AA238" s="46">
        <v>46023.0</v>
      </c>
      <c r="AB238" s="151">
        <v>46387.0</v>
      </c>
      <c r="AC238" s="35" t="s">
        <v>4669</v>
      </c>
      <c r="AD238" s="152"/>
      <c r="AE238" s="35"/>
      <c r="AF238" s="35"/>
      <c r="AG238" s="151"/>
    </row>
    <row r="239" ht="44.25" customHeight="1">
      <c r="A239" s="35">
        <v>238.0</v>
      </c>
      <c r="B239" s="35"/>
      <c r="C239" s="35" t="s">
        <v>351</v>
      </c>
      <c r="D239" s="35" t="s">
        <v>935</v>
      </c>
      <c r="E239" s="35" t="s">
        <v>3137</v>
      </c>
      <c r="F239" s="35" t="s">
        <v>4672</v>
      </c>
      <c r="G239" s="41" t="s">
        <v>4673</v>
      </c>
      <c r="H239" s="35" t="s">
        <v>59</v>
      </c>
      <c r="I239" s="35" t="s">
        <v>61</v>
      </c>
      <c r="J239" s="35" t="s">
        <v>62</v>
      </c>
      <c r="K239" s="35" t="s">
        <v>63</v>
      </c>
      <c r="L239" s="35">
        <v>25.0</v>
      </c>
      <c r="M239" s="35" t="s">
        <v>4492</v>
      </c>
      <c r="N239" s="35" t="s">
        <v>66</v>
      </c>
      <c r="O239" s="35" t="s">
        <v>67</v>
      </c>
      <c r="P239" s="35" t="s">
        <v>4677</v>
      </c>
      <c r="Q239" s="64"/>
      <c r="R239" s="64"/>
      <c r="S239" s="64"/>
      <c r="T239" s="35" t="s">
        <v>955</v>
      </c>
      <c r="U239" s="35" t="s">
        <v>955</v>
      </c>
      <c r="V239" s="35" t="s">
        <v>61</v>
      </c>
      <c r="W239" s="35" t="s">
        <v>74</v>
      </c>
      <c r="X239" s="35" t="s">
        <v>4678</v>
      </c>
      <c r="Y239" s="35" t="s">
        <v>4679</v>
      </c>
      <c r="Z239" s="35" t="s">
        <v>4681</v>
      </c>
      <c r="AA239" s="46">
        <v>46023.0</v>
      </c>
      <c r="AB239" s="151">
        <v>46387.0</v>
      </c>
      <c r="AC239" s="35" t="s">
        <v>4684</v>
      </c>
      <c r="AD239" s="152"/>
      <c r="AE239" s="35"/>
      <c r="AF239" s="35"/>
      <c r="AG239" s="151"/>
    </row>
    <row r="240" ht="44.25" customHeight="1">
      <c r="A240" s="35">
        <v>239.0</v>
      </c>
      <c r="B240" s="35"/>
      <c r="C240" s="35" t="s">
        <v>351</v>
      </c>
      <c r="D240" s="35" t="s">
        <v>935</v>
      </c>
      <c r="E240" s="35" t="s">
        <v>728</v>
      </c>
      <c r="F240" s="35" t="s">
        <v>4686</v>
      </c>
      <c r="G240" s="41" t="s">
        <v>4687</v>
      </c>
      <c r="H240" s="35" t="s">
        <v>59</v>
      </c>
      <c r="I240" s="35" t="s">
        <v>61</v>
      </c>
      <c r="J240" s="35" t="s">
        <v>62</v>
      </c>
      <c r="K240" s="35" t="s">
        <v>63</v>
      </c>
      <c r="L240" s="35">
        <v>63.0</v>
      </c>
      <c r="M240" s="35" t="s">
        <v>4689</v>
      </c>
      <c r="N240" s="35" t="s">
        <v>66</v>
      </c>
      <c r="O240" s="35" t="s">
        <v>67</v>
      </c>
      <c r="P240" s="35" t="s">
        <v>4690</v>
      </c>
      <c r="Q240" s="64"/>
      <c r="R240" s="64"/>
      <c r="S240" s="64"/>
      <c r="T240" s="35" t="s">
        <v>955</v>
      </c>
      <c r="U240" s="35">
        <v>12.0</v>
      </c>
      <c r="V240" s="35" t="s">
        <v>61</v>
      </c>
      <c r="W240" s="35" t="s">
        <v>74</v>
      </c>
      <c r="X240" s="35" t="s">
        <v>4694</v>
      </c>
      <c r="Y240" s="35" t="s">
        <v>4695</v>
      </c>
      <c r="Z240" s="35" t="s">
        <v>4697</v>
      </c>
      <c r="AA240" s="46">
        <v>46023.0</v>
      </c>
      <c r="AB240" s="151">
        <v>46387.0</v>
      </c>
      <c r="AC240" s="35" t="s">
        <v>4698</v>
      </c>
      <c r="AD240" s="35" t="s">
        <v>638</v>
      </c>
      <c r="AE240" s="35" t="s">
        <v>643</v>
      </c>
      <c r="AF240" s="35" t="s">
        <v>4700</v>
      </c>
      <c r="AG240" s="151"/>
    </row>
    <row r="241" ht="44.25" customHeight="1">
      <c r="A241" s="35">
        <v>240.0</v>
      </c>
      <c r="B241" s="35"/>
      <c r="C241" s="35" t="s">
        <v>351</v>
      </c>
      <c r="D241" s="35" t="s">
        <v>935</v>
      </c>
      <c r="E241" s="35" t="s">
        <v>728</v>
      </c>
      <c r="F241" s="35" t="s">
        <v>4703</v>
      </c>
      <c r="G241" s="41" t="s">
        <v>4704</v>
      </c>
      <c r="H241" s="35" t="s">
        <v>59</v>
      </c>
      <c r="I241" s="35" t="s">
        <v>61</v>
      </c>
      <c r="J241" s="35" t="s">
        <v>62</v>
      </c>
      <c r="K241" s="35" t="s">
        <v>63</v>
      </c>
      <c r="L241" s="35">
        <v>25.0</v>
      </c>
      <c r="M241" s="35" t="s">
        <v>4705</v>
      </c>
      <c r="N241" s="35" t="s">
        <v>66</v>
      </c>
      <c r="O241" s="35" t="s">
        <v>67</v>
      </c>
      <c r="P241" s="35" t="s">
        <v>955</v>
      </c>
      <c r="Q241" s="64"/>
      <c r="R241" s="64"/>
      <c r="S241" s="64"/>
      <c r="T241" s="35" t="s">
        <v>955</v>
      </c>
      <c r="U241" s="35" t="s">
        <v>955</v>
      </c>
      <c r="V241" s="35" t="s">
        <v>61</v>
      </c>
      <c r="W241" s="35" t="s">
        <v>74</v>
      </c>
      <c r="X241" s="35" t="s">
        <v>4707</v>
      </c>
      <c r="Y241" s="35" t="s">
        <v>4708</v>
      </c>
      <c r="Z241" s="35" t="s">
        <v>4710</v>
      </c>
      <c r="AA241" s="46">
        <v>46023.0</v>
      </c>
      <c r="AB241" s="151">
        <v>46387.0</v>
      </c>
      <c r="AC241" s="35" t="s">
        <v>4712</v>
      </c>
      <c r="AD241" s="152"/>
      <c r="AE241" s="35"/>
      <c r="AF241" s="35"/>
      <c r="AG241" s="151"/>
    </row>
    <row r="242" ht="44.25" customHeight="1">
      <c r="A242" s="35">
        <v>241.0</v>
      </c>
      <c r="B242" s="35"/>
      <c r="C242" s="35" t="s">
        <v>351</v>
      </c>
      <c r="D242" s="35" t="s">
        <v>935</v>
      </c>
      <c r="E242" s="35" t="s">
        <v>728</v>
      </c>
      <c r="F242" s="35" t="s">
        <v>4715</v>
      </c>
      <c r="G242" s="41" t="s">
        <v>4716</v>
      </c>
      <c r="H242" s="35" t="s">
        <v>59</v>
      </c>
      <c r="I242" s="35" t="s">
        <v>61</v>
      </c>
      <c r="J242" s="35" t="s">
        <v>62</v>
      </c>
      <c r="K242" s="35" t="s">
        <v>63</v>
      </c>
      <c r="L242" s="35">
        <v>30.0</v>
      </c>
      <c r="M242" s="35" t="s">
        <v>4718</v>
      </c>
      <c r="N242" s="35" t="s">
        <v>66</v>
      </c>
      <c r="O242" s="35" t="s">
        <v>67</v>
      </c>
      <c r="P242" s="35" t="s">
        <v>4721</v>
      </c>
      <c r="Q242" s="64"/>
      <c r="R242" s="64"/>
      <c r="S242" s="64"/>
      <c r="T242" s="35" t="s">
        <v>955</v>
      </c>
      <c r="U242" s="35" t="s">
        <v>955</v>
      </c>
      <c r="V242" s="35" t="s">
        <v>61</v>
      </c>
      <c r="W242" s="35" t="s">
        <v>74</v>
      </c>
      <c r="X242" s="35" t="s">
        <v>4723</v>
      </c>
      <c r="Y242" s="35">
        <v>9.206363344E9</v>
      </c>
      <c r="Z242" s="35" t="s">
        <v>4724</v>
      </c>
      <c r="AA242" s="46">
        <v>46023.0</v>
      </c>
      <c r="AB242" s="161">
        <v>46387.0</v>
      </c>
      <c r="AC242" s="152"/>
      <c r="AD242" s="152"/>
      <c r="AE242" s="35"/>
      <c r="AF242" s="35"/>
      <c r="AG242" s="161"/>
    </row>
    <row r="243" ht="44.25" customHeight="1">
      <c r="A243" s="35">
        <v>242.0</v>
      </c>
      <c r="B243" s="35"/>
      <c r="C243" s="35" t="s">
        <v>351</v>
      </c>
      <c r="D243" s="35" t="s">
        <v>935</v>
      </c>
      <c r="E243" s="35" t="s">
        <v>728</v>
      </c>
      <c r="F243" s="35" t="s">
        <v>4731</v>
      </c>
      <c r="G243" s="41" t="s">
        <v>4732</v>
      </c>
      <c r="H243" s="35" t="s">
        <v>59</v>
      </c>
      <c r="I243" s="35" t="s">
        <v>61</v>
      </c>
      <c r="J243" s="35" t="s">
        <v>62</v>
      </c>
      <c r="K243" s="35" t="s">
        <v>63</v>
      </c>
      <c r="L243" s="35">
        <v>24.0</v>
      </c>
      <c r="M243" s="35" t="s">
        <v>4734</v>
      </c>
      <c r="N243" s="35" t="s">
        <v>66</v>
      </c>
      <c r="O243" s="35" t="s">
        <v>67</v>
      </c>
      <c r="P243" s="35" t="s">
        <v>955</v>
      </c>
      <c r="Q243" s="64"/>
      <c r="R243" s="64"/>
      <c r="S243" s="64"/>
      <c r="T243" s="35" t="s">
        <v>955</v>
      </c>
      <c r="U243" s="35" t="s">
        <v>955</v>
      </c>
      <c r="V243" s="35" t="s">
        <v>61</v>
      </c>
      <c r="W243" s="35" t="s">
        <v>74</v>
      </c>
      <c r="X243" s="35" t="s">
        <v>4737</v>
      </c>
      <c r="Y243" s="35" t="s">
        <v>4738</v>
      </c>
      <c r="Z243" s="35" t="s">
        <v>4739</v>
      </c>
      <c r="AA243" s="46">
        <v>46023.0</v>
      </c>
      <c r="AB243" s="151">
        <v>46387.0</v>
      </c>
      <c r="AC243" s="35" t="s">
        <v>4740</v>
      </c>
      <c r="AD243" s="152"/>
      <c r="AE243" s="35"/>
      <c r="AF243" s="35"/>
      <c r="AG243" s="151"/>
    </row>
    <row r="244" ht="44.25" customHeight="1">
      <c r="A244" s="35">
        <v>243.0</v>
      </c>
      <c r="B244" s="35"/>
      <c r="C244" s="35" t="s">
        <v>351</v>
      </c>
      <c r="D244" s="35" t="s">
        <v>935</v>
      </c>
      <c r="E244" s="35" t="s">
        <v>728</v>
      </c>
      <c r="F244" s="35" t="s">
        <v>4742</v>
      </c>
      <c r="G244" s="41" t="s">
        <v>4743</v>
      </c>
      <c r="H244" s="35" t="s">
        <v>59</v>
      </c>
      <c r="I244" s="35" t="s">
        <v>61</v>
      </c>
      <c r="J244" s="35" t="s">
        <v>62</v>
      </c>
      <c r="K244" s="35" t="s">
        <v>63</v>
      </c>
      <c r="L244" s="35">
        <v>12.0</v>
      </c>
      <c r="M244" s="35" t="s">
        <v>1074</v>
      </c>
      <c r="N244" s="35" t="s">
        <v>66</v>
      </c>
      <c r="O244" s="35" t="s">
        <v>67</v>
      </c>
      <c r="P244" s="35" t="s">
        <v>955</v>
      </c>
      <c r="Q244" s="64"/>
      <c r="R244" s="64"/>
      <c r="S244" s="64"/>
      <c r="T244" s="35" t="s">
        <v>955</v>
      </c>
      <c r="U244" s="35" t="s">
        <v>955</v>
      </c>
      <c r="V244" s="35" t="s">
        <v>61</v>
      </c>
      <c r="W244" s="35" t="s">
        <v>74</v>
      </c>
      <c r="X244" s="35" t="s">
        <v>4748</v>
      </c>
      <c r="Y244" s="35" t="s">
        <v>4749</v>
      </c>
      <c r="Z244" s="35" t="s">
        <v>4750</v>
      </c>
      <c r="AA244" s="46">
        <v>46023.0</v>
      </c>
      <c r="AB244" s="151">
        <v>46387.0</v>
      </c>
      <c r="AC244" s="35" t="s">
        <v>4751</v>
      </c>
      <c r="AD244" s="152"/>
      <c r="AE244" s="35"/>
      <c r="AF244" s="35"/>
      <c r="AG244" s="151"/>
    </row>
    <row r="245" ht="44.25" customHeight="1">
      <c r="A245" s="35">
        <v>244.0</v>
      </c>
      <c r="B245" s="35"/>
      <c r="C245" s="35" t="s">
        <v>351</v>
      </c>
      <c r="D245" s="35" t="s">
        <v>935</v>
      </c>
      <c r="E245" s="35" t="s">
        <v>4027</v>
      </c>
      <c r="F245" s="35" t="s">
        <v>4755</v>
      </c>
      <c r="G245" s="41" t="s">
        <v>4756</v>
      </c>
      <c r="H245" s="35" t="s">
        <v>59</v>
      </c>
      <c r="I245" s="35" t="s">
        <v>61</v>
      </c>
      <c r="J245" s="35" t="s">
        <v>62</v>
      </c>
      <c r="K245" s="35" t="s">
        <v>111</v>
      </c>
      <c r="L245" s="35">
        <v>50.0</v>
      </c>
      <c r="M245" s="35" t="s">
        <v>4407</v>
      </c>
      <c r="N245" s="35" t="s">
        <v>66</v>
      </c>
      <c r="O245" s="35" t="s">
        <v>67</v>
      </c>
      <c r="P245" s="35" t="s">
        <v>4757</v>
      </c>
      <c r="Q245" s="64"/>
      <c r="R245" s="64"/>
      <c r="S245" s="64"/>
      <c r="T245" s="35" t="s">
        <v>955</v>
      </c>
      <c r="U245" s="35">
        <v>5.0</v>
      </c>
      <c r="V245" s="35" t="s">
        <v>61</v>
      </c>
      <c r="W245" s="35" t="s">
        <v>93</v>
      </c>
      <c r="X245" s="35" t="s">
        <v>4759</v>
      </c>
      <c r="Y245" s="35" t="s">
        <v>4761</v>
      </c>
      <c r="Z245" s="35" t="s">
        <v>4762</v>
      </c>
      <c r="AA245" s="46">
        <v>46023.0</v>
      </c>
      <c r="AB245" s="151">
        <v>46387.0</v>
      </c>
      <c r="AC245" s="35" t="s">
        <v>4763</v>
      </c>
      <c r="AD245" s="35" t="s">
        <v>638</v>
      </c>
      <c r="AE245" s="35"/>
      <c r="AF245" s="35" t="s">
        <v>4764</v>
      </c>
      <c r="AG245" s="151"/>
    </row>
    <row r="246" ht="44.25" customHeight="1">
      <c r="A246" s="35">
        <v>245.0</v>
      </c>
      <c r="B246" s="35"/>
      <c r="C246" s="35" t="s">
        <v>351</v>
      </c>
      <c r="D246" s="35" t="s">
        <v>935</v>
      </c>
      <c r="E246" s="35" t="s">
        <v>3177</v>
      </c>
      <c r="F246" s="35" t="s">
        <v>4769</v>
      </c>
      <c r="G246" s="41" t="s">
        <v>4770</v>
      </c>
      <c r="H246" s="35" t="s">
        <v>59</v>
      </c>
      <c r="I246" s="35" t="s">
        <v>61</v>
      </c>
      <c r="J246" s="35" t="s">
        <v>62</v>
      </c>
      <c r="K246" s="35" t="s">
        <v>63</v>
      </c>
      <c r="L246" s="35">
        <v>12.0</v>
      </c>
      <c r="M246" s="35" t="s">
        <v>4492</v>
      </c>
      <c r="N246" s="35" t="s">
        <v>66</v>
      </c>
      <c r="O246" s="35" t="s">
        <v>67</v>
      </c>
      <c r="P246" s="35" t="s">
        <v>955</v>
      </c>
      <c r="Q246" s="64"/>
      <c r="R246" s="64"/>
      <c r="S246" s="64"/>
      <c r="T246" s="35" t="s">
        <v>955</v>
      </c>
      <c r="U246" s="35" t="s">
        <v>955</v>
      </c>
      <c r="V246" s="35" t="s">
        <v>61</v>
      </c>
      <c r="W246" s="35" t="s">
        <v>74</v>
      </c>
      <c r="X246" s="35" t="s">
        <v>4774</v>
      </c>
      <c r="Y246" s="35" t="s">
        <v>4775</v>
      </c>
      <c r="Z246" s="35" t="s">
        <v>4776</v>
      </c>
      <c r="AA246" s="46">
        <v>46023.0</v>
      </c>
      <c r="AB246" s="151">
        <v>46387.0</v>
      </c>
      <c r="AC246" s="35" t="s">
        <v>4777</v>
      </c>
      <c r="AD246" s="152"/>
      <c r="AE246" s="35"/>
      <c r="AF246" s="35"/>
      <c r="AG246" s="151"/>
    </row>
    <row r="247" ht="44.25" customHeight="1">
      <c r="A247" s="35">
        <v>246.0</v>
      </c>
      <c r="B247" s="35"/>
      <c r="C247" s="35" t="s">
        <v>351</v>
      </c>
      <c r="D247" s="35" t="s">
        <v>935</v>
      </c>
      <c r="E247" s="35" t="s">
        <v>4778</v>
      </c>
      <c r="F247" s="35" t="s">
        <v>4779</v>
      </c>
      <c r="G247" s="41" t="s">
        <v>4780</v>
      </c>
      <c r="H247" s="35" t="s">
        <v>59</v>
      </c>
      <c r="I247" s="35" t="s">
        <v>61</v>
      </c>
      <c r="J247" s="35" t="s">
        <v>62</v>
      </c>
      <c r="K247" s="35" t="s">
        <v>63</v>
      </c>
      <c r="L247" s="35">
        <v>28.0</v>
      </c>
      <c r="M247" s="35" t="s">
        <v>4492</v>
      </c>
      <c r="N247" s="35" t="s">
        <v>66</v>
      </c>
      <c r="O247" s="35" t="s">
        <v>67</v>
      </c>
      <c r="P247" s="35" t="s">
        <v>955</v>
      </c>
      <c r="Q247" s="64"/>
      <c r="R247" s="64"/>
      <c r="S247" s="64"/>
      <c r="T247" s="35" t="s">
        <v>955</v>
      </c>
      <c r="U247" s="35" t="s">
        <v>955</v>
      </c>
      <c r="V247" s="35" t="s">
        <v>61</v>
      </c>
      <c r="W247" s="35" t="s">
        <v>74</v>
      </c>
      <c r="X247" s="35" t="s">
        <v>4783</v>
      </c>
      <c r="Y247" s="35" t="s">
        <v>4785</v>
      </c>
      <c r="Z247" s="35" t="s">
        <v>4786</v>
      </c>
      <c r="AA247" s="46">
        <v>46023.0</v>
      </c>
      <c r="AB247" s="151">
        <v>46387.0</v>
      </c>
      <c r="AC247" s="35" t="s">
        <v>4789</v>
      </c>
      <c r="AD247" s="152"/>
      <c r="AE247" s="35"/>
      <c r="AF247" s="35"/>
      <c r="AG247" s="151"/>
    </row>
    <row r="248" ht="44.25" customHeight="1">
      <c r="A248" s="35">
        <v>247.0</v>
      </c>
      <c r="B248" s="35"/>
      <c r="C248" s="35" t="s">
        <v>351</v>
      </c>
      <c r="D248" s="35" t="s">
        <v>935</v>
      </c>
      <c r="E248" s="35" t="s">
        <v>4791</v>
      </c>
      <c r="F248" s="35" t="s">
        <v>4792</v>
      </c>
      <c r="G248" s="41" t="s">
        <v>4793</v>
      </c>
      <c r="H248" s="35" t="s">
        <v>59</v>
      </c>
      <c r="I248" s="35" t="s">
        <v>61</v>
      </c>
      <c r="J248" s="35" t="s">
        <v>62</v>
      </c>
      <c r="K248" s="35" t="s">
        <v>63</v>
      </c>
      <c r="L248" s="35">
        <v>50.0</v>
      </c>
      <c r="M248" s="35" t="s">
        <v>4797</v>
      </c>
      <c r="N248" s="35" t="s">
        <v>66</v>
      </c>
      <c r="O248" s="35" t="s">
        <v>67</v>
      </c>
      <c r="P248" s="35" t="s">
        <v>4799</v>
      </c>
      <c r="Q248" s="64"/>
      <c r="R248" s="64"/>
      <c r="S248" s="64"/>
      <c r="T248" s="35" t="s">
        <v>955</v>
      </c>
      <c r="U248" s="35">
        <v>15.0</v>
      </c>
      <c r="V248" s="35" t="s">
        <v>61</v>
      </c>
      <c r="W248" s="35" t="s">
        <v>74</v>
      </c>
      <c r="X248" s="35" t="s">
        <v>4366</v>
      </c>
      <c r="Y248" s="35" t="s">
        <v>4801</v>
      </c>
      <c r="Z248" s="35" t="s">
        <v>4802</v>
      </c>
      <c r="AA248" s="46">
        <v>46023.0</v>
      </c>
      <c r="AB248" s="151">
        <v>46387.0</v>
      </c>
      <c r="AC248" s="35" t="s">
        <v>4804</v>
      </c>
      <c r="AD248" s="35" t="s">
        <v>638</v>
      </c>
      <c r="AE248" s="35" t="s">
        <v>643</v>
      </c>
      <c r="AF248" s="35" t="s">
        <v>4805</v>
      </c>
      <c r="AG248" s="151"/>
    </row>
    <row r="249" ht="44.25" customHeight="1">
      <c r="A249" s="35">
        <v>248.0</v>
      </c>
      <c r="B249" s="35"/>
      <c r="C249" s="35" t="s">
        <v>351</v>
      </c>
      <c r="D249" s="35" t="s">
        <v>935</v>
      </c>
      <c r="E249" s="35" t="s">
        <v>4791</v>
      </c>
      <c r="F249" s="35" t="s">
        <v>4807</v>
      </c>
      <c r="G249" s="41" t="s">
        <v>4809</v>
      </c>
      <c r="H249" s="35" t="s">
        <v>59</v>
      </c>
      <c r="I249" s="35" t="s">
        <v>61</v>
      </c>
      <c r="J249" s="35" t="s">
        <v>62</v>
      </c>
      <c r="K249" s="35" t="s">
        <v>111</v>
      </c>
      <c r="L249" s="35">
        <v>35.0</v>
      </c>
      <c r="M249" s="35" t="s">
        <v>4407</v>
      </c>
      <c r="N249" s="35" t="s">
        <v>66</v>
      </c>
      <c r="O249" s="35" t="s">
        <v>67</v>
      </c>
      <c r="P249" s="35" t="s">
        <v>4812</v>
      </c>
      <c r="Q249" s="64"/>
      <c r="R249" s="64"/>
      <c r="S249" s="64"/>
      <c r="T249" s="35" t="s">
        <v>955</v>
      </c>
      <c r="U249" s="35" t="s">
        <v>955</v>
      </c>
      <c r="V249" s="35" t="s">
        <v>61</v>
      </c>
      <c r="W249" s="35" t="s">
        <v>93</v>
      </c>
      <c r="X249" s="35" t="s">
        <v>4813</v>
      </c>
      <c r="Y249" s="35" t="s">
        <v>4814</v>
      </c>
      <c r="Z249" s="35" t="s">
        <v>4816</v>
      </c>
      <c r="AA249" s="46">
        <v>46023.0</v>
      </c>
      <c r="AB249" s="151">
        <v>46387.0</v>
      </c>
      <c r="AC249" s="35" t="s">
        <v>4818</v>
      </c>
      <c r="AD249" s="152"/>
      <c r="AE249" s="35"/>
      <c r="AF249" s="35"/>
      <c r="AG249" s="151"/>
    </row>
    <row r="250" ht="44.25" customHeight="1">
      <c r="A250" s="35">
        <v>249.0</v>
      </c>
      <c r="B250" s="35"/>
      <c r="C250" s="35" t="s">
        <v>351</v>
      </c>
      <c r="D250" s="35" t="s">
        <v>935</v>
      </c>
      <c r="E250" s="35" t="s">
        <v>4082</v>
      </c>
      <c r="F250" s="35" t="s">
        <v>4820</v>
      </c>
      <c r="G250" s="41" t="s">
        <v>4821</v>
      </c>
      <c r="H250" s="35" t="s">
        <v>59</v>
      </c>
      <c r="I250" s="35" t="s">
        <v>61</v>
      </c>
      <c r="J250" s="35" t="s">
        <v>62</v>
      </c>
      <c r="K250" s="35" t="s">
        <v>63</v>
      </c>
      <c r="L250" s="35">
        <v>15.0</v>
      </c>
      <c r="M250" s="35" t="s">
        <v>1918</v>
      </c>
      <c r="N250" s="35" t="s">
        <v>66</v>
      </c>
      <c r="O250" s="35" t="s">
        <v>67</v>
      </c>
      <c r="P250" s="35" t="s">
        <v>955</v>
      </c>
      <c r="Q250" s="64"/>
      <c r="R250" s="64"/>
      <c r="S250" s="64"/>
      <c r="T250" s="35" t="s">
        <v>955</v>
      </c>
      <c r="U250" s="35" t="s">
        <v>955</v>
      </c>
      <c r="V250" s="35" t="s">
        <v>61</v>
      </c>
      <c r="W250" s="35" t="s">
        <v>74</v>
      </c>
      <c r="X250" s="35" t="s">
        <v>4824</v>
      </c>
      <c r="Y250" s="35" t="s">
        <v>4825</v>
      </c>
      <c r="Z250" s="35" t="s">
        <v>4826</v>
      </c>
      <c r="AA250" s="46">
        <v>46023.0</v>
      </c>
      <c r="AB250" s="151">
        <v>46387.0</v>
      </c>
      <c r="AC250" s="35" t="s">
        <v>4827</v>
      </c>
      <c r="AD250" s="152"/>
      <c r="AE250" s="35"/>
      <c r="AF250" s="35"/>
      <c r="AG250" s="151"/>
    </row>
    <row r="251" ht="44.25" customHeight="1">
      <c r="A251" s="35">
        <v>250.0</v>
      </c>
      <c r="B251" s="35">
        <v>4974.0</v>
      </c>
      <c r="C251" s="35" t="s">
        <v>351</v>
      </c>
      <c r="D251" s="35" t="s">
        <v>935</v>
      </c>
      <c r="E251" s="35" t="s">
        <v>4082</v>
      </c>
      <c r="F251" s="35" t="s">
        <v>4832</v>
      </c>
      <c r="G251" s="41" t="s">
        <v>4833</v>
      </c>
      <c r="H251" s="35" t="s">
        <v>59</v>
      </c>
      <c r="I251" s="35" t="s">
        <v>61</v>
      </c>
      <c r="J251" s="35" t="s">
        <v>62</v>
      </c>
      <c r="K251" s="35" t="s">
        <v>63</v>
      </c>
      <c r="L251" s="35">
        <v>15.0</v>
      </c>
      <c r="M251" s="35" t="s">
        <v>1074</v>
      </c>
      <c r="N251" s="35" t="s">
        <v>66</v>
      </c>
      <c r="O251" s="35" t="s">
        <v>67</v>
      </c>
      <c r="P251" s="35" t="s">
        <v>4836</v>
      </c>
      <c r="Q251" s="64"/>
      <c r="R251" s="64"/>
      <c r="S251" s="64"/>
      <c r="T251" s="35" t="s">
        <v>955</v>
      </c>
      <c r="U251" s="35" t="s">
        <v>955</v>
      </c>
      <c r="V251" s="35" t="s">
        <v>61</v>
      </c>
      <c r="W251" s="35" t="s">
        <v>74</v>
      </c>
      <c r="X251" s="35" t="s">
        <v>4838</v>
      </c>
      <c r="Y251" s="35" t="s">
        <v>4839</v>
      </c>
      <c r="Z251" s="35" t="s">
        <v>4840</v>
      </c>
      <c r="AA251" s="46">
        <v>46023.0</v>
      </c>
      <c r="AB251" s="151">
        <v>46387.0</v>
      </c>
      <c r="AC251" s="35" t="s">
        <v>4842</v>
      </c>
      <c r="AD251" s="152"/>
      <c r="AE251" s="35"/>
      <c r="AF251" s="35"/>
      <c r="AG251" s="151"/>
    </row>
    <row r="252" ht="44.25" customHeight="1">
      <c r="A252" s="35">
        <v>251.0</v>
      </c>
      <c r="B252" s="35"/>
      <c r="C252" s="35" t="s">
        <v>351</v>
      </c>
      <c r="D252" s="35" t="s">
        <v>935</v>
      </c>
      <c r="E252" s="35" t="s">
        <v>4082</v>
      </c>
      <c r="F252" s="35" t="s">
        <v>4844</v>
      </c>
      <c r="G252" s="41" t="s">
        <v>4845</v>
      </c>
      <c r="H252" s="35" t="s">
        <v>59</v>
      </c>
      <c r="I252" s="35" t="s">
        <v>61</v>
      </c>
      <c r="J252" s="35" t="s">
        <v>62</v>
      </c>
      <c r="K252" s="35" t="s">
        <v>111</v>
      </c>
      <c r="L252" s="35">
        <v>100.0</v>
      </c>
      <c r="M252" s="35" t="s">
        <v>4849</v>
      </c>
      <c r="N252" s="35" t="s">
        <v>71</v>
      </c>
      <c r="O252" s="35" t="s">
        <v>67</v>
      </c>
      <c r="P252" s="35" t="s">
        <v>4851</v>
      </c>
      <c r="Q252" s="64"/>
      <c r="R252" s="64"/>
      <c r="S252" s="64"/>
      <c r="T252" s="35" t="s">
        <v>955</v>
      </c>
      <c r="U252" s="35">
        <v>19.0</v>
      </c>
      <c r="V252" s="35" t="s">
        <v>533</v>
      </c>
      <c r="W252" s="35" t="s">
        <v>93</v>
      </c>
      <c r="X252" s="35" t="s">
        <v>4852</v>
      </c>
      <c r="Y252" s="35" t="s">
        <v>4853</v>
      </c>
      <c r="Z252" s="35" t="s">
        <v>4854</v>
      </c>
      <c r="AA252" s="46">
        <v>46023.0</v>
      </c>
      <c r="AB252" s="151">
        <v>46387.0</v>
      </c>
      <c r="AC252" s="35" t="s">
        <v>4855</v>
      </c>
      <c r="AD252" s="152"/>
      <c r="AE252" s="35"/>
      <c r="AF252" s="35"/>
      <c r="AG252" s="151"/>
    </row>
    <row r="253" ht="44.25" customHeight="1">
      <c r="A253" s="35">
        <v>252.0</v>
      </c>
      <c r="B253" s="35"/>
      <c r="C253" s="35" t="s">
        <v>351</v>
      </c>
      <c r="D253" s="35" t="s">
        <v>935</v>
      </c>
      <c r="E253" s="35" t="s">
        <v>4856</v>
      </c>
      <c r="F253" s="35" t="s">
        <v>4857</v>
      </c>
      <c r="G253" s="41" t="s">
        <v>4858</v>
      </c>
      <c r="H253" s="35" t="s">
        <v>59</v>
      </c>
      <c r="I253" s="35" t="s">
        <v>61</v>
      </c>
      <c r="J253" s="35" t="s">
        <v>62</v>
      </c>
      <c r="K253" s="35" t="s">
        <v>111</v>
      </c>
      <c r="L253" s="35">
        <v>17.0</v>
      </c>
      <c r="M253" s="35" t="s">
        <v>4407</v>
      </c>
      <c r="N253" s="35" t="s">
        <v>66</v>
      </c>
      <c r="O253" s="35" t="s">
        <v>67</v>
      </c>
      <c r="P253" s="35" t="s">
        <v>4861</v>
      </c>
      <c r="Q253" s="64"/>
      <c r="R253" s="64"/>
      <c r="S253" s="64"/>
      <c r="T253" s="35" t="s">
        <v>4862</v>
      </c>
      <c r="U253" s="35">
        <v>5.0</v>
      </c>
      <c r="V253" s="35" t="s">
        <v>61</v>
      </c>
      <c r="W253" s="35" t="s">
        <v>93</v>
      </c>
      <c r="X253" s="35" t="s">
        <v>4863</v>
      </c>
      <c r="Y253" s="35" t="s">
        <v>4865</v>
      </c>
      <c r="Z253" s="35" t="s">
        <v>4866</v>
      </c>
      <c r="AA253" s="46">
        <v>46023.0</v>
      </c>
      <c r="AB253" s="151">
        <v>46387.0</v>
      </c>
      <c r="AC253" s="35" t="s">
        <v>4867</v>
      </c>
      <c r="AD253" s="152"/>
      <c r="AE253" s="35"/>
      <c r="AF253" s="35"/>
      <c r="AG253" s="151"/>
    </row>
    <row r="254" ht="44.25" customHeight="1">
      <c r="A254" s="35">
        <v>253.0</v>
      </c>
      <c r="B254" s="35"/>
      <c r="C254" s="35" t="s">
        <v>351</v>
      </c>
      <c r="D254" s="35" t="s">
        <v>935</v>
      </c>
      <c r="E254" s="35" t="s">
        <v>1720</v>
      </c>
      <c r="F254" s="35" t="s">
        <v>4871</v>
      </c>
      <c r="G254" s="41" t="s">
        <v>4872</v>
      </c>
      <c r="H254" s="35" t="s">
        <v>59</v>
      </c>
      <c r="I254" s="35" t="s">
        <v>61</v>
      </c>
      <c r="J254" s="35" t="s">
        <v>62</v>
      </c>
      <c r="K254" s="35" t="s">
        <v>111</v>
      </c>
      <c r="L254" s="35">
        <v>40.0</v>
      </c>
      <c r="M254" s="35" t="s">
        <v>4397</v>
      </c>
      <c r="N254" s="35" t="s">
        <v>66</v>
      </c>
      <c r="O254" s="35" t="s">
        <v>67</v>
      </c>
      <c r="P254" s="35" t="s">
        <v>4873</v>
      </c>
      <c r="Q254" s="64"/>
      <c r="R254" s="64"/>
      <c r="S254" s="64"/>
      <c r="T254" s="35" t="s">
        <v>955</v>
      </c>
      <c r="U254" s="35">
        <v>17.0</v>
      </c>
      <c r="V254" s="35" t="s">
        <v>61</v>
      </c>
      <c r="W254" s="35" t="s">
        <v>93</v>
      </c>
      <c r="X254" s="35" t="s">
        <v>4875</v>
      </c>
      <c r="Y254" s="35" t="s">
        <v>4876</v>
      </c>
      <c r="Z254" s="35" t="s">
        <v>4877</v>
      </c>
      <c r="AA254" s="46">
        <v>46023.0</v>
      </c>
      <c r="AB254" s="151">
        <v>46387.0</v>
      </c>
      <c r="AC254" s="35" t="s">
        <v>4880</v>
      </c>
      <c r="AD254" s="152"/>
      <c r="AE254" s="35"/>
      <c r="AF254" s="35"/>
      <c r="AG254" s="151"/>
    </row>
    <row r="255" ht="44.25" customHeight="1">
      <c r="A255" s="35">
        <v>254.0</v>
      </c>
      <c r="B255" s="35"/>
      <c r="C255" s="35" t="s">
        <v>351</v>
      </c>
      <c r="D255" s="35" t="s">
        <v>935</v>
      </c>
      <c r="E255" s="35" t="s">
        <v>1720</v>
      </c>
      <c r="F255" s="35" t="s">
        <v>4883</v>
      </c>
      <c r="G255" s="41" t="s">
        <v>4884</v>
      </c>
      <c r="H255" s="35" t="s">
        <v>59</v>
      </c>
      <c r="I255" s="35" t="s">
        <v>61</v>
      </c>
      <c r="J255" s="35" t="s">
        <v>62</v>
      </c>
      <c r="K255" s="35" t="s">
        <v>63</v>
      </c>
      <c r="L255" s="35">
        <v>12.0</v>
      </c>
      <c r="M255" s="35" t="s">
        <v>4492</v>
      </c>
      <c r="N255" s="35" t="s">
        <v>66</v>
      </c>
      <c r="O255" s="35" t="s">
        <v>67</v>
      </c>
      <c r="P255" s="35" t="s">
        <v>955</v>
      </c>
      <c r="Q255" s="64"/>
      <c r="R255" s="64"/>
      <c r="S255" s="64"/>
      <c r="T255" s="35" t="s">
        <v>955</v>
      </c>
      <c r="U255" s="35" t="s">
        <v>955</v>
      </c>
      <c r="V255" s="35" t="s">
        <v>61</v>
      </c>
      <c r="W255" s="35" t="s">
        <v>74</v>
      </c>
      <c r="X255" s="35" t="s">
        <v>4887</v>
      </c>
      <c r="Y255" s="35" t="s">
        <v>4888</v>
      </c>
      <c r="Z255" s="35" t="s">
        <v>4889</v>
      </c>
      <c r="AA255" s="46">
        <v>46023.0</v>
      </c>
      <c r="AB255" s="151">
        <v>46387.0</v>
      </c>
      <c r="AC255" s="35" t="s">
        <v>4890</v>
      </c>
      <c r="AD255" s="152"/>
      <c r="AE255" s="35"/>
      <c r="AF255" s="35"/>
      <c r="AG255" s="151"/>
    </row>
    <row r="256" ht="44.25" customHeight="1">
      <c r="A256" s="35">
        <v>255.0</v>
      </c>
      <c r="B256" s="35">
        <v>5600.0</v>
      </c>
      <c r="C256" s="35" t="s">
        <v>351</v>
      </c>
      <c r="D256" s="35" t="s">
        <v>935</v>
      </c>
      <c r="E256" s="35" t="s">
        <v>3196</v>
      </c>
      <c r="F256" s="35" t="s">
        <v>4892</v>
      </c>
      <c r="G256" s="41" t="s">
        <v>4893</v>
      </c>
      <c r="H256" s="35" t="s">
        <v>59</v>
      </c>
      <c r="I256" s="35" t="s">
        <v>61</v>
      </c>
      <c r="J256" s="35" t="s">
        <v>62</v>
      </c>
      <c r="K256" s="35" t="s">
        <v>63</v>
      </c>
      <c r="L256" s="35">
        <v>38.0</v>
      </c>
      <c r="M256" s="35" t="s">
        <v>1074</v>
      </c>
      <c r="N256" s="35" t="s">
        <v>66</v>
      </c>
      <c r="O256" s="35" t="s">
        <v>67</v>
      </c>
      <c r="P256" s="35" t="s">
        <v>955</v>
      </c>
      <c r="Q256" s="64"/>
      <c r="R256" s="64"/>
      <c r="S256" s="64"/>
      <c r="T256" s="35" t="s">
        <v>955</v>
      </c>
      <c r="U256" s="35" t="s">
        <v>955</v>
      </c>
      <c r="V256" s="35" t="s">
        <v>61</v>
      </c>
      <c r="W256" s="35" t="s">
        <v>74</v>
      </c>
      <c r="X256" s="35" t="s">
        <v>4898</v>
      </c>
      <c r="Y256" s="35">
        <v>9.985365283E9</v>
      </c>
      <c r="Z256" s="35" t="s">
        <v>4900</v>
      </c>
      <c r="AA256" s="46">
        <v>46023.0</v>
      </c>
      <c r="AB256" s="151">
        <v>46387.0</v>
      </c>
      <c r="AC256" s="35" t="s">
        <v>4901</v>
      </c>
      <c r="AD256" s="152"/>
      <c r="AE256" s="35"/>
      <c r="AF256" s="35"/>
      <c r="AG256" s="151"/>
    </row>
    <row r="257" ht="44.25" customHeight="1">
      <c r="A257" s="35">
        <v>256.0</v>
      </c>
      <c r="B257" s="35">
        <v>567.0</v>
      </c>
      <c r="C257" s="35" t="s">
        <v>351</v>
      </c>
      <c r="D257" s="35" t="s">
        <v>935</v>
      </c>
      <c r="E257" s="35" t="s">
        <v>3196</v>
      </c>
      <c r="F257" s="35" t="s">
        <v>4903</v>
      </c>
      <c r="G257" s="41" t="s">
        <v>4905</v>
      </c>
      <c r="H257" s="35" t="s">
        <v>59</v>
      </c>
      <c r="I257" s="35" t="s">
        <v>61</v>
      </c>
      <c r="J257" s="35" t="s">
        <v>62</v>
      </c>
      <c r="K257" s="35" t="s">
        <v>63</v>
      </c>
      <c r="L257" s="35">
        <v>24.0</v>
      </c>
      <c r="M257" s="35" t="s">
        <v>1074</v>
      </c>
      <c r="N257" s="35" t="s">
        <v>66</v>
      </c>
      <c r="O257" s="35" t="s">
        <v>67</v>
      </c>
      <c r="P257" s="35" t="s">
        <v>955</v>
      </c>
      <c r="Q257" s="64"/>
      <c r="R257" s="64"/>
      <c r="S257" s="64"/>
      <c r="T257" s="35" t="s">
        <v>955</v>
      </c>
      <c r="U257" s="35" t="s">
        <v>955</v>
      </c>
      <c r="V257" s="35" t="s">
        <v>61</v>
      </c>
      <c r="W257" s="35" t="s">
        <v>74</v>
      </c>
      <c r="X257" s="35" t="s">
        <v>4907</v>
      </c>
      <c r="Y257" s="35">
        <v>9.159815423E9</v>
      </c>
      <c r="Z257" s="35" t="s">
        <v>4908</v>
      </c>
      <c r="AA257" s="46">
        <v>46027.0</v>
      </c>
      <c r="AB257" s="151">
        <v>46387.0</v>
      </c>
      <c r="AC257" s="35" t="s">
        <v>4910</v>
      </c>
      <c r="AD257" s="152"/>
      <c r="AE257" s="35"/>
      <c r="AF257" s="35"/>
      <c r="AG257" s="151"/>
    </row>
    <row r="258" ht="44.25" customHeight="1">
      <c r="A258" s="35">
        <v>257.0</v>
      </c>
      <c r="B258" s="35"/>
      <c r="C258" s="35" t="s">
        <v>351</v>
      </c>
      <c r="D258" s="35" t="s">
        <v>935</v>
      </c>
      <c r="E258" s="35" t="s">
        <v>3196</v>
      </c>
      <c r="F258" s="35" t="s">
        <v>4913</v>
      </c>
      <c r="G258" s="41" t="s">
        <v>4915</v>
      </c>
      <c r="H258" s="35" t="s">
        <v>59</v>
      </c>
      <c r="I258" s="35" t="s">
        <v>61</v>
      </c>
      <c r="J258" s="35" t="s">
        <v>62</v>
      </c>
      <c r="K258" s="35" t="s">
        <v>111</v>
      </c>
      <c r="L258" s="35">
        <v>127.0</v>
      </c>
      <c r="M258" s="35" t="s">
        <v>4918</v>
      </c>
      <c r="N258" s="35" t="s">
        <v>71</v>
      </c>
      <c r="O258" s="35" t="s">
        <v>67</v>
      </c>
      <c r="P258" s="35" t="s">
        <v>4919</v>
      </c>
      <c r="Q258" s="64"/>
      <c r="R258" s="64"/>
      <c r="S258" s="64"/>
      <c r="T258" s="35" t="s">
        <v>4920</v>
      </c>
      <c r="U258" s="35">
        <v>20.0</v>
      </c>
      <c r="V258" s="35" t="s">
        <v>533</v>
      </c>
      <c r="W258" s="35" t="s">
        <v>93</v>
      </c>
      <c r="X258" s="35" t="s">
        <v>4922</v>
      </c>
      <c r="Y258" s="35" t="s">
        <v>4924</v>
      </c>
      <c r="Z258" s="35" t="s">
        <v>4926</v>
      </c>
      <c r="AA258" s="46">
        <v>46023.0</v>
      </c>
      <c r="AB258" s="151">
        <v>46387.0</v>
      </c>
      <c r="AC258" s="35" t="s">
        <v>4927</v>
      </c>
      <c r="AD258" s="152"/>
      <c r="AE258" s="35"/>
      <c r="AF258" s="35"/>
      <c r="AG258" s="151"/>
    </row>
    <row r="259" ht="44.25" customHeight="1">
      <c r="A259" s="35">
        <v>258.0</v>
      </c>
      <c r="B259" s="35"/>
      <c r="C259" s="35" t="s">
        <v>351</v>
      </c>
      <c r="D259" s="35" t="s">
        <v>935</v>
      </c>
      <c r="E259" s="35" t="s">
        <v>3196</v>
      </c>
      <c r="F259" s="35" t="s">
        <v>4928</v>
      </c>
      <c r="G259" s="41" t="s">
        <v>4929</v>
      </c>
      <c r="H259" s="35" t="s">
        <v>59</v>
      </c>
      <c r="I259" s="35" t="s">
        <v>61</v>
      </c>
      <c r="J259" s="35" t="s">
        <v>62</v>
      </c>
      <c r="K259" s="35" t="s">
        <v>111</v>
      </c>
      <c r="L259" s="35">
        <v>70.0</v>
      </c>
      <c r="M259" s="35" t="s">
        <v>4932</v>
      </c>
      <c r="N259" s="35" t="s">
        <v>71</v>
      </c>
      <c r="O259" s="35" t="s">
        <v>67</v>
      </c>
      <c r="P259" s="35" t="s">
        <v>4933</v>
      </c>
      <c r="Q259" s="64"/>
      <c r="R259" s="64"/>
      <c r="S259" s="64"/>
      <c r="T259" s="35" t="s">
        <v>955</v>
      </c>
      <c r="U259" s="35">
        <v>15.0</v>
      </c>
      <c r="V259" s="35" t="s">
        <v>61</v>
      </c>
      <c r="W259" s="35" t="s">
        <v>93</v>
      </c>
      <c r="X259" s="35" t="s">
        <v>4935</v>
      </c>
      <c r="Y259" s="35" t="s">
        <v>4937</v>
      </c>
      <c r="Z259" s="35" t="s">
        <v>4939</v>
      </c>
      <c r="AA259" s="46">
        <v>46023.0</v>
      </c>
      <c r="AB259" s="151">
        <v>46387.0</v>
      </c>
      <c r="AC259" s="35" t="s">
        <v>4941</v>
      </c>
      <c r="AD259" s="35" t="s">
        <v>638</v>
      </c>
      <c r="AE259" s="35" t="s">
        <v>643</v>
      </c>
      <c r="AF259" s="35" t="s">
        <v>4942</v>
      </c>
      <c r="AG259" s="151"/>
    </row>
    <row r="260" ht="44.25" customHeight="1">
      <c r="A260" s="35">
        <v>259.0</v>
      </c>
      <c r="B260" s="35">
        <v>476.0</v>
      </c>
      <c r="C260" s="35" t="s">
        <v>351</v>
      </c>
      <c r="D260" s="35" t="s">
        <v>994</v>
      </c>
      <c r="E260" s="35" t="s">
        <v>4943</v>
      </c>
      <c r="F260" s="35" t="s">
        <v>4944</v>
      </c>
      <c r="G260" s="41" t="s">
        <v>4946</v>
      </c>
      <c r="H260" s="35" t="s">
        <v>59</v>
      </c>
      <c r="I260" s="35" t="s">
        <v>61</v>
      </c>
      <c r="J260" s="35" t="s">
        <v>62</v>
      </c>
      <c r="K260" s="35" t="s">
        <v>63</v>
      </c>
      <c r="L260" s="35">
        <v>12.0</v>
      </c>
      <c r="M260" s="35" t="s">
        <v>1074</v>
      </c>
      <c r="N260" s="35" t="s">
        <v>66</v>
      </c>
      <c r="O260" s="35" t="s">
        <v>67</v>
      </c>
      <c r="P260" s="35" t="s">
        <v>955</v>
      </c>
      <c r="Q260" s="64"/>
      <c r="R260" s="64"/>
      <c r="S260" s="64"/>
      <c r="T260" s="35" t="s">
        <v>955</v>
      </c>
      <c r="U260" s="35" t="s">
        <v>955</v>
      </c>
      <c r="V260" s="35" t="s">
        <v>61</v>
      </c>
      <c r="W260" s="35" t="s">
        <v>74</v>
      </c>
      <c r="X260" s="35" t="s">
        <v>4949</v>
      </c>
      <c r="Y260" s="35" t="s">
        <v>4950</v>
      </c>
      <c r="Z260" s="35" t="s">
        <v>4952</v>
      </c>
      <c r="AA260" s="46">
        <v>46023.0</v>
      </c>
      <c r="AB260" s="151">
        <v>46387.0</v>
      </c>
      <c r="AC260" s="35" t="s">
        <v>4953</v>
      </c>
      <c r="AD260" s="152"/>
      <c r="AE260" s="35"/>
      <c r="AF260" s="35"/>
      <c r="AG260" s="151"/>
    </row>
    <row r="261" ht="44.25" customHeight="1">
      <c r="A261" s="35">
        <v>260.0</v>
      </c>
      <c r="B261" s="35">
        <v>32010.0</v>
      </c>
      <c r="C261" s="35" t="s">
        <v>351</v>
      </c>
      <c r="D261" s="35" t="s">
        <v>994</v>
      </c>
      <c r="E261" s="35" t="s">
        <v>996</v>
      </c>
      <c r="F261" s="35" t="s">
        <v>4955</v>
      </c>
      <c r="G261" s="41" t="s">
        <v>4956</v>
      </c>
      <c r="H261" s="35" t="s">
        <v>59</v>
      </c>
      <c r="I261" s="35" t="s">
        <v>61</v>
      </c>
      <c r="J261" s="35" t="s">
        <v>62</v>
      </c>
      <c r="K261" s="35" t="s">
        <v>63</v>
      </c>
      <c r="L261" s="35">
        <v>12.0</v>
      </c>
      <c r="M261" s="35" t="s">
        <v>1918</v>
      </c>
      <c r="N261" s="35" t="s">
        <v>66</v>
      </c>
      <c r="O261" s="35"/>
      <c r="P261" s="35" t="s">
        <v>955</v>
      </c>
      <c r="Q261" s="64"/>
      <c r="R261" s="64"/>
      <c r="S261" s="64"/>
      <c r="T261" s="35" t="s">
        <v>955</v>
      </c>
      <c r="U261" s="35" t="s">
        <v>955</v>
      </c>
      <c r="V261" s="35" t="s">
        <v>61</v>
      </c>
      <c r="W261" s="35" t="s">
        <v>74</v>
      </c>
      <c r="X261" s="35" t="s">
        <v>4961</v>
      </c>
      <c r="Y261" s="35" t="s">
        <v>4962</v>
      </c>
      <c r="Z261" s="35" t="s">
        <v>4963</v>
      </c>
      <c r="AA261" s="46">
        <v>46023.0</v>
      </c>
      <c r="AB261" s="151">
        <v>46387.0</v>
      </c>
      <c r="AC261" s="35" t="s">
        <v>4964</v>
      </c>
      <c r="AD261" s="152"/>
      <c r="AE261" s="35"/>
      <c r="AF261" s="35"/>
      <c r="AG261" s="151"/>
    </row>
    <row r="262" ht="44.25" customHeight="1">
      <c r="A262" s="35">
        <v>261.0</v>
      </c>
      <c r="B262" s="35">
        <v>31549.0</v>
      </c>
      <c r="C262" s="35" t="s">
        <v>351</v>
      </c>
      <c r="D262" s="35" t="s">
        <v>994</v>
      </c>
      <c r="E262" s="35" t="s">
        <v>996</v>
      </c>
      <c r="F262" s="35" t="s">
        <v>4967</v>
      </c>
      <c r="G262" s="41" t="s">
        <v>4968</v>
      </c>
      <c r="H262" s="35" t="s">
        <v>59</v>
      </c>
      <c r="I262" s="35" t="s">
        <v>61</v>
      </c>
      <c r="J262" s="35" t="s">
        <v>62</v>
      </c>
      <c r="K262" s="35" t="s">
        <v>111</v>
      </c>
      <c r="L262" s="35">
        <v>50.0</v>
      </c>
      <c r="M262" s="35" t="s">
        <v>4970</v>
      </c>
      <c r="N262" s="35" t="s">
        <v>71</v>
      </c>
      <c r="O262" s="35"/>
      <c r="P262" s="35" t="s">
        <v>4971</v>
      </c>
      <c r="Q262" s="64"/>
      <c r="R262" s="64"/>
      <c r="S262" s="64"/>
      <c r="T262" s="35" t="s">
        <v>955</v>
      </c>
      <c r="U262" s="35">
        <v>15.0</v>
      </c>
      <c r="V262" s="35" t="s">
        <v>61</v>
      </c>
      <c r="W262" s="35" t="s">
        <v>93</v>
      </c>
      <c r="X262" s="35" t="s">
        <v>4974</v>
      </c>
      <c r="Y262" s="35" t="s">
        <v>4976</v>
      </c>
      <c r="Z262" s="35" t="s">
        <v>4977</v>
      </c>
      <c r="AA262" s="46">
        <v>46023.0</v>
      </c>
      <c r="AB262" s="151">
        <v>46387.0</v>
      </c>
      <c r="AC262" s="35" t="s">
        <v>4979</v>
      </c>
      <c r="AD262" s="152"/>
      <c r="AE262" s="35"/>
      <c r="AF262" s="35"/>
      <c r="AG262" s="151"/>
    </row>
    <row r="263" ht="44.25" customHeight="1">
      <c r="A263" s="35">
        <v>262.0</v>
      </c>
      <c r="B263" s="35">
        <v>3396.0</v>
      </c>
      <c r="C263" s="35" t="s">
        <v>351</v>
      </c>
      <c r="D263" s="35" t="s">
        <v>994</v>
      </c>
      <c r="E263" s="35" t="s">
        <v>996</v>
      </c>
      <c r="F263" s="35" t="s">
        <v>4981</v>
      </c>
      <c r="G263" s="41" t="s">
        <v>4982</v>
      </c>
      <c r="H263" s="35" t="s">
        <v>59</v>
      </c>
      <c r="I263" s="35" t="s">
        <v>61</v>
      </c>
      <c r="J263" s="35" t="s">
        <v>62</v>
      </c>
      <c r="K263" s="35" t="s">
        <v>111</v>
      </c>
      <c r="L263" s="35">
        <v>30.0</v>
      </c>
      <c r="M263" s="35" t="s">
        <v>4983</v>
      </c>
      <c r="N263" s="35" t="s">
        <v>66</v>
      </c>
      <c r="O263" s="35"/>
      <c r="P263" s="35" t="s">
        <v>4984</v>
      </c>
      <c r="Q263" s="64"/>
      <c r="R263" s="64"/>
      <c r="S263" s="64"/>
      <c r="T263" s="35" t="s">
        <v>4985</v>
      </c>
      <c r="U263" s="35">
        <v>14.0</v>
      </c>
      <c r="V263" s="35" t="s">
        <v>61</v>
      </c>
      <c r="W263" s="35" t="s">
        <v>93</v>
      </c>
      <c r="X263" s="35" t="s">
        <v>4986</v>
      </c>
      <c r="Y263" s="35" t="s">
        <v>4987</v>
      </c>
      <c r="Z263" s="35" t="s">
        <v>4988</v>
      </c>
      <c r="AA263" s="46">
        <v>46023.0</v>
      </c>
      <c r="AB263" s="151">
        <v>46387.0</v>
      </c>
      <c r="AC263" s="35" t="s">
        <v>4989</v>
      </c>
      <c r="AD263" s="152"/>
      <c r="AE263" s="35"/>
      <c r="AF263" s="35"/>
      <c r="AG263" s="151"/>
    </row>
    <row r="264" ht="44.25" customHeight="1">
      <c r="A264" s="35">
        <v>263.0</v>
      </c>
      <c r="B264" s="35">
        <v>678.0</v>
      </c>
      <c r="C264" s="35" t="s">
        <v>351</v>
      </c>
      <c r="D264" s="35" t="s">
        <v>994</v>
      </c>
      <c r="E264" s="35" t="s">
        <v>996</v>
      </c>
      <c r="F264" s="35" t="s">
        <v>4990</v>
      </c>
      <c r="G264" s="41" t="s">
        <v>4992</v>
      </c>
      <c r="H264" s="35" t="s">
        <v>59</v>
      </c>
      <c r="I264" s="35" t="s">
        <v>61</v>
      </c>
      <c r="J264" s="35" t="s">
        <v>62</v>
      </c>
      <c r="K264" s="35" t="s">
        <v>63</v>
      </c>
      <c r="L264" s="35">
        <v>15.0</v>
      </c>
      <c r="M264" s="35" t="s">
        <v>4994</v>
      </c>
      <c r="N264" s="35" t="s">
        <v>66</v>
      </c>
      <c r="O264" s="35"/>
      <c r="P264" s="35" t="s">
        <v>4996</v>
      </c>
      <c r="Q264" s="64"/>
      <c r="R264" s="64"/>
      <c r="S264" s="64"/>
      <c r="T264" s="35" t="s">
        <v>955</v>
      </c>
      <c r="U264" s="35">
        <v>6.0</v>
      </c>
      <c r="V264" s="35" t="s">
        <v>61</v>
      </c>
      <c r="W264" s="35" t="s">
        <v>74</v>
      </c>
      <c r="X264" s="35" t="s">
        <v>4999</v>
      </c>
      <c r="Y264" s="35" t="s">
        <v>5000</v>
      </c>
      <c r="Z264" s="35" t="s">
        <v>5001</v>
      </c>
      <c r="AA264" s="46">
        <v>46023.0</v>
      </c>
      <c r="AB264" s="151">
        <v>46387.0</v>
      </c>
      <c r="AC264" s="35" t="s">
        <v>5002</v>
      </c>
      <c r="AD264" s="152"/>
      <c r="AE264" s="35"/>
      <c r="AF264" s="35"/>
      <c r="AG264" s="151"/>
    </row>
    <row r="265" ht="44.25" customHeight="1">
      <c r="A265" s="35">
        <v>264.0</v>
      </c>
      <c r="B265" s="35">
        <v>38116.0</v>
      </c>
      <c r="C265" s="35" t="s">
        <v>351</v>
      </c>
      <c r="D265" s="35" t="s">
        <v>994</v>
      </c>
      <c r="E265" s="35" t="s">
        <v>996</v>
      </c>
      <c r="F265" s="35" t="s">
        <v>5004</v>
      </c>
      <c r="G265" s="41" t="s">
        <v>5005</v>
      </c>
      <c r="H265" s="35" t="s">
        <v>59</v>
      </c>
      <c r="I265" s="35" t="s">
        <v>61</v>
      </c>
      <c r="J265" s="35" t="s">
        <v>62</v>
      </c>
      <c r="K265" s="35" t="s">
        <v>111</v>
      </c>
      <c r="L265" s="35">
        <v>100.0</v>
      </c>
      <c r="M265" s="35" t="s">
        <v>5008</v>
      </c>
      <c r="N265" s="35" t="s">
        <v>66</v>
      </c>
      <c r="O265" s="35"/>
      <c r="P265" s="35" t="s">
        <v>5010</v>
      </c>
      <c r="Q265" s="64"/>
      <c r="R265" s="64"/>
      <c r="S265" s="64"/>
      <c r="T265" s="35" t="s">
        <v>955</v>
      </c>
      <c r="U265" s="35">
        <v>8.0</v>
      </c>
      <c r="V265" s="35" t="s">
        <v>61</v>
      </c>
      <c r="W265" s="35" t="s">
        <v>93</v>
      </c>
      <c r="X265" s="35" t="s">
        <v>5012</v>
      </c>
      <c r="Y265" s="35" t="s">
        <v>5013</v>
      </c>
      <c r="Z265" s="35" t="s">
        <v>5014</v>
      </c>
      <c r="AA265" s="46">
        <v>46023.0</v>
      </c>
      <c r="AB265" s="151">
        <v>46387.0</v>
      </c>
      <c r="AC265" s="35" t="s">
        <v>5015</v>
      </c>
      <c r="AD265" s="152"/>
      <c r="AE265" s="35"/>
      <c r="AF265" s="35"/>
      <c r="AG265" s="151"/>
    </row>
    <row r="266" ht="44.25" customHeight="1">
      <c r="A266" s="35">
        <v>265.0</v>
      </c>
      <c r="B266" s="35">
        <v>760.0</v>
      </c>
      <c r="C266" s="35" t="s">
        <v>351</v>
      </c>
      <c r="D266" s="35" t="s">
        <v>994</v>
      </c>
      <c r="E266" s="35" t="s">
        <v>996</v>
      </c>
      <c r="F266" s="35" t="s">
        <v>5016</v>
      </c>
      <c r="G266" s="41" t="s">
        <v>5017</v>
      </c>
      <c r="H266" s="35" t="s">
        <v>59</v>
      </c>
      <c r="I266" s="35" t="s">
        <v>61</v>
      </c>
      <c r="J266" s="35" t="s">
        <v>62</v>
      </c>
      <c r="K266" s="35" t="s">
        <v>111</v>
      </c>
      <c r="L266" s="35">
        <v>65.0</v>
      </c>
      <c r="M266" s="35" t="s">
        <v>5019</v>
      </c>
      <c r="N266" s="35" t="s">
        <v>66</v>
      </c>
      <c r="O266" s="35"/>
      <c r="P266" s="35" t="s">
        <v>5020</v>
      </c>
      <c r="Q266" s="64"/>
      <c r="R266" s="64"/>
      <c r="S266" s="64"/>
      <c r="T266" s="35" t="s">
        <v>955</v>
      </c>
      <c r="U266" s="35">
        <v>14.0</v>
      </c>
      <c r="V266" s="35" t="s">
        <v>61</v>
      </c>
      <c r="W266" s="35" t="s">
        <v>93</v>
      </c>
      <c r="X266" s="35" t="s">
        <v>5021</v>
      </c>
      <c r="Y266" s="35" t="s">
        <v>5022</v>
      </c>
      <c r="Z266" s="35" t="s">
        <v>5023</v>
      </c>
      <c r="AA266" s="46">
        <v>46023.0</v>
      </c>
      <c r="AB266" s="151">
        <v>46387.0</v>
      </c>
      <c r="AC266" s="35" t="s">
        <v>5025</v>
      </c>
      <c r="AD266" s="152"/>
      <c r="AE266" s="35"/>
      <c r="AF266" s="35"/>
      <c r="AG266" s="151"/>
    </row>
    <row r="267" ht="44.25" customHeight="1">
      <c r="A267" s="35">
        <v>266.0</v>
      </c>
      <c r="B267" s="35">
        <v>3940.0</v>
      </c>
      <c r="C267" s="35" t="s">
        <v>351</v>
      </c>
      <c r="D267" s="35" t="s">
        <v>994</v>
      </c>
      <c r="E267" s="35" t="s">
        <v>996</v>
      </c>
      <c r="F267" s="35" t="s">
        <v>5028</v>
      </c>
      <c r="G267" s="41" t="s">
        <v>5029</v>
      </c>
      <c r="H267" s="35" t="s">
        <v>59</v>
      </c>
      <c r="I267" s="35" t="s">
        <v>61</v>
      </c>
      <c r="J267" s="35" t="s">
        <v>62</v>
      </c>
      <c r="K267" s="35" t="s">
        <v>63</v>
      </c>
      <c r="L267" s="35">
        <v>28.0</v>
      </c>
      <c r="M267" s="35" t="s">
        <v>1074</v>
      </c>
      <c r="N267" s="35" t="s">
        <v>66</v>
      </c>
      <c r="O267" s="35" t="s">
        <v>67</v>
      </c>
      <c r="P267" s="35" t="s">
        <v>955</v>
      </c>
      <c r="Q267" s="64"/>
      <c r="R267" s="64"/>
      <c r="S267" s="64"/>
      <c r="T267" s="35" t="s">
        <v>955</v>
      </c>
      <c r="U267" s="35" t="s">
        <v>955</v>
      </c>
      <c r="V267" s="35" t="s">
        <v>61</v>
      </c>
      <c r="W267" s="35" t="s">
        <v>74</v>
      </c>
      <c r="X267" s="35" t="s">
        <v>5032</v>
      </c>
      <c r="Y267" s="35">
        <v>9.552083657E9</v>
      </c>
      <c r="Z267" s="35" t="s">
        <v>5033</v>
      </c>
      <c r="AA267" s="46">
        <v>46023.0</v>
      </c>
      <c r="AB267" s="151">
        <v>46387.0</v>
      </c>
      <c r="AC267" s="35" t="s">
        <v>5036</v>
      </c>
      <c r="AD267" s="152"/>
      <c r="AE267" s="35"/>
      <c r="AF267" s="35"/>
      <c r="AG267" s="151"/>
    </row>
    <row r="268" ht="44.25" customHeight="1">
      <c r="A268" s="35">
        <v>267.0</v>
      </c>
      <c r="B268" s="35">
        <v>32058.0</v>
      </c>
      <c r="C268" s="35" t="s">
        <v>351</v>
      </c>
      <c r="D268" s="35" t="s">
        <v>994</v>
      </c>
      <c r="E268" s="35" t="s">
        <v>5039</v>
      </c>
      <c r="F268" s="35" t="s">
        <v>5040</v>
      </c>
      <c r="G268" s="41" t="s">
        <v>5041</v>
      </c>
      <c r="H268" s="35" t="s">
        <v>59</v>
      </c>
      <c r="I268" s="35" t="s">
        <v>61</v>
      </c>
      <c r="J268" s="35" t="s">
        <v>62</v>
      </c>
      <c r="K268" s="35" t="s">
        <v>111</v>
      </c>
      <c r="L268" s="35">
        <v>49.0</v>
      </c>
      <c r="M268" s="35" t="s">
        <v>5045</v>
      </c>
      <c r="N268" s="35" t="s">
        <v>66</v>
      </c>
      <c r="O268" s="35"/>
      <c r="P268" s="35" t="s">
        <v>5046</v>
      </c>
      <c r="Q268" s="64"/>
      <c r="R268" s="64"/>
      <c r="S268" s="64"/>
      <c r="T268" s="35" t="s">
        <v>5047</v>
      </c>
      <c r="U268" s="35">
        <v>14.0</v>
      </c>
      <c r="V268" s="35" t="s">
        <v>61</v>
      </c>
      <c r="W268" s="35" t="s">
        <v>93</v>
      </c>
      <c r="X268" s="35" t="s">
        <v>5049</v>
      </c>
      <c r="Y268" s="35" t="s">
        <v>5050</v>
      </c>
      <c r="Z268" s="35" t="s">
        <v>5051</v>
      </c>
      <c r="AA268" s="46">
        <v>46023.0</v>
      </c>
      <c r="AB268" s="151">
        <v>46387.0</v>
      </c>
      <c r="AC268" s="35" t="s">
        <v>5052</v>
      </c>
      <c r="AD268" s="152"/>
      <c r="AE268" s="35"/>
      <c r="AF268" s="35"/>
      <c r="AG268" s="151"/>
    </row>
    <row r="269" ht="44.25" customHeight="1">
      <c r="A269" s="35">
        <v>268.0</v>
      </c>
      <c r="B269" s="35">
        <v>467.0</v>
      </c>
      <c r="C269" s="35" t="s">
        <v>351</v>
      </c>
      <c r="D269" s="35" t="s">
        <v>994</v>
      </c>
      <c r="E269" s="35" t="s">
        <v>3229</v>
      </c>
      <c r="F269" s="35" t="s">
        <v>5060</v>
      </c>
      <c r="G269" s="41" t="s">
        <v>5061</v>
      </c>
      <c r="H269" s="35" t="s">
        <v>59</v>
      </c>
      <c r="I269" s="35" t="s">
        <v>61</v>
      </c>
      <c r="J269" s="35" t="s">
        <v>62</v>
      </c>
      <c r="K269" s="35" t="s">
        <v>63</v>
      </c>
      <c r="L269" s="35">
        <v>11.0</v>
      </c>
      <c r="M269" s="35" t="s">
        <v>1918</v>
      </c>
      <c r="N269" s="35" t="s">
        <v>66</v>
      </c>
      <c r="O269" s="35"/>
      <c r="P269" s="35" t="s">
        <v>5063</v>
      </c>
      <c r="Q269" s="64"/>
      <c r="R269" s="64"/>
      <c r="S269" s="64"/>
      <c r="T269" s="35" t="s">
        <v>955</v>
      </c>
      <c r="U269" s="35" t="s">
        <v>955</v>
      </c>
      <c r="V269" s="35" t="s">
        <v>61</v>
      </c>
      <c r="W269" s="35" t="s">
        <v>74</v>
      </c>
      <c r="X269" s="35" t="s">
        <v>5065</v>
      </c>
      <c r="Y269" s="35" t="s">
        <v>5066</v>
      </c>
      <c r="Z269" s="35" t="s">
        <v>5067</v>
      </c>
      <c r="AA269" s="46">
        <v>46023.0</v>
      </c>
      <c r="AB269" s="151">
        <v>46387.0</v>
      </c>
      <c r="AC269" s="35" t="s">
        <v>5071</v>
      </c>
      <c r="AD269" s="152"/>
      <c r="AE269" s="35"/>
      <c r="AF269" s="35"/>
      <c r="AG269" s="151"/>
    </row>
    <row r="270" ht="44.25" customHeight="1">
      <c r="A270" s="35">
        <v>269.0</v>
      </c>
      <c r="B270" s="35">
        <v>2830.0</v>
      </c>
      <c r="C270" s="35" t="s">
        <v>351</v>
      </c>
      <c r="D270" s="35" t="s">
        <v>994</v>
      </c>
      <c r="E270" s="35" t="s">
        <v>3229</v>
      </c>
      <c r="F270" s="35" t="s">
        <v>5073</v>
      </c>
      <c r="G270" s="41" t="s">
        <v>5074</v>
      </c>
      <c r="H270" s="35" t="s">
        <v>59</v>
      </c>
      <c r="I270" s="35" t="s">
        <v>61</v>
      </c>
      <c r="J270" s="35" t="s">
        <v>62</v>
      </c>
      <c r="K270" s="35" t="s">
        <v>63</v>
      </c>
      <c r="L270" s="35">
        <v>36.0</v>
      </c>
      <c r="M270" s="35" t="s">
        <v>5075</v>
      </c>
      <c r="N270" s="35" t="s">
        <v>66</v>
      </c>
      <c r="O270" s="35"/>
      <c r="P270" s="35" t="s">
        <v>5076</v>
      </c>
      <c r="Q270" s="64"/>
      <c r="R270" s="64"/>
      <c r="S270" s="64"/>
      <c r="T270" s="35" t="s">
        <v>955</v>
      </c>
      <c r="U270" s="35">
        <v>9.0</v>
      </c>
      <c r="V270" s="35" t="s">
        <v>61</v>
      </c>
      <c r="W270" s="35" t="s">
        <v>93</v>
      </c>
      <c r="X270" s="35" t="s">
        <v>5079</v>
      </c>
      <c r="Y270" s="35" t="s">
        <v>5080</v>
      </c>
      <c r="Z270" s="35" t="s">
        <v>5081</v>
      </c>
      <c r="AA270" s="46">
        <v>46023.0</v>
      </c>
      <c r="AB270" s="151">
        <v>46387.0</v>
      </c>
      <c r="AC270" s="35" t="s">
        <v>5082</v>
      </c>
      <c r="AD270" s="152"/>
      <c r="AE270" s="35"/>
      <c r="AF270" s="35"/>
      <c r="AG270" s="151"/>
    </row>
    <row r="271" ht="44.25" customHeight="1">
      <c r="A271" s="35">
        <v>270.0</v>
      </c>
      <c r="B271" s="35">
        <v>3802.0</v>
      </c>
      <c r="C271" s="35" t="s">
        <v>351</v>
      </c>
      <c r="D271" s="35" t="s">
        <v>994</v>
      </c>
      <c r="E271" s="35" t="s">
        <v>3229</v>
      </c>
      <c r="F271" s="35" t="s">
        <v>5084</v>
      </c>
      <c r="G271" s="41" t="s">
        <v>5085</v>
      </c>
      <c r="H271" s="35" t="s">
        <v>59</v>
      </c>
      <c r="I271" s="35" t="s">
        <v>61</v>
      </c>
      <c r="J271" s="35" t="s">
        <v>62</v>
      </c>
      <c r="K271" s="35" t="s">
        <v>63</v>
      </c>
      <c r="L271" s="35">
        <v>25.0</v>
      </c>
      <c r="M271" s="35" t="s">
        <v>5086</v>
      </c>
      <c r="N271" s="35" t="s">
        <v>66</v>
      </c>
      <c r="O271" s="35"/>
      <c r="P271" s="35" t="s">
        <v>5089</v>
      </c>
      <c r="Q271" s="64"/>
      <c r="R271" s="64"/>
      <c r="S271" s="64"/>
      <c r="T271" s="35" t="s">
        <v>955</v>
      </c>
      <c r="U271" s="35">
        <v>9.0</v>
      </c>
      <c r="V271" s="35" t="s">
        <v>61</v>
      </c>
      <c r="W271" s="35" t="s">
        <v>93</v>
      </c>
      <c r="X271" s="35" t="s">
        <v>5091</v>
      </c>
      <c r="Y271" s="35" t="s">
        <v>5092</v>
      </c>
      <c r="Z271" s="35" t="s">
        <v>5093</v>
      </c>
      <c r="AA271" s="46">
        <v>46023.0</v>
      </c>
      <c r="AB271" s="151">
        <v>46387.0</v>
      </c>
      <c r="AC271" s="35" t="s">
        <v>5095</v>
      </c>
      <c r="AD271" s="152"/>
      <c r="AE271" s="35"/>
      <c r="AF271" s="35"/>
      <c r="AG271" s="151"/>
    </row>
    <row r="272" ht="44.25" customHeight="1">
      <c r="A272" s="35">
        <v>271.0</v>
      </c>
      <c r="B272" s="35">
        <v>6079.0</v>
      </c>
      <c r="C272" s="35" t="s">
        <v>351</v>
      </c>
      <c r="D272" s="35" t="s">
        <v>994</v>
      </c>
      <c r="E272" s="35" t="s">
        <v>3229</v>
      </c>
      <c r="F272" s="35" t="s">
        <v>5097</v>
      </c>
      <c r="G272" s="41" t="s">
        <v>5098</v>
      </c>
      <c r="H272" s="35" t="s">
        <v>59</v>
      </c>
      <c r="I272" s="35" t="s">
        <v>61</v>
      </c>
      <c r="J272" s="35" t="s">
        <v>62</v>
      </c>
      <c r="K272" s="35" t="s">
        <v>63</v>
      </c>
      <c r="L272" s="35">
        <v>20.0</v>
      </c>
      <c r="M272" s="35" t="s">
        <v>5103</v>
      </c>
      <c r="N272" s="35" t="s">
        <v>66</v>
      </c>
      <c r="O272" s="35"/>
      <c r="P272" s="35"/>
      <c r="Q272" s="64"/>
      <c r="R272" s="64"/>
      <c r="S272" s="64"/>
      <c r="T272" s="35"/>
      <c r="U272" s="35">
        <v>4.0</v>
      </c>
      <c r="V272" s="35" t="s">
        <v>61</v>
      </c>
      <c r="W272" s="35" t="s">
        <v>93</v>
      </c>
      <c r="X272" s="35" t="s">
        <v>5104</v>
      </c>
      <c r="Y272" s="35" t="s">
        <v>5105</v>
      </c>
      <c r="Z272" s="35" t="s">
        <v>5107</v>
      </c>
      <c r="AA272" s="46">
        <v>46023.0</v>
      </c>
      <c r="AB272" s="151">
        <v>46387.0</v>
      </c>
      <c r="AC272" s="35" t="s">
        <v>5109</v>
      </c>
      <c r="AD272" s="152"/>
      <c r="AE272" s="35"/>
      <c r="AF272" s="35"/>
      <c r="AG272" s="151"/>
    </row>
    <row r="273" ht="44.25" customHeight="1">
      <c r="A273" s="35">
        <v>272.0</v>
      </c>
      <c r="B273" s="35">
        <v>409.0</v>
      </c>
      <c r="C273" s="35" t="s">
        <v>351</v>
      </c>
      <c r="D273" s="35" t="s">
        <v>994</v>
      </c>
      <c r="E273" s="35" t="s">
        <v>3246</v>
      </c>
      <c r="F273" s="35" t="s">
        <v>5111</v>
      </c>
      <c r="G273" s="41" t="s">
        <v>5113</v>
      </c>
      <c r="H273" s="35" t="s">
        <v>59</v>
      </c>
      <c r="I273" s="35" t="s">
        <v>61</v>
      </c>
      <c r="J273" s="35" t="s">
        <v>62</v>
      </c>
      <c r="K273" s="35" t="s">
        <v>63</v>
      </c>
      <c r="L273" s="35">
        <v>77.0</v>
      </c>
      <c r="M273" s="35" t="s">
        <v>5115</v>
      </c>
      <c r="N273" s="35" t="s">
        <v>66</v>
      </c>
      <c r="O273" s="35" t="s">
        <v>67</v>
      </c>
      <c r="P273" s="35" t="s">
        <v>955</v>
      </c>
      <c r="Q273" s="64"/>
      <c r="R273" s="64"/>
      <c r="S273" s="64"/>
      <c r="T273" s="35" t="s">
        <v>955</v>
      </c>
      <c r="U273" s="35">
        <v>4.0</v>
      </c>
      <c r="V273" s="35" t="s">
        <v>61</v>
      </c>
      <c r="W273" s="35" t="s">
        <v>93</v>
      </c>
      <c r="X273" s="35" t="s">
        <v>5119</v>
      </c>
      <c r="Y273" s="35" t="s">
        <v>5120</v>
      </c>
      <c r="Z273" s="35" t="s">
        <v>5121</v>
      </c>
      <c r="AA273" s="46">
        <v>46023.0</v>
      </c>
      <c r="AB273" s="151">
        <v>46387.0</v>
      </c>
      <c r="AC273" s="35" t="s">
        <v>5123</v>
      </c>
      <c r="AD273" s="152"/>
      <c r="AE273" s="35"/>
      <c r="AF273" s="35"/>
      <c r="AG273" s="151"/>
    </row>
    <row r="274" ht="44.25" customHeight="1">
      <c r="A274" s="35">
        <v>273.0</v>
      </c>
      <c r="B274" s="35">
        <v>31925.0</v>
      </c>
      <c r="C274" s="35" t="s">
        <v>351</v>
      </c>
      <c r="D274" s="35" t="s">
        <v>994</v>
      </c>
      <c r="E274" s="35" t="s">
        <v>3246</v>
      </c>
      <c r="F274" s="35" t="s">
        <v>5124</v>
      </c>
      <c r="G274" s="41" t="s">
        <v>5126</v>
      </c>
      <c r="H274" s="35" t="s">
        <v>59</v>
      </c>
      <c r="I274" s="35" t="s">
        <v>61</v>
      </c>
      <c r="J274" s="35" t="s">
        <v>62</v>
      </c>
      <c r="K274" s="35" t="s">
        <v>111</v>
      </c>
      <c r="L274" s="35">
        <v>60.0</v>
      </c>
      <c r="M274" s="35" t="s">
        <v>5008</v>
      </c>
      <c r="N274" s="35" t="s">
        <v>66</v>
      </c>
      <c r="O274" s="35"/>
      <c r="P274" s="35" t="s">
        <v>5130</v>
      </c>
      <c r="Q274" s="64"/>
      <c r="R274" s="64"/>
      <c r="S274" s="64"/>
      <c r="T274" s="35" t="s">
        <v>955</v>
      </c>
      <c r="U274" s="35">
        <v>10.0</v>
      </c>
      <c r="V274" s="35" t="s">
        <v>61</v>
      </c>
      <c r="W274" s="35" t="s">
        <v>93</v>
      </c>
      <c r="X274" s="35" t="s">
        <v>5132</v>
      </c>
      <c r="Y274" s="35" t="s">
        <v>5133</v>
      </c>
      <c r="Z274" s="35" t="s">
        <v>5134</v>
      </c>
      <c r="AA274" s="46">
        <v>46023.0</v>
      </c>
      <c r="AB274" s="151">
        <v>46387.0</v>
      </c>
      <c r="AC274" s="35" t="s">
        <v>5135</v>
      </c>
      <c r="AD274" s="152"/>
      <c r="AE274" s="35"/>
      <c r="AF274" s="35"/>
      <c r="AG274" s="151"/>
    </row>
    <row r="275" ht="44.25" customHeight="1">
      <c r="A275" s="35">
        <v>274.0</v>
      </c>
      <c r="B275" s="35">
        <v>4591.0</v>
      </c>
      <c r="C275" s="35" t="s">
        <v>351</v>
      </c>
      <c r="D275" s="35" t="s">
        <v>994</v>
      </c>
      <c r="E275" s="35" t="s">
        <v>3246</v>
      </c>
      <c r="F275" s="35" t="s">
        <v>5140</v>
      </c>
      <c r="G275" s="41" t="s">
        <v>5141</v>
      </c>
      <c r="H275" s="35" t="s">
        <v>59</v>
      </c>
      <c r="I275" s="35" t="s">
        <v>61</v>
      </c>
      <c r="J275" s="35" t="s">
        <v>62</v>
      </c>
      <c r="K275" s="35" t="s">
        <v>68</v>
      </c>
      <c r="L275" s="35">
        <v>250.0</v>
      </c>
      <c r="M275" s="35" t="s">
        <v>5145</v>
      </c>
      <c r="N275" s="35" t="s">
        <v>71</v>
      </c>
      <c r="O275" s="35" t="s">
        <v>72</v>
      </c>
      <c r="P275" s="35" t="s">
        <v>1180</v>
      </c>
      <c r="Q275" s="64"/>
      <c r="R275" s="64"/>
      <c r="S275" s="64"/>
      <c r="T275" s="35"/>
      <c r="U275" s="35">
        <v>50.0</v>
      </c>
      <c r="V275" s="35" t="s">
        <v>61</v>
      </c>
      <c r="W275" s="35" t="s">
        <v>93</v>
      </c>
      <c r="X275" s="35" t="s">
        <v>5147</v>
      </c>
      <c r="Y275" s="35">
        <v>6.3464818E10</v>
      </c>
      <c r="Z275" s="35" t="s">
        <v>5148</v>
      </c>
      <c r="AA275" s="46">
        <v>46023.0</v>
      </c>
      <c r="AB275" s="151">
        <v>46387.0</v>
      </c>
      <c r="AC275" s="35" t="s">
        <v>5149</v>
      </c>
      <c r="AD275" s="35" t="s">
        <v>79</v>
      </c>
      <c r="AE275" s="35"/>
      <c r="AF275" s="35" t="s">
        <v>5151</v>
      </c>
      <c r="AG275" s="151"/>
    </row>
    <row r="276" ht="44.25" customHeight="1">
      <c r="A276" s="35">
        <v>275.0</v>
      </c>
      <c r="B276" s="35">
        <v>3867.0</v>
      </c>
      <c r="C276" s="35" t="s">
        <v>351</v>
      </c>
      <c r="D276" s="35" t="s">
        <v>994</v>
      </c>
      <c r="E276" s="35" t="s">
        <v>3246</v>
      </c>
      <c r="F276" s="35" t="s">
        <v>5155</v>
      </c>
      <c r="G276" s="41" t="s">
        <v>5156</v>
      </c>
      <c r="H276" s="35" t="s">
        <v>59</v>
      </c>
      <c r="I276" s="35" t="s">
        <v>61</v>
      </c>
      <c r="J276" s="35" t="s">
        <v>62</v>
      </c>
      <c r="K276" s="35" t="s">
        <v>111</v>
      </c>
      <c r="L276" s="35">
        <v>154.0</v>
      </c>
      <c r="M276" s="35" t="s">
        <v>5158</v>
      </c>
      <c r="N276" s="35" t="s">
        <v>66</v>
      </c>
      <c r="O276" s="35"/>
      <c r="P276" s="35" t="s">
        <v>5161</v>
      </c>
      <c r="Q276" s="64"/>
      <c r="R276" s="64"/>
      <c r="S276" s="64"/>
      <c r="T276" s="35" t="s">
        <v>955</v>
      </c>
      <c r="U276" s="35">
        <v>16.0</v>
      </c>
      <c r="V276" s="35" t="s">
        <v>61</v>
      </c>
      <c r="W276" s="35" t="s">
        <v>93</v>
      </c>
      <c r="X276" s="35" t="s">
        <v>5162</v>
      </c>
      <c r="Y276" s="35" t="s">
        <v>5163</v>
      </c>
      <c r="Z276" s="35" t="s">
        <v>5164</v>
      </c>
      <c r="AA276" s="46">
        <v>46023.0</v>
      </c>
      <c r="AB276" s="151">
        <v>46387.0</v>
      </c>
      <c r="AC276" s="35" t="s">
        <v>5165</v>
      </c>
      <c r="AD276" s="35" t="s">
        <v>638</v>
      </c>
      <c r="AE276" s="35"/>
      <c r="AF276" s="35" t="s">
        <v>5167</v>
      </c>
      <c r="AG276" s="151"/>
    </row>
    <row r="277" ht="44.25" customHeight="1">
      <c r="A277" s="35">
        <v>276.0</v>
      </c>
      <c r="B277" s="35">
        <v>34425.0</v>
      </c>
      <c r="C277" s="35" t="s">
        <v>351</v>
      </c>
      <c r="D277" s="35" t="s">
        <v>994</v>
      </c>
      <c r="E277" s="35" t="s">
        <v>3246</v>
      </c>
      <c r="F277" s="35" t="s">
        <v>5168</v>
      </c>
      <c r="G277" s="41" t="s">
        <v>5170</v>
      </c>
      <c r="H277" s="35" t="s">
        <v>59</v>
      </c>
      <c r="I277" s="35" t="s">
        <v>61</v>
      </c>
      <c r="J277" s="35" t="s">
        <v>62</v>
      </c>
      <c r="K277" s="35" t="s">
        <v>63</v>
      </c>
      <c r="L277" s="35">
        <v>12.0</v>
      </c>
      <c r="M277" s="35" t="s">
        <v>1074</v>
      </c>
      <c r="N277" s="35" t="s">
        <v>66</v>
      </c>
      <c r="O277" s="35" t="s">
        <v>67</v>
      </c>
      <c r="P277" s="35" t="s">
        <v>955</v>
      </c>
      <c r="Q277" s="64"/>
      <c r="R277" s="64"/>
      <c r="S277" s="64"/>
      <c r="T277" s="35" t="s">
        <v>955</v>
      </c>
      <c r="U277" s="35" t="s">
        <v>955</v>
      </c>
      <c r="V277" s="35" t="s">
        <v>61</v>
      </c>
      <c r="W277" s="35" t="s">
        <v>74</v>
      </c>
      <c r="X277" s="35" t="s">
        <v>5174</v>
      </c>
      <c r="Y277" s="35">
        <v>9.42380786E9</v>
      </c>
      <c r="Z277" s="35" t="s">
        <v>5175</v>
      </c>
      <c r="AA277" s="46">
        <v>46023.0</v>
      </c>
      <c r="AB277" s="151">
        <v>46387.0</v>
      </c>
      <c r="AC277" s="35" t="s">
        <v>5176</v>
      </c>
      <c r="AD277" s="152"/>
      <c r="AE277" s="35"/>
      <c r="AF277" s="35"/>
      <c r="AG277" s="151"/>
    </row>
    <row r="278" ht="44.25" customHeight="1">
      <c r="A278" s="35">
        <v>277.0</v>
      </c>
      <c r="B278" s="35"/>
      <c r="C278" s="35" t="s">
        <v>351</v>
      </c>
      <c r="D278" s="35" t="s">
        <v>994</v>
      </c>
      <c r="E278" s="35" t="s">
        <v>3246</v>
      </c>
      <c r="F278" s="35" t="s">
        <v>5180</v>
      </c>
      <c r="G278" s="41" t="s">
        <v>5181</v>
      </c>
      <c r="H278" s="35" t="s">
        <v>59</v>
      </c>
      <c r="I278" s="35" t="s">
        <v>61</v>
      </c>
      <c r="J278" s="35" t="s">
        <v>62</v>
      </c>
      <c r="K278" s="35" t="s">
        <v>111</v>
      </c>
      <c r="L278" s="35">
        <v>27.0</v>
      </c>
      <c r="M278" s="35" t="s">
        <v>1918</v>
      </c>
      <c r="N278" s="35" t="s">
        <v>66</v>
      </c>
      <c r="O278" s="35" t="s">
        <v>67</v>
      </c>
      <c r="P278" s="35" t="s">
        <v>61</v>
      </c>
      <c r="Q278" s="64"/>
      <c r="R278" s="64"/>
      <c r="S278" s="64"/>
      <c r="T278" s="35" t="s">
        <v>61</v>
      </c>
      <c r="U278" s="35" t="s">
        <v>61</v>
      </c>
      <c r="V278" s="35" t="s">
        <v>61</v>
      </c>
      <c r="W278" s="35" t="s">
        <v>93</v>
      </c>
      <c r="X278" s="35" t="s">
        <v>5183</v>
      </c>
      <c r="Y278" s="35">
        <v>9.669522491E9</v>
      </c>
      <c r="Z278" s="35" t="s">
        <v>5184</v>
      </c>
      <c r="AA278" s="46">
        <v>46023.0</v>
      </c>
      <c r="AB278" s="151">
        <v>46387.0</v>
      </c>
      <c r="AC278" s="35" t="s">
        <v>5186</v>
      </c>
      <c r="AD278" s="152"/>
      <c r="AE278" s="35"/>
      <c r="AF278" s="35"/>
      <c r="AG278" s="151"/>
    </row>
    <row r="279" ht="44.25" customHeight="1">
      <c r="A279" s="35">
        <v>278.0</v>
      </c>
      <c r="B279" s="35">
        <v>31977.0</v>
      </c>
      <c r="C279" s="35" t="s">
        <v>351</v>
      </c>
      <c r="D279" s="35" t="s">
        <v>994</v>
      </c>
      <c r="E279" s="35" t="s">
        <v>5189</v>
      </c>
      <c r="F279" s="35" t="s">
        <v>5190</v>
      </c>
      <c r="G279" s="41" t="s">
        <v>5191</v>
      </c>
      <c r="H279" s="35" t="s">
        <v>59</v>
      </c>
      <c r="I279" s="35" t="s">
        <v>61</v>
      </c>
      <c r="J279" s="35" t="s">
        <v>62</v>
      </c>
      <c r="K279" s="35" t="s">
        <v>111</v>
      </c>
      <c r="L279" s="35">
        <v>100.0</v>
      </c>
      <c r="M279" s="35" t="s">
        <v>5192</v>
      </c>
      <c r="N279" s="35" t="s">
        <v>66</v>
      </c>
      <c r="O279" s="35"/>
      <c r="P279" s="35" t="s">
        <v>5193</v>
      </c>
      <c r="Q279" s="64"/>
      <c r="R279" s="64"/>
      <c r="S279" s="64"/>
      <c r="T279" s="35" t="s">
        <v>955</v>
      </c>
      <c r="U279" s="35">
        <v>17.0</v>
      </c>
      <c r="V279" s="35" t="s">
        <v>61</v>
      </c>
      <c r="W279" s="35" t="s">
        <v>93</v>
      </c>
      <c r="X279" s="35" t="s">
        <v>5194</v>
      </c>
      <c r="Y279" s="35" t="s">
        <v>5195</v>
      </c>
      <c r="Z279" s="35" t="s">
        <v>5196</v>
      </c>
      <c r="AA279" s="46">
        <v>46023.0</v>
      </c>
      <c r="AB279" s="151">
        <v>46387.0</v>
      </c>
      <c r="AC279" s="35" t="s">
        <v>5197</v>
      </c>
      <c r="AD279" s="152"/>
      <c r="AE279" s="35"/>
      <c r="AF279" s="35"/>
      <c r="AG279" s="151"/>
    </row>
    <row r="280" ht="44.25" customHeight="1">
      <c r="A280" s="35">
        <v>279.0</v>
      </c>
      <c r="B280" s="35">
        <v>6011.0</v>
      </c>
      <c r="C280" s="35" t="s">
        <v>351</v>
      </c>
      <c r="D280" s="35" t="s">
        <v>994</v>
      </c>
      <c r="E280" s="35" t="s">
        <v>5189</v>
      </c>
      <c r="F280" s="35" t="s">
        <v>5198</v>
      </c>
      <c r="G280" s="41" t="s">
        <v>5199</v>
      </c>
      <c r="H280" s="35" t="s">
        <v>59</v>
      </c>
      <c r="I280" s="35" t="s">
        <v>61</v>
      </c>
      <c r="J280" s="35" t="s">
        <v>62</v>
      </c>
      <c r="K280" s="35" t="s">
        <v>111</v>
      </c>
      <c r="L280" s="35">
        <v>75.0</v>
      </c>
      <c r="M280" s="35" t="s">
        <v>5200</v>
      </c>
      <c r="N280" s="35" t="s">
        <v>66</v>
      </c>
      <c r="O280" s="35" t="s">
        <v>67</v>
      </c>
      <c r="P280" s="35" t="s">
        <v>5201</v>
      </c>
      <c r="Q280" s="64"/>
      <c r="R280" s="64"/>
      <c r="S280" s="64"/>
      <c r="T280" s="35" t="s">
        <v>955</v>
      </c>
      <c r="U280" s="35">
        <v>34.0</v>
      </c>
      <c r="V280" s="35" t="s">
        <v>61</v>
      </c>
      <c r="W280" s="35" t="s">
        <v>93</v>
      </c>
      <c r="X280" s="35" t="s">
        <v>5202</v>
      </c>
      <c r="Y280" s="35">
        <v>9.778208457E9</v>
      </c>
      <c r="Z280" s="35" t="s">
        <v>5203</v>
      </c>
      <c r="AA280" s="46">
        <v>46023.0</v>
      </c>
      <c r="AB280" s="151">
        <v>46387.0</v>
      </c>
      <c r="AC280" s="35" t="s">
        <v>5204</v>
      </c>
      <c r="AD280" s="152"/>
      <c r="AE280" s="35"/>
      <c r="AF280" s="35"/>
      <c r="AG280" s="151"/>
    </row>
    <row r="281" ht="44.25" customHeight="1">
      <c r="A281" s="35">
        <v>280.0</v>
      </c>
      <c r="B281" s="35">
        <v>551.0</v>
      </c>
      <c r="C281" s="35" t="s">
        <v>351</v>
      </c>
      <c r="D281" s="35" t="s">
        <v>994</v>
      </c>
      <c r="E281" s="35" t="s">
        <v>5189</v>
      </c>
      <c r="F281" s="35" t="s">
        <v>5206</v>
      </c>
      <c r="G281" s="41" t="s">
        <v>5207</v>
      </c>
      <c r="H281" s="35" t="s">
        <v>59</v>
      </c>
      <c r="I281" s="35" t="s">
        <v>61</v>
      </c>
      <c r="J281" s="35" t="s">
        <v>62</v>
      </c>
      <c r="K281" s="35" t="s">
        <v>63</v>
      </c>
      <c r="L281" s="35">
        <v>50.0</v>
      </c>
      <c r="M281" s="35" t="s">
        <v>1918</v>
      </c>
      <c r="N281" s="35" t="s">
        <v>66</v>
      </c>
      <c r="O281" s="35" t="s">
        <v>67</v>
      </c>
      <c r="P281" s="35" t="s">
        <v>5209</v>
      </c>
      <c r="Q281" s="64"/>
      <c r="R281" s="64"/>
      <c r="S281" s="64"/>
      <c r="T281" s="35" t="s">
        <v>5211</v>
      </c>
      <c r="U281" s="35">
        <v>7.0</v>
      </c>
      <c r="V281" s="35" t="s">
        <v>61</v>
      </c>
      <c r="W281" s="35" t="s">
        <v>74</v>
      </c>
      <c r="X281" s="35" t="s">
        <v>5214</v>
      </c>
      <c r="Y281" s="35" t="s">
        <v>5215</v>
      </c>
      <c r="Z281" s="35" t="s">
        <v>5216</v>
      </c>
      <c r="AA281" s="46">
        <v>46023.0</v>
      </c>
      <c r="AB281" s="151">
        <v>46387.0</v>
      </c>
      <c r="AC281" s="35" t="s">
        <v>5217</v>
      </c>
      <c r="AD281" s="152"/>
      <c r="AE281" s="35"/>
      <c r="AF281" s="35"/>
      <c r="AG281" s="151"/>
    </row>
    <row r="282" ht="44.25" customHeight="1">
      <c r="A282" s="35">
        <v>281.0</v>
      </c>
      <c r="B282" s="35">
        <v>32011.0</v>
      </c>
      <c r="C282" s="35" t="s">
        <v>351</v>
      </c>
      <c r="D282" s="35" t="s">
        <v>994</v>
      </c>
      <c r="E282" s="35" t="s">
        <v>5189</v>
      </c>
      <c r="F282" s="35" t="s">
        <v>5221</v>
      </c>
      <c r="G282" s="41" t="s">
        <v>5222</v>
      </c>
      <c r="H282" s="35" t="s">
        <v>59</v>
      </c>
      <c r="I282" s="35" t="s">
        <v>61</v>
      </c>
      <c r="J282" s="35" t="s">
        <v>62</v>
      </c>
      <c r="K282" s="35" t="s">
        <v>111</v>
      </c>
      <c r="L282" s="35">
        <v>50.0</v>
      </c>
      <c r="M282" s="35" t="s">
        <v>5225</v>
      </c>
      <c r="N282" s="35" t="s">
        <v>66</v>
      </c>
      <c r="O282" s="35"/>
      <c r="P282" s="35" t="s">
        <v>5227</v>
      </c>
      <c r="Q282" s="64"/>
      <c r="R282" s="64"/>
      <c r="S282" s="64"/>
      <c r="T282" s="35" t="s">
        <v>955</v>
      </c>
      <c r="U282" s="35">
        <v>12.0</v>
      </c>
      <c r="V282" s="35" t="s">
        <v>61</v>
      </c>
      <c r="W282" s="35" t="s">
        <v>93</v>
      </c>
      <c r="X282" s="35" t="s">
        <v>5229</v>
      </c>
      <c r="Y282" s="35">
        <v>9.171043337E9</v>
      </c>
      <c r="Z282" s="35" t="s">
        <v>5230</v>
      </c>
      <c r="AA282" s="46">
        <v>46023.0</v>
      </c>
      <c r="AB282" s="151">
        <v>46387.0</v>
      </c>
      <c r="AC282" s="35" t="s">
        <v>5231</v>
      </c>
      <c r="AD282" s="35" t="s">
        <v>638</v>
      </c>
      <c r="AE282" s="35"/>
      <c r="AF282" s="35" t="s">
        <v>5232</v>
      </c>
      <c r="AG282" s="151"/>
    </row>
    <row r="283" ht="44.25" customHeight="1">
      <c r="A283" s="35">
        <v>282.0</v>
      </c>
      <c r="B283" s="35">
        <v>39068.0</v>
      </c>
      <c r="C283" s="35" t="s">
        <v>351</v>
      </c>
      <c r="D283" s="35" t="s">
        <v>994</v>
      </c>
      <c r="E283" s="35" t="s">
        <v>3263</v>
      </c>
      <c r="F283" s="35" t="s">
        <v>5233</v>
      </c>
      <c r="G283" s="41" t="s">
        <v>5234</v>
      </c>
      <c r="H283" s="35" t="s">
        <v>59</v>
      </c>
      <c r="I283" s="35" t="s">
        <v>61</v>
      </c>
      <c r="J283" s="35" t="s">
        <v>62</v>
      </c>
      <c r="K283" s="35" t="s">
        <v>111</v>
      </c>
      <c r="L283" s="35">
        <v>100.0</v>
      </c>
      <c r="M283" s="35" t="s">
        <v>5235</v>
      </c>
      <c r="N283" s="35" t="s">
        <v>66</v>
      </c>
      <c r="O283" s="35" t="s">
        <v>67</v>
      </c>
      <c r="P283" s="35" t="s">
        <v>5236</v>
      </c>
      <c r="Q283" s="64"/>
      <c r="R283" s="64"/>
      <c r="S283" s="64"/>
      <c r="T283" s="35" t="s">
        <v>955</v>
      </c>
      <c r="U283" s="35">
        <v>12.0</v>
      </c>
      <c r="V283" s="35" t="s">
        <v>61</v>
      </c>
      <c r="W283" s="35" t="s">
        <v>93</v>
      </c>
      <c r="X283" s="35" t="s">
        <v>5237</v>
      </c>
      <c r="Y283" s="35" t="s">
        <v>5239</v>
      </c>
      <c r="Z283" s="35" t="s">
        <v>5240</v>
      </c>
      <c r="AA283" s="46">
        <v>46023.0</v>
      </c>
      <c r="AB283" s="151">
        <v>46387.0</v>
      </c>
      <c r="AC283" s="35" t="s">
        <v>5242</v>
      </c>
      <c r="AD283" s="35" t="s">
        <v>638</v>
      </c>
      <c r="AE283" s="35"/>
      <c r="AF283" s="35" t="s">
        <v>5243</v>
      </c>
      <c r="AG283" s="151"/>
    </row>
    <row r="284" ht="44.25" customHeight="1">
      <c r="A284" s="35">
        <v>283.0</v>
      </c>
      <c r="B284" s="35">
        <v>3633.0</v>
      </c>
      <c r="C284" s="35" t="s">
        <v>351</v>
      </c>
      <c r="D284" s="35" t="s">
        <v>994</v>
      </c>
      <c r="E284" s="35" t="s">
        <v>3263</v>
      </c>
      <c r="F284" s="35" t="s">
        <v>5245</v>
      </c>
      <c r="G284" s="41" t="s">
        <v>5247</v>
      </c>
      <c r="H284" s="35" t="s">
        <v>59</v>
      </c>
      <c r="I284" s="35" t="s">
        <v>61</v>
      </c>
      <c r="J284" s="35" t="s">
        <v>62</v>
      </c>
      <c r="K284" s="35" t="s">
        <v>63</v>
      </c>
      <c r="L284" s="35">
        <v>15.0</v>
      </c>
      <c r="M284" s="35" t="s">
        <v>1074</v>
      </c>
      <c r="N284" s="35" t="s">
        <v>66</v>
      </c>
      <c r="O284" s="35" t="s">
        <v>67</v>
      </c>
      <c r="P284" s="35" t="s">
        <v>955</v>
      </c>
      <c r="Q284" s="64"/>
      <c r="R284" s="64"/>
      <c r="S284" s="64"/>
      <c r="T284" s="35" t="s">
        <v>955</v>
      </c>
      <c r="U284" s="35" t="s">
        <v>955</v>
      </c>
      <c r="V284" s="35" t="s">
        <v>61</v>
      </c>
      <c r="W284" s="35" t="s">
        <v>74</v>
      </c>
      <c r="X284" s="35" t="s">
        <v>5251</v>
      </c>
      <c r="Y284" s="35">
        <v>4.64716403E8</v>
      </c>
      <c r="Z284" s="35" t="s">
        <v>5252</v>
      </c>
      <c r="AA284" s="46">
        <v>46023.0</v>
      </c>
      <c r="AB284" s="151">
        <v>46387.0</v>
      </c>
      <c r="AC284" s="35" t="s">
        <v>5253</v>
      </c>
      <c r="AD284" s="152"/>
      <c r="AE284" s="35"/>
      <c r="AF284" s="35"/>
      <c r="AG284" s="151"/>
    </row>
    <row r="285" ht="44.25" customHeight="1">
      <c r="A285" s="35">
        <v>284.0</v>
      </c>
      <c r="B285" s="35">
        <v>2596.0</v>
      </c>
      <c r="C285" s="35" t="s">
        <v>351</v>
      </c>
      <c r="D285" s="35" t="s">
        <v>994</v>
      </c>
      <c r="E285" s="35" t="s">
        <v>3263</v>
      </c>
      <c r="F285" s="35" t="s">
        <v>5258</v>
      </c>
      <c r="G285" s="41" t="s">
        <v>5259</v>
      </c>
      <c r="H285" s="35" t="s">
        <v>59</v>
      </c>
      <c r="I285" s="35" t="s">
        <v>61</v>
      </c>
      <c r="J285" s="35" t="s">
        <v>62</v>
      </c>
      <c r="K285" s="35" t="s">
        <v>111</v>
      </c>
      <c r="L285" s="35">
        <v>90.0</v>
      </c>
      <c r="M285" s="35" t="s">
        <v>4734</v>
      </c>
      <c r="N285" s="35" t="s">
        <v>66</v>
      </c>
      <c r="O285" s="35"/>
      <c r="P285" s="35" t="s">
        <v>5260</v>
      </c>
      <c r="Q285" s="64"/>
      <c r="R285" s="64"/>
      <c r="S285" s="64"/>
      <c r="T285" s="35" t="s">
        <v>955</v>
      </c>
      <c r="U285" s="35">
        <v>14.0</v>
      </c>
      <c r="V285" s="35" t="s">
        <v>61</v>
      </c>
      <c r="W285" s="35" t="s">
        <v>93</v>
      </c>
      <c r="X285" s="35" t="s">
        <v>5264</v>
      </c>
      <c r="Y285" s="35">
        <v>9.175984781E9</v>
      </c>
      <c r="Z285" s="35" t="s">
        <v>5265</v>
      </c>
      <c r="AA285" s="46">
        <v>46023.0</v>
      </c>
      <c r="AB285" s="151">
        <v>46387.0</v>
      </c>
      <c r="AC285" s="35" t="s">
        <v>5266</v>
      </c>
      <c r="AD285" s="35" t="s">
        <v>638</v>
      </c>
      <c r="AE285" s="35"/>
      <c r="AF285" s="35" t="s">
        <v>5268</v>
      </c>
      <c r="AG285" s="151"/>
    </row>
    <row r="286" ht="44.25" customHeight="1">
      <c r="A286" s="35">
        <v>285.0</v>
      </c>
      <c r="B286" s="35">
        <v>7517.0</v>
      </c>
      <c r="C286" s="35" t="s">
        <v>351</v>
      </c>
      <c r="D286" s="35" t="s">
        <v>994</v>
      </c>
      <c r="E286" s="35" t="s">
        <v>3263</v>
      </c>
      <c r="F286" s="35" t="s">
        <v>5269</v>
      </c>
      <c r="G286" s="41" t="s">
        <v>5270</v>
      </c>
      <c r="H286" s="35" t="s">
        <v>59</v>
      </c>
      <c r="I286" s="35" t="s">
        <v>61</v>
      </c>
      <c r="J286" s="35" t="s">
        <v>62</v>
      </c>
      <c r="K286" s="35" t="s">
        <v>111</v>
      </c>
      <c r="L286" s="35">
        <v>100.0</v>
      </c>
      <c r="M286" s="35" t="s">
        <v>5274</v>
      </c>
      <c r="N286" s="35" t="s">
        <v>66</v>
      </c>
      <c r="O286" s="35"/>
      <c r="P286" s="35" t="s">
        <v>5276</v>
      </c>
      <c r="Q286" s="64"/>
      <c r="R286" s="64"/>
      <c r="S286" s="64"/>
      <c r="T286" s="35" t="s">
        <v>955</v>
      </c>
      <c r="U286" s="35">
        <v>20.0</v>
      </c>
      <c r="V286" s="35" t="s">
        <v>61</v>
      </c>
      <c r="W286" s="35" t="s">
        <v>93</v>
      </c>
      <c r="X286" s="35" t="s">
        <v>5280</v>
      </c>
      <c r="Y286" s="35" t="s">
        <v>5281</v>
      </c>
      <c r="Z286" s="35" t="s">
        <v>5282</v>
      </c>
      <c r="AA286" s="46">
        <v>46023.0</v>
      </c>
      <c r="AB286" s="151">
        <v>46387.0</v>
      </c>
      <c r="AC286" s="35" t="s">
        <v>5283</v>
      </c>
      <c r="AD286" s="152"/>
      <c r="AE286" s="35"/>
      <c r="AF286" s="35"/>
      <c r="AG286" s="151"/>
    </row>
    <row r="287" ht="44.25" customHeight="1">
      <c r="A287" s="35">
        <v>286.0</v>
      </c>
      <c r="B287" s="35">
        <v>32060.0</v>
      </c>
      <c r="C287" s="35" t="s">
        <v>351</v>
      </c>
      <c r="D287" s="35" t="s">
        <v>994</v>
      </c>
      <c r="E287" s="35" t="s">
        <v>3263</v>
      </c>
      <c r="F287" s="35" t="s">
        <v>5287</v>
      </c>
      <c r="G287" s="41" t="s">
        <v>5289</v>
      </c>
      <c r="H287" s="35" t="s">
        <v>59</v>
      </c>
      <c r="I287" s="35" t="s">
        <v>61</v>
      </c>
      <c r="J287" s="35" t="s">
        <v>62</v>
      </c>
      <c r="K287" s="35" t="s">
        <v>63</v>
      </c>
      <c r="L287" s="35">
        <v>17.0</v>
      </c>
      <c r="M287" s="35" t="s">
        <v>2972</v>
      </c>
      <c r="N287" s="35" t="s">
        <v>66</v>
      </c>
      <c r="O287" s="35"/>
      <c r="P287" s="35" t="s">
        <v>955</v>
      </c>
      <c r="Q287" s="64"/>
      <c r="R287" s="64"/>
      <c r="S287" s="64"/>
      <c r="T287" s="35" t="s">
        <v>955</v>
      </c>
      <c r="U287" s="35" t="s">
        <v>955</v>
      </c>
      <c r="V287" s="35" t="s">
        <v>61</v>
      </c>
      <c r="W287" s="35" t="s">
        <v>74</v>
      </c>
      <c r="X287" s="35" t="s">
        <v>5294</v>
      </c>
      <c r="Y287" s="35">
        <v>9.279172681E9</v>
      </c>
      <c r="Z287" s="35" t="s">
        <v>5295</v>
      </c>
      <c r="AA287" s="46">
        <v>46023.0</v>
      </c>
      <c r="AB287" s="151">
        <v>46387.0</v>
      </c>
      <c r="AC287" s="35" t="s">
        <v>5297</v>
      </c>
      <c r="AD287" s="152"/>
      <c r="AE287" s="35"/>
      <c r="AF287" s="35"/>
      <c r="AG287" s="151"/>
    </row>
    <row r="288" ht="44.25" customHeight="1">
      <c r="A288" s="35">
        <v>287.0</v>
      </c>
      <c r="B288" s="35">
        <v>39696.0</v>
      </c>
      <c r="C288" s="35" t="s">
        <v>351</v>
      </c>
      <c r="D288" s="35" t="s">
        <v>994</v>
      </c>
      <c r="E288" s="35" t="s">
        <v>3263</v>
      </c>
      <c r="F288" s="35" t="s">
        <v>5300</v>
      </c>
      <c r="G288" s="41" t="s">
        <v>5302</v>
      </c>
      <c r="H288" s="35" t="s">
        <v>59</v>
      </c>
      <c r="I288" s="35" t="s">
        <v>61</v>
      </c>
      <c r="J288" s="35" t="s">
        <v>62</v>
      </c>
      <c r="K288" s="35" t="s">
        <v>111</v>
      </c>
      <c r="L288" s="35">
        <v>100.0</v>
      </c>
      <c r="M288" s="35" t="s">
        <v>5305</v>
      </c>
      <c r="N288" s="35" t="s">
        <v>66</v>
      </c>
      <c r="O288" s="35"/>
      <c r="P288" s="35" t="s">
        <v>5307</v>
      </c>
      <c r="Q288" s="64"/>
      <c r="R288" s="64"/>
      <c r="S288" s="64"/>
      <c r="T288" s="35" t="s">
        <v>955</v>
      </c>
      <c r="U288" s="35">
        <v>10.0</v>
      </c>
      <c r="V288" s="35" t="s">
        <v>61</v>
      </c>
      <c r="W288" s="35" t="s">
        <v>93</v>
      </c>
      <c r="X288" s="35" t="s">
        <v>5309</v>
      </c>
      <c r="Y288" s="35">
        <v>9.17554168E9</v>
      </c>
      <c r="Z288" s="35" t="s">
        <v>5311</v>
      </c>
      <c r="AA288" s="46">
        <v>46023.0</v>
      </c>
      <c r="AB288" s="151">
        <v>46387.0</v>
      </c>
      <c r="AC288" s="35" t="s">
        <v>5313</v>
      </c>
      <c r="AD288" s="152"/>
      <c r="AE288" s="35"/>
      <c r="AF288" s="35"/>
      <c r="AG288" s="151"/>
    </row>
    <row r="289" ht="44.25" customHeight="1">
      <c r="A289" s="35">
        <v>288.0</v>
      </c>
      <c r="B289" s="35">
        <v>32056.0</v>
      </c>
      <c r="C289" s="35" t="s">
        <v>351</v>
      </c>
      <c r="D289" s="35" t="s">
        <v>994</v>
      </c>
      <c r="E289" s="35" t="s">
        <v>5317</v>
      </c>
      <c r="F289" s="35" t="s">
        <v>5319</v>
      </c>
      <c r="G289" s="41" t="s">
        <v>5320</v>
      </c>
      <c r="H289" s="35" t="s">
        <v>59</v>
      </c>
      <c r="I289" s="35" t="s">
        <v>61</v>
      </c>
      <c r="J289" s="35" t="s">
        <v>62</v>
      </c>
      <c r="K289" s="35" t="s">
        <v>111</v>
      </c>
      <c r="L289" s="35">
        <v>50.0</v>
      </c>
      <c r="M289" s="35" t="s">
        <v>5321</v>
      </c>
      <c r="N289" s="35" t="s">
        <v>66</v>
      </c>
      <c r="O289" s="35"/>
      <c r="P289" s="35" t="s">
        <v>5322</v>
      </c>
      <c r="Q289" s="64"/>
      <c r="R289" s="64"/>
      <c r="S289" s="64"/>
      <c r="T289" s="35" t="s">
        <v>955</v>
      </c>
      <c r="U289" s="35">
        <v>10.0</v>
      </c>
      <c r="V289" s="35" t="s">
        <v>61</v>
      </c>
      <c r="W289" s="35" t="s">
        <v>93</v>
      </c>
      <c r="X289" s="35" t="s">
        <v>5325</v>
      </c>
      <c r="Y289" s="35" t="s">
        <v>5326</v>
      </c>
      <c r="Z289" s="35" t="s">
        <v>5327</v>
      </c>
      <c r="AA289" s="46">
        <v>46023.0</v>
      </c>
      <c r="AB289" s="151">
        <v>46387.0</v>
      </c>
      <c r="AC289" s="35" t="s">
        <v>5329</v>
      </c>
      <c r="AD289" s="152"/>
      <c r="AE289" s="35"/>
      <c r="AF289" s="35"/>
      <c r="AG289" s="151"/>
    </row>
    <row r="290" ht="44.25" customHeight="1">
      <c r="A290" s="35">
        <v>289.0</v>
      </c>
      <c r="B290" s="35">
        <v>38111.0</v>
      </c>
      <c r="C290" s="35" t="s">
        <v>351</v>
      </c>
      <c r="D290" s="35" t="s">
        <v>994</v>
      </c>
      <c r="E290" s="35" t="s">
        <v>5317</v>
      </c>
      <c r="F290" s="35" t="s">
        <v>5331</v>
      </c>
      <c r="G290" s="41" t="s">
        <v>5332</v>
      </c>
      <c r="H290" s="35" t="s">
        <v>59</v>
      </c>
      <c r="I290" s="35" t="s">
        <v>61</v>
      </c>
      <c r="J290" s="35" t="s">
        <v>62</v>
      </c>
      <c r="K290" s="35" t="s">
        <v>111</v>
      </c>
      <c r="L290" s="35">
        <v>65.0</v>
      </c>
      <c r="M290" s="35" t="s">
        <v>5335</v>
      </c>
      <c r="N290" s="35" t="s">
        <v>66</v>
      </c>
      <c r="O290" s="35"/>
      <c r="P290" s="35" t="s">
        <v>5337</v>
      </c>
      <c r="Q290" s="64"/>
      <c r="R290" s="64"/>
      <c r="S290" s="64"/>
      <c r="T290" s="35" t="s">
        <v>955</v>
      </c>
      <c r="U290" s="35">
        <v>10.0</v>
      </c>
      <c r="V290" s="35" t="s">
        <v>61</v>
      </c>
      <c r="W290" s="35" t="s">
        <v>93</v>
      </c>
      <c r="X290" s="35" t="s">
        <v>5339</v>
      </c>
      <c r="Y290" s="35" t="s">
        <v>5340</v>
      </c>
      <c r="Z290" s="35" t="s">
        <v>5341</v>
      </c>
      <c r="AA290" s="46">
        <v>46023.0</v>
      </c>
      <c r="AB290" s="151">
        <v>46387.0</v>
      </c>
      <c r="AC290" s="35" t="s">
        <v>5342</v>
      </c>
      <c r="AD290" s="35" t="s">
        <v>638</v>
      </c>
      <c r="AE290" s="35"/>
      <c r="AF290" s="35" t="s">
        <v>5343</v>
      </c>
      <c r="AG290" s="151"/>
    </row>
    <row r="291" ht="44.25" customHeight="1">
      <c r="A291" s="35">
        <v>290.0</v>
      </c>
      <c r="B291" s="35"/>
      <c r="C291" s="35" t="s">
        <v>351</v>
      </c>
      <c r="D291" s="35" t="s">
        <v>994</v>
      </c>
      <c r="E291" s="35" t="s">
        <v>5344</v>
      </c>
      <c r="F291" s="35" t="s">
        <v>5345</v>
      </c>
      <c r="G291" s="41" t="s">
        <v>5346</v>
      </c>
      <c r="H291" s="35" t="s">
        <v>59</v>
      </c>
      <c r="I291" s="35" t="s">
        <v>61</v>
      </c>
      <c r="J291" s="35" t="s">
        <v>62</v>
      </c>
      <c r="K291" s="35" t="s">
        <v>111</v>
      </c>
      <c r="L291" s="35">
        <v>100.0</v>
      </c>
      <c r="M291" s="35" t="s">
        <v>5347</v>
      </c>
      <c r="N291" s="35" t="s">
        <v>66</v>
      </c>
      <c r="O291" s="35" t="s">
        <v>67</v>
      </c>
      <c r="P291" s="35" t="s">
        <v>5348</v>
      </c>
      <c r="Q291" s="64"/>
      <c r="R291" s="64"/>
      <c r="S291" s="64"/>
      <c r="T291" s="35" t="s">
        <v>955</v>
      </c>
      <c r="U291" s="35">
        <v>11.0</v>
      </c>
      <c r="V291" s="35" t="s">
        <v>61</v>
      </c>
      <c r="W291" s="35" t="s">
        <v>93</v>
      </c>
      <c r="X291" s="35" t="s">
        <v>5349</v>
      </c>
      <c r="Y291" s="35">
        <v>9.17554168E9</v>
      </c>
      <c r="Z291" s="35" t="s">
        <v>5350</v>
      </c>
      <c r="AA291" s="46">
        <v>46023.0</v>
      </c>
      <c r="AB291" s="151">
        <v>46387.0</v>
      </c>
      <c r="AC291" s="35" t="s">
        <v>5351</v>
      </c>
      <c r="AD291" s="152"/>
      <c r="AE291" s="35"/>
      <c r="AF291" s="35"/>
      <c r="AG291" s="151"/>
    </row>
    <row r="292" ht="44.25" customHeight="1">
      <c r="A292" s="35">
        <v>291.0</v>
      </c>
      <c r="B292" s="35">
        <v>4795.0</v>
      </c>
      <c r="C292" s="35" t="s">
        <v>351</v>
      </c>
      <c r="D292" s="35" t="s">
        <v>994</v>
      </c>
      <c r="E292" s="35" t="s">
        <v>5354</v>
      </c>
      <c r="F292" s="35" t="s">
        <v>5355</v>
      </c>
      <c r="G292" s="41" t="s">
        <v>5356</v>
      </c>
      <c r="H292" s="35" t="s">
        <v>59</v>
      </c>
      <c r="I292" s="35" t="s">
        <v>61</v>
      </c>
      <c r="J292" s="35" t="s">
        <v>62</v>
      </c>
      <c r="K292" s="35" t="s">
        <v>63</v>
      </c>
      <c r="L292" s="35">
        <v>25.0</v>
      </c>
      <c r="M292" s="35" t="s">
        <v>5357</v>
      </c>
      <c r="N292" s="35" t="s">
        <v>66</v>
      </c>
      <c r="O292" s="35"/>
      <c r="P292" s="35" t="s">
        <v>5358</v>
      </c>
      <c r="Q292" s="64"/>
      <c r="R292" s="64"/>
      <c r="S292" s="64"/>
      <c r="T292" s="35" t="s">
        <v>955</v>
      </c>
      <c r="U292" s="35">
        <v>14.0</v>
      </c>
      <c r="V292" s="35" t="s">
        <v>61</v>
      </c>
      <c r="W292" s="35" t="s">
        <v>74</v>
      </c>
      <c r="X292" s="35" t="s">
        <v>5359</v>
      </c>
      <c r="Y292" s="35" t="s">
        <v>5360</v>
      </c>
      <c r="Z292" s="35" t="s">
        <v>5361</v>
      </c>
      <c r="AA292" s="46">
        <v>46023.0</v>
      </c>
      <c r="AB292" s="151">
        <v>46387.0</v>
      </c>
      <c r="AC292" s="35" t="s">
        <v>5362</v>
      </c>
      <c r="AD292" s="152"/>
      <c r="AE292" s="35"/>
      <c r="AF292" s="35"/>
      <c r="AG292" s="151"/>
    </row>
    <row r="293" ht="44.25" customHeight="1">
      <c r="A293" s="35">
        <v>292.0</v>
      </c>
      <c r="B293" s="35">
        <v>4612.0</v>
      </c>
      <c r="C293" s="35" t="s">
        <v>351</v>
      </c>
      <c r="D293" s="35" t="s">
        <v>994</v>
      </c>
      <c r="E293" s="35" t="s">
        <v>5354</v>
      </c>
      <c r="F293" s="35" t="s">
        <v>5363</v>
      </c>
      <c r="G293" s="41" t="s">
        <v>5364</v>
      </c>
      <c r="H293" s="35" t="s">
        <v>59</v>
      </c>
      <c r="I293" s="35" t="s">
        <v>61</v>
      </c>
      <c r="J293" s="35" t="s">
        <v>62</v>
      </c>
      <c r="K293" s="35" t="s">
        <v>63</v>
      </c>
      <c r="L293" s="35">
        <v>30.0</v>
      </c>
      <c r="M293" s="35" t="s">
        <v>2972</v>
      </c>
      <c r="N293" s="35" t="s">
        <v>66</v>
      </c>
      <c r="O293" s="35" t="s">
        <v>67</v>
      </c>
      <c r="P293" s="35" t="s">
        <v>955</v>
      </c>
      <c r="Q293" s="64"/>
      <c r="R293" s="64"/>
      <c r="S293" s="64"/>
      <c r="T293" s="35" t="s">
        <v>955</v>
      </c>
      <c r="U293" s="35" t="s">
        <v>955</v>
      </c>
      <c r="V293" s="35" t="s">
        <v>61</v>
      </c>
      <c r="W293" s="35" t="s">
        <v>74</v>
      </c>
      <c r="X293" s="35" t="s">
        <v>5368</v>
      </c>
      <c r="Y293" s="35" t="s">
        <v>5369</v>
      </c>
      <c r="Z293" s="35" t="s">
        <v>5370</v>
      </c>
      <c r="AA293" s="46">
        <v>46023.0</v>
      </c>
      <c r="AB293" s="151">
        <v>46387.0</v>
      </c>
      <c r="AC293" s="35" t="s">
        <v>5372</v>
      </c>
      <c r="AD293" s="152"/>
      <c r="AE293" s="35"/>
      <c r="AF293" s="35"/>
      <c r="AG293" s="151"/>
    </row>
    <row r="294" ht="44.25" customHeight="1">
      <c r="A294" s="35">
        <v>293.0</v>
      </c>
      <c r="B294" s="35">
        <v>769.0</v>
      </c>
      <c r="C294" s="35" t="s">
        <v>351</v>
      </c>
      <c r="D294" s="35" t="s">
        <v>994</v>
      </c>
      <c r="E294" s="35" t="s">
        <v>5373</v>
      </c>
      <c r="F294" s="35" t="s">
        <v>5374</v>
      </c>
      <c r="G294" s="41" t="s">
        <v>5376</v>
      </c>
      <c r="H294" s="35" t="s">
        <v>59</v>
      </c>
      <c r="I294" s="35" t="s">
        <v>61</v>
      </c>
      <c r="J294" s="35" t="s">
        <v>62</v>
      </c>
      <c r="K294" s="35" t="s">
        <v>63</v>
      </c>
      <c r="L294" s="35">
        <v>40.0</v>
      </c>
      <c r="M294" s="35" t="s">
        <v>5379</v>
      </c>
      <c r="N294" s="35" t="s">
        <v>66</v>
      </c>
      <c r="O294" s="35"/>
      <c r="P294" s="35" t="s">
        <v>955</v>
      </c>
      <c r="Q294" s="64"/>
      <c r="R294" s="64"/>
      <c r="S294" s="64"/>
      <c r="T294" s="35" t="s">
        <v>955</v>
      </c>
      <c r="U294" s="35" t="s">
        <v>955</v>
      </c>
      <c r="V294" s="35" t="s">
        <v>61</v>
      </c>
      <c r="W294" s="35" t="s">
        <v>74</v>
      </c>
      <c r="X294" s="35" t="s">
        <v>5381</v>
      </c>
      <c r="Y294" s="35" t="s">
        <v>5382</v>
      </c>
      <c r="Z294" s="35" t="s">
        <v>5383</v>
      </c>
      <c r="AA294" s="46">
        <v>46023.0</v>
      </c>
      <c r="AB294" s="151">
        <v>46387.0</v>
      </c>
      <c r="AC294" s="35" t="s">
        <v>5384</v>
      </c>
      <c r="AD294" s="152"/>
      <c r="AE294" s="35"/>
      <c r="AF294" s="35"/>
      <c r="AG294" s="151"/>
    </row>
    <row r="295" ht="44.25" customHeight="1">
      <c r="A295" s="35">
        <v>294.0</v>
      </c>
      <c r="B295" s="35">
        <v>691.0</v>
      </c>
      <c r="C295" s="35" t="s">
        <v>351</v>
      </c>
      <c r="D295" s="35" t="s">
        <v>994</v>
      </c>
      <c r="E295" s="35" t="s">
        <v>728</v>
      </c>
      <c r="F295" s="35" t="s">
        <v>5388</v>
      </c>
      <c r="G295" s="41" t="s">
        <v>5389</v>
      </c>
      <c r="H295" s="35" t="s">
        <v>59</v>
      </c>
      <c r="I295" s="35" t="s">
        <v>61</v>
      </c>
      <c r="J295" s="35" t="s">
        <v>62</v>
      </c>
      <c r="K295" s="35" t="s">
        <v>63</v>
      </c>
      <c r="L295" s="35">
        <v>12.0</v>
      </c>
      <c r="M295" s="35" t="s">
        <v>1918</v>
      </c>
      <c r="N295" s="35" t="s">
        <v>66</v>
      </c>
      <c r="O295" s="35" t="s">
        <v>67</v>
      </c>
      <c r="P295" s="35" t="s">
        <v>5209</v>
      </c>
      <c r="Q295" s="64"/>
      <c r="R295" s="64"/>
      <c r="S295" s="64"/>
      <c r="T295" s="35" t="s">
        <v>955</v>
      </c>
      <c r="U295" s="35" t="s">
        <v>955</v>
      </c>
      <c r="V295" s="35" t="s">
        <v>61</v>
      </c>
      <c r="W295" s="35" t="s">
        <v>74</v>
      </c>
      <c r="X295" s="35" t="s">
        <v>5392</v>
      </c>
      <c r="Y295" s="35" t="s">
        <v>5393</v>
      </c>
      <c r="Z295" s="35" t="s">
        <v>5394</v>
      </c>
      <c r="AA295" s="46">
        <v>46023.0</v>
      </c>
      <c r="AB295" s="151">
        <v>46387.0</v>
      </c>
      <c r="AC295" s="35" t="s">
        <v>5396</v>
      </c>
      <c r="AD295" s="152"/>
      <c r="AE295" s="35"/>
      <c r="AF295" s="35"/>
      <c r="AG295" s="151"/>
    </row>
    <row r="296" ht="44.25" customHeight="1">
      <c r="A296" s="35">
        <v>295.0</v>
      </c>
      <c r="B296" s="35">
        <v>34413.0</v>
      </c>
      <c r="C296" s="35" t="s">
        <v>351</v>
      </c>
      <c r="D296" s="35" t="s">
        <v>994</v>
      </c>
      <c r="E296" s="35" t="s">
        <v>5400</v>
      </c>
      <c r="F296" s="35" t="s">
        <v>5401</v>
      </c>
      <c r="G296" s="41" t="s">
        <v>5402</v>
      </c>
      <c r="H296" s="35" t="s">
        <v>59</v>
      </c>
      <c r="I296" s="35" t="s">
        <v>61</v>
      </c>
      <c r="J296" s="35" t="s">
        <v>62</v>
      </c>
      <c r="K296" s="35" t="s">
        <v>111</v>
      </c>
      <c r="L296" s="35">
        <v>100.0</v>
      </c>
      <c r="M296" s="35" t="s">
        <v>5403</v>
      </c>
      <c r="N296" s="35" t="s">
        <v>66</v>
      </c>
      <c r="O296" s="35"/>
      <c r="P296" s="35" t="s">
        <v>5404</v>
      </c>
      <c r="Q296" s="64"/>
      <c r="R296" s="64"/>
      <c r="S296" s="64"/>
      <c r="T296" s="35" t="s">
        <v>955</v>
      </c>
      <c r="U296" s="35">
        <v>10.0</v>
      </c>
      <c r="V296" s="35" t="s">
        <v>61</v>
      </c>
      <c r="W296" s="35" t="s">
        <v>93</v>
      </c>
      <c r="X296" s="35" t="s">
        <v>5405</v>
      </c>
      <c r="Y296" s="35">
        <v>9.17554168E9</v>
      </c>
      <c r="Z296" s="35" t="s">
        <v>5406</v>
      </c>
      <c r="AA296" s="46">
        <v>46023.0</v>
      </c>
      <c r="AB296" s="151">
        <v>46387.0</v>
      </c>
      <c r="AC296" s="35" t="s">
        <v>5407</v>
      </c>
      <c r="AD296" s="152"/>
      <c r="AE296" s="35"/>
      <c r="AF296" s="35"/>
      <c r="AG296" s="151"/>
    </row>
    <row r="297" ht="44.25" customHeight="1">
      <c r="A297" s="35">
        <v>296.0</v>
      </c>
      <c r="B297" s="35">
        <v>5463.0</v>
      </c>
      <c r="C297" s="35" t="s">
        <v>351</v>
      </c>
      <c r="D297" s="35" t="s">
        <v>994</v>
      </c>
      <c r="E297" s="35" t="s">
        <v>5400</v>
      </c>
      <c r="F297" s="35" t="s">
        <v>5408</v>
      </c>
      <c r="G297" s="41" t="s">
        <v>5409</v>
      </c>
      <c r="H297" s="35" t="s">
        <v>59</v>
      </c>
      <c r="I297" s="35" t="s">
        <v>61</v>
      </c>
      <c r="J297" s="35" t="s">
        <v>62</v>
      </c>
      <c r="K297" s="35" t="s">
        <v>63</v>
      </c>
      <c r="L297" s="35">
        <v>12.0</v>
      </c>
      <c r="M297" s="35" t="s">
        <v>5410</v>
      </c>
      <c r="N297" s="35" t="s">
        <v>66</v>
      </c>
      <c r="O297" s="35" t="s">
        <v>67</v>
      </c>
      <c r="P297" s="35" t="s">
        <v>5411</v>
      </c>
      <c r="Q297" s="64"/>
      <c r="R297" s="64"/>
      <c r="S297" s="64"/>
      <c r="T297" s="35" t="s">
        <v>955</v>
      </c>
      <c r="U297" s="35" t="s">
        <v>955</v>
      </c>
      <c r="V297" s="35" t="s">
        <v>61</v>
      </c>
      <c r="W297" s="35" t="s">
        <v>74</v>
      </c>
      <c r="X297" s="35" t="s">
        <v>5412</v>
      </c>
      <c r="Y297" s="35">
        <v>9.338781049E9</v>
      </c>
      <c r="Z297" s="35" t="s">
        <v>5413</v>
      </c>
      <c r="AA297" s="46">
        <v>46023.0</v>
      </c>
      <c r="AB297" s="151">
        <v>46387.0</v>
      </c>
      <c r="AC297" s="35" t="s">
        <v>5414</v>
      </c>
      <c r="AD297" s="152"/>
      <c r="AE297" s="35"/>
      <c r="AF297" s="35"/>
      <c r="AG297" s="151"/>
    </row>
    <row r="298" ht="44.25" customHeight="1">
      <c r="A298" s="35">
        <v>297.0</v>
      </c>
      <c r="B298" s="35">
        <v>2707.0</v>
      </c>
      <c r="C298" s="35" t="s">
        <v>351</v>
      </c>
      <c r="D298" s="35" t="s">
        <v>994</v>
      </c>
      <c r="E298" s="35" t="s">
        <v>5400</v>
      </c>
      <c r="F298" s="35" t="s">
        <v>5417</v>
      </c>
      <c r="G298" s="41" t="s">
        <v>5418</v>
      </c>
      <c r="H298" s="35" t="s">
        <v>59</v>
      </c>
      <c r="I298" s="35" t="s">
        <v>61</v>
      </c>
      <c r="J298" s="35" t="s">
        <v>62</v>
      </c>
      <c r="K298" s="35" t="s">
        <v>63</v>
      </c>
      <c r="L298" s="35">
        <v>25.0</v>
      </c>
      <c r="M298" s="35" t="s">
        <v>1918</v>
      </c>
      <c r="N298" s="35" t="s">
        <v>66</v>
      </c>
      <c r="O298" s="35"/>
      <c r="P298" s="35" t="s">
        <v>955</v>
      </c>
      <c r="Q298" s="64"/>
      <c r="R298" s="64"/>
      <c r="S298" s="64"/>
      <c r="T298" s="35" t="s">
        <v>955</v>
      </c>
      <c r="U298" s="35" t="s">
        <v>955</v>
      </c>
      <c r="V298" s="35" t="s">
        <v>61</v>
      </c>
      <c r="W298" s="35" t="s">
        <v>74</v>
      </c>
      <c r="X298" s="35" t="s">
        <v>5420</v>
      </c>
      <c r="Y298" s="35" t="s">
        <v>5421</v>
      </c>
      <c r="Z298" s="35" t="s">
        <v>5423</v>
      </c>
      <c r="AA298" s="46">
        <v>46023.0</v>
      </c>
      <c r="AB298" s="151">
        <v>46387.0</v>
      </c>
      <c r="AC298" s="35" t="s">
        <v>5425</v>
      </c>
      <c r="AD298" s="152"/>
      <c r="AE298" s="35"/>
      <c r="AF298" s="35"/>
      <c r="AG298" s="151"/>
    </row>
    <row r="299" ht="44.25" customHeight="1">
      <c r="A299" s="35">
        <v>298.0</v>
      </c>
      <c r="B299" s="35">
        <v>24437.0</v>
      </c>
      <c r="C299" s="35" t="s">
        <v>351</v>
      </c>
      <c r="D299" s="35" t="s">
        <v>994</v>
      </c>
      <c r="E299" s="35" t="s">
        <v>5428</v>
      </c>
      <c r="F299" s="35" t="s">
        <v>5430</v>
      </c>
      <c r="G299" s="41" t="s">
        <v>5431</v>
      </c>
      <c r="H299" s="35" t="s">
        <v>59</v>
      </c>
      <c r="I299" s="35" t="s">
        <v>61</v>
      </c>
      <c r="J299" s="35" t="s">
        <v>62</v>
      </c>
      <c r="K299" s="35" t="s">
        <v>111</v>
      </c>
      <c r="L299" s="35">
        <v>90.0</v>
      </c>
      <c r="M299" s="35" t="s">
        <v>5432</v>
      </c>
      <c r="N299" s="35" t="s">
        <v>66</v>
      </c>
      <c r="O299" s="35"/>
      <c r="P299" s="35" t="s">
        <v>5435</v>
      </c>
      <c r="Q299" s="64"/>
      <c r="R299" s="64"/>
      <c r="S299" s="64"/>
      <c r="T299" s="35" t="s">
        <v>955</v>
      </c>
      <c r="U299" s="35">
        <v>25.0</v>
      </c>
      <c r="V299" s="35" t="s">
        <v>61</v>
      </c>
      <c r="W299" s="35" t="s">
        <v>93</v>
      </c>
      <c r="X299" s="35" t="s">
        <v>5436</v>
      </c>
      <c r="Y299" s="35" t="s">
        <v>5438</v>
      </c>
      <c r="Z299" s="35" t="s">
        <v>5439</v>
      </c>
      <c r="AA299" s="46">
        <v>46023.0</v>
      </c>
      <c r="AB299" s="151">
        <v>46387.0</v>
      </c>
      <c r="AC299" s="35" t="s">
        <v>5440</v>
      </c>
      <c r="AD299" s="152"/>
      <c r="AE299" s="35"/>
      <c r="AF299" s="35"/>
      <c r="AG299" s="151"/>
    </row>
    <row r="300" ht="44.25" customHeight="1">
      <c r="A300" s="35">
        <v>299.0</v>
      </c>
      <c r="B300" s="35">
        <v>6032.0</v>
      </c>
      <c r="C300" s="35" t="s">
        <v>351</v>
      </c>
      <c r="D300" s="35" t="s">
        <v>994</v>
      </c>
      <c r="E300" s="35" t="s">
        <v>5442</v>
      </c>
      <c r="F300" s="35" t="s">
        <v>5443</v>
      </c>
      <c r="G300" s="41" t="s">
        <v>5444</v>
      </c>
      <c r="H300" s="35" t="s">
        <v>59</v>
      </c>
      <c r="I300" s="35" t="s">
        <v>61</v>
      </c>
      <c r="J300" s="35" t="s">
        <v>62</v>
      </c>
      <c r="K300" s="35" t="s">
        <v>63</v>
      </c>
      <c r="L300" s="35">
        <v>22.0</v>
      </c>
      <c r="M300" s="35" t="s">
        <v>1074</v>
      </c>
      <c r="N300" s="35" t="s">
        <v>66</v>
      </c>
      <c r="O300" s="35" t="s">
        <v>67</v>
      </c>
      <c r="P300" s="35" t="s">
        <v>5449</v>
      </c>
      <c r="Q300" s="64"/>
      <c r="R300" s="64"/>
      <c r="S300" s="64"/>
      <c r="T300" s="35" t="s">
        <v>955</v>
      </c>
      <c r="U300" s="35" t="s">
        <v>955</v>
      </c>
      <c r="V300" s="35" t="s">
        <v>61</v>
      </c>
      <c r="W300" s="35" t="s">
        <v>74</v>
      </c>
      <c r="X300" s="35" t="s">
        <v>5450</v>
      </c>
      <c r="Y300" s="35" t="s">
        <v>5451</v>
      </c>
      <c r="Z300" s="35" t="s">
        <v>5452</v>
      </c>
      <c r="AA300" s="46">
        <v>46023.0</v>
      </c>
      <c r="AB300" s="151">
        <v>46387.0</v>
      </c>
      <c r="AC300" s="35" t="s">
        <v>5453</v>
      </c>
      <c r="AD300" s="152"/>
      <c r="AE300" s="35"/>
      <c r="AF300" s="35"/>
      <c r="AG300" s="151"/>
    </row>
    <row r="301" ht="44.25" customHeight="1">
      <c r="A301" s="35">
        <v>300.0</v>
      </c>
      <c r="B301" s="35">
        <v>46748.0</v>
      </c>
      <c r="C301" s="35" t="s">
        <v>351</v>
      </c>
      <c r="D301" s="35" t="s">
        <v>994</v>
      </c>
      <c r="E301" s="35" t="s">
        <v>5442</v>
      </c>
      <c r="F301" s="35" t="s">
        <v>5455</v>
      </c>
      <c r="G301" s="41" t="s">
        <v>5456</v>
      </c>
      <c r="H301" s="35" t="s">
        <v>59</v>
      </c>
      <c r="I301" s="35" t="s">
        <v>61</v>
      </c>
      <c r="J301" s="35" t="s">
        <v>62</v>
      </c>
      <c r="K301" s="35" t="s">
        <v>111</v>
      </c>
      <c r="L301" s="35">
        <v>102.0</v>
      </c>
      <c r="M301" s="35" t="s">
        <v>5458</v>
      </c>
      <c r="N301" s="35" t="s">
        <v>66</v>
      </c>
      <c r="O301" s="35"/>
      <c r="P301" s="35" t="s">
        <v>5459</v>
      </c>
      <c r="Q301" s="64"/>
      <c r="R301" s="64"/>
      <c r="S301" s="64"/>
      <c r="T301" s="35" t="s">
        <v>955</v>
      </c>
      <c r="U301" s="35">
        <v>9.0</v>
      </c>
      <c r="V301" s="35" t="s">
        <v>61</v>
      </c>
      <c r="W301" s="35" t="s">
        <v>93</v>
      </c>
      <c r="X301" s="35" t="s">
        <v>5460</v>
      </c>
      <c r="Y301" s="35" t="s">
        <v>5461</v>
      </c>
      <c r="Z301" s="35" t="s">
        <v>5462</v>
      </c>
      <c r="AA301" s="46">
        <v>46023.0</v>
      </c>
      <c r="AB301" s="151">
        <v>46387.0</v>
      </c>
      <c r="AC301" s="35" t="s">
        <v>5463</v>
      </c>
      <c r="AD301" s="152"/>
      <c r="AE301" s="35"/>
      <c r="AF301" s="35"/>
      <c r="AG301" s="151"/>
    </row>
    <row r="302" ht="44.25" customHeight="1">
      <c r="A302" s="35">
        <v>301.0</v>
      </c>
      <c r="B302" s="35">
        <v>5254.0</v>
      </c>
      <c r="C302" s="35" t="s">
        <v>351</v>
      </c>
      <c r="D302" s="35" t="s">
        <v>994</v>
      </c>
      <c r="E302" s="35" t="s">
        <v>5442</v>
      </c>
      <c r="F302" s="35" t="s">
        <v>5467</v>
      </c>
      <c r="G302" s="41" t="s">
        <v>5468</v>
      </c>
      <c r="H302" s="35" t="s">
        <v>59</v>
      </c>
      <c r="I302" s="35" t="s">
        <v>61</v>
      </c>
      <c r="J302" s="35" t="s">
        <v>62</v>
      </c>
      <c r="K302" s="35" t="s">
        <v>63</v>
      </c>
      <c r="L302" s="35">
        <v>18.0</v>
      </c>
      <c r="M302" s="35" t="s">
        <v>5471</v>
      </c>
      <c r="N302" s="35" t="s">
        <v>66</v>
      </c>
      <c r="O302" s="35" t="s">
        <v>67</v>
      </c>
      <c r="P302" s="35" t="s">
        <v>955</v>
      </c>
      <c r="Q302" s="64"/>
      <c r="R302" s="64"/>
      <c r="S302" s="64"/>
      <c r="T302" s="35" t="s">
        <v>955</v>
      </c>
      <c r="U302" s="35">
        <v>10.0</v>
      </c>
      <c r="V302" s="35" t="s">
        <v>61</v>
      </c>
      <c r="W302" s="35" t="s">
        <v>74</v>
      </c>
      <c r="X302" s="35" t="s">
        <v>5472</v>
      </c>
      <c r="Y302" s="35" t="s">
        <v>5473</v>
      </c>
      <c r="Z302" s="35" t="s">
        <v>5474</v>
      </c>
      <c r="AA302" s="46">
        <v>46023.0</v>
      </c>
      <c r="AB302" s="151">
        <v>46387.0</v>
      </c>
      <c r="AC302" s="35" t="s">
        <v>5476</v>
      </c>
      <c r="AD302" s="152"/>
      <c r="AE302" s="35"/>
      <c r="AF302" s="35"/>
      <c r="AG302" s="151"/>
    </row>
    <row r="303" ht="44.25" customHeight="1">
      <c r="A303" s="35">
        <v>302.0</v>
      </c>
      <c r="B303" s="35">
        <v>39293.0</v>
      </c>
      <c r="C303" s="35" t="s">
        <v>351</v>
      </c>
      <c r="D303" s="35" t="s">
        <v>994</v>
      </c>
      <c r="E303" s="35" t="s">
        <v>5442</v>
      </c>
      <c r="F303" s="35" t="s">
        <v>5480</v>
      </c>
      <c r="G303" s="41" t="s">
        <v>5481</v>
      </c>
      <c r="H303" s="35" t="s">
        <v>59</v>
      </c>
      <c r="I303" s="35" t="s">
        <v>61</v>
      </c>
      <c r="J303" s="35" t="s">
        <v>62</v>
      </c>
      <c r="K303" s="35" t="s">
        <v>111</v>
      </c>
      <c r="L303" s="35">
        <v>100.0</v>
      </c>
      <c r="M303" s="35" t="s">
        <v>4476</v>
      </c>
      <c r="N303" s="35" t="s">
        <v>71</v>
      </c>
      <c r="O303" s="35" t="s">
        <v>72</v>
      </c>
      <c r="P303" s="35" t="s">
        <v>5484</v>
      </c>
      <c r="Q303" s="64"/>
      <c r="R303" s="64"/>
      <c r="S303" s="64"/>
      <c r="T303" s="35" t="s">
        <v>955</v>
      </c>
      <c r="U303" s="35">
        <v>22.0</v>
      </c>
      <c r="V303" s="35" t="s">
        <v>61</v>
      </c>
      <c r="W303" s="35" t="s">
        <v>93</v>
      </c>
      <c r="X303" s="35" t="s">
        <v>5488</v>
      </c>
      <c r="Y303" s="35">
        <v>9.17554168E9</v>
      </c>
      <c r="Z303" s="35" t="s">
        <v>5490</v>
      </c>
      <c r="AA303" s="46">
        <v>46031.0</v>
      </c>
      <c r="AB303" s="151">
        <v>46387.0</v>
      </c>
      <c r="AC303" s="35" t="s">
        <v>5491</v>
      </c>
      <c r="AD303" s="152"/>
      <c r="AE303" s="35"/>
      <c r="AF303" s="35"/>
      <c r="AG303" s="151"/>
    </row>
    <row r="304" ht="44.25" customHeight="1">
      <c r="A304" s="35">
        <v>303.0</v>
      </c>
      <c r="B304" s="35">
        <v>20876.0</v>
      </c>
      <c r="C304" s="35" t="s">
        <v>351</v>
      </c>
      <c r="D304" s="35" t="s">
        <v>994</v>
      </c>
      <c r="E304" s="35" t="s">
        <v>3288</v>
      </c>
      <c r="F304" s="35" t="s">
        <v>5494</v>
      </c>
      <c r="G304" s="41" t="s">
        <v>5495</v>
      </c>
      <c r="H304" s="35" t="s">
        <v>59</v>
      </c>
      <c r="I304" s="35" t="s">
        <v>61</v>
      </c>
      <c r="J304" s="35" t="s">
        <v>62</v>
      </c>
      <c r="K304" s="35" t="s">
        <v>63</v>
      </c>
      <c r="L304" s="35">
        <v>50.0</v>
      </c>
      <c r="M304" s="35" t="s">
        <v>5496</v>
      </c>
      <c r="N304" s="35" t="s">
        <v>66</v>
      </c>
      <c r="O304" s="35" t="s">
        <v>67</v>
      </c>
      <c r="P304" s="35" t="s">
        <v>5498</v>
      </c>
      <c r="Q304" s="64"/>
      <c r="R304" s="64"/>
      <c r="S304" s="64"/>
      <c r="T304" s="35" t="s">
        <v>955</v>
      </c>
      <c r="U304" s="35">
        <v>10.0</v>
      </c>
      <c r="V304" s="35" t="s">
        <v>61</v>
      </c>
      <c r="W304" s="35" t="s">
        <v>93</v>
      </c>
      <c r="X304" s="35" t="s">
        <v>5501</v>
      </c>
      <c r="Y304" s="35" t="s">
        <v>5502</v>
      </c>
      <c r="Z304" s="35" t="s">
        <v>5503</v>
      </c>
      <c r="AA304" s="46">
        <v>46023.0</v>
      </c>
      <c r="AB304" s="151">
        <v>46387.0</v>
      </c>
      <c r="AC304" s="35" t="s">
        <v>5504</v>
      </c>
      <c r="AD304" s="152"/>
      <c r="AE304" s="35"/>
      <c r="AF304" s="35"/>
      <c r="AG304" s="151"/>
    </row>
    <row r="305" ht="44.25" customHeight="1">
      <c r="A305" s="35">
        <v>304.0</v>
      </c>
      <c r="B305" s="35"/>
      <c r="C305" s="35" t="s">
        <v>351</v>
      </c>
      <c r="D305" s="35" t="s">
        <v>3306</v>
      </c>
      <c r="E305" s="35" t="s">
        <v>3307</v>
      </c>
      <c r="F305" s="35" t="s">
        <v>5509</v>
      </c>
      <c r="G305" s="41" t="s">
        <v>5510</v>
      </c>
      <c r="H305" s="35" t="s">
        <v>59</v>
      </c>
      <c r="I305" s="35" t="s">
        <v>61</v>
      </c>
      <c r="J305" s="35" t="s">
        <v>62</v>
      </c>
      <c r="K305" s="35" t="s">
        <v>111</v>
      </c>
      <c r="L305" s="35">
        <v>80.0</v>
      </c>
      <c r="M305" s="35" t="s">
        <v>5512</v>
      </c>
      <c r="N305" s="35" t="s">
        <v>66</v>
      </c>
      <c r="O305" s="35" t="s">
        <v>67</v>
      </c>
      <c r="P305" s="35" t="s">
        <v>5514</v>
      </c>
      <c r="Q305" s="64"/>
      <c r="R305" s="64"/>
      <c r="S305" s="64"/>
      <c r="T305" s="35" t="s">
        <v>955</v>
      </c>
      <c r="U305" s="35">
        <v>27.0</v>
      </c>
      <c r="V305" s="35" t="s">
        <v>61</v>
      </c>
      <c r="W305" s="35" t="s">
        <v>93</v>
      </c>
      <c r="X305" s="35" t="s">
        <v>5516</v>
      </c>
      <c r="Y305" s="35" t="s">
        <v>5517</v>
      </c>
      <c r="Z305" s="35" t="s">
        <v>5518</v>
      </c>
      <c r="AA305" s="46">
        <v>46023.0</v>
      </c>
      <c r="AB305" s="151">
        <v>46387.0</v>
      </c>
      <c r="AC305" s="35" t="s">
        <v>5519</v>
      </c>
      <c r="AD305" s="35" t="s">
        <v>638</v>
      </c>
      <c r="AE305" s="35"/>
      <c r="AF305" s="35" t="s">
        <v>5521</v>
      </c>
      <c r="AG305" s="151"/>
    </row>
    <row r="306" ht="44.25" customHeight="1">
      <c r="A306" s="35">
        <v>305.0</v>
      </c>
      <c r="B306" s="35"/>
      <c r="C306" s="35" t="s">
        <v>351</v>
      </c>
      <c r="D306" s="35" t="s">
        <v>3306</v>
      </c>
      <c r="E306" s="35" t="s">
        <v>3329</v>
      </c>
      <c r="F306" s="35" t="s">
        <v>5524</v>
      </c>
      <c r="G306" s="41" t="s">
        <v>5525</v>
      </c>
      <c r="H306" s="35" t="s">
        <v>59</v>
      </c>
      <c r="I306" s="35" t="s">
        <v>61</v>
      </c>
      <c r="J306" s="35" t="s">
        <v>62</v>
      </c>
      <c r="K306" s="35" t="s">
        <v>111</v>
      </c>
      <c r="L306" s="35">
        <v>75.0</v>
      </c>
      <c r="M306" s="35" t="s">
        <v>5527</v>
      </c>
      <c r="N306" s="35" t="s">
        <v>66</v>
      </c>
      <c r="O306" s="35" t="s">
        <v>67</v>
      </c>
      <c r="P306" s="35" t="s">
        <v>5530</v>
      </c>
      <c r="Q306" s="64"/>
      <c r="R306" s="64"/>
      <c r="S306" s="64"/>
      <c r="T306" s="35" t="s">
        <v>955</v>
      </c>
      <c r="U306" s="35">
        <v>6.0</v>
      </c>
      <c r="V306" s="35" t="s">
        <v>61</v>
      </c>
      <c r="W306" s="35" t="s">
        <v>93</v>
      </c>
      <c r="X306" s="35" t="s">
        <v>5532</v>
      </c>
      <c r="Y306" s="35" t="s">
        <v>5533</v>
      </c>
      <c r="Z306" s="35" t="s">
        <v>5534</v>
      </c>
      <c r="AA306" s="46">
        <v>46023.0</v>
      </c>
      <c r="AB306" s="151">
        <v>46387.0</v>
      </c>
      <c r="AC306" s="35" t="s">
        <v>5535</v>
      </c>
      <c r="AD306" s="35" t="s">
        <v>638</v>
      </c>
      <c r="AE306" s="35" t="s">
        <v>1640</v>
      </c>
      <c r="AF306" s="35" t="s">
        <v>5537</v>
      </c>
      <c r="AG306" s="151"/>
    </row>
    <row r="307" ht="44.25" customHeight="1">
      <c r="A307" s="35">
        <v>306.0</v>
      </c>
      <c r="B307" s="35"/>
      <c r="C307" s="35" t="s">
        <v>351</v>
      </c>
      <c r="D307" s="35" t="s">
        <v>3306</v>
      </c>
      <c r="E307" s="35" t="s">
        <v>3329</v>
      </c>
      <c r="F307" s="35" t="s">
        <v>5540</v>
      </c>
      <c r="G307" s="41" t="s">
        <v>5541</v>
      </c>
      <c r="H307" s="35" t="s">
        <v>59</v>
      </c>
      <c r="I307" s="35" t="s">
        <v>61</v>
      </c>
      <c r="J307" s="35" t="s">
        <v>62</v>
      </c>
      <c r="K307" s="35" t="s">
        <v>111</v>
      </c>
      <c r="L307" s="35">
        <v>100.0</v>
      </c>
      <c r="M307" s="35" t="s">
        <v>5544</v>
      </c>
      <c r="N307" s="35" t="s">
        <v>66</v>
      </c>
      <c r="O307" s="35" t="s">
        <v>67</v>
      </c>
      <c r="P307" s="35" t="s">
        <v>5548</v>
      </c>
      <c r="Q307" s="64"/>
      <c r="R307" s="64"/>
      <c r="S307" s="64"/>
      <c r="T307" s="35" t="s">
        <v>955</v>
      </c>
      <c r="U307" s="35">
        <v>20.0</v>
      </c>
      <c r="V307" s="35" t="s">
        <v>61</v>
      </c>
      <c r="W307" s="35" t="s">
        <v>93</v>
      </c>
      <c r="X307" s="35" t="s">
        <v>5549</v>
      </c>
      <c r="Y307" s="35" t="s">
        <v>5550</v>
      </c>
      <c r="Z307" s="35" t="s">
        <v>5551</v>
      </c>
      <c r="AA307" s="46">
        <v>46023.0</v>
      </c>
      <c r="AB307" s="151">
        <v>46387.0</v>
      </c>
      <c r="AC307" s="35" t="s">
        <v>5553</v>
      </c>
      <c r="AD307" s="152"/>
      <c r="AE307" s="35"/>
      <c r="AF307" s="35"/>
      <c r="AG307" s="151"/>
    </row>
    <row r="308" ht="44.25" customHeight="1">
      <c r="A308" s="35">
        <v>307.0</v>
      </c>
      <c r="B308" s="35"/>
      <c r="C308" s="35" t="s">
        <v>351</v>
      </c>
      <c r="D308" s="35" t="s">
        <v>3306</v>
      </c>
      <c r="E308" s="35" t="s">
        <v>3329</v>
      </c>
      <c r="F308" s="35" t="s">
        <v>5556</v>
      </c>
      <c r="G308" s="41" t="s">
        <v>5558</v>
      </c>
      <c r="H308" s="35" t="s">
        <v>59</v>
      </c>
      <c r="I308" s="35" t="s">
        <v>61</v>
      </c>
      <c r="J308" s="35"/>
      <c r="K308" s="35" t="s">
        <v>68</v>
      </c>
      <c r="L308" s="35">
        <v>250.0</v>
      </c>
      <c r="M308" s="35" t="s">
        <v>5559</v>
      </c>
      <c r="N308" s="35" t="s">
        <v>71</v>
      </c>
      <c r="O308" s="35" t="s">
        <v>72</v>
      </c>
      <c r="P308" s="35" t="s">
        <v>5561</v>
      </c>
      <c r="Q308" s="64"/>
      <c r="R308" s="64"/>
      <c r="S308" s="64"/>
      <c r="T308" s="35"/>
      <c r="U308" s="35">
        <v>13.0</v>
      </c>
      <c r="V308" s="35" t="s">
        <v>61</v>
      </c>
      <c r="W308" s="35" t="s">
        <v>93</v>
      </c>
      <c r="X308" s="35" t="s">
        <v>5564</v>
      </c>
      <c r="Y308" s="35" t="s">
        <v>5566</v>
      </c>
      <c r="Z308" s="35" t="s">
        <v>5567</v>
      </c>
      <c r="AA308" s="46">
        <v>46023.0</v>
      </c>
      <c r="AB308" s="151">
        <v>46387.0</v>
      </c>
      <c r="AC308" s="35" t="s">
        <v>5568</v>
      </c>
      <c r="AD308" s="35" t="s">
        <v>79</v>
      </c>
      <c r="AE308" s="35"/>
      <c r="AF308" s="35"/>
      <c r="AG308" s="151"/>
    </row>
    <row r="309" ht="44.25" customHeight="1">
      <c r="A309" s="35">
        <v>308.0</v>
      </c>
      <c r="B309" s="35"/>
      <c r="C309" s="35" t="s">
        <v>351</v>
      </c>
      <c r="D309" s="35" t="s">
        <v>3306</v>
      </c>
      <c r="E309" s="35" t="s">
        <v>3350</v>
      </c>
      <c r="F309" s="35" t="s">
        <v>5571</v>
      </c>
      <c r="G309" s="41" t="s">
        <v>5572</v>
      </c>
      <c r="H309" s="35" t="s">
        <v>59</v>
      </c>
      <c r="I309" s="35" t="s">
        <v>61</v>
      </c>
      <c r="J309" s="35" t="s">
        <v>62</v>
      </c>
      <c r="K309" s="35" t="s">
        <v>111</v>
      </c>
      <c r="L309" s="35">
        <v>50.0</v>
      </c>
      <c r="M309" s="35" t="s">
        <v>4734</v>
      </c>
      <c r="N309" s="35" t="s">
        <v>66</v>
      </c>
      <c r="O309" s="35" t="s">
        <v>67</v>
      </c>
      <c r="P309" s="35" t="s">
        <v>5576</v>
      </c>
      <c r="Q309" s="64"/>
      <c r="R309" s="64"/>
      <c r="S309" s="64"/>
      <c r="T309" s="35" t="s">
        <v>955</v>
      </c>
      <c r="U309" s="35">
        <v>10.0</v>
      </c>
      <c r="V309" s="35" t="s">
        <v>61</v>
      </c>
      <c r="W309" s="35" t="s">
        <v>93</v>
      </c>
      <c r="X309" s="35" t="s">
        <v>5580</v>
      </c>
      <c r="Y309" s="35">
        <f>+639209776941</f>
        <v>639209776941</v>
      </c>
      <c r="Z309" s="35" t="s">
        <v>5597</v>
      </c>
      <c r="AA309" s="46">
        <v>46023.0</v>
      </c>
      <c r="AB309" s="151">
        <v>46387.0</v>
      </c>
      <c r="AC309" s="35" t="s">
        <v>5599</v>
      </c>
      <c r="AD309" s="152"/>
      <c r="AE309" s="35"/>
      <c r="AF309" s="35"/>
      <c r="AG309" s="151"/>
    </row>
    <row r="310" ht="44.25" customHeight="1">
      <c r="A310" s="35">
        <v>309.0</v>
      </c>
      <c r="B310" s="35"/>
      <c r="C310" s="35" t="s">
        <v>351</v>
      </c>
      <c r="D310" s="35" t="s">
        <v>3306</v>
      </c>
      <c r="E310" s="35" t="s">
        <v>3350</v>
      </c>
      <c r="F310" s="35" t="s">
        <v>5601</v>
      </c>
      <c r="G310" s="41" t="s">
        <v>5602</v>
      </c>
      <c r="H310" s="35" t="s">
        <v>59</v>
      </c>
      <c r="I310" s="35" t="s">
        <v>61</v>
      </c>
      <c r="J310" s="35" t="s">
        <v>62</v>
      </c>
      <c r="K310" s="35" t="s">
        <v>111</v>
      </c>
      <c r="L310" s="35">
        <v>90.0</v>
      </c>
      <c r="M310" s="35" t="s">
        <v>5603</v>
      </c>
      <c r="N310" s="35" t="s">
        <v>66</v>
      </c>
      <c r="O310" s="35" t="s">
        <v>67</v>
      </c>
      <c r="P310" s="35" t="s">
        <v>5605</v>
      </c>
      <c r="Q310" s="64"/>
      <c r="R310" s="64"/>
      <c r="S310" s="64"/>
      <c r="T310" s="35" t="s">
        <v>955</v>
      </c>
      <c r="U310" s="35">
        <v>20.0</v>
      </c>
      <c r="V310" s="35" t="s">
        <v>61</v>
      </c>
      <c r="W310" s="35" t="s">
        <v>93</v>
      </c>
      <c r="X310" s="35" t="s">
        <v>5608</v>
      </c>
      <c r="Y310" s="35" t="s">
        <v>5609</v>
      </c>
      <c r="Z310" s="35" t="s">
        <v>5610</v>
      </c>
      <c r="AA310" s="46">
        <v>46023.0</v>
      </c>
      <c r="AB310" s="151">
        <v>46387.0</v>
      </c>
      <c r="AC310" s="35" t="s">
        <v>5612</v>
      </c>
      <c r="AD310" s="35" t="s">
        <v>79</v>
      </c>
      <c r="AE310" s="35"/>
      <c r="AF310" s="35" t="s">
        <v>5616</v>
      </c>
      <c r="AG310" s="151"/>
    </row>
    <row r="311" ht="44.25" customHeight="1">
      <c r="A311" s="35">
        <v>310.0</v>
      </c>
      <c r="B311" s="35"/>
      <c r="C311" s="35" t="s">
        <v>351</v>
      </c>
      <c r="D311" s="35" t="s">
        <v>3306</v>
      </c>
      <c r="E311" s="35" t="s">
        <v>3350</v>
      </c>
      <c r="F311" s="35" t="s">
        <v>5617</v>
      </c>
      <c r="G311" s="41" t="s">
        <v>5619</v>
      </c>
      <c r="H311" s="35" t="s">
        <v>59</v>
      </c>
      <c r="I311" s="35" t="s">
        <v>61</v>
      </c>
      <c r="J311" s="35" t="s">
        <v>62</v>
      </c>
      <c r="K311" s="35" t="s">
        <v>63</v>
      </c>
      <c r="L311" s="35">
        <v>43.0</v>
      </c>
      <c r="M311" s="35" t="s">
        <v>5620</v>
      </c>
      <c r="N311" s="35" t="s">
        <v>66</v>
      </c>
      <c r="O311" s="35" t="s">
        <v>67</v>
      </c>
      <c r="P311" s="35" t="s">
        <v>5622</v>
      </c>
      <c r="Q311" s="64"/>
      <c r="R311" s="64"/>
      <c r="S311" s="64"/>
      <c r="T311" s="35" t="s">
        <v>955</v>
      </c>
      <c r="U311" s="35">
        <v>11.0</v>
      </c>
      <c r="V311" s="35" t="s">
        <v>61</v>
      </c>
      <c r="W311" s="35" t="s">
        <v>74</v>
      </c>
      <c r="X311" s="35" t="s">
        <v>5625</v>
      </c>
      <c r="Y311" s="35" t="s">
        <v>5626</v>
      </c>
      <c r="Z311" s="35" t="s">
        <v>5627</v>
      </c>
      <c r="AA311" s="46">
        <v>46023.0</v>
      </c>
      <c r="AB311" s="151">
        <v>46387.0</v>
      </c>
      <c r="AC311" s="35" t="s">
        <v>5628</v>
      </c>
      <c r="AD311" s="152"/>
      <c r="AE311" s="35"/>
      <c r="AF311" s="35"/>
      <c r="AG311" s="151"/>
    </row>
    <row r="312" ht="44.25" customHeight="1">
      <c r="A312" s="35">
        <v>311.0</v>
      </c>
      <c r="B312" s="35"/>
      <c r="C312" s="35" t="s">
        <v>351</v>
      </c>
      <c r="D312" s="35" t="s">
        <v>3306</v>
      </c>
      <c r="E312" s="35" t="s">
        <v>3382</v>
      </c>
      <c r="F312" s="35" t="s">
        <v>5629</v>
      </c>
      <c r="G312" s="41" t="s">
        <v>5630</v>
      </c>
      <c r="H312" s="35" t="s">
        <v>59</v>
      </c>
      <c r="I312" s="35" t="s">
        <v>61</v>
      </c>
      <c r="J312" s="35" t="s">
        <v>62</v>
      </c>
      <c r="K312" s="35" t="s">
        <v>111</v>
      </c>
      <c r="L312" s="35">
        <v>40.0</v>
      </c>
      <c r="M312" s="35" t="s">
        <v>5632</v>
      </c>
      <c r="N312" s="35" t="s">
        <v>66</v>
      </c>
      <c r="O312" s="35" t="s">
        <v>67</v>
      </c>
      <c r="P312" s="35" t="s">
        <v>5633</v>
      </c>
      <c r="Q312" s="64"/>
      <c r="R312" s="64"/>
      <c r="S312" s="64"/>
      <c r="T312" s="35" t="s">
        <v>955</v>
      </c>
      <c r="U312" s="35">
        <v>15.0</v>
      </c>
      <c r="V312" s="35" t="s">
        <v>61</v>
      </c>
      <c r="W312" s="35" t="s">
        <v>93</v>
      </c>
      <c r="X312" s="35" t="s">
        <v>5634</v>
      </c>
      <c r="Y312" s="35" t="s">
        <v>5635</v>
      </c>
      <c r="Z312" s="35" t="s">
        <v>5636</v>
      </c>
      <c r="AA312" s="46">
        <v>46023.0</v>
      </c>
      <c r="AB312" s="151">
        <v>46387.0</v>
      </c>
      <c r="AC312" s="35" t="s">
        <v>5637</v>
      </c>
      <c r="AD312" s="35" t="s">
        <v>638</v>
      </c>
      <c r="AE312" s="35"/>
      <c r="AF312" s="35" t="s">
        <v>5639</v>
      </c>
      <c r="AG312" s="151"/>
    </row>
    <row r="313" ht="44.25" customHeight="1">
      <c r="A313" s="35">
        <v>312.0</v>
      </c>
      <c r="B313" s="35"/>
      <c r="C313" s="35" t="s">
        <v>351</v>
      </c>
      <c r="D313" s="35" t="s">
        <v>3306</v>
      </c>
      <c r="E313" s="35" t="s">
        <v>3382</v>
      </c>
      <c r="F313" s="35" t="s">
        <v>5641</v>
      </c>
      <c r="G313" s="41" t="s">
        <v>5642</v>
      </c>
      <c r="H313" s="35" t="s">
        <v>59</v>
      </c>
      <c r="I313" s="35" t="s">
        <v>61</v>
      </c>
      <c r="J313" s="35" t="s">
        <v>62</v>
      </c>
      <c r="K313" s="35" t="s">
        <v>111</v>
      </c>
      <c r="L313" s="35">
        <v>120.0</v>
      </c>
      <c r="M313" s="35" t="s">
        <v>5644</v>
      </c>
      <c r="N313" s="35" t="s">
        <v>221</v>
      </c>
      <c r="O313" s="35" t="s">
        <v>67</v>
      </c>
      <c r="P313" s="35" t="s">
        <v>5646</v>
      </c>
      <c r="Q313" s="64"/>
      <c r="R313" s="64"/>
      <c r="S313" s="64"/>
      <c r="T313" s="35" t="s">
        <v>955</v>
      </c>
      <c r="U313" s="35">
        <v>20.0</v>
      </c>
      <c r="V313" s="35" t="s">
        <v>533</v>
      </c>
      <c r="W313" s="35" t="s">
        <v>93</v>
      </c>
      <c r="X313" s="35" t="s">
        <v>5647</v>
      </c>
      <c r="Y313" s="35" t="s">
        <v>5649</v>
      </c>
      <c r="Z313" s="35" t="s">
        <v>5650</v>
      </c>
      <c r="AA313" s="46">
        <v>46023.0</v>
      </c>
      <c r="AB313" s="151">
        <v>46387.0</v>
      </c>
      <c r="AC313" s="35" t="s">
        <v>5651</v>
      </c>
      <c r="AD313" s="35" t="s">
        <v>79</v>
      </c>
      <c r="AE313" s="35"/>
      <c r="AF313" s="35" t="s">
        <v>5652</v>
      </c>
      <c r="AG313" s="151"/>
    </row>
    <row r="314" ht="44.25" customHeight="1">
      <c r="A314" s="35">
        <v>313.0</v>
      </c>
      <c r="B314" s="35"/>
      <c r="C314" s="35" t="s">
        <v>351</v>
      </c>
      <c r="D314" s="35" t="s">
        <v>3306</v>
      </c>
      <c r="E314" s="35" t="s">
        <v>3382</v>
      </c>
      <c r="F314" s="35" t="s">
        <v>5655</v>
      </c>
      <c r="G314" s="41" t="s">
        <v>5657</v>
      </c>
      <c r="H314" s="35" t="s">
        <v>59</v>
      </c>
      <c r="I314" s="35" t="s">
        <v>61</v>
      </c>
      <c r="J314" s="35" t="s">
        <v>62</v>
      </c>
      <c r="K314" s="35" t="s">
        <v>111</v>
      </c>
      <c r="L314" s="35">
        <v>130.0</v>
      </c>
      <c r="M314" s="35" t="s">
        <v>5658</v>
      </c>
      <c r="N314" s="35" t="s">
        <v>71</v>
      </c>
      <c r="O314" s="35" t="s">
        <v>67</v>
      </c>
      <c r="P314" s="35" t="s">
        <v>5660</v>
      </c>
      <c r="Q314" s="64"/>
      <c r="R314" s="64"/>
      <c r="S314" s="64"/>
      <c r="T314" s="35" t="s">
        <v>955</v>
      </c>
      <c r="U314" s="35">
        <v>60.0</v>
      </c>
      <c r="V314" s="35" t="s">
        <v>61</v>
      </c>
      <c r="W314" s="35" t="s">
        <v>93</v>
      </c>
      <c r="X314" s="35" t="s">
        <v>5662</v>
      </c>
      <c r="Y314" s="35" t="s">
        <v>5663</v>
      </c>
      <c r="Z314" s="35" t="s">
        <v>5664</v>
      </c>
      <c r="AA314" s="46">
        <v>46023.0</v>
      </c>
      <c r="AB314" s="151">
        <v>46387.0</v>
      </c>
      <c r="AC314" s="35" t="s">
        <v>5665</v>
      </c>
      <c r="AD314" s="152"/>
      <c r="AE314" s="35"/>
      <c r="AF314" s="35"/>
      <c r="AG314" s="151"/>
    </row>
    <row r="315" ht="44.25" customHeight="1">
      <c r="A315" s="35">
        <v>314.0</v>
      </c>
      <c r="B315" s="35"/>
      <c r="C315" s="35" t="s">
        <v>351</v>
      </c>
      <c r="D315" s="35" t="s">
        <v>3306</v>
      </c>
      <c r="E315" s="35" t="s">
        <v>3382</v>
      </c>
      <c r="F315" s="35" t="s">
        <v>5667</v>
      </c>
      <c r="G315" s="41" t="s">
        <v>5668</v>
      </c>
      <c r="H315" s="35" t="s">
        <v>59</v>
      </c>
      <c r="I315" s="35" t="s">
        <v>61</v>
      </c>
      <c r="J315" s="35" t="s">
        <v>62</v>
      </c>
      <c r="K315" s="35" t="s">
        <v>111</v>
      </c>
      <c r="L315" s="35">
        <v>91.0</v>
      </c>
      <c r="M315" s="35" t="s">
        <v>5672</v>
      </c>
      <c r="N315" s="35" t="s">
        <v>66</v>
      </c>
      <c r="O315" s="35" t="s">
        <v>67</v>
      </c>
      <c r="P315" s="35" t="s">
        <v>5673</v>
      </c>
      <c r="Q315" s="64"/>
      <c r="R315" s="64"/>
      <c r="S315" s="64"/>
      <c r="T315" s="35" t="s">
        <v>955</v>
      </c>
      <c r="U315" s="35">
        <v>31.0</v>
      </c>
      <c r="V315" s="35" t="s">
        <v>61</v>
      </c>
      <c r="W315" s="35" t="s">
        <v>93</v>
      </c>
      <c r="X315" s="35" t="s">
        <v>5674</v>
      </c>
      <c r="Y315" s="35" t="s">
        <v>5675</v>
      </c>
      <c r="Z315" s="35" t="s">
        <v>5677</v>
      </c>
      <c r="AA315" s="46">
        <v>46023.0</v>
      </c>
      <c r="AB315" s="151">
        <v>46387.0</v>
      </c>
      <c r="AC315" s="35" t="s">
        <v>5678</v>
      </c>
      <c r="AD315" s="35" t="s">
        <v>79</v>
      </c>
      <c r="AE315" s="35"/>
      <c r="AF315" s="35" t="s">
        <v>5680</v>
      </c>
      <c r="AG315" s="151"/>
    </row>
    <row r="316" ht="44.25" customHeight="1">
      <c r="A316" s="35">
        <v>315.0</v>
      </c>
      <c r="B316" s="35"/>
      <c r="C316" s="35" t="s">
        <v>351</v>
      </c>
      <c r="D316" s="35" t="s">
        <v>3306</v>
      </c>
      <c r="E316" s="35" t="s">
        <v>3382</v>
      </c>
      <c r="F316" s="35" t="s">
        <v>5629</v>
      </c>
      <c r="G316" s="41" t="s">
        <v>5683</v>
      </c>
      <c r="H316" s="35" t="s">
        <v>59</v>
      </c>
      <c r="I316" s="35" t="s">
        <v>61</v>
      </c>
      <c r="J316" s="35" t="s">
        <v>62</v>
      </c>
      <c r="K316" s="35" t="s">
        <v>63</v>
      </c>
      <c r="L316" s="35">
        <v>72.0</v>
      </c>
      <c r="M316" s="35" t="s">
        <v>5687</v>
      </c>
      <c r="N316" s="35" t="s">
        <v>66</v>
      </c>
      <c r="O316" s="35" t="s">
        <v>67</v>
      </c>
      <c r="P316" s="35" t="s">
        <v>5690</v>
      </c>
      <c r="Q316" s="64"/>
      <c r="R316" s="64"/>
      <c r="S316" s="64"/>
      <c r="T316" s="35" t="s">
        <v>955</v>
      </c>
      <c r="U316" s="35">
        <v>10.0</v>
      </c>
      <c r="V316" s="35" t="s">
        <v>61</v>
      </c>
      <c r="W316" s="35" t="s">
        <v>93</v>
      </c>
      <c r="X316" s="35" t="s">
        <v>5691</v>
      </c>
      <c r="Y316" s="35" t="s">
        <v>5692</v>
      </c>
      <c r="Z316" s="35" t="s">
        <v>5694</v>
      </c>
      <c r="AA316" s="46">
        <v>46023.0</v>
      </c>
      <c r="AB316" s="151">
        <v>46387.0</v>
      </c>
      <c r="AC316" s="35" t="s">
        <v>5695</v>
      </c>
      <c r="AD316" s="35" t="s">
        <v>79</v>
      </c>
      <c r="AE316" s="35"/>
      <c r="AF316" s="35" t="s">
        <v>5697</v>
      </c>
      <c r="AG316" s="151"/>
    </row>
    <row r="317" ht="44.25" customHeight="1">
      <c r="A317" s="35">
        <v>316.0</v>
      </c>
      <c r="B317" s="35"/>
      <c r="C317" s="35" t="s">
        <v>351</v>
      </c>
      <c r="D317" s="35" t="s">
        <v>3306</v>
      </c>
      <c r="E317" s="35" t="s">
        <v>3382</v>
      </c>
      <c r="F317" s="35" t="s">
        <v>5700</v>
      </c>
      <c r="G317" s="41" t="s">
        <v>5702</v>
      </c>
      <c r="H317" s="35" t="s">
        <v>59</v>
      </c>
      <c r="I317" s="35" t="s">
        <v>61</v>
      </c>
      <c r="J317" s="35" t="s">
        <v>62</v>
      </c>
      <c r="K317" s="35" t="s">
        <v>63</v>
      </c>
      <c r="L317" s="35">
        <v>60.0</v>
      </c>
      <c r="M317" s="35" t="s">
        <v>5706</v>
      </c>
      <c r="N317" s="35" t="s">
        <v>66</v>
      </c>
      <c r="O317" s="35" t="s">
        <v>67</v>
      </c>
      <c r="P317" s="35">
        <v>2.0</v>
      </c>
      <c r="Q317" s="64"/>
      <c r="R317" s="64"/>
      <c r="S317" s="64"/>
      <c r="T317" s="35" t="s">
        <v>955</v>
      </c>
      <c r="U317" s="35">
        <v>5.0</v>
      </c>
      <c r="V317" s="35" t="s">
        <v>61</v>
      </c>
      <c r="W317" s="35" t="s">
        <v>74</v>
      </c>
      <c r="X317" s="35" t="s">
        <v>5709</v>
      </c>
      <c r="Y317" s="35" t="s">
        <v>5711</v>
      </c>
      <c r="Z317" s="35" t="s">
        <v>5713</v>
      </c>
      <c r="AA317" s="46">
        <v>46023.0</v>
      </c>
      <c r="AB317" s="151">
        <v>46387.0</v>
      </c>
      <c r="AC317" s="35" t="s">
        <v>5715</v>
      </c>
      <c r="AD317" s="35" t="s">
        <v>79</v>
      </c>
      <c r="AE317" s="35"/>
      <c r="AF317" s="35" t="s">
        <v>5717</v>
      </c>
      <c r="AG317" s="151"/>
    </row>
    <row r="318" ht="44.25" customHeight="1">
      <c r="A318" s="35">
        <v>317.0</v>
      </c>
      <c r="B318" s="35"/>
      <c r="C318" s="35" t="s">
        <v>351</v>
      </c>
      <c r="D318" s="35" t="s">
        <v>3306</v>
      </c>
      <c r="E318" s="35" t="s">
        <v>5722</v>
      </c>
      <c r="F318" s="35" t="s">
        <v>5723</v>
      </c>
      <c r="G318" s="41" t="s">
        <v>5724</v>
      </c>
      <c r="H318" s="35" t="s">
        <v>59</v>
      </c>
      <c r="I318" s="35" t="s">
        <v>61</v>
      </c>
      <c r="J318" s="35" t="s">
        <v>62</v>
      </c>
      <c r="K318" s="35" t="s">
        <v>63</v>
      </c>
      <c r="L318" s="35">
        <v>18.0</v>
      </c>
      <c r="M318" s="35" t="s">
        <v>5726</v>
      </c>
      <c r="N318" s="35" t="s">
        <v>66</v>
      </c>
      <c r="O318" s="35" t="s">
        <v>67</v>
      </c>
      <c r="P318" s="35" t="s">
        <v>5727</v>
      </c>
      <c r="Q318" s="64"/>
      <c r="R318" s="64"/>
      <c r="S318" s="64"/>
      <c r="T318" s="35" t="s">
        <v>955</v>
      </c>
      <c r="U318" s="35" t="s">
        <v>955</v>
      </c>
      <c r="V318" s="35" t="s">
        <v>61</v>
      </c>
      <c r="W318" s="35" t="s">
        <v>74</v>
      </c>
      <c r="X318" s="35" t="s">
        <v>5729</v>
      </c>
      <c r="Y318" s="35" t="s">
        <v>5730</v>
      </c>
      <c r="Z318" s="35" t="s">
        <v>5732</v>
      </c>
      <c r="AA318" s="46">
        <v>46023.0</v>
      </c>
      <c r="AB318" s="151">
        <v>46387.0</v>
      </c>
      <c r="AC318" s="35" t="s">
        <v>5734</v>
      </c>
      <c r="AD318" s="152"/>
      <c r="AE318" s="35"/>
      <c r="AF318" s="35"/>
      <c r="AG318" s="151"/>
    </row>
    <row r="319" ht="44.25" customHeight="1">
      <c r="A319" s="35">
        <v>318.0</v>
      </c>
      <c r="B319" s="35">
        <v>48578.0</v>
      </c>
      <c r="C319" s="35" t="s">
        <v>351</v>
      </c>
      <c r="D319" s="35" t="s">
        <v>3306</v>
      </c>
      <c r="E319" s="35" t="s">
        <v>3402</v>
      </c>
      <c r="F319" s="35" t="s">
        <v>5739</v>
      </c>
      <c r="G319" s="41" t="s">
        <v>5740</v>
      </c>
      <c r="H319" s="35" t="s">
        <v>59</v>
      </c>
      <c r="I319" s="35" t="s">
        <v>61</v>
      </c>
      <c r="J319" s="35" t="s">
        <v>62</v>
      </c>
      <c r="K319" s="35" t="s">
        <v>111</v>
      </c>
      <c r="L319" s="35">
        <v>60.0</v>
      </c>
      <c r="M319" s="35" t="s">
        <v>5742</v>
      </c>
      <c r="N319" s="35" t="s">
        <v>66</v>
      </c>
      <c r="O319" s="35" t="s">
        <v>67</v>
      </c>
      <c r="P319" s="35" t="s">
        <v>5743</v>
      </c>
      <c r="Q319" s="64"/>
      <c r="R319" s="64"/>
      <c r="S319" s="64"/>
      <c r="T319" s="35" t="s">
        <v>955</v>
      </c>
      <c r="U319" s="35">
        <v>28.0</v>
      </c>
      <c r="V319" s="35" t="s">
        <v>61</v>
      </c>
      <c r="W319" s="35" t="s">
        <v>93</v>
      </c>
      <c r="X319" s="35" t="s">
        <v>5746</v>
      </c>
      <c r="Y319" s="35" t="s">
        <v>5748</v>
      </c>
      <c r="Z319" s="35" t="s">
        <v>5749</v>
      </c>
      <c r="AA319" s="46">
        <v>46023.0</v>
      </c>
      <c r="AB319" s="151">
        <v>46387.0</v>
      </c>
      <c r="AC319" s="35" t="s">
        <v>5750</v>
      </c>
      <c r="AD319" s="152"/>
      <c r="AE319" s="35"/>
      <c r="AF319" s="35"/>
      <c r="AG319" s="151"/>
    </row>
    <row r="320" ht="44.25" customHeight="1">
      <c r="A320" s="35">
        <v>319.0</v>
      </c>
      <c r="B320" s="35"/>
      <c r="C320" s="35" t="s">
        <v>351</v>
      </c>
      <c r="D320" s="35" t="s">
        <v>3306</v>
      </c>
      <c r="E320" s="35" t="s">
        <v>3402</v>
      </c>
      <c r="F320" s="35" t="s">
        <v>5753</v>
      </c>
      <c r="G320" s="41" t="s">
        <v>5755</v>
      </c>
      <c r="H320" s="35" t="s">
        <v>59</v>
      </c>
      <c r="I320" s="35" t="s">
        <v>61</v>
      </c>
      <c r="J320" s="35" t="s">
        <v>62</v>
      </c>
      <c r="K320" s="35" t="s">
        <v>111</v>
      </c>
      <c r="L320" s="35">
        <v>80.0</v>
      </c>
      <c r="M320" s="35" t="s">
        <v>5757</v>
      </c>
      <c r="N320" s="35" t="s">
        <v>66</v>
      </c>
      <c r="O320" s="35" t="s">
        <v>67</v>
      </c>
      <c r="P320" s="35" t="s">
        <v>5758</v>
      </c>
      <c r="Q320" s="64"/>
      <c r="R320" s="64"/>
      <c r="S320" s="64"/>
      <c r="T320" s="35" t="s">
        <v>955</v>
      </c>
      <c r="U320" s="35">
        <v>15.0</v>
      </c>
      <c r="V320" s="35" t="s">
        <v>61</v>
      </c>
      <c r="W320" s="35" t="s">
        <v>93</v>
      </c>
      <c r="X320" s="35" t="s">
        <v>5760</v>
      </c>
      <c r="Y320" s="35" t="s">
        <v>5761</v>
      </c>
      <c r="Z320" s="35" t="s">
        <v>5762</v>
      </c>
      <c r="AA320" s="46">
        <v>46023.0</v>
      </c>
      <c r="AB320" s="151">
        <v>46387.0</v>
      </c>
      <c r="AC320" s="35" t="s">
        <v>5763</v>
      </c>
      <c r="AD320" s="152"/>
      <c r="AE320" s="35"/>
      <c r="AF320" s="35"/>
      <c r="AG320" s="151"/>
    </row>
    <row r="321" ht="44.25" customHeight="1">
      <c r="A321" s="35">
        <v>320.0</v>
      </c>
      <c r="B321" s="35">
        <v>4495.0</v>
      </c>
      <c r="C321" s="35" t="s">
        <v>351</v>
      </c>
      <c r="D321" s="35" t="s">
        <v>3306</v>
      </c>
      <c r="E321" s="35" t="s">
        <v>3402</v>
      </c>
      <c r="F321" s="35" t="s">
        <v>5767</v>
      </c>
      <c r="G321" s="41" t="s">
        <v>5768</v>
      </c>
      <c r="H321" s="35" t="s">
        <v>59</v>
      </c>
      <c r="I321" s="35" t="s">
        <v>61</v>
      </c>
      <c r="J321" s="35" t="s">
        <v>62</v>
      </c>
      <c r="K321" s="35" t="s">
        <v>63</v>
      </c>
      <c r="L321" s="35">
        <v>35.0</v>
      </c>
      <c r="M321" s="35" t="s">
        <v>5771</v>
      </c>
      <c r="N321" s="35" t="s">
        <v>66</v>
      </c>
      <c r="O321" s="35" t="s">
        <v>67</v>
      </c>
      <c r="P321" s="35" t="s">
        <v>955</v>
      </c>
      <c r="Q321" s="64"/>
      <c r="R321" s="64"/>
      <c r="S321" s="64"/>
      <c r="T321" s="35" t="s">
        <v>955</v>
      </c>
      <c r="U321" s="35" t="s">
        <v>955</v>
      </c>
      <c r="V321" s="35" t="s">
        <v>61</v>
      </c>
      <c r="W321" s="35" t="s">
        <v>74</v>
      </c>
      <c r="X321" s="35" t="s">
        <v>5775</v>
      </c>
      <c r="Y321" s="35" t="s">
        <v>5776</v>
      </c>
      <c r="Z321" s="35" t="s">
        <v>5777</v>
      </c>
      <c r="AA321" s="46">
        <v>46023.0</v>
      </c>
      <c r="AB321" s="151">
        <v>46387.0</v>
      </c>
      <c r="AC321" s="35" t="s">
        <v>5778</v>
      </c>
      <c r="AD321" s="152"/>
      <c r="AE321" s="35"/>
      <c r="AF321" s="35"/>
      <c r="AG321" s="151"/>
    </row>
    <row r="322" ht="44.25" customHeight="1">
      <c r="A322" s="35">
        <v>321.0</v>
      </c>
      <c r="B322" s="35"/>
      <c r="C322" s="35" t="s">
        <v>351</v>
      </c>
      <c r="D322" s="35" t="s">
        <v>3306</v>
      </c>
      <c r="E322" s="35" t="s">
        <v>5784</v>
      </c>
      <c r="F322" s="35" t="s">
        <v>5785</v>
      </c>
      <c r="G322" s="41" t="s">
        <v>5787</v>
      </c>
      <c r="H322" s="35" t="s">
        <v>59</v>
      </c>
      <c r="I322" s="35" t="s">
        <v>61</v>
      </c>
      <c r="J322" s="35" t="s">
        <v>62</v>
      </c>
      <c r="K322" s="35" t="s">
        <v>63</v>
      </c>
      <c r="L322" s="35">
        <v>12.0</v>
      </c>
      <c r="M322" s="35" t="s">
        <v>5790</v>
      </c>
      <c r="N322" s="35" t="s">
        <v>221</v>
      </c>
      <c r="O322" s="35" t="s">
        <v>67</v>
      </c>
      <c r="P322" s="35" t="s">
        <v>955</v>
      </c>
      <c r="Q322" s="64"/>
      <c r="R322" s="64"/>
      <c r="S322" s="64"/>
      <c r="T322" s="35" t="s">
        <v>955</v>
      </c>
      <c r="U322" s="35">
        <v>4.0</v>
      </c>
      <c r="V322" s="35" t="s">
        <v>61</v>
      </c>
      <c r="W322" s="35" t="s">
        <v>74</v>
      </c>
      <c r="X322" s="35" t="s">
        <v>5792</v>
      </c>
      <c r="Y322" s="35" t="s">
        <v>5793</v>
      </c>
      <c r="Z322" s="35" t="s">
        <v>5795</v>
      </c>
      <c r="AA322" s="46">
        <v>46023.0</v>
      </c>
      <c r="AB322" s="151">
        <v>46387.0</v>
      </c>
      <c r="AC322" s="35" t="s">
        <v>5797</v>
      </c>
      <c r="AD322" s="35" t="s">
        <v>79</v>
      </c>
      <c r="AE322" s="35"/>
      <c r="AF322" s="35" t="s">
        <v>5799</v>
      </c>
      <c r="AG322" s="151"/>
    </row>
    <row r="323" ht="44.25" customHeight="1">
      <c r="A323" s="35">
        <v>322.0</v>
      </c>
      <c r="B323" s="35"/>
      <c r="C323" s="35" t="s">
        <v>351</v>
      </c>
      <c r="D323" s="35" t="s">
        <v>3306</v>
      </c>
      <c r="E323" s="35" t="s">
        <v>3495</v>
      </c>
      <c r="F323" s="35" t="s">
        <v>5801</v>
      </c>
      <c r="G323" s="41" t="s">
        <v>5802</v>
      </c>
      <c r="H323" s="35" t="s">
        <v>59</v>
      </c>
      <c r="I323" s="35" t="s">
        <v>61</v>
      </c>
      <c r="J323" s="35" t="s">
        <v>62</v>
      </c>
      <c r="K323" s="35" t="s">
        <v>111</v>
      </c>
      <c r="L323" s="35">
        <v>99.0</v>
      </c>
      <c r="M323" s="35" t="s">
        <v>5806</v>
      </c>
      <c r="N323" s="35" t="s">
        <v>66</v>
      </c>
      <c r="O323" s="35" t="s">
        <v>67</v>
      </c>
      <c r="P323" s="35" t="s">
        <v>5807</v>
      </c>
      <c r="Q323" s="64"/>
      <c r="R323" s="64"/>
      <c r="S323" s="64"/>
      <c r="T323" s="35" t="s">
        <v>955</v>
      </c>
      <c r="U323" s="35">
        <v>36.0</v>
      </c>
      <c r="V323" s="35" t="s">
        <v>61</v>
      </c>
      <c r="W323" s="35" t="s">
        <v>93</v>
      </c>
      <c r="X323" s="35" t="s">
        <v>5808</v>
      </c>
      <c r="Y323" s="35" t="s">
        <v>5809</v>
      </c>
      <c r="Z323" s="35" t="s">
        <v>5810</v>
      </c>
      <c r="AA323" s="46">
        <v>46023.0</v>
      </c>
      <c r="AB323" s="151">
        <v>46387.0</v>
      </c>
      <c r="AC323" s="35" t="s">
        <v>5812</v>
      </c>
      <c r="AD323" s="152"/>
      <c r="AE323" s="35"/>
      <c r="AF323" s="35"/>
      <c r="AG323" s="151"/>
    </row>
    <row r="324" ht="44.25" customHeight="1">
      <c r="A324" s="35">
        <v>323.0</v>
      </c>
      <c r="B324" s="35"/>
      <c r="C324" s="35" t="s">
        <v>351</v>
      </c>
      <c r="D324" s="35" t="s">
        <v>3306</v>
      </c>
      <c r="E324" s="35" t="s">
        <v>3495</v>
      </c>
      <c r="F324" s="35" t="s">
        <v>5815</v>
      </c>
      <c r="G324" s="41" t="s">
        <v>5817</v>
      </c>
      <c r="H324" s="35" t="s">
        <v>59</v>
      </c>
      <c r="I324" s="35" t="s">
        <v>61</v>
      </c>
      <c r="J324" s="35" t="s">
        <v>62</v>
      </c>
      <c r="K324" s="35" t="s">
        <v>111</v>
      </c>
      <c r="L324" s="35">
        <v>135.0</v>
      </c>
      <c r="M324" s="35" t="s">
        <v>5818</v>
      </c>
      <c r="N324" s="35" t="s">
        <v>221</v>
      </c>
      <c r="O324" s="35" t="s">
        <v>67</v>
      </c>
      <c r="P324" s="35" t="s">
        <v>5819</v>
      </c>
      <c r="Q324" s="64"/>
      <c r="R324" s="64"/>
      <c r="S324" s="64"/>
      <c r="T324" s="35" t="s">
        <v>955</v>
      </c>
      <c r="U324" s="35">
        <v>30.0</v>
      </c>
      <c r="V324" s="35" t="s">
        <v>61</v>
      </c>
      <c r="W324" s="35" t="s">
        <v>93</v>
      </c>
      <c r="X324" s="35" t="s">
        <v>5820</v>
      </c>
      <c r="Y324" s="35" t="s">
        <v>5821</v>
      </c>
      <c r="Z324" s="35" t="s">
        <v>5822</v>
      </c>
      <c r="AA324" s="46">
        <v>46023.0</v>
      </c>
      <c r="AB324" s="151">
        <v>46387.0</v>
      </c>
      <c r="AC324" s="35" t="s">
        <v>5823</v>
      </c>
      <c r="AD324" s="35" t="s">
        <v>79</v>
      </c>
      <c r="AE324" s="35"/>
      <c r="AF324" s="35" t="s">
        <v>5824</v>
      </c>
      <c r="AG324" s="151"/>
    </row>
    <row r="325" ht="44.25" customHeight="1">
      <c r="A325" s="35">
        <v>324.0</v>
      </c>
      <c r="B325" s="35"/>
      <c r="C325" s="35" t="s">
        <v>351</v>
      </c>
      <c r="D325" s="35" t="s">
        <v>3306</v>
      </c>
      <c r="E325" s="35" t="s">
        <v>3495</v>
      </c>
      <c r="F325" s="35" t="s">
        <v>5825</v>
      </c>
      <c r="G325" s="41" t="s">
        <v>5826</v>
      </c>
      <c r="H325" s="35" t="s">
        <v>59</v>
      </c>
      <c r="I325" s="35" t="s">
        <v>61</v>
      </c>
      <c r="J325" s="35" t="s">
        <v>62</v>
      </c>
      <c r="K325" s="35" t="s">
        <v>111</v>
      </c>
      <c r="L325" s="35">
        <v>30.0</v>
      </c>
      <c r="M325" s="35" t="s">
        <v>4734</v>
      </c>
      <c r="N325" s="35" t="s">
        <v>66</v>
      </c>
      <c r="O325" s="35" t="s">
        <v>67</v>
      </c>
      <c r="P325" s="35" t="s">
        <v>5828</v>
      </c>
      <c r="Q325" s="64"/>
      <c r="R325" s="64"/>
      <c r="S325" s="64"/>
      <c r="T325" s="35" t="s">
        <v>955</v>
      </c>
      <c r="U325" s="35">
        <v>9.0</v>
      </c>
      <c r="V325" s="35" t="s">
        <v>61</v>
      </c>
      <c r="W325" s="35" t="s">
        <v>93</v>
      </c>
      <c r="X325" s="35" t="s">
        <v>5829</v>
      </c>
      <c r="Y325" s="35" t="s">
        <v>5830</v>
      </c>
      <c r="Z325" s="35" t="s">
        <v>5831</v>
      </c>
      <c r="AA325" s="46">
        <v>46023.0</v>
      </c>
      <c r="AB325" s="151">
        <v>46387.0</v>
      </c>
      <c r="AC325" s="35" t="s">
        <v>5834</v>
      </c>
      <c r="AD325" s="152"/>
      <c r="AE325" s="35"/>
      <c r="AF325" s="35"/>
      <c r="AG325" s="151"/>
    </row>
    <row r="326" ht="44.25" customHeight="1">
      <c r="A326" s="35">
        <v>325.0</v>
      </c>
      <c r="B326" s="35"/>
      <c r="C326" s="35" t="s">
        <v>351</v>
      </c>
      <c r="D326" s="35" t="s">
        <v>3306</v>
      </c>
      <c r="E326" s="35" t="s">
        <v>3495</v>
      </c>
      <c r="F326" s="35" t="s">
        <v>5836</v>
      </c>
      <c r="G326" s="41" t="s">
        <v>5837</v>
      </c>
      <c r="H326" s="35" t="s">
        <v>59</v>
      </c>
      <c r="I326" s="35" t="s">
        <v>61</v>
      </c>
      <c r="J326" s="35" t="s">
        <v>62</v>
      </c>
      <c r="K326" s="35" t="s">
        <v>63</v>
      </c>
      <c r="L326" s="35">
        <v>30.0</v>
      </c>
      <c r="M326" s="35" t="s">
        <v>5838</v>
      </c>
      <c r="N326" s="35" t="s">
        <v>66</v>
      </c>
      <c r="O326" s="35" t="s">
        <v>67</v>
      </c>
      <c r="P326" s="35" t="s">
        <v>955</v>
      </c>
      <c r="Q326" s="64"/>
      <c r="R326" s="64"/>
      <c r="S326" s="64"/>
      <c r="T326" s="35" t="s">
        <v>955</v>
      </c>
      <c r="U326" s="35" t="s">
        <v>955</v>
      </c>
      <c r="V326" s="35" t="s">
        <v>61</v>
      </c>
      <c r="W326" s="35" t="s">
        <v>74</v>
      </c>
      <c r="X326" s="35" t="s">
        <v>5841</v>
      </c>
      <c r="Y326" s="35" t="s">
        <v>5842</v>
      </c>
      <c r="Z326" s="35" t="s">
        <v>5843</v>
      </c>
      <c r="AA326" s="46">
        <v>46023.0</v>
      </c>
      <c r="AB326" s="151">
        <v>46387.0</v>
      </c>
      <c r="AC326" s="35" t="s">
        <v>5845</v>
      </c>
      <c r="AD326" s="152"/>
      <c r="AE326" s="35"/>
      <c r="AF326" s="35"/>
      <c r="AG326" s="151"/>
    </row>
    <row r="327" ht="44.25" customHeight="1">
      <c r="A327" s="35">
        <v>326.0</v>
      </c>
      <c r="B327" s="35"/>
      <c r="C327" s="35" t="s">
        <v>351</v>
      </c>
      <c r="D327" s="35" t="s">
        <v>3306</v>
      </c>
      <c r="E327" s="35" t="s">
        <v>3528</v>
      </c>
      <c r="F327" s="35" t="s">
        <v>5846</v>
      </c>
      <c r="G327" s="41" t="s">
        <v>5847</v>
      </c>
      <c r="H327" s="35" t="s">
        <v>59</v>
      </c>
      <c r="I327" s="35" t="s">
        <v>61</v>
      </c>
      <c r="J327" s="35" t="s">
        <v>62</v>
      </c>
      <c r="K327" s="35" t="s">
        <v>63</v>
      </c>
      <c r="L327" s="35">
        <v>30.0</v>
      </c>
      <c r="M327" s="35" t="s">
        <v>5850</v>
      </c>
      <c r="N327" s="35" t="s">
        <v>66</v>
      </c>
      <c r="O327" s="35" t="s">
        <v>67</v>
      </c>
      <c r="P327" s="35" t="s">
        <v>5852</v>
      </c>
      <c r="Q327" s="64"/>
      <c r="R327" s="64"/>
      <c r="S327" s="64"/>
      <c r="T327" s="35" t="s">
        <v>955</v>
      </c>
      <c r="U327" s="35">
        <v>8.0</v>
      </c>
      <c r="V327" s="35" t="s">
        <v>61</v>
      </c>
      <c r="W327" s="35" t="s">
        <v>74</v>
      </c>
      <c r="X327" s="35" t="s">
        <v>5853</v>
      </c>
      <c r="Y327" s="35" t="s">
        <v>5854</v>
      </c>
      <c r="Z327" s="35" t="s">
        <v>5855</v>
      </c>
      <c r="AA327" s="46">
        <v>46023.0</v>
      </c>
      <c r="AB327" s="151">
        <v>46387.0</v>
      </c>
      <c r="AC327" s="35" t="s">
        <v>5856</v>
      </c>
      <c r="AD327" s="152"/>
      <c r="AE327" s="35"/>
      <c r="AF327" s="35"/>
      <c r="AG327" s="151"/>
    </row>
    <row r="328" ht="44.25" customHeight="1">
      <c r="A328" s="35">
        <v>327.0</v>
      </c>
      <c r="B328" s="35"/>
      <c r="C328" s="35" t="s">
        <v>351</v>
      </c>
      <c r="D328" s="35" t="s">
        <v>3306</v>
      </c>
      <c r="E328" s="35" t="s">
        <v>3528</v>
      </c>
      <c r="F328" s="35" t="s">
        <v>5857</v>
      </c>
      <c r="G328" s="41" t="s">
        <v>5858</v>
      </c>
      <c r="H328" s="35" t="s">
        <v>59</v>
      </c>
      <c r="I328" s="35" t="s">
        <v>61</v>
      </c>
      <c r="J328" s="35" t="s">
        <v>62</v>
      </c>
      <c r="K328" s="35" t="s">
        <v>63</v>
      </c>
      <c r="L328" s="35">
        <v>40.0</v>
      </c>
      <c r="M328" s="35" t="s">
        <v>5859</v>
      </c>
      <c r="N328" s="35" t="s">
        <v>66</v>
      </c>
      <c r="O328" s="35" t="s">
        <v>67</v>
      </c>
      <c r="P328" s="35" t="s">
        <v>2088</v>
      </c>
      <c r="Q328" s="64"/>
      <c r="R328" s="64"/>
      <c r="S328" s="64"/>
      <c r="T328" s="35" t="s">
        <v>5860</v>
      </c>
      <c r="U328" s="35">
        <v>6.0</v>
      </c>
      <c r="V328" s="35" t="s">
        <v>61</v>
      </c>
      <c r="W328" s="35" t="s">
        <v>93</v>
      </c>
      <c r="X328" s="35" t="s">
        <v>5862</v>
      </c>
      <c r="Y328" s="35" t="s">
        <v>5863</v>
      </c>
      <c r="Z328" s="35" t="s">
        <v>5864</v>
      </c>
      <c r="AA328" s="46">
        <v>46023.0</v>
      </c>
      <c r="AB328" s="151">
        <v>46387.0</v>
      </c>
      <c r="AC328" s="35" t="s">
        <v>5866</v>
      </c>
      <c r="AD328" s="152"/>
      <c r="AE328" s="35"/>
      <c r="AF328" s="35"/>
      <c r="AG328" s="151"/>
    </row>
    <row r="329" ht="44.25" customHeight="1">
      <c r="A329" s="35">
        <v>328.0</v>
      </c>
      <c r="B329" s="35"/>
      <c r="C329" s="35" t="s">
        <v>351</v>
      </c>
      <c r="D329" s="35" t="s">
        <v>3306</v>
      </c>
      <c r="E329" s="35" t="s">
        <v>3528</v>
      </c>
      <c r="F329" s="35" t="s">
        <v>5870</v>
      </c>
      <c r="G329" s="41" t="s">
        <v>5871</v>
      </c>
      <c r="H329" s="35" t="s">
        <v>59</v>
      </c>
      <c r="I329" s="35" t="s">
        <v>61</v>
      </c>
      <c r="J329" s="35" t="s">
        <v>62</v>
      </c>
      <c r="K329" s="35" t="s">
        <v>63</v>
      </c>
      <c r="L329" s="35">
        <v>27.0</v>
      </c>
      <c r="M329" s="35" t="s">
        <v>1918</v>
      </c>
      <c r="N329" s="35" t="s">
        <v>66</v>
      </c>
      <c r="O329" s="35" t="s">
        <v>67</v>
      </c>
      <c r="P329" s="35" t="s">
        <v>955</v>
      </c>
      <c r="Q329" s="64"/>
      <c r="R329" s="64"/>
      <c r="S329" s="64"/>
      <c r="T329" s="35" t="s">
        <v>955</v>
      </c>
      <c r="U329" s="35" t="s">
        <v>955</v>
      </c>
      <c r="V329" s="35" t="s">
        <v>61</v>
      </c>
      <c r="W329" s="35" t="s">
        <v>74</v>
      </c>
      <c r="X329" s="35" t="s">
        <v>5873</v>
      </c>
      <c r="Y329" s="35" t="s">
        <v>5874</v>
      </c>
      <c r="Z329" s="35" t="s">
        <v>5875</v>
      </c>
      <c r="AA329" s="46">
        <v>46023.0</v>
      </c>
      <c r="AB329" s="151">
        <v>46387.0</v>
      </c>
      <c r="AC329" s="35" t="s">
        <v>5877</v>
      </c>
      <c r="AD329" s="152"/>
      <c r="AE329" s="35"/>
      <c r="AF329" s="35"/>
      <c r="AG329" s="151"/>
    </row>
    <row r="330" ht="44.25" customHeight="1">
      <c r="A330" s="35">
        <v>329.0</v>
      </c>
      <c r="B330" s="35"/>
      <c r="C330" s="35" t="s">
        <v>351</v>
      </c>
      <c r="D330" s="35" t="s">
        <v>3306</v>
      </c>
      <c r="E330" s="35" t="s">
        <v>3528</v>
      </c>
      <c r="F330" s="35" t="s">
        <v>5886</v>
      </c>
      <c r="G330" s="41" t="s">
        <v>5887</v>
      </c>
      <c r="H330" s="35" t="s">
        <v>59</v>
      </c>
      <c r="I330" s="35" t="s">
        <v>61</v>
      </c>
      <c r="J330" s="35" t="s">
        <v>62</v>
      </c>
      <c r="K330" s="35" t="s">
        <v>111</v>
      </c>
      <c r="L330" s="35">
        <v>60.0</v>
      </c>
      <c r="M330" s="35" t="s">
        <v>5890</v>
      </c>
      <c r="N330" s="35" t="s">
        <v>66</v>
      </c>
      <c r="O330" s="35" t="s">
        <v>67</v>
      </c>
      <c r="P330" s="35" t="s">
        <v>5891</v>
      </c>
      <c r="Q330" s="64"/>
      <c r="R330" s="64"/>
      <c r="S330" s="64"/>
      <c r="T330" s="35" t="s">
        <v>955</v>
      </c>
      <c r="U330" s="35">
        <v>17.0</v>
      </c>
      <c r="V330" s="35" t="s">
        <v>61</v>
      </c>
      <c r="W330" s="35" t="s">
        <v>93</v>
      </c>
      <c r="X330" s="35" t="s">
        <v>5893</v>
      </c>
      <c r="Y330" s="35" t="s">
        <v>5894</v>
      </c>
      <c r="Z330" s="35" t="s">
        <v>5895</v>
      </c>
      <c r="AA330" s="46">
        <v>46023.0</v>
      </c>
      <c r="AB330" s="151">
        <v>46387.0</v>
      </c>
      <c r="AC330" s="35" t="s">
        <v>5896</v>
      </c>
      <c r="AD330" s="152"/>
      <c r="AE330" s="35"/>
      <c r="AF330" s="35"/>
      <c r="AG330" s="151"/>
    </row>
    <row r="331" ht="44.25" customHeight="1">
      <c r="A331" s="35">
        <v>330.0</v>
      </c>
      <c r="B331" s="35"/>
      <c r="C331" s="35" t="s">
        <v>351</v>
      </c>
      <c r="D331" s="35" t="s">
        <v>3306</v>
      </c>
      <c r="E331" s="35" t="s">
        <v>2945</v>
      </c>
      <c r="F331" s="35" t="s">
        <v>5900</v>
      </c>
      <c r="G331" s="41" t="s">
        <v>5901</v>
      </c>
      <c r="H331" s="35" t="s">
        <v>59</v>
      </c>
      <c r="I331" s="35" t="s">
        <v>61</v>
      </c>
      <c r="J331" s="35" t="s">
        <v>62</v>
      </c>
      <c r="K331" s="35" t="s">
        <v>111</v>
      </c>
      <c r="L331" s="35">
        <v>96.0</v>
      </c>
      <c r="M331" s="35" t="s">
        <v>5902</v>
      </c>
      <c r="N331" s="35" t="s">
        <v>66</v>
      </c>
      <c r="O331" s="35" t="s">
        <v>67</v>
      </c>
      <c r="P331" s="35" t="s">
        <v>5904</v>
      </c>
      <c r="Q331" s="64"/>
      <c r="R331" s="64"/>
      <c r="S331" s="64"/>
      <c r="T331" s="35" t="s">
        <v>955</v>
      </c>
      <c r="U331" s="35">
        <v>12.0</v>
      </c>
      <c r="V331" s="35" t="s">
        <v>533</v>
      </c>
      <c r="W331" s="35" t="s">
        <v>93</v>
      </c>
      <c r="X331" s="35" t="s">
        <v>5905</v>
      </c>
      <c r="Y331" s="35" t="s">
        <v>5906</v>
      </c>
      <c r="Z331" s="35" t="s">
        <v>5907</v>
      </c>
      <c r="AA331" s="46">
        <v>46023.0</v>
      </c>
      <c r="AB331" s="151">
        <v>46387.0</v>
      </c>
      <c r="AC331" s="35" t="s">
        <v>5908</v>
      </c>
      <c r="AD331" s="152"/>
      <c r="AE331" s="35"/>
      <c r="AF331" s="35"/>
      <c r="AG331" s="151"/>
    </row>
    <row r="332" ht="44.25" customHeight="1">
      <c r="A332" s="35">
        <v>331.0</v>
      </c>
      <c r="B332" s="35"/>
      <c r="C332" s="35" t="s">
        <v>351</v>
      </c>
      <c r="D332" s="35" t="s">
        <v>3306</v>
      </c>
      <c r="E332" s="35" t="s">
        <v>2945</v>
      </c>
      <c r="F332" s="35" t="s">
        <v>5909</v>
      </c>
      <c r="G332" s="41" t="s">
        <v>5910</v>
      </c>
      <c r="H332" s="35" t="s">
        <v>59</v>
      </c>
      <c r="I332" s="35" t="s">
        <v>61</v>
      </c>
      <c r="J332" s="35" t="s">
        <v>62</v>
      </c>
      <c r="K332" s="35" t="s">
        <v>111</v>
      </c>
      <c r="L332" s="35">
        <v>70.0</v>
      </c>
      <c r="M332" s="35" t="s">
        <v>5911</v>
      </c>
      <c r="N332" s="35" t="s">
        <v>66</v>
      </c>
      <c r="O332" s="35" t="s">
        <v>67</v>
      </c>
      <c r="P332" s="35" t="s">
        <v>5912</v>
      </c>
      <c r="Q332" s="64"/>
      <c r="R332" s="64"/>
      <c r="S332" s="64"/>
      <c r="T332" s="35" t="s">
        <v>955</v>
      </c>
      <c r="U332" s="35">
        <v>28.0</v>
      </c>
      <c r="V332" s="35" t="s">
        <v>61</v>
      </c>
      <c r="W332" s="35" t="s">
        <v>93</v>
      </c>
      <c r="X332" s="35" t="s">
        <v>5913</v>
      </c>
      <c r="Y332" s="35" t="s">
        <v>5914</v>
      </c>
      <c r="Z332" s="35" t="s">
        <v>5915</v>
      </c>
      <c r="AA332" s="46">
        <v>46023.0</v>
      </c>
      <c r="AB332" s="151">
        <v>46387.0</v>
      </c>
      <c r="AC332" s="35" t="s">
        <v>5916</v>
      </c>
      <c r="AD332" s="152"/>
      <c r="AE332" s="35"/>
      <c r="AF332" s="35"/>
      <c r="AG332" s="151"/>
    </row>
    <row r="333" ht="44.25" customHeight="1">
      <c r="A333" s="35">
        <v>332.0</v>
      </c>
      <c r="B333" s="35"/>
      <c r="C333" s="35" t="s">
        <v>351</v>
      </c>
      <c r="D333" s="35" t="s">
        <v>3306</v>
      </c>
      <c r="E333" s="35" t="s">
        <v>2945</v>
      </c>
      <c r="F333" s="35" t="s">
        <v>5917</v>
      </c>
      <c r="G333" s="41" t="s">
        <v>5918</v>
      </c>
      <c r="H333" s="35" t="s">
        <v>59</v>
      </c>
      <c r="I333" s="35" t="s">
        <v>61</v>
      </c>
      <c r="J333" s="35" t="s">
        <v>62</v>
      </c>
      <c r="K333" s="35" t="s">
        <v>63</v>
      </c>
      <c r="L333" s="35">
        <v>17.0</v>
      </c>
      <c r="M333" s="35" t="s">
        <v>1918</v>
      </c>
      <c r="N333" s="35" t="s">
        <v>66</v>
      </c>
      <c r="O333" s="35" t="s">
        <v>67</v>
      </c>
      <c r="P333" s="35" t="s">
        <v>955</v>
      </c>
      <c r="Q333" s="64"/>
      <c r="R333" s="64"/>
      <c r="S333" s="64"/>
      <c r="T333" s="35" t="s">
        <v>955</v>
      </c>
      <c r="U333" s="35" t="s">
        <v>955</v>
      </c>
      <c r="V333" s="35" t="s">
        <v>61</v>
      </c>
      <c r="W333" s="35" t="s">
        <v>74</v>
      </c>
      <c r="X333" s="35" t="s">
        <v>5919</v>
      </c>
      <c r="Y333" s="35" t="s">
        <v>5920</v>
      </c>
      <c r="Z333" s="35" t="s">
        <v>5921</v>
      </c>
      <c r="AA333" s="46">
        <v>46023.0</v>
      </c>
      <c r="AB333" s="151">
        <v>46387.0</v>
      </c>
      <c r="AC333" s="35" t="s">
        <v>5922</v>
      </c>
      <c r="AD333" s="152"/>
      <c r="AE333" s="35"/>
      <c r="AF333" s="35"/>
      <c r="AG333" s="151"/>
    </row>
    <row r="334" ht="44.25" customHeight="1">
      <c r="A334" s="35">
        <v>333.0</v>
      </c>
      <c r="B334" s="35"/>
      <c r="C334" s="35" t="s">
        <v>351</v>
      </c>
      <c r="D334" s="35" t="s">
        <v>3306</v>
      </c>
      <c r="E334" s="35" t="s">
        <v>3574</v>
      </c>
      <c r="F334" s="35" t="s">
        <v>5923</v>
      </c>
      <c r="G334" s="41" t="s">
        <v>5924</v>
      </c>
      <c r="H334" s="35" t="s">
        <v>59</v>
      </c>
      <c r="I334" s="35" t="s">
        <v>61</v>
      </c>
      <c r="J334" s="35" t="s">
        <v>62</v>
      </c>
      <c r="K334" s="35" t="s">
        <v>63</v>
      </c>
      <c r="L334" s="35">
        <v>12.0</v>
      </c>
      <c r="M334" s="35" t="s">
        <v>1918</v>
      </c>
      <c r="N334" s="35" t="s">
        <v>66</v>
      </c>
      <c r="O334" s="35" t="s">
        <v>67</v>
      </c>
      <c r="P334" s="35" t="s">
        <v>955</v>
      </c>
      <c r="Q334" s="64"/>
      <c r="R334" s="64"/>
      <c r="S334" s="64"/>
      <c r="T334" s="35" t="s">
        <v>955</v>
      </c>
      <c r="U334" s="35" t="s">
        <v>955</v>
      </c>
      <c r="V334" s="35" t="s">
        <v>61</v>
      </c>
      <c r="W334" s="35" t="s">
        <v>74</v>
      </c>
      <c r="X334" s="35" t="s">
        <v>5925</v>
      </c>
      <c r="Y334" s="35" t="s">
        <v>5926</v>
      </c>
      <c r="Z334" s="35" t="s">
        <v>5927</v>
      </c>
      <c r="AA334" s="46">
        <v>46023.0</v>
      </c>
      <c r="AB334" s="151">
        <v>46387.0</v>
      </c>
      <c r="AC334" s="35" t="s">
        <v>5928</v>
      </c>
      <c r="AD334" s="152"/>
      <c r="AE334" s="35"/>
      <c r="AF334" s="35"/>
      <c r="AG334" s="151"/>
    </row>
    <row r="335" ht="44.25" customHeight="1">
      <c r="A335" s="35">
        <v>334.0</v>
      </c>
      <c r="B335" s="35"/>
      <c r="C335" s="35" t="s">
        <v>351</v>
      </c>
      <c r="D335" s="35" t="s">
        <v>3306</v>
      </c>
      <c r="E335" s="35" t="s">
        <v>3574</v>
      </c>
      <c r="F335" s="35" t="s">
        <v>5929</v>
      </c>
      <c r="G335" s="41" t="s">
        <v>5930</v>
      </c>
      <c r="H335" s="35" t="s">
        <v>59</v>
      </c>
      <c r="I335" s="35" t="s">
        <v>61</v>
      </c>
      <c r="J335" s="35" t="s">
        <v>62</v>
      </c>
      <c r="K335" s="35" t="s">
        <v>63</v>
      </c>
      <c r="L335" s="35">
        <v>25.0</v>
      </c>
      <c r="M335" s="35" t="s">
        <v>4492</v>
      </c>
      <c r="N335" s="35" t="s">
        <v>66</v>
      </c>
      <c r="O335" s="35" t="s">
        <v>67</v>
      </c>
      <c r="P335" s="35" t="s">
        <v>955</v>
      </c>
      <c r="Q335" s="64"/>
      <c r="R335" s="64"/>
      <c r="S335" s="64"/>
      <c r="T335" s="35" t="s">
        <v>955</v>
      </c>
      <c r="U335" s="35" t="s">
        <v>955</v>
      </c>
      <c r="V335" s="35" t="s">
        <v>61</v>
      </c>
      <c r="W335" s="35" t="s">
        <v>74</v>
      </c>
      <c r="X335" s="35" t="s">
        <v>5931</v>
      </c>
      <c r="Y335" s="35" t="s">
        <v>5932</v>
      </c>
      <c r="Z335" s="35" t="s">
        <v>5933</v>
      </c>
      <c r="AA335" s="46">
        <v>46023.0</v>
      </c>
      <c r="AB335" s="151">
        <v>46387.0</v>
      </c>
      <c r="AC335" s="35" t="s">
        <v>5934</v>
      </c>
      <c r="AD335" s="152"/>
      <c r="AE335" s="35"/>
      <c r="AF335" s="35"/>
      <c r="AG335" s="151"/>
    </row>
    <row r="336" ht="44.25" customHeight="1">
      <c r="A336" s="35">
        <v>335.0</v>
      </c>
      <c r="B336" s="35"/>
      <c r="C336" s="35" t="s">
        <v>351</v>
      </c>
      <c r="D336" s="35" t="s">
        <v>3306</v>
      </c>
      <c r="E336" s="35" t="s">
        <v>3574</v>
      </c>
      <c r="F336" s="35" t="s">
        <v>5935</v>
      </c>
      <c r="G336" s="41" t="s">
        <v>5936</v>
      </c>
      <c r="H336" s="35" t="s">
        <v>59</v>
      </c>
      <c r="I336" s="35" t="s">
        <v>61</v>
      </c>
      <c r="J336" s="35" t="s">
        <v>62</v>
      </c>
      <c r="K336" s="35" t="s">
        <v>63</v>
      </c>
      <c r="L336" s="35">
        <v>28.0</v>
      </c>
      <c r="M336" s="35" t="s">
        <v>5938</v>
      </c>
      <c r="N336" s="35" t="s">
        <v>66</v>
      </c>
      <c r="O336" s="35" t="s">
        <v>67</v>
      </c>
      <c r="P336" s="35" t="s">
        <v>5940</v>
      </c>
      <c r="Q336" s="64"/>
      <c r="R336" s="64"/>
      <c r="S336" s="64"/>
      <c r="T336" s="35" t="s">
        <v>955</v>
      </c>
      <c r="U336" s="35" t="s">
        <v>955</v>
      </c>
      <c r="V336" s="35" t="s">
        <v>61</v>
      </c>
      <c r="W336" s="35" t="s">
        <v>74</v>
      </c>
      <c r="X336" s="35" t="s">
        <v>5942</v>
      </c>
      <c r="Y336" s="35" t="s">
        <v>5943</v>
      </c>
      <c r="Z336" s="35" t="s">
        <v>5944</v>
      </c>
      <c r="AA336" s="46">
        <v>46023.0</v>
      </c>
      <c r="AB336" s="151">
        <v>46387.0</v>
      </c>
      <c r="AC336" s="35" t="s">
        <v>5945</v>
      </c>
      <c r="AD336" s="152"/>
      <c r="AE336" s="35"/>
      <c r="AF336" s="35"/>
      <c r="AG336" s="151"/>
    </row>
    <row r="337" ht="44.25" customHeight="1">
      <c r="A337" s="35">
        <v>336.0</v>
      </c>
      <c r="B337" s="35"/>
      <c r="C337" s="35" t="s">
        <v>351</v>
      </c>
      <c r="D337" s="35" t="s">
        <v>3306</v>
      </c>
      <c r="E337" s="35" t="s">
        <v>3574</v>
      </c>
      <c r="F337" s="35" t="s">
        <v>5946</v>
      </c>
      <c r="G337" s="41" t="s">
        <v>5947</v>
      </c>
      <c r="H337" s="35" t="s">
        <v>59</v>
      </c>
      <c r="I337" s="35" t="s">
        <v>61</v>
      </c>
      <c r="J337" s="35" t="s">
        <v>62</v>
      </c>
      <c r="K337" s="35" t="s">
        <v>111</v>
      </c>
      <c r="L337" s="35">
        <v>80.0</v>
      </c>
      <c r="M337" s="35" t="s">
        <v>5948</v>
      </c>
      <c r="N337" s="35" t="s">
        <v>66</v>
      </c>
      <c r="O337" s="35" t="s">
        <v>67</v>
      </c>
      <c r="P337" s="35" t="s">
        <v>5949</v>
      </c>
      <c r="Q337" s="64"/>
      <c r="R337" s="64"/>
      <c r="S337" s="64"/>
      <c r="T337" s="35" t="s">
        <v>955</v>
      </c>
      <c r="U337" s="35">
        <v>9.0</v>
      </c>
      <c r="V337" s="35" t="s">
        <v>61</v>
      </c>
      <c r="W337" s="35" t="s">
        <v>93</v>
      </c>
      <c r="X337" s="35" t="s">
        <v>5952</v>
      </c>
      <c r="Y337" s="35" t="s">
        <v>5954</v>
      </c>
      <c r="Z337" s="35" t="s">
        <v>5955</v>
      </c>
      <c r="AA337" s="46">
        <v>46023.0</v>
      </c>
      <c r="AB337" s="151">
        <v>46387.0</v>
      </c>
      <c r="AC337" s="35" t="s">
        <v>5956</v>
      </c>
      <c r="AD337" s="152"/>
      <c r="AE337" s="35"/>
      <c r="AF337" s="35"/>
      <c r="AG337" s="151"/>
    </row>
    <row r="338" ht="44.25" customHeight="1">
      <c r="A338" s="35">
        <v>337.0</v>
      </c>
      <c r="B338" s="35"/>
      <c r="C338" s="35" t="s">
        <v>351</v>
      </c>
      <c r="D338" s="35" t="s">
        <v>3306</v>
      </c>
      <c r="E338" s="35" t="s">
        <v>3574</v>
      </c>
      <c r="F338" s="35" t="s">
        <v>5957</v>
      </c>
      <c r="G338" s="41" t="s">
        <v>5959</v>
      </c>
      <c r="H338" s="35" t="s">
        <v>59</v>
      </c>
      <c r="I338" s="35" t="s">
        <v>61</v>
      </c>
      <c r="J338" s="35" t="s">
        <v>62</v>
      </c>
      <c r="K338" s="35" t="s">
        <v>111</v>
      </c>
      <c r="L338" s="35">
        <v>99.0</v>
      </c>
      <c r="M338" s="35" t="s">
        <v>5960</v>
      </c>
      <c r="N338" s="35" t="s">
        <v>221</v>
      </c>
      <c r="O338" s="35" t="s">
        <v>67</v>
      </c>
      <c r="P338" s="35" t="s">
        <v>5961</v>
      </c>
      <c r="Q338" s="64"/>
      <c r="R338" s="64"/>
      <c r="S338" s="64"/>
      <c r="T338" s="35" t="s">
        <v>955</v>
      </c>
      <c r="U338" s="35">
        <v>4.0</v>
      </c>
      <c r="V338" s="35" t="s">
        <v>61</v>
      </c>
      <c r="W338" s="35" t="s">
        <v>93</v>
      </c>
      <c r="X338" s="35" t="s">
        <v>5962</v>
      </c>
      <c r="Y338" s="35" t="s">
        <v>5963</v>
      </c>
      <c r="Z338" s="35" t="s">
        <v>5964</v>
      </c>
      <c r="AA338" s="46">
        <v>46023.0</v>
      </c>
      <c r="AB338" s="151">
        <v>46387.0</v>
      </c>
      <c r="AC338" s="35" t="s">
        <v>5965</v>
      </c>
      <c r="AD338" s="152"/>
      <c r="AE338" s="35"/>
      <c r="AF338" s="35"/>
      <c r="AG338" s="151"/>
    </row>
    <row r="339" ht="44.25" customHeight="1">
      <c r="A339" s="35">
        <v>338.0</v>
      </c>
      <c r="B339" s="35"/>
      <c r="C339" s="35" t="s">
        <v>351</v>
      </c>
      <c r="D339" s="35" t="s">
        <v>3306</v>
      </c>
      <c r="E339" s="35" t="s">
        <v>5969</v>
      </c>
      <c r="F339" s="35" t="s">
        <v>5970</v>
      </c>
      <c r="G339" s="41" t="s">
        <v>5971</v>
      </c>
      <c r="H339" s="35" t="s">
        <v>59</v>
      </c>
      <c r="I339" s="35" t="s">
        <v>61</v>
      </c>
      <c r="J339" s="35" t="s">
        <v>62</v>
      </c>
      <c r="K339" s="35" t="s">
        <v>63</v>
      </c>
      <c r="L339" s="35">
        <v>12.0</v>
      </c>
      <c r="M339" s="35" t="s">
        <v>1918</v>
      </c>
      <c r="N339" s="35" t="s">
        <v>66</v>
      </c>
      <c r="O339" s="35" t="s">
        <v>67</v>
      </c>
      <c r="P339" s="35" t="s">
        <v>955</v>
      </c>
      <c r="Q339" s="64"/>
      <c r="R339" s="64"/>
      <c r="S339" s="64"/>
      <c r="T339" s="35" t="s">
        <v>955</v>
      </c>
      <c r="U339" s="35" t="s">
        <v>955</v>
      </c>
      <c r="V339" s="35" t="s">
        <v>61</v>
      </c>
      <c r="W339" s="35" t="s">
        <v>74</v>
      </c>
      <c r="X339" s="35" t="s">
        <v>5974</v>
      </c>
      <c r="Y339" s="35" t="s">
        <v>5975</v>
      </c>
      <c r="Z339" s="35" t="s">
        <v>5976</v>
      </c>
      <c r="AA339" s="46">
        <v>46023.0</v>
      </c>
      <c r="AB339" s="151">
        <v>46387.0</v>
      </c>
      <c r="AC339" s="35" t="s">
        <v>5977</v>
      </c>
      <c r="AD339" s="152"/>
      <c r="AE339" s="35"/>
      <c r="AF339" s="35"/>
      <c r="AG339" s="151"/>
    </row>
    <row r="340" ht="44.25" customHeight="1">
      <c r="A340" s="35">
        <v>339.0</v>
      </c>
      <c r="B340" s="35"/>
      <c r="C340" s="35" t="s">
        <v>351</v>
      </c>
      <c r="D340" s="35" t="s">
        <v>3306</v>
      </c>
      <c r="E340" s="35" t="s">
        <v>283</v>
      </c>
      <c r="F340" s="35" t="s">
        <v>5982</v>
      </c>
      <c r="G340" s="41" t="s">
        <v>5983</v>
      </c>
      <c r="H340" s="35" t="s">
        <v>59</v>
      </c>
      <c r="I340" s="35" t="s">
        <v>61</v>
      </c>
      <c r="J340" s="35" t="s">
        <v>62</v>
      </c>
      <c r="K340" s="35" t="s">
        <v>111</v>
      </c>
      <c r="L340" s="35">
        <v>66.0</v>
      </c>
      <c r="M340" s="35" t="s">
        <v>5008</v>
      </c>
      <c r="N340" s="35" t="s">
        <v>66</v>
      </c>
      <c r="O340" s="35" t="s">
        <v>67</v>
      </c>
      <c r="P340" s="35" t="s">
        <v>5986</v>
      </c>
      <c r="Q340" s="64"/>
      <c r="R340" s="64"/>
      <c r="S340" s="64"/>
      <c r="T340" s="35" t="s">
        <v>955</v>
      </c>
      <c r="U340" s="35">
        <v>12.0</v>
      </c>
      <c r="V340" s="35" t="s">
        <v>61</v>
      </c>
      <c r="W340" s="35" t="s">
        <v>93</v>
      </c>
      <c r="X340" s="35" t="s">
        <v>5987</v>
      </c>
      <c r="Y340" s="35" t="s">
        <v>5988</v>
      </c>
      <c r="Z340" s="35" t="s">
        <v>5989</v>
      </c>
      <c r="AA340" s="46">
        <v>46023.0</v>
      </c>
      <c r="AB340" s="151">
        <v>46387.0</v>
      </c>
      <c r="AC340" s="35" t="s">
        <v>5990</v>
      </c>
      <c r="AD340" s="152"/>
      <c r="AE340" s="35"/>
      <c r="AF340" s="35"/>
      <c r="AG340" s="151"/>
    </row>
    <row r="341" ht="44.25" customHeight="1">
      <c r="A341" s="35">
        <v>340.0</v>
      </c>
      <c r="B341" s="35"/>
      <c r="C341" s="35" t="s">
        <v>351</v>
      </c>
      <c r="D341" s="35" t="s">
        <v>3306</v>
      </c>
      <c r="E341" s="35" t="s">
        <v>5992</v>
      </c>
      <c r="F341" s="35" t="s">
        <v>5993</v>
      </c>
      <c r="G341" s="41" t="s">
        <v>5994</v>
      </c>
      <c r="H341" s="35" t="s">
        <v>59</v>
      </c>
      <c r="I341" s="35" t="s">
        <v>61</v>
      </c>
      <c r="J341" s="35" t="s">
        <v>62</v>
      </c>
      <c r="K341" s="35" t="s">
        <v>111</v>
      </c>
      <c r="L341" s="35">
        <v>102.0</v>
      </c>
      <c r="M341" s="35" t="s">
        <v>5999</v>
      </c>
      <c r="N341" s="35" t="s">
        <v>221</v>
      </c>
      <c r="O341" s="35" t="s">
        <v>67</v>
      </c>
      <c r="P341" s="35" t="s">
        <v>6000</v>
      </c>
      <c r="Q341" s="64"/>
      <c r="R341" s="64"/>
      <c r="S341" s="64"/>
      <c r="T341" s="35" t="s">
        <v>955</v>
      </c>
      <c r="U341" s="35">
        <v>8.0</v>
      </c>
      <c r="V341" s="35" t="s">
        <v>61</v>
      </c>
      <c r="W341" s="35" t="s">
        <v>93</v>
      </c>
      <c r="X341" s="35" t="s">
        <v>6001</v>
      </c>
      <c r="Y341" s="35">
        <v>9.178586632E9</v>
      </c>
      <c r="Z341" s="35" t="s">
        <v>6004</v>
      </c>
      <c r="AA341" s="46">
        <v>46023.0</v>
      </c>
      <c r="AB341" s="151">
        <v>46387.0</v>
      </c>
      <c r="AC341" s="35" t="s">
        <v>6006</v>
      </c>
      <c r="AD341" s="152"/>
      <c r="AE341" s="35"/>
      <c r="AF341" s="35"/>
      <c r="AG341" s="151"/>
    </row>
    <row r="342" ht="44.25" customHeight="1">
      <c r="A342" s="35">
        <v>341.0</v>
      </c>
      <c r="B342" s="35"/>
      <c r="C342" s="35" t="s">
        <v>351</v>
      </c>
      <c r="D342" s="35" t="s">
        <v>3306</v>
      </c>
      <c r="E342" s="35" t="s">
        <v>5992</v>
      </c>
      <c r="F342" s="35" t="s">
        <v>6007</v>
      </c>
      <c r="G342" s="41" t="s">
        <v>6008</v>
      </c>
      <c r="H342" s="35" t="s">
        <v>59</v>
      </c>
      <c r="I342" s="35" t="s">
        <v>61</v>
      </c>
      <c r="J342" s="35" t="s">
        <v>62</v>
      </c>
      <c r="K342" s="35" t="s">
        <v>111</v>
      </c>
      <c r="L342" s="35">
        <v>100.0</v>
      </c>
      <c r="M342" s="35" t="s">
        <v>6009</v>
      </c>
      <c r="N342" s="35" t="s">
        <v>66</v>
      </c>
      <c r="O342" s="35" t="s">
        <v>67</v>
      </c>
      <c r="P342" s="35" t="s">
        <v>6010</v>
      </c>
      <c r="Q342" s="64"/>
      <c r="R342" s="64"/>
      <c r="S342" s="64"/>
      <c r="T342" s="35" t="s">
        <v>955</v>
      </c>
      <c r="U342" s="35">
        <v>24.0</v>
      </c>
      <c r="V342" s="35" t="s">
        <v>61</v>
      </c>
      <c r="W342" s="35" t="s">
        <v>93</v>
      </c>
      <c r="X342" s="35" t="s">
        <v>6012</v>
      </c>
      <c r="Y342" s="35" t="s">
        <v>6015</v>
      </c>
      <c r="Z342" s="35" t="s">
        <v>6016</v>
      </c>
      <c r="AA342" s="46">
        <v>46023.0</v>
      </c>
      <c r="AB342" s="151">
        <v>46387.0</v>
      </c>
      <c r="AC342" s="35" t="s">
        <v>6018</v>
      </c>
      <c r="AD342" s="35" t="s">
        <v>638</v>
      </c>
      <c r="AE342" s="35" t="s">
        <v>643</v>
      </c>
      <c r="AF342" s="35" t="s">
        <v>6019</v>
      </c>
      <c r="AG342" s="151"/>
    </row>
    <row r="343" ht="44.25" customHeight="1">
      <c r="A343" s="35">
        <v>342.0</v>
      </c>
      <c r="B343" s="35">
        <v>501.0</v>
      </c>
      <c r="C343" s="35" t="s">
        <v>351</v>
      </c>
      <c r="D343" s="35" t="s">
        <v>1054</v>
      </c>
      <c r="E343" s="35" t="s">
        <v>3602</v>
      </c>
      <c r="F343" s="35" t="s">
        <v>6020</v>
      </c>
      <c r="G343" s="41" t="s">
        <v>6021</v>
      </c>
      <c r="H343" s="35" t="s">
        <v>59</v>
      </c>
      <c r="I343" s="35" t="s">
        <v>61</v>
      </c>
      <c r="J343" s="35" t="s">
        <v>62</v>
      </c>
      <c r="K343" s="35" t="s">
        <v>63</v>
      </c>
      <c r="L343" s="35">
        <v>15.0</v>
      </c>
      <c r="M343" s="35" t="s">
        <v>4492</v>
      </c>
      <c r="N343" s="35" t="s">
        <v>66</v>
      </c>
      <c r="O343" s="35" t="s">
        <v>67</v>
      </c>
      <c r="P343" s="35" t="s">
        <v>6022</v>
      </c>
      <c r="Q343" s="64"/>
      <c r="R343" s="64"/>
      <c r="S343" s="64"/>
      <c r="T343" s="35" t="s">
        <v>955</v>
      </c>
      <c r="U343" s="35" t="s">
        <v>955</v>
      </c>
      <c r="V343" s="35" t="s">
        <v>61</v>
      </c>
      <c r="W343" s="35" t="s">
        <v>74</v>
      </c>
      <c r="X343" s="35" t="s">
        <v>6025</v>
      </c>
      <c r="Y343" s="35" t="s">
        <v>6026</v>
      </c>
      <c r="Z343" s="35" t="s">
        <v>6027</v>
      </c>
      <c r="AA343" s="46">
        <v>46023.0</v>
      </c>
      <c r="AB343" s="151">
        <v>46387.0</v>
      </c>
      <c r="AC343" s="35" t="s">
        <v>6028</v>
      </c>
      <c r="AD343" s="152"/>
      <c r="AE343" s="35"/>
      <c r="AF343" s="35"/>
      <c r="AG343" s="151"/>
    </row>
    <row r="344" ht="44.25" customHeight="1">
      <c r="A344" s="35">
        <v>343.0</v>
      </c>
      <c r="B344" s="35">
        <v>773.0</v>
      </c>
      <c r="C344" s="35" t="s">
        <v>351</v>
      </c>
      <c r="D344" s="35" t="s">
        <v>1054</v>
      </c>
      <c r="E344" s="35" t="s">
        <v>6029</v>
      </c>
      <c r="F344" s="35" t="s">
        <v>6030</v>
      </c>
      <c r="G344" s="41" t="s">
        <v>6031</v>
      </c>
      <c r="H344" s="35" t="s">
        <v>59</v>
      </c>
      <c r="I344" s="35" t="s">
        <v>61</v>
      </c>
      <c r="J344" s="35" t="s">
        <v>62</v>
      </c>
      <c r="K344" s="35" t="s">
        <v>63</v>
      </c>
      <c r="L344" s="35">
        <v>29.0</v>
      </c>
      <c r="M344" s="35" t="s">
        <v>4492</v>
      </c>
      <c r="N344" s="35" t="s">
        <v>66</v>
      </c>
      <c r="O344" s="35"/>
      <c r="P344" s="35" t="s">
        <v>955</v>
      </c>
      <c r="Q344" s="64"/>
      <c r="R344" s="64"/>
      <c r="S344" s="64"/>
      <c r="T344" s="35" t="s">
        <v>955</v>
      </c>
      <c r="U344" s="35" t="s">
        <v>955</v>
      </c>
      <c r="V344" s="35" t="s">
        <v>61</v>
      </c>
      <c r="W344" s="35" t="s">
        <v>74</v>
      </c>
      <c r="X344" s="35" t="s">
        <v>6035</v>
      </c>
      <c r="Y344" s="35">
        <v>9.312195706E9</v>
      </c>
      <c r="Z344" s="35" t="s">
        <v>6036</v>
      </c>
      <c r="AA344" s="46">
        <v>46023.0</v>
      </c>
      <c r="AB344" s="151">
        <v>46387.0</v>
      </c>
      <c r="AC344" s="35" t="s">
        <v>6037</v>
      </c>
      <c r="AD344" s="152"/>
      <c r="AE344" s="35"/>
      <c r="AF344" s="35"/>
      <c r="AG344" s="151"/>
    </row>
    <row r="345" ht="44.25" customHeight="1">
      <c r="A345" s="35">
        <v>344.0</v>
      </c>
      <c r="B345" s="35">
        <v>712.0</v>
      </c>
      <c r="C345" s="35" t="s">
        <v>351</v>
      </c>
      <c r="D345" s="35" t="s">
        <v>1054</v>
      </c>
      <c r="E345" s="35" t="s">
        <v>2866</v>
      </c>
      <c r="F345" s="35" t="s">
        <v>6039</v>
      </c>
      <c r="G345" s="41" t="s">
        <v>6040</v>
      </c>
      <c r="H345" s="35" t="s">
        <v>59</v>
      </c>
      <c r="I345" s="35" t="s">
        <v>61</v>
      </c>
      <c r="J345" s="35" t="s">
        <v>62</v>
      </c>
      <c r="K345" s="35" t="s">
        <v>111</v>
      </c>
      <c r="L345" s="35">
        <v>60.0</v>
      </c>
      <c r="M345" s="35" t="s">
        <v>6042</v>
      </c>
      <c r="N345" s="35" t="s">
        <v>66</v>
      </c>
      <c r="O345" s="35"/>
      <c r="P345" s="35" t="s">
        <v>6043</v>
      </c>
      <c r="Q345" s="64"/>
      <c r="R345" s="64"/>
      <c r="S345" s="64"/>
      <c r="T345" s="35" t="s">
        <v>955</v>
      </c>
      <c r="U345" s="35">
        <v>20.0</v>
      </c>
      <c r="V345" s="35" t="s">
        <v>61</v>
      </c>
      <c r="W345" s="35" t="s">
        <v>93</v>
      </c>
      <c r="X345" s="35" t="s">
        <v>6045</v>
      </c>
      <c r="Y345" s="35">
        <v>4.25854531E8</v>
      </c>
      <c r="Z345" s="35" t="s">
        <v>6047</v>
      </c>
      <c r="AA345" s="46">
        <v>46023.0</v>
      </c>
      <c r="AB345" s="151">
        <v>46387.0</v>
      </c>
      <c r="AC345" s="35" t="s">
        <v>6049</v>
      </c>
      <c r="AD345" s="35" t="s">
        <v>79</v>
      </c>
      <c r="AE345" s="35"/>
      <c r="AF345" s="35" t="s">
        <v>5167</v>
      </c>
      <c r="AG345" s="151"/>
    </row>
    <row r="346" ht="44.25" customHeight="1">
      <c r="A346" s="35">
        <v>345.0</v>
      </c>
      <c r="B346" s="35">
        <v>19544.0</v>
      </c>
      <c r="C346" s="35" t="s">
        <v>351</v>
      </c>
      <c r="D346" s="35" t="s">
        <v>1054</v>
      </c>
      <c r="E346" s="35" t="s">
        <v>2866</v>
      </c>
      <c r="F346" s="35" t="s">
        <v>6051</v>
      </c>
      <c r="G346" s="41" t="s">
        <v>6052</v>
      </c>
      <c r="H346" s="35" t="s">
        <v>59</v>
      </c>
      <c r="I346" s="35" t="s">
        <v>61</v>
      </c>
      <c r="J346" s="35" t="s">
        <v>62</v>
      </c>
      <c r="K346" s="35" t="s">
        <v>111</v>
      </c>
      <c r="L346" s="35">
        <v>82.0</v>
      </c>
      <c r="M346" s="35" t="s">
        <v>6053</v>
      </c>
      <c r="N346" s="35" t="s">
        <v>66</v>
      </c>
      <c r="O346" s="35"/>
      <c r="P346" s="35" t="s">
        <v>6054</v>
      </c>
      <c r="Q346" s="64"/>
      <c r="R346" s="64"/>
      <c r="S346" s="64"/>
      <c r="T346" s="35" t="s">
        <v>955</v>
      </c>
      <c r="U346" s="35">
        <v>12.0</v>
      </c>
      <c r="V346" s="35" t="s">
        <v>533</v>
      </c>
      <c r="W346" s="35" t="s">
        <v>93</v>
      </c>
      <c r="X346" s="35" t="s">
        <v>6056</v>
      </c>
      <c r="Y346" s="35" t="s">
        <v>6057</v>
      </c>
      <c r="Z346" s="35" t="s">
        <v>6058</v>
      </c>
      <c r="AA346" s="46">
        <v>46023.0</v>
      </c>
      <c r="AB346" s="151">
        <v>46387.0</v>
      </c>
      <c r="AC346" s="35" t="s">
        <v>6059</v>
      </c>
      <c r="AD346" s="35" t="s">
        <v>79</v>
      </c>
      <c r="AE346" s="35"/>
      <c r="AF346" s="35" t="s">
        <v>6061</v>
      </c>
      <c r="AG346" s="151"/>
    </row>
    <row r="347" ht="44.25" customHeight="1">
      <c r="A347" s="35">
        <v>346.0</v>
      </c>
      <c r="B347" s="35">
        <v>24438.0</v>
      </c>
      <c r="C347" s="35" t="s">
        <v>351</v>
      </c>
      <c r="D347" s="35" t="s">
        <v>1054</v>
      </c>
      <c r="E347" s="35" t="s">
        <v>3664</v>
      </c>
      <c r="F347" s="35" t="s">
        <v>6065</v>
      </c>
      <c r="G347" s="41" t="s">
        <v>6066</v>
      </c>
      <c r="H347" s="35" t="s">
        <v>59</v>
      </c>
      <c r="I347" s="35" t="s">
        <v>61</v>
      </c>
      <c r="J347" s="35" t="s">
        <v>62</v>
      </c>
      <c r="K347" s="35" t="s">
        <v>111</v>
      </c>
      <c r="L347" s="35">
        <v>50.0</v>
      </c>
      <c r="M347" s="35" t="s">
        <v>6067</v>
      </c>
      <c r="N347" s="35" t="s">
        <v>71</v>
      </c>
      <c r="O347" s="35"/>
      <c r="P347" s="35" t="s">
        <v>6068</v>
      </c>
      <c r="Q347" s="64"/>
      <c r="R347" s="64"/>
      <c r="S347" s="64"/>
      <c r="T347" s="35" t="s">
        <v>955</v>
      </c>
      <c r="U347" s="35">
        <v>16.0</v>
      </c>
      <c r="V347" s="35" t="s">
        <v>61</v>
      </c>
      <c r="W347" s="35" t="s">
        <v>93</v>
      </c>
      <c r="X347" s="35" t="s">
        <v>6069</v>
      </c>
      <c r="Y347" s="35" t="s">
        <v>6070</v>
      </c>
      <c r="Z347" s="35" t="s">
        <v>6071</v>
      </c>
      <c r="AA347" s="46">
        <v>46023.0</v>
      </c>
      <c r="AB347" s="151">
        <v>46387.0</v>
      </c>
      <c r="AC347" s="35" t="s">
        <v>6072</v>
      </c>
      <c r="AD347" s="35" t="s">
        <v>638</v>
      </c>
      <c r="AE347" s="35"/>
      <c r="AF347" s="35" t="s">
        <v>6073</v>
      </c>
      <c r="AG347" s="151"/>
    </row>
    <row r="348" ht="44.25" customHeight="1">
      <c r="A348" s="35">
        <v>347.0</v>
      </c>
      <c r="B348" s="35">
        <v>2496.0</v>
      </c>
      <c r="C348" s="35" t="s">
        <v>351</v>
      </c>
      <c r="D348" s="35" t="s">
        <v>1054</v>
      </c>
      <c r="E348" s="35" t="s">
        <v>3664</v>
      </c>
      <c r="F348" s="35" t="s">
        <v>6075</v>
      </c>
      <c r="G348" s="41" t="s">
        <v>6076</v>
      </c>
      <c r="H348" s="35" t="s">
        <v>59</v>
      </c>
      <c r="I348" s="35" t="s">
        <v>61</v>
      </c>
      <c r="J348" s="35" t="s">
        <v>62</v>
      </c>
      <c r="K348" s="35" t="s">
        <v>63</v>
      </c>
      <c r="L348" s="35">
        <v>20.0</v>
      </c>
      <c r="M348" s="35" t="s">
        <v>4492</v>
      </c>
      <c r="N348" s="35" t="s">
        <v>66</v>
      </c>
      <c r="O348" s="35"/>
      <c r="P348" s="35" t="s">
        <v>955</v>
      </c>
      <c r="Q348" s="64"/>
      <c r="R348" s="64"/>
      <c r="S348" s="64"/>
      <c r="T348" s="35" t="s">
        <v>955</v>
      </c>
      <c r="U348" s="35" t="s">
        <v>955</v>
      </c>
      <c r="V348" s="35" t="s">
        <v>61</v>
      </c>
      <c r="W348" s="35" t="s">
        <v>74</v>
      </c>
      <c r="X348" s="35" t="s">
        <v>6077</v>
      </c>
      <c r="Y348" s="35" t="s">
        <v>6078</v>
      </c>
      <c r="Z348" s="35" t="s">
        <v>6079</v>
      </c>
      <c r="AA348" s="46">
        <v>46023.0</v>
      </c>
      <c r="AB348" s="151">
        <v>46387.0</v>
      </c>
      <c r="AC348" s="35" t="s">
        <v>6080</v>
      </c>
      <c r="AD348" s="152"/>
      <c r="AE348" s="35"/>
      <c r="AF348" s="35"/>
      <c r="AG348" s="151"/>
    </row>
    <row r="349" ht="44.25" customHeight="1">
      <c r="A349" s="35">
        <v>348.0</v>
      </c>
      <c r="B349" s="35">
        <v>624.0</v>
      </c>
      <c r="C349" s="35" t="s">
        <v>351</v>
      </c>
      <c r="D349" s="35" t="s">
        <v>1054</v>
      </c>
      <c r="E349" s="35" t="s">
        <v>3702</v>
      </c>
      <c r="F349" s="35" t="s">
        <v>6081</v>
      </c>
      <c r="G349" s="41" t="s">
        <v>6082</v>
      </c>
      <c r="H349" s="35" t="s">
        <v>59</v>
      </c>
      <c r="I349" s="35" t="s">
        <v>61</v>
      </c>
      <c r="J349" s="35" t="s">
        <v>62</v>
      </c>
      <c r="K349" s="35" t="s">
        <v>63</v>
      </c>
      <c r="L349" s="35">
        <v>65.0</v>
      </c>
      <c r="M349" s="35" t="s">
        <v>1918</v>
      </c>
      <c r="N349" s="35" t="s">
        <v>66</v>
      </c>
      <c r="O349" s="35"/>
      <c r="P349" s="35" t="s">
        <v>6084</v>
      </c>
      <c r="Q349" s="64"/>
      <c r="R349" s="64"/>
      <c r="S349" s="64"/>
      <c r="T349" s="35" t="s">
        <v>955</v>
      </c>
      <c r="U349" s="35" t="s">
        <v>955</v>
      </c>
      <c r="V349" s="35" t="s">
        <v>61</v>
      </c>
      <c r="W349" s="35" t="s">
        <v>74</v>
      </c>
      <c r="X349" s="35" t="s">
        <v>6085</v>
      </c>
      <c r="Y349" s="35" t="s">
        <v>6086</v>
      </c>
      <c r="Z349" s="35" t="s">
        <v>6087</v>
      </c>
      <c r="AA349" s="46">
        <v>46023.0</v>
      </c>
      <c r="AB349" s="151">
        <v>46387.0</v>
      </c>
      <c r="AC349" s="35" t="s">
        <v>6089</v>
      </c>
      <c r="AD349" s="152"/>
      <c r="AE349" s="35"/>
      <c r="AF349" s="35"/>
      <c r="AG349" s="151"/>
    </row>
    <row r="350" ht="44.25" customHeight="1">
      <c r="A350" s="35">
        <v>349.0</v>
      </c>
      <c r="B350" s="35">
        <v>626.0</v>
      </c>
      <c r="C350" s="35" t="s">
        <v>351</v>
      </c>
      <c r="D350" s="35" t="s">
        <v>1054</v>
      </c>
      <c r="E350" s="35" t="s">
        <v>6091</v>
      </c>
      <c r="F350" s="35" t="s">
        <v>6092</v>
      </c>
      <c r="G350" s="41" t="s">
        <v>6093</v>
      </c>
      <c r="H350" s="35" t="s">
        <v>59</v>
      </c>
      <c r="I350" s="35" t="s">
        <v>61</v>
      </c>
      <c r="J350" s="35" t="s">
        <v>62</v>
      </c>
      <c r="K350" s="35" t="s">
        <v>63</v>
      </c>
      <c r="L350" s="35">
        <v>30.0</v>
      </c>
      <c r="M350" s="35" t="s">
        <v>6095</v>
      </c>
      <c r="N350" s="35" t="s">
        <v>66</v>
      </c>
      <c r="O350" s="35"/>
      <c r="P350" s="35" t="s">
        <v>6098</v>
      </c>
      <c r="Q350" s="64"/>
      <c r="R350" s="64"/>
      <c r="S350" s="64"/>
      <c r="T350" s="35" t="s">
        <v>955</v>
      </c>
      <c r="U350" s="35">
        <v>12.0</v>
      </c>
      <c r="V350" s="35" t="s">
        <v>61</v>
      </c>
      <c r="W350" s="35" t="s">
        <v>74</v>
      </c>
      <c r="X350" s="35" t="s">
        <v>4949</v>
      </c>
      <c r="Y350" s="35" t="s">
        <v>6099</v>
      </c>
      <c r="Z350" s="35" t="s">
        <v>6100</v>
      </c>
      <c r="AA350" s="46">
        <v>46023.0</v>
      </c>
      <c r="AB350" s="151">
        <v>46387.0</v>
      </c>
      <c r="AC350" s="35" t="s">
        <v>6101</v>
      </c>
      <c r="AD350" s="152"/>
      <c r="AE350" s="35"/>
      <c r="AF350" s="35"/>
      <c r="AG350" s="151"/>
    </row>
    <row r="351" ht="44.25" customHeight="1">
      <c r="A351" s="35">
        <v>350.0</v>
      </c>
      <c r="B351" s="35">
        <v>3558.0</v>
      </c>
      <c r="C351" s="35" t="s">
        <v>351</v>
      </c>
      <c r="D351" s="35" t="s">
        <v>1054</v>
      </c>
      <c r="E351" s="35" t="s">
        <v>3721</v>
      </c>
      <c r="F351" s="35" t="s">
        <v>6103</v>
      </c>
      <c r="G351" s="41" t="s">
        <v>6104</v>
      </c>
      <c r="H351" s="35" t="s">
        <v>59</v>
      </c>
      <c r="I351" s="35" t="s">
        <v>61</v>
      </c>
      <c r="J351" s="35" t="s">
        <v>62</v>
      </c>
      <c r="K351" s="35" t="s">
        <v>111</v>
      </c>
      <c r="L351" s="35">
        <v>122.0</v>
      </c>
      <c r="M351" s="35" t="s">
        <v>6106</v>
      </c>
      <c r="N351" s="35" t="s">
        <v>66</v>
      </c>
      <c r="O351" s="35"/>
      <c r="P351" s="35" t="s">
        <v>6109</v>
      </c>
      <c r="Q351" s="64"/>
      <c r="R351" s="64"/>
      <c r="S351" s="64"/>
      <c r="T351" s="35" t="s">
        <v>955</v>
      </c>
      <c r="U351" s="35">
        <v>10.0</v>
      </c>
      <c r="V351" s="35" t="s">
        <v>61</v>
      </c>
      <c r="W351" s="35" t="s">
        <v>93</v>
      </c>
      <c r="X351" s="35" t="s">
        <v>6111</v>
      </c>
      <c r="Y351" s="35" t="s">
        <v>6112</v>
      </c>
      <c r="Z351" s="35" t="s">
        <v>6113</v>
      </c>
      <c r="AA351" s="46">
        <v>46023.0</v>
      </c>
      <c r="AB351" s="151">
        <v>46387.0</v>
      </c>
      <c r="AC351" s="35" t="s">
        <v>6114</v>
      </c>
      <c r="AD351" s="152"/>
      <c r="AE351" s="35"/>
      <c r="AF351" s="35"/>
      <c r="AG351" s="151"/>
    </row>
    <row r="352" ht="44.25" customHeight="1">
      <c r="A352" s="35">
        <v>351.0</v>
      </c>
      <c r="B352" s="35"/>
      <c r="C352" s="35" t="s">
        <v>351</v>
      </c>
      <c r="D352" s="35" t="s">
        <v>1054</v>
      </c>
      <c r="E352" s="35" t="s">
        <v>3721</v>
      </c>
      <c r="F352" s="35" t="s">
        <v>6119</v>
      </c>
      <c r="G352" s="41" t="s">
        <v>6120</v>
      </c>
      <c r="H352" s="35" t="s">
        <v>59</v>
      </c>
      <c r="I352" s="35" t="s">
        <v>61</v>
      </c>
      <c r="J352" s="35" t="s">
        <v>62</v>
      </c>
      <c r="K352" s="35" t="s">
        <v>111</v>
      </c>
      <c r="L352" s="35">
        <v>95.0</v>
      </c>
      <c r="M352" s="35" t="s">
        <v>6122</v>
      </c>
      <c r="N352" s="35" t="s">
        <v>66</v>
      </c>
      <c r="O352" s="35" t="s">
        <v>72</v>
      </c>
      <c r="P352" s="35" t="s">
        <v>6123</v>
      </c>
      <c r="Q352" s="64"/>
      <c r="R352" s="64"/>
      <c r="S352" s="64"/>
      <c r="T352" s="35" t="s">
        <v>955</v>
      </c>
      <c r="U352" s="35">
        <v>18.0</v>
      </c>
      <c r="V352" s="35" t="s">
        <v>61</v>
      </c>
      <c r="W352" s="35" t="s">
        <v>93</v>
      </c>
      <c r="X352" s="35" t="s">
        <v>6125</v>
      </c>
      <c r="Y352" s="35">
        <v>9.178760031E9</v>
      </c>
      <c r="Z352" s="35" t="s">
        <v>6126</v>
      </c>
      <c r="AA352" s="46">
        <v>46023.0</v>
      </c>
      <c r="AB352" s="151">
        <v>46387.0</v>
      </c>
      <c r="AC352" s="35" t="s">
        <v>6127</v>
      </c>
      <c r="AD352" s="152"/>
      <c r="AE352" s="35"/>
      <c r="AF352" s="35"/>
      <c r="AG352" s="151"/>
    </row>
    <row r="353" ht="44.25" customHeight="1">
      <c r="A353" s="35">
        <v>352.0</v>
      </c>
      <c r="B353" s="35">
        <v>2173.0</v>
      </c>
      <c r="C353" s="35" t="s">
        <v>351</v>
      </c>
      <c r="D353" s="35" t="s">
        <v>1054</v>
      </c>
      <c r="E353" s="35" t="s">
        <v>3721</v>
      </c>
      <c r="F353" s="35" t="s">
        <v>6131</v>
      </c>
      <c r="G353" s="41" t="s">
        <v>6132</v>
      </c>
      <c r="H353" s="35" t="s">
        <v>59</v>
      </c>
      <c r="I353" s="35" t="s">
        <v>61</v>
      </c>
      <c r="J353" s="35" t="s">
        <v>62</v>
      </c>
      <c r="K353" s="35" t="s">
        <v>111</v>
      </c>
      <c r="L353" s="35">
        <v>178.0</v>
      </c>
      <c r="M353" s="35" t="s">
        <v>6134</v>
      </c>
      <c r="N353" s="35" t="s">
        <v>66</v>
      </c>
      <c r="O353" s="35" t="s">
        <v>72</v>
      </c>
      <c r="P353" s="35" t="s">
        <v>6135</v>
      </c>
      <c r="Q353" s="64"/>
      <c r="R353" s="64"/>
      <c r="S353" s="64"/>
      <c r="T353" s="35" t="s">
        <v>955</v>
      </c>
      <c r="U353" s="35">
        <v>12.0</v>
      </c>
      <c r="V353" s="35" t="s">
        <v>61</v>
      </c>
      <c r="W353" s="35" t="s">
        <v>93</v>
      </c>
      <c r="X353" s="35" t="s">
        <v>6139</v>
      </c>
      <c r="Y353" s="35" t="s">
        <v>6140</v>
      </c>
      <c r="Z353" s="35" t="s">
        <v>6141</v>
      </c>
      <c r="AA353" s="46">
        <v>46023.0</v>
      </c>
      <c r="AB353" s="151">
        <v>46387.0</v>
      </c>
      <c r="AC353" s="35" t="s">
        <v>6142</v>
      </c>
      <c r="AD353" s="152"/>
      <c r="AE353" s="35"/>
      <c r="AF353" s="35"/>
      <c r="AG353" s="151"/>
    </row>
    <row r="354" ht="44.25" customHeight="1">
      <c r="A354" s="35">
        <v>353.0</v>
      </c>
      <c r="B354" s="35">
        <v>4801.0</v>
      </c>
      <c r="C354" s="35" t="s">
        <v>351</v>
      </c>
      <c r="D354" s="35" t="s">
        <v>1054</v>
      </c>
      <c r="E354" s="35" t="s">
        <v>3721</v>
      </c>
      <c r="F354" s="35" t="s">
        <v>6145</v>
      </c>
      <c r="G354" s="41" t="s">
        <v>6147</v>
      </c>
      <c r="H354" s="35" t="s">
        <v>59</v>
      </c>
      <c r="I354" s="35" t="s">
        <v>61</v>
      </c>
      <c r="J354" s="35" t="s">
        <v>62</v>
      </c>
      <c r="K354" s="35" t="s">
        <v>111</v>
      </c>
      <c r="L354" s="35">
        <v>80.0</v>
      </c>
      <c r="M354" s="35" t="s">
        <v>6151</v>
      </c>
      <c r="N354" s="35" t="s">
        <v>66</v>
      </c>
      <c r="O354" s="35"/>
      <c r="P354" s="35" t="s">
        <v>6153</v>
      </c>
      <c r="Q354" s="64"/>
      <c r="R354" s="64"/>
      <c r="S354" s="64"/>
      <c r="T354" s="35" t="s">
        <v>955</v>
      </c>
      <c r="U354" s="35">
        <v>10.0</v>
      </c>
      <c r="V354" s="35" t="s">
        <v>61</v>
      </c>
      <c r="W354" s="35" t="s">
        <v>93</v>
      </c>
      <c r="X354" s="35" t="s">
        <v>6154</v>
      </c>
      <c r="Y354" s="35" t="s">
        <v>6156</v>
      </c>
      <c r="Z354" s="35" t="s">
        <v>6157</v>
      </c>
      <c r="AA354" s="46">
        <v>46023.0</v>
      </c>
      <c r="AB354" s="151">
        <v>46387.0</v>
      </c>
      <c r="AC354" s="35" t="s">
        <v>6159</v>
      </c>
      <c r="AD354" s="152"/>
      <c r="AE354" s="35"/>
      <c r="AF354" s="35"/>
      <c r="AG354" s="151"/>
    </row>
    <row r="355" ht="44.25" customHeight="1">
      <c r="A355" s="35">
        <v>354.0</v>
      </c>
      <c r="B355" s="35"/>
      <c r="C355" s="35" t="s">
        <v>351</v>
      </c>
      <c r="D355" s="35" t="s">
        <v>1054</v>
      </c>
      <c r="E355" s="35" t="s">
        <v>6163</v>
      </c>
      <c r="F355" s="35" t="s">
        <v>6165</v>
      </c>
      <c r="G355" s="41" t="s">
        <v>6166</v>
      </c>
      <c r="H355" s="35" t="s">
        <v>59</v>
      </c>
      <c r="I355" s="35" t="s">
        <v>61</v>
      </c>
      <c r="J355" s="35" t="s">
        <v>62</v>
      </c>
      <c r="K355" s="35" t="s">
        <v>111</v>
      </c>
      <c r="L355" s="35">
        <v>75.0</v>
      </c>
      <c r="M355" s="35" t="s">
        <v>6168</v>
      </c>
      <c r="N355" s="35" t="s">
        <v>66</v>
      </c>
      <c r="O355" s="35" t="s">
        <v>6169</v>
      </c>
      <c r="P355" s="35" t="s">
        <v>6170</v>
      </c>
      <c r="Q355" s="64"/>
      <c r="R355" s="64"/>
      <c r="S355" s="64"/>
      <c r="T355" s="35" t="s">
        <v>955</v>
      </c>
      <c r="U355" s="35">
        <v>12.0</v>
      </c>
      <c r="V355" s="35" t="s">
        <v>61</v>
      </c>
      <c r="W355" s="35" t="s">
        <v>93</v>
      </c>
      <c r="X355" s="35" t="s">
        <v>6173</v>
      </c>
      <c r="Y355" s="35" t="s">
        <v>6174</v>
      </c>
      <c r="Z355" s="35" t="s">
        <v>6175</v>
      </c>
      <c r="AA355" s="46">
        <v>46023.0</v>
      </c>
      <c r="AB355" s="151">
        <v>46387.0</v>
      </c>
      <c r="AC355" s="35" t="s">
        <v>6177</v>
      </c>
      <c r="AD355" s="35" t="s">
        <v>638</v>
      </c>
      <c r="AE355" s="35"/>
      <c r="AF355" s="35" t="s">
        <v>6179</v>
      </c>
      <c r="AG355" s="151"/>
    </row>
    <row r="356" ht="44.25" customHeight="1">
      <c r="A356" s="35">
        <v>355.0</v>
      </c>
      <c r="B356" s="35">
        <v>6899.0</v>
      </c>
      <c r="C356" s="35" t="s">
        <v>351</v>
      </c>
      <c r="D356" s="35" t="s">
        <v>1054</v>
      </c>
      <c r="E356" s="35" t="s">
        <v>6180</v>
      </c>
      <c r="F356" s="35" t="s">
        <v>6181</v>
      </c>
      <c r="G356" s="41" t="s">
        <v>6183</v>
      </c>
      <c r="H356" s="35" t="s">
        <v>59</v>
      </c>
      <c r="I356" s="35" t="s">
        <v>61</v>
      </c>
      <c r="J356" s="35" t="s">
        <v>62</v>
      </c>
      <c r="K356" s="35" t="s">
        <v>111</v>
      </c>
      <c r="L356" s="35">
        <v>80.0</v>
      </c>
      <c r="M356" s="35" t="s">
        <v>1918</v>
      </c>
      <c r="N356" s="35" t="s">
        <v>66</v>
      </c>
      <c r="O356" s="35"/>
      <c r="P356" s="35" t="s">
        <v>6187</v>
      </c>
      <c r="Q356" s="64"/>
      <c r="R356" s="64"/>
      <c r="S356" s="64"/>
      <c r="T356" s="35" t="s">
        <v>955</v>
      </c>
      <c r="U356" s="35">
        <v>11.0</v>
      </c>
      <c r="V356" s="35" t="s">
        <v>61</v>
      </c>
      <c r="W356" s="35" t="s">
        <v>93</v>
      </c>
      <c r="X356" s="35" t="s">
        <v>6188</v>
      </c>
      <c r="Y356" s="35" t="s">
        <v>6189</v>
      </c>
      <c r="Z356" s="35" t="s">
        <v>6190</v>
      </c>
      <c r="AA356" s="46">
        <v>46023.0</v>
      </c>
      <c r="AB356" s="151">
        <v>46387.0</v>
      </c>
      <c r="AC356" s="35" t="s">
        <v>6191</v>
      </c>
      <c r="AD356" s="152"/>
      <c r="AE356" s="35"/>
      <c r="AF356" s="35"/>
      <c r="AG356" s="151"/>
    </row>
    <row r="357" ht="44.25" customHeight="1">
      <c r="A357" s="35">
        <v>356.0</v>
      </c>
      <c r="B357" s="35">
        <v>47632.0</v>
      </c>
      <c r="C357" s="35" t="s">
        <v>351</v>
      </c>
      <c r="D357" s="35" t="s">
        <v>1054</v>
      </c>
      <c r="E357" s="35" t="s">
        <v>6192</v>
      </c>
      <c r="F357" s="35" t="s">
        <v>6193</v>
      </c>
      <c r="G357" s="41" t="s">
        <v>6194</v>
      </c>
      <c r="H357" s="35" t="s">
        <v>59</v>
      </c>
      <c r="I357" s="35" t="s">
        <v>61</v>
      </c>
      <c r="J357" s="35" t="s">
        <v>62</v>
      </c>
      <c r="K357" s="35" t="s">
        <v>111</v>
      </c>
      <c r="L357" s="35">
        <v>50.0</v>
      </c>
      <c r="M357" s="35" t="s">
        <v>1918</v>
      </c>
      <c r="N357" s="35" t="s">
        <v>66</v>
      </c>
      <c r="O357" s="35"/>
      <c r="P357" s="35" t="s">
        <v>6196</v>
      </c>
      <c r="Q357" s="64"/>
      <c r="R357" s="64"/>
      <c r="S357" s="64"/>
      <c r="T357" s="35" t="s">
        <v>955</v>
      </c>
      <c r="U357" s="35" t="s">
        <v>955</v>
      </c>
      <c r="V357" s="35" t="s">
        <v>61</v>
      </c>
      <c r="W357" s="35" t="s">
        <v>93</v>
      </c>
      <c r="X357" s="35" t="s">
        <v>6197</v>
      </c>
      <c r="Y357" s="35">
        <v>9.176231652E9</v>
      </c>
      <c r="Z357" s="35" t="s">
        <v>6199</v>
      </c>
      <c r="AA357" s="46">
        <v>46023.0</v>
      </c>
      <c r="AB357" s="151">
        <v>46387.0</v>
      </c>
      <c r="AC357" s="35" t="s">
        <v>6200</v>
      </c>
      <c r="AD357" s="152"/>
      <c r="AE357" s="35"/>
      <c r="AF357" s="35"/>
      <c r="AG357" s="151"/>
    </row>
    <row r="358" ht="44.25" customHeight="1">
      <c r="A358" s="35">
        <v>357.0</v>
      </c>
      <c r="B358" s="35"/>
      <c r="C358" s="35" t="s">
        <v>351</v>
      </c>
      <c r="D358" s="35" t="s">
        <v>3806</v>
      </c>
      <c r="E358" s="35" t="s">
        <v>3808</v>
      </c>
      <c r="F358" s="35" t="s">
        <v>6205</v>
      </c>
      <c r="G358" s="41" t="s">
        <v>6206</v>
      </c>
      <c r="H358" s="35" t="s">
        <v>59</v>
      </c>
      <c r="I358" s="35" t="s">
        <v>61</v>
      </c>
      <c r="J358" s="35" t="s">
        <v>62</v>
      </c>
      <c r="K358" s="35" t="s">
        <v>63</v>
      </c>
      <c r="L358" s="35">
        <v>40.0</v>
      </c>
      <c r="M358" s="35" t="s">
        <v>6208</v>
      </c>
      <c r="N358" s="35" t="s">
        <v>66</v>
      </c>
      <c r="O358" s="35" t="s">
        <v>67</v>
      </c>
      <c r="P358" s="35" t="s">
        <v>955</v>
      </c>
      <c r="Q358" s="64"/>
      <c r="R358" s="64"/>
      <c r="S358" s="64"/>
      <c r="T358" s="35" t="s">
        <v>955</v>
      </c>
      <c r="U358" s="35" t="s">
        <v>955</v>
      </c>
      <c r="V358" s="35" t="s">
        <v>61</v>
      </c>
      <c r="W358" s="35" t="s">
        <v>74</v>
      </c>
      <c r="X358" s="35" t="s">
        <v>6210</v>
      </c>
      <c r="Y358" s="35" t="s">
        <v>6211</v>
      </c>
      <c r="Z358" s="35" t="s">
        <v>6212</v>
      </c>
      <c r="AA358" s="46">
        <v>46141.0</v>
      </c>
      <c r="AB358" s="151">
        <v>46387.0</v>
      </c>
      <c r="AC358" s="35" t="s">
        <v>6215</v>
      </c>
      <c r="AD358" s="152"/>
      <c r="AE358" s="35"/>
      <c r="AF358" s="35"/>
      <c r="AG358" s="151"/>
    </row>
    <row r="359" ht="44.25" customHeight="1">
      <c r="A359" s="35">
        <v>358.0</v>
      </c>
      <c r="B359" s="35"/>
      <c r="C359" s="35" t="s">
        <v>351</v>
      </c>
      <c r="D359" s="35" t="s">
        <v>3806</v>
      </c>
      <c r="E359" s="35" t="s">
        <v>3808</v>
      </c>
      <c r="F359" s="35" t="s">
        <v>6219</v>
      </c>
      <c r="G359" s="41" t="s">
        <v>6220</v>
      </c>
      <c r="H359" s="35" t="s">
        <v>59</v>
      </c>
      <c r="I359" s="35" t="s">
        <v>61</v>
      </c>
      <c r="J359" s="35" t="s">
        <v>62</v>
      </c>
      <c r="K359" s="35" t="s">
        <v>63</v>
      </c>
      <c r="L359" s="35">
        <v>16.0</v>
      </c>
      <c r="M359" s="35" t="s">
        <v>4492</v>
      </c>
      <c r="N359" s="35" t="s">
        <v>66</v>
      </c>
      <c r="O359" s="35" t="s">
        <v>67</v>
      </c>
      <c r="P359" s="35" t="s">
        <v>955</v>
      </c>
      <c r="Q359" s="64"/>
      <c r="R359" s="64"/>
      <c r="S359" s="64"/>
      <c r="T359" s="35" t="s">
        <v>955</v>
      </c>
      <c r="U359" s="35">
        <v>12.0</v>
      </c>
      <c r="V359" s="35" t="s">
        <v>61</v>
      </c>
      <c r="W359" s="35" t="s">
        <v>74</v>
      </c>
      <c r="X359" s="35" t="s">
        <v>6224</v>
      </c>
      <c r="Y359" s="35" t="s">
        <v>6225</v>
      </c>
      <c r="Z359" s="35" t="s">
        <v>6226</v>
      </c>
      <c r="AA359" s="46">
        <v>46023.0</v>
      </c>
      <c r="AB359" s="151">
        <v>46387.0</v>
      </c>
      <c r="AC359" s="35" t="s">
        <v>6228</v>
      </c>
      <c r="AD359" s="152"/>
      <c r="AE359" s="35"/>
      <c r="AF359" s="35"/>
      <c r="AG359" s="151"/>
    </row>
    <row r="360" ht="44.25" customHeight="1">
      <c r="A360" s="35">
        <v>359.0</v>
      </c>
      <c r="B360" s="35"/>
      <c r="C360" s="35" t="s">
        <v>351</v>
      </c>
      <c r="D360" s="35" t="s">
        <v>3806</v>
      </c>
      <c r="E360" s="35" t="s">
        <v>3829</v>
      </c>
      <c r="F360" s="35" t="s">
        <v>6230</v>
      </c>
      <c r="G360" s="41" t="s">
        <v>6231</v>
      </c>
      <c r="H360" s="35" t="s">
        <v>59</v>
      </c>
      <c r="I360" s="35" t="s">
        <v>61</v>
      </c>
      <c r="J360" s="35" t="s">
        <v>62</v>
      </c>
      <c r="K360" s="35" t="s">
        <v>63</v>
      </c>
      <c r="L360" s="35">
        <v>25.0</v>
      </c>
      <c r="M360" s="35" t="s">
        <v>6235</v>
      </c>
      <c r="N360" s="35" t="s">
        <v>66</v>
      </c>
      <c r="O360" s="35" t="s">
        <v>67</v>
      </c>
      <c r="P360" s="35" t="s">
        <v>6237</v>
      </c>
      <c r="Q360" s="64"/>
      <c r="R360" s="64"/>
      <c r="S360" s="64"/>
      <c r="T360" s="35" t="s">
        <v>955</v>
      </c>
      <c r="U360" s="35" t="s">
        <v>955</v>
      </c>
      <c r="V360" s="35" t="s">
        <v>61</v>
      </c>
      <c r="W360" s="35" t="s">
        <v>74</v>
      </c>
      <c r="X360" s="35" t="s">
        <v>6238</v>
      </c>
      <c r="Y360" s="35" t="s">
        <v>6239</v>
      </c>
      <c r="Z360" s="35" t="s">
        <v>6240</v>
      </c>
      <c r="AA360" s="46">
        <v>46023.0</v>
      </c>
      <c r="AB360" s="151">
        <v>46387.0</v>
      </c>
      <c r="AC360" s="35" t="s">
        <v>6242</v>
      </c>
      <c r="AD360" s="152"/>
      <c r="AE360" s="35"/>
      <c r="AF360" s="35"/>
      <c r="AG360" s="151"/>
    </row>
    <row r="361" ht="44.25" customHeight="1">
      <c r="A361" s="35">
        <v>360.0</v>
      </c>
      <c r="B361" s="35"/>
      <c r="C361" s="35" t="s">
        <v>351</v>
      </c>
      <c r="D361" s="35" t="s">
        <v>3806</v>
      </c>
      <c r="E361" s="35" t="s">
        <v>3829</v>
      </c>
      <c r="F361" s="35" t="s">
        <v>6245</v>
      </c>
      <c r="G361" s="41" t="s">
        <v>6247</v>
      </c>
      <c r="H361" s="35" t="s">
        <v>59</v>
      </c>
      <c r="I361" s="35" t="s">
        <v>61</v>
      </c>
      <c r="J361" s="35" t="s">
        <v>62</v>
      </c>
      <c r="K361" s="35" t="s">
        <v>63</v>
      </c>
      <c r="L361" s="35">
        <v>77.0</v>
      </c>
      <c r="M361" s="35" t="s">
        <v>6249</v>
      </c>
      <c r="N361" s="35" t="s">
        <v>66</v>
      </c>
      <c r="O361" s="35" t="s">
        <v>67</v>
      </c>
      <c r="P361" s="35" t="s">
        <v>6250</v>
      </c>
      <c r="Q361" s="64"/>
      <c r="R361" s="64"/>
      <c r="S361" s="64"/>
      <c r="T361" s="35" t="s">
        <v>955</v>
      </c>
      <c r="U361" s="35">
        <v>10.0</v>
      </c>
      <c r="V361" s="35" t="s">
        <v>61</v>
      </c>
      <c r="W361" s="35" t="s">
        <v>74</v>
      </c>
      <c r="X361" s="35" t="s">
        <v>6253</v>
      </c>
      <c r="Y361" s="35" t="s">
        <v>6259</v>
      </c>
      <c r="Z361" s="35" t="s">
        <v>6260</v>
      </c>
      <c r="AA361" s="46">
        <v>46023.0</v>
      </c>
      <c r="AB361" s="151">
        <v>46387.0</v>
      </c>
      <c r="AC361" s="35" t="s">
        <v>6262</v>
      </c>
      <c r="AD361" s="152"/>
      <c r="AE361" s="35"/>
      <c r="AF361" s="35"/>
      <c r="AG361" s="151"/>
    </row>
    <row r="362" ht="44.25" customHeight="1">
      <c r="A362" s="35">
        <v>361.0</v>
      </c>
      <c r="B362" s="35"/>
      <c r="C362" s="35" t="s">
        <v>351</v>
      </c>
      <c r="D362" s="35" t="s">
        <v>3806</v>
      </c>
      <c r="E362" s="35" t="s">
        <v>3829</v>
      </c>
      <c r="F362" s="35" t="s">
        <v>6264</v>
      </c>
      <c r="G362" s="41" t="s">
        <v>6265</v>
      </c>
      <c r="H362" s="35" t="s">
        <v>59</v>
      </c>
      <c r="I362" s="35" t="s">
        <v>61</v>
      </c>
      <c r="J362" s="35" t="s">
        <v>62</v>
      </c>
      <c r="K362" s="35" t="s">
        <v>111</v>
      </c>
      <c r="L362" s="35">
        <v>100.0</v>
      </c>
      <c r="M362" s="35" t="s">
        <v>6270</v>
      </c>
      <c r="N362" s="35" t="s">
        <v>66</v>
      </c>
      <c r="O362" s="35" t="s">
        <v>67</v>
      </c>
      <c r="P362" s="35" t="s">
        <v>6271</v>
      </c>
      <c r="Q362" s="64"/>
      <c r="R362" s="64"/>
      <c r="S362" s="64"/>
      <c r="T362" s="35" t="s">
        <v>955</v>
      </c>
      <c r="U362" s="35">
        <v>11.0</v>
      </c>
      <c r="V362" s="35" t="s">
        <v>61</v>
      </c>
      <c r="W362" s="35" t="s">
        <v>93</v>
      </c>
      <c r="X362" s="35" t="s">
        <v>6272</v>
      </c>
      <c r="Y362" s="35" t="s">
        <v>6273</v>
      </c>
      <c r="Z362" s="35" t="s">
        <v>6274</v>
      </c>
      <c r="AA362" s="46">
        <v>46023.0</v>
      </c>
      <c r="AB362" s="151">
        <v>46387.0</v>
      </c>
      <c r="AC362" s="35" t="s">
        <v>6275</v>
      </c>
      <c r="AD362" s="152"/>
      <c r="AE362" s="35"/>
      <c r="AF362" s="35"/>
      <c r="AG362" s="151"/>
    </row>
    <row r="363" ht="44.25" customHeight="1">
      <c r="A363" s="35">
        <v>362.0</v>
      </c>
      <c r="B363" s="35"/>
      <c r="C363" s="35" t="s">
        <v>351</v>
      </c>
      <c r="D363" s="35" t="s">
        <v>3806</v>
      </c>
      <c r="E363" s="35" t="s">
        <v>3829</v>
      </c>
      <c r="F363" s="35" t="s">
        <v>6276</v>
      </c>
      <c r="G363" s="41" t="s">
        <v>6277</v>
      </c>
      <c r="H363" s="35" t="s">
        <v>59</v>
      </c>
      <c r="I363" s="35" t="s">
        <v>61</v>
      </c>
      <c r="J363" s="35" t="s">
        <v>62</v>
      </c>
      <c r="K363" s="35" t="s">
        <v>63</v>
      </c>
      <c r="L363" s="35">
        <v>12.0</v>
      </c>
      <c r="M363" s="35" t="s">
        <v>1918</v>
      </c>
      <c r="N363" s="35" t="s">
        <v>66</v>
      </c>
      <c r="O363" s="35" t="s">
        <v>67</v>
      </c>
      <c r="P363" s="35" t="s">
        <v>955</v>
      </c>
      <c r="Q363" s="64"/>
      <c r="R363" s="64"/>
      <c r="S363" s="64"/>
      <c r="T363" s="35" t="s">
        <v>955</v>
      </c>
      <c r="U363" s="35" t="s">
        <v>955</v>
      </c>
      <c r="V363" s="35" t="s">
        <v>61</v>
      </c>
      <c r="W363" s="35" t="s">
        <v>74</v>
      </c>
      <c r="X363" s="35" t="s">
        <v>6278</v>
      </c>
      <c r="Y363" s="35">
        <v>8.6815291E7</v>
      </c>
      <c r="Z363" s="35" t="s">
        <v>6279</v>
      </c>
      <c r="AA363" s="46">
        <v>46038.0</v>
      </c>
      <c r="AB363" s="151">
        <v>46387.0</v>
      </c>
      <c r="AC363" s="35" t="s">
        <v>6280</v>
      </c>
      <c r="AD363" s="152"/>
      <c r="AE363" s="35"/>
      <c r="AF363" s="35"/>
      <c r="AG363" s="151"/>
    </row>
    <row r="364" ht="44.25" customHeight="1">
      <c r="A364" s="35">
        <v>363.0</v>
      </c>
      <c r="B364" s="35"/>
      <c r="C364" s="35" t="s">
        <v>351</v>
      </c>
      <c r="D364" s="35" t="s">
        <v>3806</v>
      </c>
      <c r="E364" s="35" t="s">
        <v>3829</v>
      </c>
      <c r="F364" s="35" t="s">
        <v>6281</v>
      </c>
      <c r="G364" s="41" t="s">
        <v>6282</v>
      </c>
      <c r="H364" s="35" t="s">
        <v>59</v>
      </c>
      <c r="I364" s="35" t="s">
        <v>61</v>
      </c>
      <c r="J364" s="35" t="s">
        <v>62</v>
      </c>
      <c r="K364" s="35" t="s">
        <v>111</v>
      </c>
      <c r="L364" s="35">
        <v>70.0</v>
      </c>
      <c r="M364" s="35" t="s">
        <v>6285</v>
      </c>
      <c r="N364" s="35" t="s">
        <v>66</v>
      </c>
      <c r="O364" s="35" t="s">
        <v>67</v>
      </c>
      <c r="P364" s="35" t="s">
        <v>6287</v>
      </c>
      <c r="Q364" s="64"/>
      <c r="R364" s="64"/>
      <c r="S364" s="64"/>
      <c r="T364" s="35" t="s">
        <v>955</v>
      </c>
      <c r="U364" s="35">
        <v>10.0</v>
      </c>
      <c r="V364" s="35" t="s">
        <v>61</v>
      </c>
      <c r="W364" s="35" t="s">
        <v>93</v>
      </c>
      <c r="X364" s="35" t="s">
        <v>6288</v>
      </c>
      <c r="Y364" s="35" t="s">
        <v>6289</v>
      </c>
      <c r="Z364" s="35" t="s">
        <v>6290</v>
      </c>
      <c r="AA364" s="46">
        <v>46023.0</v>
      </c>
      <c r="AB364" s="151">
        <v>46387.0</v>
      </c>
      <c r="AC364" s="35" t="s">
        <v>6291</v>
      </c>
      <c r="AD364" s="35" t="s">
        <v>79</v>
      </c>
      <c r="AE364" s="166"/>
      <c r="AF364" s="35" t="s">
        <v>6303</v>
      </c>
      <c r="AG364" s="151"/>
    </row>
    <row r="365" ht="44.25" customHeight="1">
      <c r="A365" s="35">
        <v>364.0</v>
      </c>
      <c r="B365" s="35"/>
      <c r="C365" s="35" t="s">
        <v>351</v>
      </c>
      <c r="D365" s="35" t="s">
        <v>3806</v>
      </c>
      <c r="E365" s="35" t="s">
        <v>3829</v>
      </c>
      <c r="F365" s="35" t="s">
        <v>6306</v>
      </c>
      <c r="G365" s="41" t="s">
        <v>6307</v>
      </c>
      <c r="H365" s="35" t="s">
        <v>59</v>
      </c>
      <c r="I365" s="35" t="s">
        <v>61</v>
      </c>
      <c r="J365" s="35" t="s">
        <v>62</v>
      </c>
      <c r="K365" s="35" t="s">
        <v>63</v>
      </c>
      <c r="L365" s="35">
        <v>30.0</v>
      </c>
      <c r="M365" s="35" t="s">
        <v>6151</v>
      </c>
      <c r="N365" s="35" t="s">
        <v>66</v>
      </c>
      <c r="O365" s="35" t="s">
        <v>67</v>
      </c>
      <c r="P365" s="35" t="s">
        <v>6308</v>
      </c>
      <c r="Q365" s="64"/>
      <c r="R365" s="64"/>
      <c r="S365" s="64"/>
      <c r="T365" s="35" t="s">
        <v>955</v>
      </c>
      <c r="U365" s="35" t="s">
        <v>955</v>
      </c>
      <c r="V365" s="35" t="s">
        <v>61</v>
      </c>
      <c r="W365" s="35" t="s">
        <v>93</v>
      </c>
      <c r="X365" s="35" t="s">
        <v>6311</v>
      </c>
      <c r="Y365" s="35">
        <v>2.86450411E8</v>
      </c>
      <c r="Z365" s="35" t="s">
        <v>6312</v>
      </c>
      <c r="AA365" s="46">
        <v>46023.0</v>
      </c>
      <c r="AB365" s="151">
        <v>46387.0</v>
      </c>
      <c r="AC365" s="35" t="s">
        <v>6313</v>
      </c>
      <c r="AD365" s="166"/>
      <c r="AE365" s="166"/>
      <c r="AF365" s="35"/>
      <c r="AG365" s="151"/>
    </row>
    <row r="366" ht="44.25" customHeight="1">
      <c r="A366" s="35">
        <v>365.0</v>
      </c>
      <c r="B366" s="35">
        <v>37013.0</v>
      </c>
      <c r="C366" s="35" t="s">
        <v>351</v>
      </c>
      <c r="D366" s="35" t="s">
        <v>3806</v>
      </c>
      <c r="E366" s="35" t="s">
        <v>3829</v>
      </c>
      <c r="F366" s="35" t="s">
        <v>6315</v>
      </c>
      <c r="G366" s="41" t="s">
        <v>6317</v>
      </c>
      <c r="H366" s="35" t="s">
        <v>59</v>
      </c>
      <c r="I366" s="35" t="s">
        <v>61</v>
      </c>
      <c r="J366" s="35" t="s">
        <v>62</v>
      </c>
      <c r="K366" s="35" t="s">
        <v>111</v>
      </c>
      <c r="L366" s="35">
        <v>100.0</v>
      </c>
      <c r="M366" s="35" t="s">
        <v>6319</v>
      </c>
      <c r="N366" s="35" t="s">
        <v>66</v>
      </c>
      <c r="O366" s="35" t="s">
        <v>67</v>
      </c>
      <c r="P366" s="35" t="s">
        <v>6320</v>
      </c>
      <c r="Q366" s="64"/>
      <c r="R366" s="64"/>
      <c r="S366" s="64"/>
      <c r="T366" s="35" t="s">
        <v>955</v>
      </c>
      <c r="U366" s="35">
        <v>7.0</v>
      </c>
      <c r="V366" s="35" t="s">
        <v>61</v>
      </c>
      <c r="W366" s="35" t="s">
        <v>93</v>
      </c>
      <c r="X366" s="35" t="s">
        <v>6322</v>
      </c>
      <c r="Y366" s="35" t="s">
        <v>6323</v>
      </c>
      <c r="Z366" s="35" t="s">
        <v>6324</v>
      </c>
      <c r="AA366" s="46">
        <v>46023.0</v>
      </c>
      <c r="AB366" s="151">
        <v>46387.0</v>
      </c>
      <c r="AC366" s="35" t="s">
        <v>6325</v>
      </c>
      <c r="AD366" s="166"/>
      <c r="AE366" s="166"/>
      <c r="AF366" s="35"/>
      <c r="AG366" s="151"/>
    </row>
    <row r="367" ht="44.25" customHeight="1">
      <c r="A367" s="35">
        <v>366.0</v>
      </c>
      <c r="B367" s="35"/>
      <c r="C367" s="35" t="s">
        <v>351</v>
      </c>
      <c r="D367" s="35" t="s">
        <v>3806</v>
      </c>
      <c r="E367" s="35" t="s">
        <v>3829</v>
      </c>
      <c r="F367" s="35" t="s">
        <v>6330</v>
      </c>
      <c r="G367" s="41" t="s">
        <v>6331</v>
      </c>
      <c r="H367" s="35" t="s">
        <v>59</v>
      </c>
      <c r="I367" s="35" t="s">
        <v>61</v>
      </c>
      <c r="J367" s="35" t="s">
        <v>62</v>
      </c>
      <c r="K367" s="35" t="s">
        <v>111</v>
      </c>
      <c r="L367" s="35">
        <v>109.0</v>
      </c>
      <c r="M367" s="35" t="s">
        <v>6333</v>
      </c>
      <c r="N367" s="35" t="s">
        <v>221</v>
      </c>
      <c r="O367" s="35" t="s">
        <v>72</v>
      </c>
      <c r="P367" s="35" t="s">
        <v>6336</v>
      </c>
      <c r="Q367" s="64"/>
      <c r="R367" s="64"/>
      <c r="S367" s="64"/>
      <c r="T367" s="35" t="s">
        <v>955</v>
      </c>
      <c r="U367" s="35">
        <v>12.0</v>
      </c>
      <c r="V367" s="35" t="s">
        <v>61</v>
      </c>
      <c r="W367" s="35" t="s">
        <v>93</v>
      </c>
      <c r="X367" s="35" t="s">
        <v>6337</v>
      </c>
      <c r="Y367" s="35">
        <v>9.190866445E9</v>
      </c>
      <c r="Z367" s="35" t="s">
        <v>6339</v>
      </c>
      <c r="AA367" s="46">
        <v>46023.0</v>
      </c>
      <c r="AB367" s="151">
        <v>46387.0</v>
      </c>
      <c r="AC367" s="35" t="s">
        <v>6340</v>
      </c>
      <c r="AD367" s="166"/>
      <c r="AE367" s="166"/>
      <c r="AF367" s="35"/>
      <c r="AG367" s="151"/>
    </row>
    <row r="368" ht="44.25" customHeight="1">
      <c r="A368" s="35">
        <v>367.0</v>
      </c>
      <c r="B368" s="35"/>
      <c r="C368" s="35" t="s">
        <v>351</v>
      </c>
      <c r="D368" s="35" t="s">
        <v>3806</v>
      </c>
      <c r="E368" s="35" t="s">
        <v>3829</v>
      </c>
      <c r="F368" s="35" t="s">
        <v>6342</v>
      </c>
      <c r="G368" s="41" t="s">
        <v>6343</v>
      </c>
      <c r="H368" s="35" t="s">
        <v>59</v>
      </c>
      <c r="I368" s="35" t="s">
        <v>61</v>
      </c>
      <c r="J368" s="35" t="s">
        <v>62</v>
      </c>
      <c r="K368" s="35" t="s">
        <v>63</v>
      </c>
      <c r="L368" s="35">
        <v>30.0</v>
      </c>
      <c r="M368" s="35" t="s">
        <v>1918</v>
      </c>
      <c r="N368" s="35" t="s">
        <v>66</v>
      </c>
      <c r="O368" s="35" t="s">
        <v>67</v>
      </c>
      <c r="P368" s="35" t="s">
        <v>955</v>
      </c>
      <c r="Q368" s="64"/>
      <c r="R368" s="64"/>
      <c r="S368" s="64"/>
      <c r="T368" s="35" t="s">
        <v>6348</v>
      </c>
      <c r="U368" s="35" t="s">
        <v>955</v>
      </c>
      <c r="V368" s="35" t="s">
        <v>61</v>
      </c>
      <c r="W368" s="35" t="s">
        <v>74</v>
      </c>
      <c r="X368" s="35" t="s">
        <v>6349</v>
      </c>
      <c r="Y368" s="35">
        <v>9.260829689E9</v>
      </c>
      <c r="Z368" s="35" t="s">
        <v>6350</v>
      </c>
      <c r="AA368" s="46">
        <v>46023.0</v>
      </c>
      <c r="AB368" s="151">
        <v>46387.0</v>
      </c>
      <c r="AC368" s="35" t="s">
        <v>6351</v>
      </c>
      <c r="AD368" s="35" t="s">
        <v>638</v>
      </c>
      <c r="AE368" s="35" t="s">
        <v>1066</v>
      </c>
      <c r="AF368" s="35" t="s">
        <v>6353</v>
      </c>
      <c r="AG368" s="151"/>
    </row>
    <row r="369" ht="44.25" customHeight="1">
      <c r="A369" s="35">
        <v>368.0</v>
      </c>
      <c r="B369" s="35">
        <v>4429.0</v>
      </c>
      <c r="C369" s="35" t="s">
        <v>351</v>
      </c>
      <c r="D369" s="35" t="s">
        <v>3806</v>
      </c>
      <c r="E369" s="35" t="s">
        <v>3829</v>
      </c>
      <c r="F369" s="35" t="s">
        <v>6356</v>
      </c>
      <c r="G369" s="41" t="s">
        <v>6357</v>
      </c>
      <c r="H369" s="35" t="s">
        <v>59</v>
      </c>
      <c r="I369" s="35" t="s">
        <v>61</v>
      </c>
      <c r="J369" s="35" t="s">
        <v>62</v>
      </c>
      <c r="K369" s="35" t="s">
        <v>63</v>
      </c>
      <c r="L369" s="35">
        <v>30.0</v>
      </c>
      <c r="M369" s="35" t="s">
        <v>1074</v>
      </c>
      <c r="N369" s="35" t="s">
        <v>66</v>
      </c>
      <c r="O369" s="35" t="s">
        <v>67</v>
      </c>
      <c r="P369" s="35" t="s">
        <v>6359</v>
      </c>
      <c r="Q369" s="64"/>
      <c r="R369" s="64"/>
      <c r="S369" s="64"/>
      <c r="T369" s="35" t="s">
        <v>955</v>
      </c>
      <c r="U369" s="35" t="s">
        <v>955</v>
      </c>
      <c r="V369" s="35" t="s">
        <v>61</v>
      </c>
      <c r="W369" s="35" t="s">
        <v>74</v>
      </c>
      <c r="X369" s="35" t="s">
        <v>6362</v>
      </c>
      <c r="Y369" s="35" t="s">
        <v>6364</v>
      </c>
      <c r="Z369" s="35" t="s">
        <v>6365</v>
      </c>
      <c r="AA369" s="46">
        <v>46023.0</v>
      </c>
      <c r="AB369" s="151">
        <v>46387.0</v>
      </c>
      <c r="AC369" s="35" t="s">
        <v>6367</v>
      </c>
      <c r="AD369" s="166"/>
      <c r="AE369" s="166"/>
      <c r="AF369" s="35"/>
      <c r="AG369" s="151"/>
    </row>
    <row r="370" ht="44.25" customHeight="1">
      <c r="A370" s="35">
        <v>369.0</v>
      </c>
      <c r="B370" s="35"/>
      <c r="C370" s="35" t="s">
        <v>351</v>
      </c>
      <c r="D370" s="35" t="s">
        <v>3806</v>
      </c>
      <c r="E370" s="35" t="s">
        <v>3829</v>
      </c>
      <c r="F370" s="35" t="s">
        <v>6369</v>
      </c>
      <c r="G370" s="41" t="s">
        <v>6371</v>
      </c>
      <c r="H370" s="35" t="s">
        <v>59</v>
      </c>
      <c r="I370" s="35" t="s">
        <v>61</v>
      </c>
      <c r="J370" s="35" t="s">
        <v>62</v>
      </c>
      <c r="K370" s="35" t="s">
        <v>111</v>
      </c>
      <c r="L370" s="35">
        <v>25.0</v>
      </c>
      <c r="M370" s="35" t="s">
        <v>6372</v>
      </c>
      <c r="N370" s="35" t="s">
        <v>66</v>
      </c>
      <c r="O370" s="35" t="s">
        <v>67</v>
      </c>
      <c r="P370" s="35" t="s">
        <v>6374</v>
      </c>
      <c r="Q370" s="64"/>
      <c r="R370" s="64"/>
      <c r="S370" s="64"/>
      <c r="T370" s="35" t="s">
        <v>6375</v>
      </c>
      <c r="U370" s="35" t="s">
        <v>955</v>
      </c>
      <c r="V370" s="35" t="s">
        <v>61</v>
      </c>
      <c r="W370" s="35" t="s">
        <v>93</v>
      </c>
      <c r="X370" s="35" t="s">
        <v>6377</v>
      </c>
      <c r="Y370" s="35">
        <v>9.622440282E9</v>
      </c>
      <c r="Z370" s="35" t="s">
        <v>6378</v>
      </c>
      <c r="AA370" s="46">
        <v>46023.0</v>
      </c>
      <c r="AB370" s="151">
        <v>46387.0</v>
      </c>
      <c r="AC370" s="35" t="s">
        <v>6379</v>
      </c>
      <c r="AD370" s="166"/>
      <c r="AE370" s="166"/>
      <c r="AF370" s="35"/>
      <c r="AG370" s="151"/>
    </row>
    <row r="371" ht="44.25" customHeight="1">
      <c r="A371" s="35">
        <v>370.0</v>
      </c>
      <c r="B371" s="35"/>
      <c r="C371" s="35" t="s">
        <v>351</v>
      </c>
      <c r="D371" s="35" t="s">
        <v>3806</v>
      </c>
      <c r="E371" s="35" t="s">
        <v>3893</v>
      </c>
      <c r="F371" s="35" t="s">
        <v>6382</v>
      </c>
      <c r="G371" s="41" t="s">
        <v>6383</v>
      </c>
      <c r="H371" s="35" t="s">
        <v>59</v>
      </c>
      <c r="I371" s="35" t="s">
        <v>61</v>
      </c>
      <c r="J371" s="35" t="s">
        <v>62</v>
      </c>
      <c r="K371" s="35" t="s">
        <v>111</v>
      </c>
      <c r="L371" s="35">
        <v>88.0</v>
      </c>
      <c r="M371" s="35" t="s">
        <v>6385</v>
      </c>
      <c r="N371" s="35" t="s">
        <v>66</v>
      </c>
      <c r="O371" s="35" t="s">
        <v>67</v>
      </c>
      <c r="P371" s="35" t="s">
        <v>6386</v>
      </c>
      <c r="Q371" s="64"/>
      <c r="R371" s="64"/>
      <c r="S371" s="64"/>
      <c r="T371" s="35" t="s">
        <v>955</v>
      </c>
      <c r="U371" s="35">
        <v>3.0</v>
      </c>
      <c r="V371" s="35" t="s">
        <v>61</v>
      </c>
      <c r="W371" s="35" t="s">
        <v>93</v>
      </c>
      <c r="X371" s="35" t="s">
        <v>6387</v>
      </c>
      <c r="Y371" s="35" t="s">
        <v>6388</v>
      </c>
      <c r="Z371" s="35" t="s">
        <v>6389</v>
      </c>
      <c r="AA371" s="46">
        <v>46029.0</v>
      </c>
      <c r="AB371" s="151">
        <v>46387.0</v>
      </c>
      <c r="AC371" s="35" t="s">
        <v>6390</v>
      </c>
      <c r="AD371" s="166"/>
      <c r="AE371" s="166"/>
      <c r="AF371" s="35"/>
      <c r="AG371" s="151"/>
    </row>
    <row r="372" ht="44.25" customHeight="1">
      <c r="A372" s="35">
        <v>371.0</v>
      </c>
      <c r="B372" s="35"/>
      <c r="C372" s="35" t="s">
        <v>351</v>
      </c>
      <c r="D372" s="35" t="s">
        <v>3806</v>
      </c>
      <c r="E372" s="35" t="s">
        <v>3893</v>
      </c>
      <c r="F372" s="35" t="s">
        <v>6391</v>
      </c>
      <c r="G372" s="41" t="s">
        <v>6392</v>
      </c>
      <c r="H372" s="35" t="s">
        <v>59</v>
      </c>
      <c r="I372" s="35" t="s">
        <v>61</v>
      </c>
      <c r="J372" s="35" t="s">
        <v>62</v>
      </c>
      <c r="K372" s="35" t="s">
        <v>63</v>
      </c>
      <c r="L372" s="35">
        <v>27.0</v>
      </c>
      <c r="M372" s="35" t="s">
        <v>6393</v>
      </c>
      <c r="N372" s="35" t="s">
        <v>66</v>
      </c>
      <c r="O372" s="35" t="s">
        <v>67</v>
      </c>
      <c r="P372" s="35" t="s">
        <v>2147</v>
      </c>
      <c r="Q372" s="64"/>
      <c r="R372" s="64"/>
      <c r="S372" s="64"/>
      <c r="T372" s="35" t="s">
        <v>6394</v>
      </c>
      <c r="U372" s="35" t="s">
        <v>955</v>
      </c>
      <c r="V372" s="35" t="s">
        <v>61</v>
      </c>
      <c r="W372" s="35" t="s">
        <v>74</v>
      </c>
      <c r="X372" s="35" t="s">
        <v>6395</v>
      </c>
      <c r="Y372" s="35" t="s">
        <v>6396</v>
      </c>
      <c r="Z372" s="35" t="s">
        <v>6397</v>
      </c>
      <c r="AA372" s="46">
        <v>46023.0</v>
      </c>
      <c r="AB372" s="151">
        <v>46387.0</v>
      </c>
      <c r="AC372" s="35" t="s">
        <v>6399</v>
      </c>
      <c r="AD372" s="166"/>
      <c r="AE372" s="166"/>
      <c r="AF372" s="35"/>
      <c r="AG372" s="151"/>
    </row>
    <row r="373" ht="44.25" customHeight="1">
      <c r="A373" s="35">
        <v>372.0</v>
      </c>
      <c r="B373" s="35">
        <v>664.0</v>
      </c>
      <c r="C373" s="35" t="s">
        <v>351</v>
      </c>
      <c r="D373" s="35" t="s">
        <v>3806</v>
      </c>
      <c r="E373" s="35" t="s">
        <v>3907</v>
      </c>
      <c r="F373" s="35" t="s">
        <v>6402</v>
      </c>
      <c r="G373" s="41" t="s">
        <v>6403</v>
      </c>
      <c r="H373" s="35" t="s">
        <v>59</v>
      </c>
      <c r="I373" s="35" t="s">
        <v>61</v>
      </c>
      <c r="J373" s="35" t="s">
        <v>62</v>
      </c>
      <c r="K373" s="35" t="s">
        <v>63</v>
      </c>
      <c r="L373" s="35">
        <v>35.0</v>
      </c>
      <c r="M373" s="35" t="s">
        <v>1074</v>
      </c>
      <c r="N373" s="35" t="s">
        <v>66</v>
      </c>
      <c r="O373" s="35" t="s">
        <v>67</v>
      </c>
      <c r="P373" s="35" t="s">
        <v>955</v>
      </c>
      <c r="Q373" s="64"/>
      <c r="R373" s="64"/>
      <c r="S373" s="64"/>
      <c r="T373" s="35" t="s">
        <v>955</v>
      </c>
      <c r="U373" s="35">
        <v>9.0</v>
      </c>
      <c r="V373" s="35" t="s">
        <v>61</v>
      </c>
      <c r="W373" s="35" t="s">
        <v>74</v>
      </c>
      <c r="X373" s="35" t="s">
        <v>6406</v>
      </c>
      <c r="Y373" s="35" t="s">
        <v>6407</v>
      </c>
      <c r="Z373" s="35" t="s">
        <v>6409</v>
      </c>
      <c r="AA373" s="46">
        <v>46023.0</v>
      </c>
      <c r="AB373" s="151">
        <v>46387.0</v>
      </c>
      <c r="AC373" s="35" t="s">
        <v>6411</v>
      </c>
      <c r="AD373" s="166"/>
      <c r="AE373" s="166"/>
      <c r="AF373" s="35"/>
      <c r="AG373" s="151"/>
    </row>
    <row r="374" ht="44.25" customHeight="1">
      <c r="A374" s="35">
        <v>373.0</v>
      </c>
      <c r="B374" s="35"/>
      <c r="C374" s="35" t="s">
        <v>351</v>
      </c>
      <c r="D374" s="35" t="s">
        <v>3806</v>
      </c>
      <c r="E374" s="35" t="s">
        <v>3907</v>
      </c>
      <c r="F374" s="35" t="s">
        <v>6413</v>
      </c>
      <c r="G374" s="41" t="s">
        <v>6414</v>
      </c>
      <c r="H374" s="35" t="s">
        <v>59</v>
      </c>
      <c r="I374" s="35" t="s">
        <v>61</v>
      </c>
      <c r="J374" s="35" t="s">
        <v>62</v>
      </c>
      <c r="K374" s="35" t="s">
        <v>111</v>
      </c>
      <c r="L374" s="35">
        <v>110.0</v>
      </c>
      <c r="M374" s="35" t="s">
        <v>6416</v>
      </c>
      <c r="N374" s="35" t="s">
        <v>66</v>
      </c>
      <c r="O374" s="35" t="s">
        <v>67</v>
      </c>
      <c r="P374" s="35" t="s">
        <v>6418</v>
      </c>
      <c r="Q374" s="64"/>
      <c r="R374" s="64"/>
      <c r="S374" s="64"/>
      <c r="T374" s="35" t="s">
        <v>955</v>
      </c>
      <c r="U374" s="35">
        <v>13.0</v>
      </c>
      <c r="V374" s="35" t="s">
        <v>61</v>
      </c>
      <c r="W374" s="35" t="s">
        <v>93</v>
      </c>
      <c r="X374" s="35" t="s">
        <v>6420</v>
      </c>
      <c r="Y374" s="35" t="s">
        <v>6421</v>
      </c>
      <c r="Z374" s="35" t="s">
        <v>6423</v>
      </c>
      <c r="AA374" s="46">
        <v>46023.0</v>
      </c>
      <c r="AB374" s="151">
        <v>46387.0</v>
      </c>
      <c r="AC374" s="35" t="s">
        <v>6425</v>
      </c>
      <c r="AD374" s="35" t="s">
        <v>79</v>
      </c>
      <c r="AE374" s="166"/>
      <c r="AF374" s="35" t="s">
        <v>5343</v>
      </c>
      <c r="AG374" s="151"/>
    </row>
    <row r="375" ht="44.25" customHeight="1">
      <c r="A375" s="35">
        <v>374.0</v>
      </c>
      <c r="B375" s="35"/>
      <c r="C375" s="35" t="s">
        <v>351</v>
      </c>
      <c r="D375" s="35" t="s">
        <v>3806</v>
      </c>
      <c r="E375" s="35" t="s">
        <v>6426</v>
      </c>
      <c r="F375" s="35" t="s">
        <v>6428</v>
      </c>
      <c r="G375" s="41" t="s">
        <v>6429</v>
      </c>
      <c r="H375" s="35" t="s">
        <v>59</v>
      </c>
      <c r="I375" s="35" t="s">
        <v>61</v>
      </c>
      <c r="J375" s="35" t="s">
        <v>62</v>
      </c>
      <c r="K375" s="35" t="s">
        <v>63</v>
      </c>
      <c r="L375" s="35">
        <v>17.0</v>
      </c>
      <c r="M375" s="35" t="s">
        <v>6433</v>
      </c>
      <c r="N375" s="35" t="s">
        <v>66</v>
      </c>
      <c r="O375" s="35" t="s">
        <v>67</v>
      </c>
      <c r="P375" s="35" t="s">
        <v>6434</v>
      </c>
      <c r="Q375" s="64"/>
      <c r="R375" s="64"/>
      <c r="S375" s="64"/>
      <c r="T375" s="35" t="s">
        <v>955</v>
      </c>
      <c r="U375" s="35">
        <v>7.0</v>
      </c>
      <c r="V375" s="35" t="s">
        <v>61</v>
      </c>
      <c r="W375" s="35" t="s">
        <v>74</v>
      </c>
      <c r="X375" s="35" t="s">
        <v>6435</v>
      </c>
      <c r="Y375" s="35" t="s">
        <v>6436</v>
      </c>
      <c r="Z375" s="35" t="s">
        <v>6437</v>
      </c>
      <c r="AA375" s="46">
        <v>46023.0</v>
      </c>
      <c r="AB375" s="151">
        <v>46387.0</v>
      </c>
      <c r="AC375" s="35" t="s">
        <v>6439</v>
      </c>
      <c r="AD375" s="166"/>
      <c r="AE375" s="166"/>
      <c r="AF375" s="35"/>
      <c r="AG375" s="151"/>
    </row>
    <row r="376" ht="44.25" customHeight="1">
      <c r="A376" s="35">
        <v>375.0</v>
      </c>
      <c r="B376" s="35">
        <v>679.0</v>
      </c>
      <c r="C376" s="35" t="s">
        <v>351</v>
      </c>
      <c r="D376" s="35" t="s">
        <v>3806</v>
      </c>
      <c r="E376" s="35" t="s">
        <v>3924</v>
      </c>
      <c r="F376" s="35" t="s">
        <v>6441</v>
      </c>
      <c r="G376" s="41" t="s">
        <v>6442</v>
      </c>
      <c r="H376" s="35" t="s">
        <v>59</v>
      </c>
      <c r="I376" s="35" t="s">
        <v>61</v>
      </c>
      <c r="J376" s="35" t="s">
        <v>62</v>
      </c>
      <c r="K376" s="35" t="s">
        <v>63</v>
      </c>
      <c r="L376" s="35">
        <v>35.0</v>
      </c>
      <c r="M376" s="35" t="s">
        <v>1074</v>
      </c>
      <c r="N376" s="35" t="s">
        <v>66</v>
      </c>
      <c r="O376" s="35" t="s">
        <v>67</v>
      </c>
      <c r="P376" s="35" t="s">
        <v>6444</v>
      </c>
      <c r="Q376" s="64"/>
      <c r="R376" s="64"/>
      <c r="S376" s="64"/>
      <c r="T376" s="35" t="s">
        <v>955</v>
      </c>
      <c r="U376" s="35" t="s">
        <v>955</v>
      </c>
      <c r="V376" s="35" t="s">
        <v>61</v>
      </c>
      <c r="W376" s="35" t="s">
        <v>74</v>
      </c>
      <c r="X376" s="35" t="s">
        <v>6445</v>
      </c>
      <c r="Y376" s="35" t="s">
        <v>6447</v>
      </c>
      <c r="Z376" s="35" t="s">
        <v>6448</v>
      </c>
      <c r="AA376" s="46">
        <v>46023.0</v>
      </c>
      <c r="AB376" s="151">
        <v>46387.0</v>
      </c>
      <c r="AC376" s="35" t="s">
        <v>6450</v>
      </c>
      <c r="AD376" s="166"/>
      <c r="AE376" s="166"/>
      <c r="AF376" s="35"/>
      <c r="AG376" s="151"/>
    </row>
    <row r="377" ht="44.25" customHeight="1">
      <c r="A377" s="35">
        <v>376.0</v>
      </c>
      <c r="B377" s="35"/>
      <c r="C377" s="35" t="s">
        <v>351</v>
      </c>
      <c r="D377" s="35" t="s">
        <v>3806</v>
      </c>
      <c r="E377" s="35" t="s">
        <v>3940</v>
      </c>
      <c r="F377" s="35" t="s">
        <v>6452</v>
      </c>
      <c r="G377" s="41" t="s">
        <v>6453</v>
      </c>
      <c r="H377" s="35" t="s">
        <v>59</v>
      </c>
      <c r="I377" s="35" t="s">
        <v>61</v>
      </c>
      <c r="J377" s="35" t="s">
        <v>62</v>
      </c>
      <c r="K377" s="35" t="s">
        <v>63</v>
      </c>
      <c r="L377" s="35">
        <v>25.0</v>
      </c>
      <c r="M377" s="35" t="s">
        <v>3580</v>
      </c>
      <c r="N377" s="35" t="s">
        <v>66</v>
      </c>
      <c r="O377" s="35" t="s">
        <v>67</v>
      </c>
      <c r="P377" s="35" t="s">
        <v>6457</v>
      </c>
      <c r="Q377" s="64"/>
      <c r="R377" s="64"/>
      <c r="S377" s="64"/>
      <c r="T377" s="35" t="s">
        <v>955</v>
      </c>
      <c r="U377" s="35" t="s">
        <v>955</v>
      </c>
      <c r="V377" s="35" t="s">
        <v>61</v>
      </c>
      <c r="W377" s="35" t="s">
        <v>74</v>
      </c>
      <c r="X377" s="35" t="s">
        <v>6458</v>
      </c>
      <c r="Y377" s="35" t="s">
        <v>6460</v>
      </c>
      <c r="Z377" s="35" t="s">
        <v>6461</v>
      </c>
      <c r="AA377" s="46">
        <v>46023.0</v>
      </c>
      <c r="AB377" s="151">
        <v>46387.0</v>
      </c>
      <c r="AC377" s="35" t="s">
        <v>6462</v>
      </c>
      <c r="AD377" s="166"/>
      <c r="AE377" s="166"/>
      <c r="AF377" s="35"/>
      <c r="AG377" s="151"/>
    </row>
    <row r="378" ht="44.25" customHeight="1">
      <c r="A378" s="35">
        <v>377.0</v>
      </c>
      <c r="B378" s="35"/>
      <c r="C378" s="35" t="s">
        <v>351</v>
      </c>
      <c r="D378" s="35" t="s">
        <v>3806</v>
      </c>
      <c r="E378" s="35" t="s">
        <v>1584</v>
      </c>
      <c r="F378" s="35" t="s">
        <v>6466</v>
      </c>
      <c r="G378" s="41" t="s">
        <v>6467</v>
      </c>
      <c r="H378" s="35" t="s">
        <v>59</v>
      </c>
      <c r="I378" s="35" t="s">
        <v>61</v>
      </c>
      <c r="J378" s="35" t="s">
        <v>62</v>
      </c>
      <c r="K378" s="35" t="s">
        <v>63</v>
      </c>
      <c r="L378" s="35">
        <v>25.0</v>
      </c>
      <c r="M378" s="35" t="s">
        <v>1918</v>
      </c>
      <c r="N378" s="35" t="s">
        <v>66</v>
      </c>
      <c r="O378" s="35" t="s">
        <v>67</v>
      </c>
      <c r="P378" s="35" t="s">
        <v>955</v>
      </c>
      <c r="Q378" s="64"/>
      <c r="R378" s="64"/>
      <c r="S378" s="64"/>
      <c r="T378" s="35" t="s">
        <v>955</v>
      </c>
      <c r="U378" s="35" t="s">
        <v>955</v>
      </c>
      <c r="V378" s="35" t="s">
        <v>61</v>
      </c>
      <c r="W378" s="35" t="s">
        <v>74</v>
      </c>
      <c r="X378" s="35" t="s">
        <v>6470</v>
      </c>
      <c r="Y378" s="35" t="s">
        <v>6472</v>
      </c>
      <c r="Z378" s="35" t="s">
        <v>6474</v>
      </c>
      <c r="AA378" s="46">
        <v>46023.0</v>
      </c>
      <c r="AB378" s="151">
        <v>46387.0</v>
      </c>
      <c r="AC378" s="35" t="s">
        <v>6475</v>
      </c>
      <c r="AD378" s="166"/>
      <c r="AE378" s="166"/>
      <c r="AF378" s="35"/>
      <c r="AG378" s="151"/>
    </row>
    <row r="379" ht="44.25" customHeight="1">
      <c r="A379" s="35">
        <v>378.0</v>
      </c>
      <c r="B379" s="35"/>
      <c r="C379" s="35" t="s">
        <v>351</v>
      </c>
      <c r="D379" s="35" t="s">
        <v>3806</v>
      </c>
      <c r="E379" s="35" t="s">
        <v>1584</v>
      </c>
      <c r="F379" s="35" t="s">
        <v>6478</v>
      </c>
      <c r="G379" s="41" t="s">
        <v>6479</v>
      </c>
      <c r="H379" s="35" t="s">
        <v>59</v>
      </c>
      <c r="I379" s="35" t="s">
        <v>61</v>
      </c>
      <c r="J379" s="35" t="s">
        <v>62</v>
      </c>
      <c r="K379" s="35" t="s">
        <v>63</v>
      </c>
      <c r="L379" s="35">
        <v>20.0</v>
      </c>
      <c r="M379" s="35" t="s">
        <v>1918</v>
      </c>
      <c r="N379" s="35" t="s">
        <v>66</v>
      </c>
      <c r="O379" s="35" t="s">
        <v>67</v>
      </c>
      <c r="P379" s="35" t="s">
        <v>61</v>
      </c>
      <c r="Q379" s="64"/>
      <c r="R379" s="64"/>
      <c r="S379" s="64"/>
      <c r="T379" s="35" t="s">
        <v>61</v>
      </c>
      <c r="U379" s="35" t="s">
        <v>61</v>
      </c>
      <c r="V379" s="35" t="s">
        <v>61</v>
      </c>
      <c r="W379" s="35" t="s">
        <v>74</v>
      </c>
      <c r="X379" s="35" t="s">
        <v>6483</v>
      </c>
      <c r="Y379" s="35" t="s">
        <v>6484</v>
      </c>
      <c r="Z379" s="35" t="s">
        <v>6485</v>
      </c>
      <c r="AA379" s="46">
        <v>46023.0</v>
      </c>
      <c r="AB379" s="151">
        <v>46387.0</v>
      </c>
      <c r="AC379" s="35" t="s">
        <v>6486</v>
      </c>
      <c r="AD379" s="166"/>
      <c r="AE379" s="166"/>
      <c r="AF379" s="35"/>
      <c r="AG379" s="151"/>
    </row>
    <row r="380" ht="44.25" customHeight="1">
      <c r="A380" s="35">
        <v>379.0</v>
      </c>
      <c r="B380" s="35"/>
      <c r="C380" s="35" t="s">
        <v>351</v>
      </c>
      <c r="D380" s="35" t="s">
        <v>3806</v>
      </c>
      <c r="E380" s="35" t="s">
        <v>1584</v>
      </c>
      <c r="F380" s="35" t="s">
        <v>6489</v>
      </c>
      <c r="G380" s="41" t="s">
        <v>6491</v>
      </c>
      <c r="H380" s="35" t="s">
        <v>59</v>
      </c>
      <c r="I380" s="35" t="s">
        <v>61</v>
      </c>
      <c r="J380" s="35" t="s">
        <v>62</v>
      </c>
      <c r="K380" s="35" t="s">
        <v>111</v>
      </c>
      <c r="L380" s="35">
        <v>100.0</v>
      </c>
      <c r="M380" s="35" t="s">
        <v>6495</v>
      </c>
      <c r="N380" s="35" t="s">
        <v>66</v>
      </c>
      <c r="O380" s="35" t="s">
        <v>67</v>
      </c>
      <c r="P380" s="35" t="s">
        <v>6497</v>
      </c>
      <c r="Q380" s="64"/>
      <c r="R380" s="64"/>
      <c r="S380" s="64"/>
      <c r="T380" s="35" t="s">
        <v>955</v>
      </c>
      <c r="U380" s="35">
        <v>9.0</v>
      </c>
      <c r="V380" s="35" t="s">
        <v>61</v>
      </c>
      <c r="W380" s="35" t="s">
        <v>93</v>
      </c>
      <c r="X380" s="35" t="s">
        <v>6500</v>
      </c>
      <c r="Y380" s="35">
        <v>2.8539140029E10</v>
      </c>
      <c r="Z380" s="35" t="s">
        <v>6501</v>
      </c>
      <c r="AA380" s="46">
        <v>46023.0</v>
      </c>
      <c r="AB380" s="46">
        <v>46387.0</v>
      </c>
      <c r="AC380" s="35" t="s">
        <v>6502</v>
      </c>
      <c r="AD380" s="166"/>
      <c r="AE380" s="35"/>
      <c r="AF380" s="35"/>
      <c r="AG380" s="46"/>
    </row>
    <row r="381" ht="44.25" customHeight="1">
      <c r="A381" s="35">
        <v>380.0</v>
      </c>
      <c r="B381" s="35">
        <v>4956.0</v>
      </c>
      <c r="C381" s="35" t="s">
        <v>351</v>
      </c>
      <c r="D381" s="35" t="s">
        <v>3806</v>
      </c>
      <c r="E381" s="35" t="s">
        <v>1584</v>
      </c>
      <c r="F381" s="35" t="s">
        <v>6506</v>
      </c>
      <c r="G381" s="41" t="s">
        <v>6507</v>
      </c>
      <c r="H381" s="35" t="s">
        <v>59</v>
      </c>
      <c r="I381" s="35" t="s">
        <v>61</v>
      </c>
      <c r="J381" s="35" t="s">
        <v>62</v>
      </c>
      <c r="K381" s="35" t="s">
        <v>63</v>
      </c>
      <c r="L381" s="35">
        <v>40.0</v>
      </c>
      <c r="M381" s="35" t="s">
        <v>6235</v>
      </c>
      <c r="N381" s="35" t="s">
        <v>66</v>
      </c>
      <c r="O381" s="35" t="s">
        <v>67</v>
      </c>
      <c r="P381" s="35" t="s">
        <v>6508</v>
      </c>
      <c r="Q381" s="64"/>
      <c r="R381" s="64"/>
      <c r="S381" s="64"/>
      <c r="T381" s="35" t="s">
        <v>955</v>
      </c>
      <c r="U381" s="35" t="s">
        <v>955</v>
      </c>
      <c r="V381" s="35" t="s">
        <v>61</v>
      </c>
      <c r="W381" s="35" t="s">
        <v>74</v>
      </c>
      <c r="X381" s="35" t="s">
        <v>6510</v>
      </c>
      <c r="Y381" s="35" t="s">
        <v>6511</v>
      </c>
      <c r="Z381" s="35" t="s">
        <v>6512</v>
      </c>
      <c r="AA381" s="46">
        <v>46023.0</v>
      </c>
      <c r="AB381" s="151">
        <v>46387.0</v>
      </c>
      <c r="AC381" s="35" t="s">
        <v>6513</v>
      </c>
      <c r="AD381" s="166"/>
      <c r="AE381" s="35"/>
      <c r="AF381" s="35"/>
      <c r="AG381" s="151"/>
    </row>
    <row r="382" ht="44.25" customHeight="1">
      <c r="A382" s="35">
        <v>381.0</v>
      </c>
      <c r="B382" s="35"/>
      <c r="C382" s="35" t="s">
        <v>351</v>
      </c>
      <c r="D382" s="35" t="s">
        <v>3806</v>
      </c>
      <c r="E382" s="35" t="s">
        <v>6515</v>
      </c>
      <c r="F382" s="35" t="s">
        <v>6516</v>
      </c>
      <c r="G382" s="41" t="s">
        <v>6518</v>
      </c>
      <c r="H382" s="35" t="s">
        <v>59</v>
      </c>
      <c r="I382" s="35" t="s">
        <v>61</v>
      </c>
      <c r="J382" s="35" t="s">
        <v>62</v>
      </c>
      <c r="K382" s="35" t="s">
        <v>63</v>
      </c>
      <c r="L382" s="35">
        <v>17.0</v>
      </c>
      <c r="M382" s="35" t="s">
        <v>6520</v>
      </c>
      <c r="N382" s="35" t="s">
        <v>66</v>
      </c>
      <c r="O382" s="35" t="s">
        <v>67</v>
      </c>
      <c r="P382" s="35" t="s">
        <v>6521</v>
      </c>
      <c r="Q382" s="64"/>
      <c r="R382" s="64"/>
      <c r="S382" s="64"/>
      <c r="T382" s="35" t="s">
        <v>955</v>
      </c>
      <c r="U382" s="35">
        <v>5.0</v>
      </c>
      <c r="V382" s="35" t="s">
        <v>61</v>
      </c>
      <c r="W382" s="35" t="s">
        <v>74</v>
      </c>
      <c r="X382" s="35" t="s">
        <v>6525</v>
      </c>
      <c r="Y382" s="35">
        <v>2.86541049E8</v>
      </c>
      <c r="Z382" s="35" t="s">
        <v>6526</v>
      </c>
      <c r="AA382" s="46">
        <v>46023.0</v>
      </c>
      <c r="AB382" s="151">
        <v>46387.0</v>
      </c>
      <c r="AC382" s="35" t="s">
        <v>6527</v>
      </c>
      <c r="AD382" s="166"/>
      <c r="AE382" s="35"/>
      <c r="AF382" s="35"/>
      <c r="AG382" s="151"/>
    </row>
    <row r="383" ht="44.25" customHeight="1">
      <c r="A383" s="35">
        <v>382.0</v>
      </c>
      <c r="B383" s="35">
        <v>3559.0</v>
      </c>
      <c r="C383" s="35" t="s">
        <v>351</v>
      </c>
      <c r="D383" s="35" t="s">
        <v>3806</v>
      </c>
      <c r="E383" s="35" t="s">
        <v>3958</v>
      </c>
      <c r="F383" s="35" t="s">
        <v>6529</v>
      </c>
      <c r="G383" s="41" t="s">
        <v>6530</v>
      </c>
      <c r="H383" s="35" t="s">
        <v>59</v>
      </c>
      <c r="I383" s="35" t="s">
        <v>61</v>
      </c>
      <c r="J383" s="35" t="s">
        <v>62</v>
      </c>
      <c r="K383" s="35" t="s">
        <v>111</v>
      </c>
      <c r="L383" s="35">
        <v>99.0</v>
      </c>
      <c r="M383" s="35" t="s">
        <v>6534</v>
      </c>
      <c r="N383" s="35" t="s">
        <v>66</v>
      </c>
      <c r="O383" s="35" t="s">
        <v>67</v>
      </c>
      <c r="P383" s="35" t="s">
        <v>6536</v>
      </c>
      <c r="Q383" s="64"/>
      <c r="R383" s="64"/>
      <c r="S383" s="64"/>
      <c r="T383" s="35" t="s">
        <v>955</v>
      </c>
      <c r="U383" s="35">
        <v>7.0</v>
      </c>
      <c r="V383" s="35" t="s">
        <v>61</v>
      </c>
      <c r="W383" s="35" t="s">
        <v>93</v>
      </c>
      <c r="X383" s="35" t="s">
        <v>6539</v>
      </c>
      <c r="Y383" s="35" t="s">
        <v>6541</v>
      </c>
      <c r="Z383" s="35" t="s">
        <v>6542</v>
      </c>
      <c r="AA383" s="46">
        <v>46023.0</v>
      </c>
      <c r="AB383" s="46">
        <v>46387.0</v>
      </c>
      <c r="AC383" s="35" t="s">
        <v>6543</v>
      </c>
      <c r="AD383" s="166"/>
      <c r="AE383" s="35"/>
      <c r="AF383" s="35"/>
      <c r="AG383" s="46"/>
    </row>
    <row r="384" ht="44.25" customHeight="1">
      <c r="A384" s="35">
        <v>383.0</v>
      </c>
      <c r="B384" s="35"/>
      <c r="C384" s="35" t="s">
        <v>351</v>
      </c>
      <c r="D384" s="35" t="s">
        <v>3806</v>
      </c>
      <c r="E384" s="35" t="s">
        <v>3958</v>
      </c>
      <c r="F384" s="35" t="s">
        <v>6545</v>
      </c>
      <c r="G384" s="41" t="s">
        <v>6546</v>
      </c>
      <c r="H384" s="35" t="s">
        <v>59</v>
      </c>
      <c r="I384" s="35" t="s">
        <v>61</v>
      </c>
      <c r="J384" s="35" t="s">
        <v>62</v>
      </c>
      <c r="K384" s="35" t="s">
        <v>63</v>
      </c>
      <c r="L384" s="35">
        <v>70.0</v>
      </c>
      <c r="M384" s="35" t="s">
        <v>6547</v>
      </c>
      <c r="N384" s="35" t="s">
        <v>66</v>
      </c>
      <c r="O384" s="35" t="s">
        <v>72</v>
      </c>
      <c r="P384" s="35" t="s">
        <v>6550</v>
      </c>
      <c r="Q384" s="64"/>
      <c r="R384" s="64"/>
      <c r="S384" s="64"/>
      <c r="T384" s="35" t="s">
        <v>955</v>
      </c>
      <c r="U384" s="35">
        <v>11.0</v>
      </c>
      <c r="V384" s="35" t="s">
        <v>61</v>
      </c>
      <c r="W384" s="35" t="s">
        <v>93</v>
      </c>
      <c r="X384" s="35" t="s">
        <v>6553</v>
      </c>
      <c r="Y384" s="35" t="s">
        <v>6554</v>
      </c>
      <c r="Z384" s="35" t="s">
        <v>6555</v>
      </c>
      <c r="AA384" s="46">
        <v>46023.0</v>
      </c>
      <c r="AB384" s="46">
        <v>46387.0</v>
      </c>
      <c r="AC384" s="35" t="s">
        <v>6556</v>
      </c>
      <c r="AD384" s="166"/>
      <c r="AE384" s="35"/>
      <c r="AF384" s="35"/>
      <c r="AG384" s="46"/>
    </row>
    <row r="385" ht="44.25" customHeight="1">
      <c r="A385" s="35">
        <v>384.0</v>
      </c>
      <c r="B385" s="35"/>
      <c r="C385" s="35" t="s">
        <v>351</v>
      </c>
      <c r="D385" s="35" t="s">
        <v>3806</v>
      </c>
      <c r="E385" s="35" t="s">
        <v>3958</v>
      </c>
      <c r="F385" s="35" t="s">
        <v>6558</v>
      </c>
      <c r="G385" s="41" t="s">
        <v>6560</v>
      </c>
      <c r="H385" s="35" t="s">
        <v>59</v>
      </c>
      <c r="I385" s="35" t="s">
        <v>61</v>
      </c>
      <c r="J385" s="35" t="s">
        <v>62</v>
      </c>
      <c r="K385" s="35" t="s">
        <v>63</v>
      </c>
      <c r="L385" s="35">
        <v>15.0</v>
      </c>
      <c r="M385" s="35" t="s">
        <v>4492</v>
      </c>
      <c r="N385" s="35" t="s">
        <v>66</v>
      </c>
      <c r="O385" s="35" t="s">
        <v>67</v>
      </c>
      <c r="P385" s="35" t="s">
        <v>6563</v>
      </c>
      <c r="Q385" s="64"/>
      <c r="R385" s="64"/>
      <c r="S385" s="64"/>
      <c r="T385" s="35" t="s">
        <v>955</v>
      </c>
      <c r="U385" s="35" t="s">
        <v>955</v>
      </c>
      <c r="V385" s="35" t="s">
        <v>61</v>
      </c>
      <c r="W385" s="35" t="s">
        <v>74</v>
      </c>
      <c r="X385" s="35" t="s">
        <v>6564</v>
      </c>
      <c r="Y385" s="35" t="s">
        <v>6566</v>
      </c>
      <c r="Z385" s="35" t="s">
        <v>6568</v>
      </c>
      <c r="AA385" s="46">
        <v>46023.0</v>
      </c>
      <c r="AB385" s="46">
        <v>46387.0</v>
      </c>
      <c r="AC385" s="35" t="s">
        <v>6570</v>
      </c>
      <c r="AD385" s="166"/>
      <c r="AE385" s="35"/>
      <c r="AF385" s="35"/>
      <c r="AG385" s="46"/>
    </row>
    <row r="386" ht="44.25" customHeight="1">
      <c r="A386" s="35">
        <v>385.0</v>
      </c>
      <c r="B386" s="35"/>
      <c r="C386" s="35" t="s">
        <v>351</v>
      </c>
      <c r="D386" s="35" t="s">
        <v>3806</v>
      </c>
      <c r="E386" s="35" t="s">
        <v>6572</v>
      </c>
      <c r="F386" s="35" t="s">
        <v>6573</v>
      </c>
      <c r="G386" s="41" t="s">
        <v>6574</v>
      </c>
      <c r="H386" s="35" t="s">
        <v>59</v>
      </c>
      <c r="I386" s="35" t="s">
        <v>61</v>
      </c>
      <c r="J386" s="35" t="s">
        <v>62</v>
      </c>
      <c r="K386" s="35" t="s">
        <v>63</v>
      </c>
      <c r="L386" s="35">
        <v>35.0</v>
      </c>
      <c r="M386" s="35" t="s">
        <v>6235</v>
      </c>
      <c r="N386" s="35" t="s">
        <v>66</v>
      </c>
      <c r="O386" s="35" t="s">
        <v>67</v>
      </c>
      <c r="P386" s="35" t="s">
        <v>6578</v>
      </c>
      <c r="Q386" s="64"/>
      <c r="R386" s="64"/>
      <c r="S386" s="64"/>
      <c r="T386" s="35" t="s">
        <v>955</v>
      </c>
      <c r="U386" s="35" t="s">
        <v>955</v>
      </c>
      <c r="V386" s="35" t="s">
        <v>61</v>
      </c>
      <c r="W386" s="35" t="s">
        <v>74</v>
      </c>
      <c r="X386" s="35" t="s">
        <v>6580</v>
      </c>
      <c r="Y386" s="35" t="s">
        <v>6582</v>
      </c>
      <c r="Z386" s="35" t="s">
        <v>6583</v>
      </c>
      <c r="AA386" s="46">
        <v>46023.0</v>
      </c>
      <c r="AB386" s="151">
        <v>46387.0</v>
      </c>
      <c r="AC386" s="35" t="s">
        <v>6584</v>
      </c>
      <c r="AD386" s="166"/>
      <c r="AE386" s="35"/>
      <c r="AF386" s="35"/>
      <c r="AG386" s="151"/>
    </row>
    <row r="387" ht="44.25" customHeight="1">
      <c r="A387" s="35">
        <v>386.0</v>
      </c>
      <c r="B387" s="35">
        <v>4529.0</v>
      </c>
      <c r="C387" s="35" t="s">
        <v>422</v>
      </c>
      <c r="D387" s="35" t="s">
        <v>1100</v>
      </c>
      <c r="E387" s="35" t="s">
        <v>1135</v>
      </c>
      <c r="F387" s="35" t="s">
        <v>6588</v>
      </c>
      <c r="G387" s="41" t="s">
        <v>6590</v>
      </c>
      <c r="H387" s="35" t="s">
        <v>59</v>
      </c>
      <c r="I387" s="35" t="s">
        <v>61</v>
      </c>
      <c r="J387" s="35" t="s">
        <v>62</v>
      </c>
      <c r="K387" s="35" t="s">
        <v>111</v>
      </c>
      <c r="L387" s="35">
        <v>125.0</v>
      </c>
      <c r="M387" s="35" t="s">
        <v>6591</v>
      </c>
      <c r="N387" s="35" t="s">
        <v>71</v>
      </c>
      <c r="O387" s="35" t="s">
        <v>67</v>
      </c>
      <c r="P387" s="35" t="s">
        <v>6592</v>
      </c>
      <c r="Q387" s="167"/>
      <c r="R387" s="167"/>
      <c r="S387" s="167"/>
      <c r="T387" s="35" t="s">
        <v>61</v>
      </c>
      <c r="U387" s="35">
        <v>8.0</v>
      </c>
      <c r="V387" s="35" t="s">
        <v>61</v>
      </c>
      <c r="W387" s="35" t="s">
        <v>93</v>
      </c>
      <c r="X387" s="35" t="s">
        <v>6596</v>
      </c>
      <c r="Y387" s="35" t="s">
        <v>6597</v>
      </c>
      <c r="Z387" s="35" t="s">
        <v>6598</v>
      </c>
      <c r="AA387" s="151">
        <v>46023.0</v>
      </c>
      <c r="AB387" s="46">
        <v>46387.0</v>
      </c>
      <c r="AC387" s="35" t="s">
        <v>6599</v>
      </c>
      <c r="AD387" s="35" t="s">
        <v>79</v>
      </c>
      <c r="AE387" s="35"/>
      <c r="AF387" s="35"/>
      <c r="AG387" s="46"/>
    </row>
    <row r="388" ht="44.25" customHeight="1">
      <c r="A388" s="35">
        <v>387.0</v>
      </c>
      <c r="B388" s="35">
        <v>43465.0</v>
      </c>
      <c r="C388" s="35" t="s">
        <v>422</v>
      </c>
      <c r="D388" s="35" t="s">
        <v>1100</v>
      </c>
      <c r="E388" s="35" t="s">
        <v>1135</v>
      </c>
      <c r="F388" s="35" t="s">
        <v>6600</v>
      </c>
      <c r="G388" s="41" t="s">
        <v>6601</v>
      </c>
      <c r="H388" s="35" t="s">
        <v>59</v>
      </c>
      <c r="I388" s="35" t="s">
        <v>61</v>
      </c>
      <c r="J388" s="35" t="s">
        <v>62</v>
      </c>
      <c r="K388" s="35" t="s">
        <v>111</v>
      </c>
      <c r="L388" s="35">
        <v>99.0</v>
      </c>
      <c r="M388" s="35" t="s">
        <v>6603</v>
      </c>
      <c r="N388" s="35" t="s">
        <v>66</v>
      </c>
      <c r="O388" s="35" t="s">
        <v>67</v>
      </c>
      <c r="P388" s="35" t="s">
        <v>6604</v>
      </c>
      <c r="Q388" s="167"/>
      <c r="R388" s="167"/>
      <c r="S388" s="167"/>
      <c r="T388" s="35" t="s">
        <v>61</v>
      </c>
      <c r="U388" s="35">
        <v>12.0</v>
      </c>
      <c r="V388" s="35" t="s">
        <v>61</v>
      </c>
      <c r="W388" s="35" t="s">
        <v>93</v>
      </c>
      <c r="X388" s="35" t="s">
        <v>6608</v>
      </c>
      <c r="Y388" s="35" t="s">
        <v>6610</v>
      </c>
      <c r="Z388" s="35" t="s">
        <v>6611</v>
      </c>
      <c r="AA388" s="151">
        <v>46023.0</v>
      </c>
      <c r="AB388" s="46">
        <v>46387.0</v>
      </c>
      <c r="AC388" s="35" t="s">
        <v>6612</v>
      </c>
      <c r="AD388" s="35" t="s">
        <v>79</v>
      </c>
      <c r="AE388" s="35"/>
      <c r="AF388" s="35"/>
      <c r="AG388" s="46"/>
    </row>
    <row r="389" ht="44.25" customHeight="1">
      <c r="A389" s="35">
        <v>388.0</v>
      </c>
      <c r="B389" s="35">
        <v>4608.0</v>
      </c>
      <c r="C389" s="35" t="s">
        <v>422</v>
      </c>
      <c r="D389" s="35" t="s">
        <v>1100</v>
      </c>
      <c r="E389" s="35" t="s">
        <v>4126</v>
      </c>
      <c r="F389" s="35" t="s">
        <v>6613</v>
      </c>
      <c r="G389" s="41" t="s">
        <v>6614</v>
      </c>
      <c r="H389" s="35" t="s">
        <v>59</v>
      </c>
      <c r="I389" s="35" t="s">
        <v>61</v>
      </c>
      <c r="J389" s="35" t="s">
        <v>62</v>
      </c>
      <c r="K389" s="35" t="s">
        <v>63</v>
      </c>
      <c r="L389" s="35">
        <v>39.0</v>
      </c>
      <c r="M389" s="35" t="s">
        <v>6615</v>
      </c>
      <c r="N389" s="35" t="s">
        <v>66</v>
      </c>
      <c r="O389" s="35" t="s">
        <v>67</v>
      </c>
      <c r="P389" s="35" t="s">
        <v>6616</v>
      </c>
      <c r="Q389" s="167"/>
      <c r="R389" s="167"/>
      <c r="S389" s="167"/>
      <c r="T389" s="35" t="s">
        <v>61</v>
      </c>
      <c r="U389" s="35">
        <v>8.0</v>
      </c>
      <c r="V389" s="35" t="s">
        <v>61</v>
      </c>
      <c r="W389" s="35" t="s">
        <v>74</v>
      </c>
      <c r="X389" s="35" t="s">
        <v>6619</v>
      </c>
      <c r="Y389" s="35" t="s">
        <v>955</v>
      </c>
      <c r="Z389" s="35" t="s">
        <v>6620</v>
      </c>
      <c r="AA389" s="151">
        <v>46023.0</v>
      </c>
      <c r="AB389" s="46">
        <v>46387.0</v>
      </c>
      <c r="AC389" s="35" t="s">
        <v>6621</v>
      </c>
      <c r="AD389" s="35" t="s">
        <v>79</v>
      </c>
      <c r="AE389" s="35"/>
      <c r="AF389" s="35"/>
      <c r="AG389" s="46"/>
    </row>
    <row r="390" ht="44.25" customHeight="1">
      <c r="A390" s="35">
        <v>389.0</v>
      </c>
      <c r="B390" s="35">
        <v>5970.0</v>
      </c>
      <c r="C390" s="35" t="s">
        <v>422</v>
      </c>
      <c r="D390" s="35" t="s">
        <v>4042</v>
      </c>
      <c r="E390" s="35" t="s">
        <v>6623</v>
      </c>
      <c r="F390" s="35" t="s">
        <v>6624</v>
      </c>
      <c r="G390" s="41" t="s">
        <v>6625</v>
      </c>
      <c r="H390" s="35" t="s">
        <v>59</v>
      </c>
      <c r="I390" s="35" t="s">
        <v>61</v>
      </c>
      <c r="J390" s="35" t="s">
        <v>62</v>
      </c>
      <c r="K390" s="35" t="s">
        <v>63</v>
      </c>
      <c r="L390" s="35">
        <v>30.0</v>
      </c>
      <c r="M390" s="35" t="s">
        <v>6626</v>
      </c>
      <c r="N390" s="35" t="s">
        <v>66</v>
      </c>
      <c r="O390" s="35" t="s">
        <v>67</v>
      </c>
      <c r="P390" s="35" t="s">
        <v>6627</v>
      </c>
      <c r="Q390" s="167"/>
      <c r="R390" s="167"/>
      <c r="S390" s="167"/>
      <c r="T390" s="35" t="s">
        <v>61</v>
      </c>
      <c r="U390" s="35">
        <v>10.0</v>
      </c>
      <c r="V390" s="35" t="s">
        <v>61</v>
      </c>
      <c r="W390" s="35" t="s">
        <v>74</v>
      </c>
      <c r="X390" s="35" t="s">
        <v>6629</v>
      </c>
      <c r="Y390" s="35" t="s">
        <v>6630</v>
      </c>
      <c r="Z390" s="35" t="s">
        <v>6631</v>
      </c>
      <c r="AA390" s="151">
        <v>46023.0</v>
      </c>
      <c r="AB390" s="46">
        <v>46387.0</v>
      </c>
      <c r="AC390" s="35" t="s">
        <v>6632</v>
      </c>
      <c r="AD390" s="35" t="s">
        <v>79</v>
      </c>
      <c r="AE390" s="35"/>
      <c r="AF390" s="35"/>
      <c r="AG390" s="46"/>
    </row>
    <row r="391" ht="44.25" customHeight="1">
      <c r="A391" s="35">
        <v>390.0</v>
      </c>
      <c r="B391" s="35">
        <v>4095.0</v>
      </c>
      <c r="C391" s="35" t="s">
        <v>422</v>
      </c>
      <c r="D391" s="35" t="s">
        <v>4042</v>
      </c>
      <c r="E391" s="35" t="s">
        <v>4043</v>
      </c>
      <c r="F391" s="35" t="s">
        <v>6634</v>
      </c>
      <c r="G391" s="41" t="s">
        <v>6635</v>
      </c>
      <c r="H391" s="35" t="s">
        <v>59</v>
      </c>
      <c r="I391" s="35" t="s">
        <v>61</v>
      </c>
      <c r="J391" s="35" t="s">
        <v>62</v>
      </c>
      <c r="K391" s="35" t="s">
        <v>63</v>
      </c>
      <c r="L391" s="35">
        <v>18.0</v>
      </c>
      <c r="M391" s="35" t="s">
        <v>6637</v>
      </c>
      <c r="N391" s="35" t="s">
        <v>66</v>
      </c>
      <c r="O391" s="35" t="s">
        <v>67</v>
      </c>
      <c r="P391" s="35" t="s">
        <v>6638</v>
      </c>
      <c r="Q391" s="167"/>
      <c r="R391" s="167"/>
      <c r="S391" s="167"/>
      <c r="T391" s="35" t="s">
        <v>61</v>
      </c>
      <c r="U391" s="35" t="s">
        <v>61</v>
      </c>
      <c r="V391" s="35" t="s">
        <v>61</v>
      </c>
      <c r="W391" s="35" t="s">
        <v>74</v>
      </c>
      <c r="X391" s="35" t="s">
        <v>6641</v>
      </c>
      <c r="Y391" s="35" t="s">
        <v>6642</v>
      </c>
      <c r="Z391" s="35" t="s">
        <v>6643</v>
      </c>
      <c r="AA391" s="151">
        <v>46023.0</v>
      </c>
      <c r="AB391" s="46">
        <v>46387.0</v>
      </c>
      <c r="AC391" s="35" t="s">
        <v>6644</v>
      </c>
      <c r="AD391" s="35" t="s">
        <v>79</v>
      </c>
      <c r="AE391" s="35"/>
      <c r="AF391" s="35"/>
      <c r="AG391" s="46"/>
    </row>
    <row r="392" ht="44.25" customHeight="1">
      <c r="A392" s="35">
        <v>391.0</v>
      </c>
      <c r="B392" s="35">
        <v>24449.0</v>
      </c>
      <c r="C392" s="35" t="s">
        <v>422</v>
      </c>
      <c r="D392" s="35" t="s">
        <v>4206</v>
      </c>
      <c r="E392" s="35" t="s">
        <v>4207</v>
      </c>
      <c r="F392" s="35" t="s">
        <v>6646</v>
      </c>
      <c r="G392" s="41" t="s">
        <v>6647</v>
      </c>
      <c r="H392" s="35" t="s">
        <v>59</v>
      </c>
      <c r="I392" s="35" t="s">
        <v>61</v>
      </c>
      <c r="J392" s="35" t="s">
        <v>62</v>
      </c>
      <c r="K392" s="35" t="s">
        <v>63</v>
      </c>
      <c r="L392" s="35">
        <v>22.0</v>
      </c>
      <c r="M392" s="35" t="s">
        <v>955</v>
      </c>
      <c r="N392" s="35" t="s">
        <v>66</v>
      </c>
      <c r="O392" s="35" t="s">
        <v>67</v>
      </c>
      <c r="P392" s="35" t="s">
        <v>6650</v>
      </c>
      <c r="Q392" s="167"/>
      <c r="R392" s="167"/>
      <c r="S392" s="167"/>
      <c r="T392" s="35" t="s">
        <v>61</v>
      </c>
      <c r="U392" s="35" t="s">
        <v>61</v>
      </c>
      <c r="V392" s="35" t="s">
        <v>61</v>
      </c>
      <c r="W392" s="35" t="s">
        <v>74</v>
      </c>
      <c r="X392" s="35" t="s">
        <v>6651</v>
      </c>
      <c r="Y392" s="35" t="s">
        <v>6653</v>
      </c>
      <c r="Z392" s="35" t="s">
        <v>6654</v>
      </c>
      <c r="AA392" s="151">
        <v>46023.0</v>
      </c>
      <c r="AB392" s="46">
        <v>46387.0</v>
      </c>
      <c r="AC392" s="35" t="s">
        <v>6656</v>
      </c>
      <c r="AD392" s="35" t="s">
        <v>79</v>
      </c>
      <c r="AE392" s="35"/>
      <c r="AF392" s="35"/>
      <c r="AG392" s="46"/>
    </row>
    <row r="393" ht="44.25" customHeight="1">
      <c r="A393" s="35">
        <v>392.0</v>
      </c>
      <c r="B393" s="35">
        <v>4148.0</v>
      </c>
      <c r="C393" s="35" t="s">
        <v>422</v>
      </c>
      <c r="D393" s="35" t="s">
        <v>1100</v>
      </c>
      <c r="E393" s="35" t="s">
        <v>4126</v>
      </c>
      <c r="F393" s="35" t="s">
        <v>6657</v>
      </c>
      <c r="G393" s="41" t="s">
        <v>6658</v>
      </c>
      <c r="H393" s="35" t="s">
        <v>59</v>
      </c>
      <c r="I393" s="35" t="s">
        <v>61</v>
      </c>
      <c r="J393" s="35" t="s">
        <v>62</v>
      </c>
      <c r="K393" s="35" t="s">
        <v>63</v>
      </c>
      <c r="L393" s="35">
        <v>35.0</v>
      </c>
      <c r="M393" s="35" t="s">
        <v>6661</v>
      </c>
      <c r="N393" s="35" t="s">
        <v>66</v>
      </c>
      <c r="O393" s="35" t="s">
        <v>67</v>
      </c>
      <c r="P393" s="35" t="s">
        <v>6662</v>
      </c>
      <c r="Q393" s="167"/>
      <c r="R393" s="167"/>
      <c r="S393" s="167"/>
      <c r="T393" s="35" t="s">
        <v>61</v>
      </c>
      <c r="U393" s="35" t="s">
        <v>61</v>
      </c>
      <c r="V393" s="35" t="s">
        <v>61</v>
      </c>
      <c r="W393" s="35" t="s">
        <v>74</v>
      </c>
      <c r="X393" s="35" t="s">
        <v>6663</v>
      </c>
      <c r="Y393" s="35" t="s">
        <v>955</v>
      </c>
      <c r="Z393" s="35" t="s">
        <v>6664</v>
      </c>
      <c r="AA393" s="151">
        <v>46023.0</v>
      </c>
      <c r="AB393" s="46">
        <v>46387.0</v>
      </c>
      <c r="AC393" s="35" t="s">
        <v>6665</v>
      </c>
      <c r="AD393" s="35" t="s">
        <v>79</v>
      </c>
      <c r="AE393" s="35"/>
      <c r="AF393" s="35"/>
      <c r="AG393" s="46"/>
    </row>
    <row r="394" ht="44.25" customHeight="1">
      <c r="A394" s="35">
        <v>393.0</v>
      </c>
      <c r="B394" s="35">
        <v>3351.0</v>
      </c>
      <c r="C394" s="35" t="s">
        <v>422</v>
      </c>
      <c r="D394" s="35" t="s">
        <v>4042</v>
      </c>
      <c r="E394" s="35" t="s">
        <v>4043</v>
      </c>
      <c r="F394" s="35" t="s">
        <v>6666</v>
      </c>
      <c r="G394" s="41" t="s">
        <v>6667</v>
      </c>
      <c r="H394" s="35" t="s">
        <v>59</v>
      </c>
      <c r="I394" s="35" t="s">
        <v>61</v>
      </c>
      <c r="J394" s="35" t="s">
        <v>62</v>
      </c>
      <c r="K394" s="35" t="s">
        <v>111</v>
      </c>
      <c r="L394" s="35">
        <v>47.0</v>
      </c>
      <c r="M394" s="35" t="s">
        <v>6668</v>
      </c>
      <c r="N394" s="35" t="s">
        <v>66</v>
      </c>
      <c r="O394" s="35" t="s">
        <v>67</v>
      </c>
      <c r="P394" s="35" t="s">
        <v>6669</v>
      </c>
      <c r="Q394" s="167"/>
      <c r="R394" s="167"/>
      <c r="S394" s="167"/>
      <c r="T394" s="35" t="s">
        <v>61</v>
      </c>
      <c r="U394" s="35" t="s">
        <v>61</v>
      </c>
      <c r="V394" s="35" t="s">
        <v>61</v>
      </c>
      <c r="W394" s="35" t="s">
        <v>93</v>
      </c>
      <c r="X394" s="35" t="s">
        <v>6670</v>
      </c>
      <c r="Y394" s="35" t="s">
        <v>6671</v>
      </c>
      <c r="Z394" s="35" t="s">
        <v>6672</v>
      </c>
      <c r="AA394" s="151">
        <v>46023.0</v>
      </c>
      <c r="AB394" s="46">
        <v>46387.0</v>
      </c>
      <c r="AC394" s="35" t="s">
        <v>6674</v>
      </c>
      <c r="AD394" s="35" t="s">
        <v>79</v>
      </c>
      <c r="AE394" s="35"/>
      <c r="AF394" s="35"/>
      <c r="AG394" s="46"/>
    </row>
    <row r="395" ht="44.25" customHeight="1">
      <c r="A395" s="35">
        <v>394.0</v>
      </c>
      <c r="B395" s="35">
        <v>5225.0</v>
      </c>
      <c r="C395" s="35" t="s">
        <v>422</v>
      </c>
      <c r="D395" s="35" t="s">
        <v>4042</v>
      </c>
      <c r="E395" s="35" t="s">
        <v>4043</v>
      </c>
      <c r="F395" s="35" t="s">
        <v>6677</v>
      </c>
      <c r="G395" s="41" t="s">
        <v>6678</v>
      </c>
      <c r="H395" s="35" t="s">
        <v>59</v>
      </c>
      <c r="I395" s="35" t="s">
        <v>61</v>
      </c>
      <c r="J395" s="35" t="s">
        <v>62</v>
      </c>
      <c r="K395" s="35" t="s">
        <v>111</v>
      </c>
      <c r="L395" s="35">
        <v>95.0</v>
      </c>
      <c r="M395" s="35" t="s">
        <v>6679</v>
      </c>
      <c r="N395" s="35" t="s">
        <v>66</v>
      </c>
      <c r="O395" s="35" t="s">
        <v>67</v>
      </c>
      <c r="P395" s="35" t="s">
        <v>6680</v>
      </c>
      <c r="Q395" s="167"/>
      <c r="R395" s="167"/>
      <c r="S395" s="167"/>
      <c r="T395" s="35" t="s">
        <v>61</v>
      </c>
      <c r="U395" s="35">
        <v>11.0</v>
      </c>
      <c r="V395" s="35" t="s">
        <v>61</v>
      </c>
      <c r="W395" s="35" t="s">
        <v>93</v>
      </c>
      <c r="X395" s="35" t="s">
        <v>6682</v>
      </c>
      <c r="Y395" s="35" t="s">
        <v>955</v>
      </c>
      <c r="Z395" s="35" t="s">
        <v>6683</v>
      </c>
      <c r="AA395" s="151">
        <v>46023.0</v>
      </c>
      <c r="AB395" s="46">
        <v>46387.0</v>
      </c>
      <c r="AC395" s="35" t="s">
        <v>6684</v>
      </c>
      <c r="AD395" s="35" t="s">
        <v>79</v>
      </c>
      <c r="AE395" s="35"/>
      <c r="AF395" s="35"/>
      <c r="AG395" s="46"/>
    </row>
    <row r="396" ht="44.25" customHeight="1">
      <c r="A396" s="35">
        <v>395.0</v>
      </c>
      <c r="B396" s="35">
        <v>5272.0</v>
      </c>
      <c r="C396" s="35" t="s">
        <v>422</v>
      </c>
      <c r="D396" s="35" t="s">
        <v>4042</v>
      </c>
      <c r="E396" s="35" t="s">
        <v>4043</v>
      </c>
      <c r="F396" s="35" t="s">
        <v>6688</v>
      </c>
      <c r="G396" s="41" t="s">
        <v>6689</v>
      </c>
      <c r="H396" s="35" t="s">
        <v>59</v>
      </c>
      <c r="I396" s="35" t="s">
        <v>61</v>
      </c>
      <c r="J396" s="35" t="s">
        <v>62</v>
      </c>
      <c r="K396" s="35" t="s">
        <v>111</v>
      </c>
      <c r="L396" s="35">
        <v>50.0</v>
      </c>
      <c r="M396" s="35" t="s">
        <v>6690</v>
      </c>
      <c r="N396" s="35" t="s">
        <v>66</v>
      </c>
      <c r="O396" s="35" t="s">
        <v>67</v>
      </c>
      <c r="P396" s="35" t="s">
        <v>6693</v>
      </c>
      <c r="Q396" s="167"/>
      <c r="R396" s="167"/>
      <c r="S396" s="167"/>
      <c r="T396" s="35" t="s">
        <v>61</v>
      </c>
      <c r="U396" s="35">
        <v>5.0</v>
      </c>
      <c r="V396" s="35" t="s">
        <v>61</v>
      </c>
      <c r="W396" s="35" t="s">
        <v>93</v>
      </c>
      <c r="X396" s="35" t="s">
        <v>6696</v>
      </c>
      <c r="Y396" s="35" t="s">
        <v>6697</v>
      </c>
      <c r="Z396" s="35" t="s">
        <v>6698</v>
      </c>
      <c r="AA396" s="151">
        <v>46023.0</v>
      </c>
      <c r="AB396" s="46">
        <v>46387.0</v>
      </c>
      <c r="AC396" s="35" t="s">
        <v>6699</v>
      </c>
      <c r="AD396" s="35" t="s">
        <v>79</v>
      </c>
      <c r="AE396" s="35"/>
      <c r="AF396" s="35"/>
      <c r="AG396" s="46"/>
    </row>
    <row r="397" ht="44.25" customHeight="1">
      <c r="A397" s="35">
        <v>396.0</v>
      </c>
      <c r="B397" s="35">
        <v>50385.0</v>
      </c>
      <c r="C397" s="35" t="s">
        <v>422</v>
      </c>
      <c r="D397" s="35" t="s">
        <v>4042</v>
      </c>
      <c r="E397" s="35" t="s">
        <v>4043</v>
      </c>
      <c r="F397" s="35" t="s">
        <v>6700</v>
      </c>
      <c r="G397" s="41" t="s">
        <v>6701</v>
      </c>
      <c r="H397" s="35" t="s">
        <v>59</v>
      </c>
      <c r="I397" s="35" t="s">
        <v>61</v>
      </c>
      <c r="J397" s="35" t="s">
        <v>62</v>
      </c>
      <c r="K397" s="35" t="s">
        <v>111</v>
      </c>
      <c r="L397" s="35">
        <v>100.0</v>
      </c>
      <c r="M397" s="35" t="s">
        <v>956</v>
      </c>
      <c r="N397" s="35" t="s">
        <v>66</v>
      </c>
      <c r="O397" s="35" t="s">
        <v>67</v>
      </c>
      <c r="P397" s="35" t="s">
        <v>6705</v>
      </c>
      <c r="Q397" s="167"/>
      <c r="R397" s="167"/>
      <c r="S397" s="167"/>
      <c r="T397" s="35" t="s">
        <v>61</v>
      </c>
      <c r="U397" s="35" t="s">
        <v>61</v>
      </c>
      <c r="V397" s="35" t="s">
        <v>61</v>
      </c>
      <c r="W397" s="35" t="s">
        <v>93</v>
      </c>
      <c r="X397" s="35" t="s">
        <v>6707</v>
      </c>
      <c r="Y397" s="35"/>
      <c r="Z397" s="35" t="s">
        <v>6708</v>
      </c>
      <c r="AA397" s="151">
        <v>46023.0</v>
      </c>
      <c r="AB397" s="46">
        <v>46387.0</v>
      </c>
      <c r="AC397" s="35" t="s">
        <v>6599</v>
      </c>
      <c r="AD397" s="35" t="s">
        <v>79</v>
      </c>
      <c r="AE397" s="35"/>
      <c r="AF397" s="35"/>
      <c r="AG397" s="46"/>
    </row>
    <row r="398" ht="44.25" customHeight="1">
      <c r="A398" s="35">
        <v>397.0</v>
      </c>
      <c r="B398" s="35">
        <v>361.0</v>
      </c>
      <c r="C398" s="35" t="s">
        <v>422</v>
      </c>
      <c r="D398" s="35" t="s">
        <v>1100</v>
      </c>
      <c r="E398" s="35" t="s">
        <v>1135</v>
      </c>
      <c r="F398" s="35" t="s">
        <v>6712</v>
      </c>
      <c r="G398" s="41" t="s">
        <v>6713</v>
      </c>
      <c r="H398" s="35" t="s">
        <v>59</v>
      </c>
      <c r="I398" s="35" t="s">
        <v>61</v>
      </c>
      <c r="J398" s="35" t="s">
        <v>62</v>
      </c>
      <c r="K398" s="35" t="s">
        <v>111</v>
      </c>
      <c r="L398" s="35">
        <v>120.0</v>
      </c>
      <c r="M398" s="35" t="s">
        <v>6715</v>
      </c>
      <c r="N398" s="35" t="s">
        <v>66</v>
      </c>
      <c r="O398" s="35" t="s">
        <v>67</v>
      </c>
      <c r="P398" s="35" t="s">
        <v>6718</v>
      </c>
      <c r="Q398" s="167"/>
      <c r="R398" s="167"/>
      <c r="S398" s="167"/>
      <c r="T398" s="35" t="s">
        <v>61</v>
      </c>
      <c r="U398" s="35" t="s">
        <v>61</v>
      </c>
      <c r="V398" s="35" t="s">
        <v>61</v>
      </c>
      <c r="W398" s="35" t="s">
        <v>93</v>
      </c>
      <c r="X398" s="35" t="s">
        <v>6720</v>
      </c>
      <c r="Y398" s="35" t="s">
        <v>6722</v>
      </c>
      <c r="Z398" s="35" t="s">
        <v>6723</v>
      </c>
      <c r="AA398" s="151">
        <v>46023.0</v>
      </c>
      <c r="AB398" s="46">
        <v>46387.0</v>
      </c>
      <c r="AC398" s="35" t="s">
        <v>6726</v>
      </c>
      <c r="AD398" s="35" t="s">
        <v>79</v>
      </c>
      <c r="AE398" s="35"/>
      <c r="AF398" s="35"/>
      <c r="AG398" s="46"/>
    </row>
    <row r="399" ht="44.25" customHeight="1">
      <c r="A399" s="35">
        <v>398.0</v>
      </c>
      <c r="B399" s="35">
        <v>5501.0</v>
      </c>
      <c r="C399" s="35" t="s">
        <v>422</v>
      </c>
      <c r="D399" s="35" t="s">
        <v>4042</v>
      </c>
      <c r="E399" s="35" t="s">
        <v>4060</v>
      </c>
      <c r="F399" s="35" t="s">
        <v>6729</v>
      </c>
      <c r="G399" s="41" t="s">
        <v>6730</v>
      </c>
      <c r="H399" s="35" t="s">
        <v>59</v>
      </c>
      <c r="I399" s="35" t="s">
        <v>61</v>
      </c>
      <c r="J399" s="35" t="s">
        <v>62</v>
      </c>
      <c r="K399" s="35" t="s">
        <v>63</v>
      </c>
      <c r="L399" s="35">
        <v>23.0</v>
      </c>
      <c r="M399" s="35" t="s">
        <v>6733</v>
      </c>
      <c r="N399" s="35" t="s">
        <v>66</v>
      </c>
      <c r="O399" s="35" t="s">
        <v>67</v>
      </c>
      <c r="P399" s="35" t="s">
        <v>6734</v>
      </c>
      <c r="Q399" s="167"/>
      <c r="R399" s="167"/>
      <c r="S399" s="167"/>
      <c r="T399" s="35" t="s">
        <v>61</v>
      </c>
      <c r="U399" s="35" t="s">
        <v>61</v>
      </c>
      <c r="V399" s="35" t="s">
        <v>61</v>
      </c>
      <c r="W399" s="35" t="s">
        <v>74</v>
      </c>
      <c r="X399" s="35" t="s">
        <v>6736</v>
      </c>
      <c r="Y399" s="35" t="s">
        <v>6738</v>
      </c>
      <c r="Z399" s="35" t="s">
        <v>6740</v>
      </c>
      <c r="AA399" s="151">
        <v>46023.0</v>
      </c>
      <c r="AB399" s="46">
        <v>46387.0</v>
      </c>
      <c r="AC399" s="35" t="s">
        <v>6742</v>
      </c>
      <c r="AD399" s="35" t="s">
        <v>79</v>
      </c>
      <c r="AE399" s="35"/>
      <c r="AF399" s="35"/>
      <c r="AG399" s="46"/>
    </row>
    <row r="400" ht="44.25" customHeight="1">
      <c r="A400" s="35">
        <v>399.0</v>
      </c>
      <c r="B400" s="35">
        <v>726.0</v>
      </c>
      <c r="C400" s="35" t="s">
        <v>422</v>
      </c>
      <c r="D400" s="35" t="s">
        <v>1100</v>
      </c>
      <c r="E400" s="35" t="s">
        <v>4110</v>
      </c>
      <c r="F400" s="35" t="s">
        <v>6743</v>
      </c>
      <c r="G400" s="41" t="s">
        <v>6744</v>
      </c>
      <c r="H400" s="35" t="s">
        <v>59</v>
      </c>
      <c r="I400" s="35" t="s">
        <v>61</v>
      </c>
      <c r="J400" s="35" t="s">
        <v>62</v>
      </c>
      <c r="K400" s="35" t="s">
        <v>63</v>
      </c>
      <c r="L400" s="35">
        <v>30.0</v>
      </c>
      <c r="M400" s="35" t="s">
        <v>6745</v>
      </c>
      <c r="N400" s="35" t="s">
        <v>66</v>
      </c>
      <c r="O400" s="35" t="s">
        <v>67</v>
      </c>
      <c r="P400" s="35" t="s">
        <v>6746</v>
      </c>
      <c r="Q400" s="167"/>
      <c r="R400" s="167"/>
      <c r="S400" s="167"/>
      <c r="T400" s="35" t="s">
        <v>61</v>
      </c>
      <c r="U400" s="35" t="s">
        <v>61</v>
      </c>
      <c r="V400" s="35" t="s">
        <v>61</v>
      </c>
      <c r="W400" s="35" t="s">
        <v>74</v>
      </c>
      <c r="X400" s="35" t="s">
        <v>6747</v>
      </c>
      <c r="Y400" s="35" t="s">
        <v>955</v>
      </c>
      <c r="Z400" s="35" t="s">
        <v>6748</v>
      </c>
      <c r="AA400" s="151">
        <v>46023.0</v>
      </c>
      <c r="AB400" s="46">
        <v>46387.0</v>
      </c>
      <c r="AC400" s="35" t="s">
        <v>6749</v>
      </c>
      <c r="AD400" s="35" t="s">
        <v>79</v>
      </c>
      <c r="AE400" s="35"/>
      <c r="AF400" s="35"/>
      <c r="AG400" s="46"/>
    </row>
    <row r="401" ht="44.25" customHeight="1">
      <c r="A401" s="35">
        <v>400.0</v>
      </c>
      <c r="B401" s="35">
        <v>1679.0</v>
      </c>
      <c r="C401" s="35" t="s">
        <v>422</v>
      </c>
      <c r="D401" s="35" t="s">
        <v>1100</v>
      </c>
      <c r="E401" s="35" t="s">
        <v>4126</v>
      </c>
      <c r="F401" s="35" t="s">
        <v>6750</v>
      </c>
      <c r="G401" s="41" t="s">
        <v>6752</v>
      </c>
      <c r="H401" s="35" t="s">
        <v>59</v>
      </c>
      <c r="I401" s="35" t="s">
        <v>61</v>
      </c>
      <c r="J401" s="35" t="s">
        <v>62</v>
      </c>
      <c r="K401" s="35" t="s">
        <v>63</v>
      </c>
      <c r="L401" s="35">
        <v>40.0</v>
      </c>
      <c r="M401" s="35" t="s">
        <v>955</v>
      </c>
      <c r="N401" s="35" t="s">
        <v>66</v>
      </c>
      <c r="O401" s="35" t="s">
        <v>67</v>
      </c>
      <c r="P401" s="35" t="s">
        <v>6753</v>
      </c>
      <c r="Q401" s="167"/>
      <c r="R401" s="167"/>
      <c r="S401" s="167"/>
      <c r="T401" s="35" t="s">
        <v>61</v>
      </c>
      <c r="U401" s="35" t="s">
        <v>61</v>
      </c>
      <c r="V401" s="35" t="s">
        <v>61</v>
      </c>
      <c r="W401" s="35" t="s">
        <v>74</v>
      </c>
      <c r="X401" s="35" t="s">
        <v>6755</v>
      </c>
      <c r="Y401" s="35" t="s">
        <v>955</v>
      </c>
      <c r="Z401" s="35" t="s">
        <v>6756</v>
      </c>
      <c r="AA401" s="151">
        <v>46023.0</v>
      </c>
      <c r="AB401" s="46">
        <v>46387.0</v>
      </c>
      <c r="AC401" s="35" t="s">
        <v>6757</v>
      </c>
      <c r="AD401" s="35" t="s">
        <v>79</v>
      </c>
      <c r="AE401" s="35"/>
      <c r="AF401" s="35"/>
      <c r="AG401" s="46"/>
    </row>
    <row r="402" ht="44.25" customHeight="1">
      <c r="A402" s="35">
        <v>401.0</v>
      </c>
      <c r="B402" s="35">
        <v>7014.0</v>
      </c>
      <c r="C402" s="35" t="s">
        <v>422</v>
      </c>
      <c r="D402" s="35" t="s">
        <v>4042</v>
      </c>
      <c r="E402" s="35" t="s">
        <v>4043</v>
      </c>
      <c r="F402" s="35" t="s">
        <v>6758</v>
      </c>
      <c r="G402" s="41" t="s">
        <v>6759</v>
      </c>
      <c r="H402" s="35" t="s">
        <v>59</v>
      </c>
      <c r="I402" s="35" t="s">
        <v>61</v>
      </c>
      <c r="J402" s="35" t="s">
        <v>62</v>
      </c>
      <c r="K402" s="35" t="s">
        <v>63</v>
      </c>
      <c r="L402" s="35">
        <v>17.0</v>
      </c>
      <c r="M402" s="35" t="s">
        <v>6764</v>
      </c>
      <c r="N402" s="35" t="s">
        <v>66</v>
      </c>
      <c r="O402" s="35" t="s">
        <v>67</v>
      </c>
      <c r="P402" s="35" t="s">
        <v>6766</v>
      </c>
      <c r="Q402" s="167"/>
      <c r="R402" s="167"/>
      <c r="S402" s="167"/>
      <c r="T402" s="35" t="s">
        <v>61</v>
      </c>
      <c r="U402" s="35" t="s">
        <v>61</v>
      </c>
      <c r="V402" s="35" t="s">
        <v>61</v>
      </c>
      <c r="W402" s="35" t="s">
        <v>74</v>
      </c>
      <c r="X402" s="35" t="s">
        <v>6768</v>
      </c>
      <c r="Y402" s="35" t="s">
        <v>6770</v>
      </c>
      <c r="Z402" s="35" t="s">
        <v>6771</v>
      </c>
      <c r="AA402" s="151">
        <v>46023.0</v>
      </c>
      <c r="AB402" s="46">
        <v>46387.0</v>
      </c>
      <c r="AC402" s="35" t="s">
        <v>6773</v>
      </c>
      <c r="AD402" s="35" t="s">
        <v>79</v>
      </c>
      <c r="AE402" s="35"/>
      <c r="AF402" s="35"/>
      <c r="AG402" s="46"/>
    </row>
    <row r="403" ht="44.25" customHeight="1">
      <c r="A403" s="35">
        <v>402.0</v>
      </c>
      <c r="B403" s="35">
        <v>3815.0</v>
      </c>
      <c r="C403" s="35" t="s">
        <v>509</v>
      </c>
      <c r="D403" s="35" t="s">
        <v>1167</v>
      </c>
      <c r="E403" s="35" t="s">
        <v>1169</v>
      </c>
      <c r="F403" s="35" t="s">
        <v>6776</v>
      </c>
      <c r="G403" s="41" t="s">
        <v>6777</v>
      </c>
      <c r="H403" s="35" t="s">
        <v>59</v>
      </c>
      <c r="I403" s="35" t="s">
        <v>61</v>
      </c>
      <c r="J403" s="35" t="s">
        <v>62</v>
      </c>
      <c r="K403" s="35" t="s">
        <v>111</v>
      </c>
      <c r="L403" s="35">
        <v>83.0</v>
      </c>
      <c r="M403" s="35" t="s">
        <v>6779</v>
      </c>
      <c r="N403" s="35" t="s">
        <v>66</v>
      </c>
      <c r="O403" s="52"/>
      <c r="P403" s="35" t="s">
        <v>6781</v>
      </c>
      <c r="Q403" s="35"/>
      <c r="R403" s="35"/>
      <c r="S403" s="35"/>
      <c r="T403" s="35"/>
      <c r="U403" s="35">
        <v>15.0</v>
      </c>
      <c r="V403" s="35" t="s">
        <v>533</v>
      </c>
      <c r="W403" s="35" t="s">
        <v>93</v>
      </c>
      <c r="X403" s="35" t="s">
        <v>6785</v>
      </c>
      <c r="Y403" s="112" t="s">
        <v>6786</v>
      </c>
      <c r="Z403" s="35" t="s">
        <v>6787</v>
      </c>
      <c r="AA403" s="46">
        <v>46023.0</v>
      </c>
      <c r="AB403" s="46">
        <v>46387.0</v>
      </c>
      <c r="AC403" s="35" t="s">
        <v>6788</v>
      </c>
      <c r="AD403" s="35" t="s">
        <v>79</v>
      </c>
      <c r="AE403" s="35"/>
      <c r="AF403" s="35"/>
      <c r="AG403" s="46"/>
    </row>
    <row r="404" ht="44.25" customHeight="1">
      <c r="A404" s="35">
        <v>403.0</v>
      </c>
      <c r="B404" s="35">
        <v>402.0</v>
      </c>
      <c r="C404" s="35" t="s">
        <v>509</v>
      </c>
      <c r="D404" s="35" t="s">
        <v>1167</v>
      </c>
      <c r="E404" s="35" t="s">
        <v>4261</v>
      </c>
      <c r="F404" s="35" t="s">
        <v>6792</v>
      </c>
      <c r="G404" s="41" t="s">
        <v>6794</v>
      </c>
      <c r="H404" s="35" t="s">
        <v>59</v>
      </c>
      <c r="I404" s="35" t="s">
        <v>61</v>
      </c>
      <c r="J404" s="35" t="s">
        <v>62</v>
      </c>
      <c r="K404" s="35" t="s">
        <v>63</v>
      </c>
      <c r="L404" s="35">
        <v>25.0</v>
      </c>
      <c r="M404" s="35" t="s">
        <v>6795</v>
      </c>
      <c r="N404" s="35" t="s">
        <v>66</v>
      </c>
      <c r="O404" s="35" t="s">
        <v>67</v>
      </c>
      <c r="P404" s="35" t="s">
        <v>6796</v>
      </c>
      <c r="Q404" s="35"/>
      <c r="R404" s="35"/>
      <c r="S404" s="35"/>
      <c r="T404" s="35"/>
      <c r="U404" s="35"/>
      <c r="V404" s="35" t="s">
        <v>61</v>
      </c>
      <c r="W404" s="35" t="s">
        <v>74</v>
      </c>
      <c r="X404" s="35" t="s">
        <v>6798</v>
      </c>
      <c r="Y404" s="35" t="s">
        <v>6799</v>
      </c>
      <c r="Z404" s="35" t="s">
        <v>6800</v>
      </c>
      <c r="AA404" s="46">
        <v>46023.0</v>
      </c>
      <c r="AB404" s="46">
        <v>46387.0</v>
      </c>
      <c r="AC404" s="35" t="s">
        <v>6802</v>
      </c>
      <c r="AD404" s="35" t="s">
        <v>79</v>
      </c>
      <c r="AE404" s="35"/>
      <c r="AF404" s="35"/>
      <c r="AG404" s="46"/>
    </row>
    <row r="405" ht="44.25" customHeight="1">
      <c r="A405" s="35">
        <v>404.0</v>
      </c>
      <c r="B405" s="35">
        <v>374.0</v>
      </c>
      <c r="C405" s="35" t="s">
        <v>509</v>
      </c>
      <c r="D405" s="35" t="s">
        <v>1167</v>
      </c>
      <c r="E405" s="35" t="s">
        <v>4261</v>
      </c>
      <c r="F405" s="35" t="s">
        <v>6804</v>
      </c>
      <c r="G405" s="41" t="s">
        <v>6806</v>
      </c>
      <c r="H405" s="35" t="s">
        <v>59</v>
      </c>
      <c r="I405" s="35" t="s">
        <v>61</v>
      </c>
      <c r="J405" s="35" t="s">
        <v>62</v>
      </c>
      <c r="K405" s="35" t="s">
        <v>111</v>
      </c>
      <c r="L405" s="35">
        <v>55.0</v>
      </c>
      <c r="M405" s="35" t="s">
        <v>6808</v>
      </c>
      <c r="N405" s="35" t="s">
        <v>66</v>
      </c>
      <c r="O405" s="35" t="s">
        <v>67</v>
      </c>
      <c r="P405" s="35" t="s">
        <v>6809</v>
      </c>
      <c r="Q405" s="35"/>
      <c r="R405" s="52"/>
      <c r="S405" s="35"/>
      <c r="T405" s="35"/>
      <c r="U405" s="52"/>
      <c r="V405" s="35" t="s">
        <v>61</v>
      </c>
      <c r="W405" s="35" t="s">
        <v>93</v>
      </c>
      <c r="X405" s="35" t="s">
        <v>6814</v>
      </c>
      <c r="Y405" s="35">
        <v>9.985469453E9</v>
      </c>
      <c r="Z405" s="35" t="s">
        <v>6815</v>
      </c>
      <c r="AA405" s="46">
        <v>46023.0</v>
      </c>
      <c r="AB405" s="46">
        <v>46387.0</v>
      </c>
      <c r="AC405" s="35" t="s">
        <v>6816</v>
      </c>
      <c r="AD405" s="35" t="s">
        <v>79</v>
      </c>
      <c r="AE405" s="35"/>
      <c r="AF405" s="35"/>
      <c r="AG405" s="46"/>
    </row>
    <row r="406" ht="44.25" customHeight="1">
      <c r="A406" s="35">
        <v>405.0</v>
      </c>
      <c r="B406" s="35">
        <v>43714.0</v>
      </c>
      <c r="C406" s="35" t="s">
        <v>509</v>
      </c>
      <c r="D406" s="35" t="s">
        <v>1167</v>
      </c>
      <c r="E406" s="35" t="s">
        <v>4261</v>
      </c>
      <c r="F406" s="35" t="s">
        <v>6817</v>
      </c>
      <c r="G406" s="41" t="s">
        <v>6819</v>
      </c>
      <c r="H406" s="35" t="s">
        <v>59</v>
      </c>
      <c r="I406" s="35" t="s">
        <v>61</v>
      </c>
      <c r="J406" s="35" t="s">
        <v>62</v>
      </c>
      <c r="K406" s="35" t="s">
        <v>111</v>
      </c>
      <c r="L406" s="35">
        <v>102.0</v>
      </c>
      <c r="M406" s="35" t="s">
        <v>6821</v>
      </c>
      <c r="N406" s="35" t="s">
        <v>66</v>
      </c>
      <c r="O406" s="52"/>
      <c r="P406" s="35" t="s">
        <v>6822</v>
      </c>
      <c r="Q406" s="52"/>
      <c r="R406" s="35"/>
      <c r="S406" s="35"/>
      <c r="T406" s="52"/>
      <c r="U406" s="35">
        <v>12.0</v>
      </c>
      <c r="V406" s="35" t="s">
        <v>61</v>
      </c>
      <c r="W406" s="35" t="s">
        <v>93</v>
      </c>
      <c r="X406" s="35" t="s">
        <v>6826</v>
      </c>
      <c r="Y406" s="35" t="s">
        <v>6828</v>
      </c>
      <c r="Z406" s="35" t="s">
        <v>6829</v>
      </c>
      <c r="AA406" s="46">
        <v>46023.0</v>
      </c>
      <c r="AB406" s="46">
        <v>46387.0</v>
      </c>
      <c r="AC406" s="35" t="s">
        <v>6830</v>
      </c>
      <c r="AD406" s="35" t="s">
        <v>79</v>
      </c>
      <c r="AE406" s="35"/>
      <c r="AF406" s="35"/>
      <c r="AG406" s="46"/>
    </row>
    <row r="407" ht="44.25" customHeight="1">
      <c r="A407" s="35">
        <v>406.0</v>
      </c>
      <c r="B407" s="35">
        <v>4308.0</v>
      </c>
      <c r="C407" s="35" t="s">
        <v>509</v>
      </c>
      <c r="D407" s="35" t="s">
        <v>1167</v>
      </c>
      <c r="E407" s="35" t="s">
        <v>4261</v>
      </c>
      <c r="F407" s="35" t="s">
        <v>6833</v>
      </c>
      <c r="G407" s="41" t="s">
        <v>6835</v>
      </c>
      <c r="H407" s="35" t="s">
        <v>59</v>
      </c>
      <c r="I407" s="35" t="s">
        <v>61</v>
      </c>
      <c r="J407" s="35" t="s">
        <v>62</v>
      </c>
      <c r="K407" s="35" t="s">
        <v>111</v>
      </c>
      <c r="L407" s="35">
        <v>55.0</v>
      </c>
      <c r="M407" s="35" t="s">
        <v>6837</v>
      </c>
      <c r="N407" s="35" t="s">
        <v>66</v>
      </c>
      <c r="O407" s="35" t="s">
        <v>67</v>
      </c>
      <c r="P407" s="35" t="s">
        <v>6838</v>
      </c>
      <c r="Q407" s="52"/>
      <c r="R407" s="35"/>
      <c r="S407" s="35"/>
      <c r="T407" s="52"/>
      <c r="U407" s="35"/>
      <c r="V407" s="35" t="s">
        <v>61</v>
      </c>
      <c r="W407" s="35" t="s">
        <v>93</v>
      </c>
      <c r="X407" s="35" t="s">
        <v>6841</v>
      </c>
      <c r="Y407" s="35" t="s">
        <v>6842</v>
      </c>
      <c r="Z407" s="35" t="s">
        <v>6843</v>
      </c>
      <c r="AA407" s="46">
        <v>46023.0</v>
      </c>
      <c r="AB407" s="46">
        <v>46387.0</v>
      </c>
      <c r="AC407" s="35" t="s">
        <v>6844</v>
      </c>
      <c r="AD407" s="35" t="s">
        <v>79</v>
      </c>
      <c r="AE407" s="35"/>
      <c r="AF407" s="35"/>
      <c r="AG407" s="46"/>
    </row>
    <row r="408" ht="44.25" customHeight="1">
      <c r="A408" s="35">
        <v>407.0</v>
      </c>
      <c r="B408" s="35">
        <v>390.0</v>
      </c>
      <c r="C408" s="35" t="s">
        <v>509</v>
      </c>
      <c r="D408" s="35" t="s">
        <v>1167</v>
      </c>
      <c r="E408" s="35" t="s">
        <v>4261</v>
      </c>
      <c r="F408" s="35" t="s">
        <v>6849</v>
      </c>
      <c r="G408" s="41" t="s">
        <v>6850</v>
      </c>
      <c r="H408" s="35" t="s">
        <v>59</v>
      </c>
      <c r="I408" s="35" t="s">
        <v>61</v>
      </c>
      <c r="J408" s="35" t="s">
        <v>62</v>
      </c>
      <c r="K408" s="35" t="s">
        <v>111</v>
      </c>
      <c r="L408" s="35">
        <v>50.0</v>
      </c>
      <c r="M408" s="35" t="s">
        <v>6852</v>
      </c>
      <c r="N408" s="35" t="s">
        <v>66</v>
      </c>
      <c r="O408" s="35" t="s">
        <v>67</v>
      </c>
      <c r="P408" s="35" t="s">
        <v>6853</v>
      </c>
      <c r="Q408" s="35"/>
      <c r="R408" s="35"/>
      <c r="S408" s="35"/>
      <c r="T408" s="35"/>
      <c r="U408" s="35">
        <v>12.0</v>
      </c>
      <c r="V408" s="35" t="s">
        <v>533</v>
      </c>
      <c r="W408" s="35" t="s">
        <v>93</v>
      </c>
      <c r="X408" s="35" t="s">
        <v>6857</v>
      </c>
      <c r="Y408" s="112" t="s">
        <v>6858</v>
      </c>
      <c r="Z408" s="35" t="s">
        <v>6859</v>
      </c>
      <c r="AA408" s="46">
        <v>46023.0</v>
      </c>
      <c r="AB408" s="46">
        <v>46387.0</v>
      </c>
      <c r="AC408" s="35" t="s">
        <v>6860</v>
      </c>
      <c r="AD408" s="35" t="s">
        <v>79</v>
      </c>
      <c r="AE408" s="35"/>
      <c r="AF408" s="35"/>
      <c r="AG408" s="46"/>
    </row>
    <row r="409" ht="44.25" customHeight="1">
      <c r="A409" s="35">
        <v>408.0</v>
      </c>
      <c r="B409" s="35">
        <v>34464.0</v>
      </c>
      <c r="C409" s="35" t="s">
        <v>509</v>
      </c>
      <c r="D409" s="35" t="s">
        <v>1167</v>
      </c>
      <c r="E409" s="35" t="s">
        <v>4298</v>
      </c>
      <c r="F409" s="35" t="s">
        <v>6862</v>
      </c>
      <c r="G409" s="41" t="s">
        <v>6864</v>
      </c>
      <c r="H409" s="35" t="s">
        <v>59</v>
      </c>
      <c r="I409" s="35" t="s">
        <v>61</v>
      </c>
      <c r="J409" s="35" t="s">
        <v>62</v>
      </c>
      <c r="K409" s="35" t="s">
        <v>63</v>
      </c>
      <c r="L409" s="35">
        <v>54.0</v>
      </c>
      <c r="M409" s="35" t="s">
        <v>6867</v>
      </c>
      <c r="N409" s="35" t="s">
        <v>66</v>
      </c>
      <c r="O409" s="52"/>
      <c r="P409" s="35" t="s">
        <v>6869</v>
      </c>
      <c r="Q409" s="52"/>
      <c r="R409" s="35"/>
      <c r="S409" s="35"/>
      <c r="T409" s="52"/>
      <c r="U409" s="35">
        <v>33.0</v>
      </c>
      <c r="V409" s="35" t="s">
        <v>61</v>
      </c>
      <c r="W409" s="35" t="s">
        <v>93</v>
      </c>
      <c r="X409" s="35" t="s">
        <v>6871</v>
      </c>
      <c r="Y409" s="112" t="s">
        <v>6872</v>
      </c>
      <c r="Z409" s="35" t="s">
        <v>6874</v>
      </c>
      <c r="AA409" s="46">
        <v>46023.0</v>
      </c>
      <c r="AB409" s="46">
        <v>46387.0</v>
      </c>
      <c r="AC409" s="35" t="s">
        <v>6876</v>
      </c>
      <c r="AD409" s="35" t="s">
        <v>79</v>
      </c>
      <c r="AE409" s="35"/>
      <c r="AF409" s="35"/>
      <c r="AG409" s="46"/>
    </row>
    <row r="410" ht="44.25" customHeight="1">
      <c r="A410" s="35">
        <v>409.0</v>
      </c>
      <c r="B410" s="35">
        <v>382.0</v>
      </c>
      <c r="C410" s="35" t="s">
        <v>509</v>
      </c>
      <c r="D410" s="35" t="s">
        <v>1167</v>
      </c>
      <c r="E410" s="35" t="s">
        <v>4325</v>
      </c>
      <c r="F410" s="35" t="s">
        <v>6880</v>
      </c>
      <c r="G410" s="41" t="s">
        <v>6881</v>
      </c>
      <c r="H410" s="35" t="s">
        <v>59</v>
      </c>
      <c r="I410" s="35" t="s">
        <v>61</v>
      </c>
      <c r="J410" s="35" t="s">
        <v>62</v>
      </c>
      <c r="K410" s="35" t="s">
        <v>63</v>
      </c>
      <c r="L410" s="35">
        <v>72.0</v>
      </c>
      <c r="M410" s="35" t="s">
        <v>6882</v>
      </c>
      <c r="N410" s="35" t="s">
        <v>66</v>
      </c>
      <c r="O410" s="35" t="s">
        <v>67</v>
      </c>
      <c r="P410" s="35" t="s">
        <v>6884</v>
      </c>
      <c r="Q410" s="52"/>
      <c r="R410" s="35"/>
      <c r="S410" s="35"/>
      <c r="T410" s="52"/>
      <c r="U410" s="35">
        <v>6.0</v>
      </c>
      <c r="V410" s="35" t="s">
        <v>61</v>
      </c>
      <c r="W410" s="35" t="s">
        <v>93</v>
      </c>
      <c r="X410" s="35" t="s">
        <v>6886</v>
      </c>
      <c r="Y410" s="112" t="s">
        <v>6887</v>
      </c>
      <c r="Z410" s="35" t="s">
        <v>6889</v>
      </c>
      <c r="AA410" s="46">
        <v>46023.0</v>
      </c>
      <c r="AB410" s="46">
        <v>46387.0</v>
      </c>
      <c r="AC410" s="35" t="s">
        <v>6891</v>
      </c>
      <c r="AD410" s="35" t="s">
        <v>79</v>
      </c>
      <c r="AE410" s="35"/>
      <c r="AF410" s="35"/>
      <c r="AG410" s="46"/>
    </row>
    <row r="411" ht="44.25" customHeight="1">
      <c r="A411" s="35">
        <v>410.0</v>
      </c>
      <c r="B411" s="35">
        <v>5708.0</v>
      </c>
      <c r="C411" s="35" t="s">
        <v>509</v>
      </c>
      <c r="D411" s="35" t="s">
        <v>1167</v>
      </c>
      <c r="E411" s="35" t="s">
        <v>4325</v>
      </c>
      <c r="F411" s="35" t="s">
        <v>6894</v>
      </c>
      <c r="G411" s="41" t="s">
        <v>6895</v>
      </c>
      <c r="H411" s="35" t="s">
        <v>59</v>
      </c>
      <c r="I411" s="35" t="s">
        <v>61</v>
      </c>
      <c r="J411" s="35" t="s">
        <v>62</v>
      </c>
      <c r="K411" s="35" t="s">
        <v>63</v>
      </c>
      <c r="L411" s="35">
        <v>35.0</v>
      </c>
      <c r="M411" s="35" t="s">
        <v>6900</v>
      </c>
      <c r="N411" s="35" t="s">
        <v>66</v>
      </c>
      <c r="O411" s="35" t="s">
        <v>67</v>
      </c>
      <c r="P411" s="35">
        <v>1.0</v>
      </c>
      <c r="Q411" s="35"/>
      <c r="R411" s="35"/>
      <c r="S411" s="35"/>
      <c r="T411" s="35" t="s">
        <v>6901</v>
      </c>
      <c r="U411" s="35">
        <v>4.0</v>
      </c>
      <c r="V411" s="35" t="s">
        <v>61</v>
      </c>
      <c r="W411" s="35" t="s">
        <v>74</v>
      </c>
      <c r="X411" s="35" t="s">
        <v>6902</v>
      </c>
      <c r="Y411" s="35">
        <v>9.664203176E9</v>
      </c>
      <c r="Z411" s="35" t="s">
        <v>6903</v>
      </c>
      <c r="AA411" s="46">
        <v>46023.0</v>
      </c>
      <c r="AB411" s="46">
        <v>46387.0</v>
      </c>
      <c r="AC411" s="35" t="s">
        <v>6905</v>
      </c>
      <c r="AD411" s="35" t="s">
        <v>79</v>
      </c>
      <c r="AE411" s="35"/>
      <c r="AF411" s="35"/>
      <c r="AG411" s="46"/>
    </row>
    <row r="412" ht="44.25" customHeight="1">
      <c r="A412" s="35">
        <v>411.0</v>
      </c>
      <c r="B412" s="35">
        <v>4999.0</v>
      </c>
      <c r="C412" s="35" t="s">
        <v>509</v>
      </c>
      <c r="D412" s="35" t="s">
        <v>6907</v>
      </c>
      <c r="E412" s="35" t="s">
        <v>4261</v>
      </c>
      <c r="F412" s="35" t="s">
        <v>6910</v>
      </c>
      <c r="G412" s="41" t="s">
        <v>6912</v>
      </c>
      <c r="H412" s="35" t="s">
        <v>59</v>
      </c>
      <c r="I412" s="35" t="s">
        <v>61</v>
      </c>
      <c r="J412" s="35" t="s">
        <v>62</v>
      </c>
      <c r="K412" s="35" t="s">
        <v>111</v>
      </c>
      <c r="L412" s="35">
        <v>50.0</v>
      </c>
      <c r="M412" s="35" t="s">
        <v>6914</v>
      </c>
      <c r="N412" s="35" t="s">
        <v>66</v>
      </c>
      <c r="O412" s="35" t="s">
        <v>67</v>
      </c>
      <c r="P412" s="35" t="s">
        <v>6918</v>
      </c>
      <c r="Q412" s="52"/>
      <c r="R412" s="35"/>
      <c r="S412" s="35"/>
      <c r="T412" s="52"/>
      <c r="U412" s="35">
        <v>13.0</v>
      </c>
      <c r="V412" s="35" t="s">
        <v>61</v>
      </c>
      <c r="W412" s="35" t="s">
        <v>93</v>
      </c>
      <c r="X412" s="35" t="s">
        <v>6919</v>
      </c>
      <c r="Y412" s="35">
        <v>9.176263148E9</v>
      </c>
      <c r="Z412" s="35" t="s">
        <v>6920</v>
      </c>
      <c r="AA412" s="46">
        <v>46023.0</v>
      </c>
      <c r="AB412" s="46">
        <v>46387.0</v>
      </c>
      <c r="AC412" s="35" t="s">
        <v>6921</v>
      </c>
      <c r="AD412" s="35" t="s">
        <v>79</v>
      </c>
      <c r="AE412" s="35"/>
      <c r="AF412" s="35"/>
      <c r="AG412" s="46"/>
    </row>
    <row r="413" ht="44.25" customHeight="1">
      <c r="A413" s="35">
        <v>412.0</v>
      </c>
      <c r="B413" s="35">
        <v>37488.0</v>
      </c>
      <c r="C413" s="35" t="s">
        <v>509</v>
      </c>
      <c r="D413" s="35" t="s">
        <v>4339</v>
      </c>
      <c r="E413" s="35" t="s">
        <v>4340</v>
      </c>
      <c r="F413" s="35" t="s">
        <v>6924</v>
      </c>
      <c r="G413" s="41" t="s">
        <v>6925</v>
      </c>
      <c r="H413" s="35" t="s">
        <v>59</v>
      </c>
      <c r="I413" s="35" t="s">
        <v>61</v>
      </c>
      <c r="J413" s="35" t="s">
        <v>62</v>
      </c>
      <c r="K413" s="35" t="s">
        <v>63</v>
      </c>
      <c r="L413" s="35">
        <v>72.0</v>
      </c>
      <c r="M413" s="35" t="s">
        <v>6928</v>
      </c>
      <c r="N413" s="35" t="s">
        <v>66</v>
      </c>
      <c r="O413" s="35" t="s">
        <v>67</v>
      </c>
      <c r="P413" s="35" t="s">
        <v>6931</v>
      </c>
      <c r="Q413" s="35"/>
      <c r="R413" s="52"/>
      <c r="S413" s="35"/>
      <c r="T413" s="35"/>
      <c r="U413" s="52"/>
      <c r="V413" s="35" t="s">
        <v>61</v>
      </c>
      <c r="W413" s="35" t="s">
        <v>74</v>
      </c>
      <c r="X413" s="35" t="s">
        <v>6932</v>
      </c>
      <c r="Y413" s="35" t="s">
        <v>6934</v>
      </c>
      <c r="Z413" s="35" t="s">
        <v>6935</v>
      </c>
      <c r="AA413" s="46">
        <v>46023.0</v>
      </c>
      <c r="AB413" s="46">
        <v>46387.0</v>
      </c>
      <c r="AC413" s="35" t="s">
        <v>6937</v>
      </c>
      <c r="AD413" s="35" t="s">
        <v>79</v>
      </c>
      <c r="AE413" s="35"/>
      <c r="AF413" s="35"/>
      <c r="AG413" s="46"/>
    </row>
    <row r="414" ht="44.25" customHeight="1">
      <c r="A414" s="35">
        <v>413.0</v>
      </c>
      <c r="B414" s="35">
        <v>40050.0</v>
      </c>
      <c r="C414" s="35" t="s">
        <v>509</v>
      </c>
      <c r="D414" s="35" t="s">
        <v>4339</v>
      </c>
      <c r="E414" s="35" t="s">
        <v>4340</v>
      </c>
      <c r="F414" s="35" t="s">
        <v>6940</v>
      </c>
      <c r="G414" s="41" t="s">
        <v>6941</v>
      </c>
      <c r="H414" s="35" t="s">
        <v>59</v>
      </c>
      <c r="I414" s="35" t="s">
        <v>61</v>
      </c>
      <c r="J414" s="35" t="s">
        <v>62</v>
      </c>
      <c r="K414" s="35" t="s">
        <v>63</v>
      </c>
      <c r="L414" s="35">
        <v>17.0</v>
      </c>
      <c r="M414" s="35" t="s">
        <v>6942</v>
      </c>
      <c r="N414" s="35" t="s">
        <v>66</v>
      </c>
      <c r="O414" s="35" t="s">
        <v>67</v>
      </c>
      <c r="P414" s="35" t="s">
        <v>6943</v>
      </c>
      <c r="Q414" s="35"/>
      <c r="R414" s="35"/>
      <c r="S414" s="35"/>
      <c r="T414" s="35"/>
      <c r="U414" s="35"/>
      <c r="V414" s="35" t="s">
        <v>61</v>
      </c>
      <c r="W414" s="35" t="s">
        <v>74</v>
      </c>
      <c r="X414" s="35" t="s">
        <v>6945</v>
      </c>
      <c r="Y414" s="35">
        <v>9.175665285E9</v>
      </c>
      <c r="Z414" s="35" t="s">
        <v>6946</v>
      </c>
      <c r="AA414" s="46">
        <v>46023.0</v>
      </c>
      <c r="AB414" s="46">
        <v>46387.0</v>
      </c>
      <c r="AC414" s="35" t="s">
        <v>6947</v>
      </c>
      <c r="AD414" s="35" t="s">
        <v>79</v>
      </c>
      <c r="AE414" s="35"/>
      <c r="AF414" s="35"/>
      <c r="AG414" s="46"/>
    </row>
    <row r="415" ht="44.25" customHeight="1">
      <c r="A415" s="35">
        <v>414.0</v>
      </c>
      <c r="B415" s="35">
        <v>4384.0</v>
      </c>
      <c r="C415" s="35" t="s">
        <v>509</v>
      </c>
      <c r="D415" s="35" t="s">
        <v>4339</v>
      </c>
      <c r="E415" s="35" t="s">
        <v>4340</v>
      </c>
      <c r="F415" s="35" t="s">
        <v>6951</v>
      </c>
      <c r="G415" s="41" t="s">
        <v>6952</v>
      </c>
      <c r="H415" s="35" t="s">
        <v>59</v>
      </c>
      <c r="I415" s="35" t="s">
        <v>61</v>
      </c>
      <c r="J415" s="35" t="s">
        <v>62</v>
      </c>
      <c r="K415" s="35" t="s">
        <v>111</v>
      </c>
      <c r="L415" s="35">
        <v>50.0</v>
      </c>
      <c r="M415" s="35" t="s">
        <v>6955</v>
      </c>
      <c r="N415" s="35" t="s">
        <v>66</v>
      </c>
      <c r="O415" s="35" t="s">
        <v>67</v>
      </c>
      <c r="P415" s="35" t="s">
        <v>6958</v>
      </c>
      <c r="Q415" s="35"/>
      <c r="R415" s="35"/>
      <c r="S415" s="35"/>
      <c r="T415" s="35"/>
      <c r="U415" s="35">
        <v>16.0</v>
      </c>
      <c r="V415" s="35" t="s">
        <v>61</v>
      </c>
      <c r="W415" s="35" t="s">
        <v>93</v>
      </c>
      <c r="X415" s="35" t="s">
        <v>6959</v>
      </c>
      <c r="Y415" s="112" t="s">
        <v>6960</v>
      </c>
      <c r="Z415" s="35" t="s">
        <v>6961</v>
      </c>
      <c r="AA415" s="46">
        <v>46023.0</v>
      </c>
      <c r="AB415" s="46">
        <v>46387.0</v>
      </c>
      <c r="AC415" s="35" t="s">
        <v>6962</v>
      </c>
      <c r="AD415" s="35" t="s">
        <v>79</v>
      </c>
      <c r="AE415" s="35"/>
      <c r="AF415" s="35"/>
      <c r="AG415" s="46"/>
    </row>
    <row r="416" ht="44.25" customHeight="1">
      <c r="A416" s="35">
        <v>415.0</v>
      </c>
      <c r="B416" s="35">
        <v>4474.0</v>
      </c>
      <c r="C416" s="35" t="s">
        <v>509</v>
      </c>
      <c r="D416" s="35" t="s">
        <v>4339</v>
      </c>
      <c r="E416" s="35" t="s">
        <v>4340</v>
      </c>
      <c r="F416" s="35" t="s">
        <v>6963</v>
      </c>
      <c r="G416" s="41" t="s">
        <v>6964</v>
      </c>
      <c r="H416" s="35" t="s">
        <v>59</v>
      </c>
      <c r="I416" s="35" t="s">
        <v>61</v>
      </c>
      <c r="J416" s="35" t="s">
        <v>62</v>
      </c>
      <c r="K416" s="35" t="s">
        <v>63</v>
      </c>
      <c r="L416" s="35">
        <v>25.0</v>
      </c>
      <c r="M416" s="35" t="s">
        <v>6967</v>
      </c>
      <c r="N416" s="35" t="s">
        <v>66</v>
      </c>
      <c r="O416" s="35" t="s">
        <v>67</v>
      </c>
      <c r="P416" s="35" t="s">
        <v>6968</v>
      </c>
      <c r="Q416" s="52"/>
      <c r="R416" s="35"/>
      <c r="S416" s="35"/>
      <c r="T416" s="52"/>
      <c r="U416" s="35"/>
      <c r="V416" s="35" t="s">
        <v>61</v>
      </c>
      <c r="W416" s="35" t="s">
        <v>74</v>
      </c>
      <c r="X416" s="35" t="s">
        <v>6972</v>
      </c>
      <c r="Y416" s="112" t="s">
        <v>6973</v>
      </c>
      <c r="Z416" s="35" t="s">
        <v>6975</v>
      </c>
      <c r="AA416" s="46">
        <v>46023.0</v>
      </c>
      <c r="AB416" s="46">
        <v>46387.0</v>
      </c>
      <c r="AC416" s="35" t="s">
        <v>6976</v>
      </c>
      <c r="AD416" s="35" t="s">
        <v>79</v>
      </c>
      <c r="AE416" s="35"/>
      <c r="AF416" s="35"/>
      <c r="AG416" s="46"/>
    </row>
    <row r="417" ht="44.25" customHeight="1">
      <c r="A417" s="35">
        <v>416.0</v>
      </c>
      <c r="B417" s="35">
        <v>3986.0</v>
      </c>
      <c r="C417" s="35" t="s">
        <v>509</v>
      </c>
      <c r="D417" s="35" t="s">
        <v>4339</v>
      </c>
      <c r="E417" s="35" t="s">
        <v>6978</v>
      </c>
      <c r="F417" s="35" t="s">
        <v>6979</v>
      </c>
      <c r="G417" s="41" t="s">
        <v>6981</v>
      </c>
      <c r="H417" s="35" t="s">
        <v>59</v>
      </c>
      <c r="I417" s="35" t="s">
        <v>61</v>
      </c>
      <c r="J417" s="35" t="s">
        <v>62</v>
      </c>
      <c r="K417" s="35" t="s">
        <v>63</v>
      </c>
      <c r="L417" s="35">
        <v>29.0</v>
      </c>
      <c r="M417" s="35"/>
      <c r="N417" s="35" t="s">
        <v>66</v>
      </c>
      <c r="O417" s="35" t="s">
        <v>67</v>
      </c>
      <c r="P417" s="35" t="s">
        <v>6984</v>
      </c>
      <c r="Q417" s="35"/>
      <c r="R417" s="52"/>
      <c r="S417" s="35"/>
      <c r="T417" s="35"/>
      <c r="U417" s="52"/>
      <c r="V417" s="35" t="s">
        <v>61</v>
      </c>
      <c r="W417" s="35" t="s">
        <v>74</v>
      </c>
      <c r="X417" s="35" t="s">
        <v>6985</v>
      </c>
      <c r="Y417" s="112" t="s">
        <v>6986</v>
      </c>
      <c r="Z417" s="35" t="s">
        <v>6987</v>
      </c>
      <c r="AA417" s="46">
        <v>46023.0</v>
      </c>
      <c r="AB417" s="46">
        <v>46387.0</v>
      </c>
      <c r="AC417" s="35" t="s">
        <v>6988</v>
      </c>
      <c r="AD417" s="35" t="s">
        <v>79</v>
      </c>
      <c r="AE417" s="35"/>
      <c r="AF417" s="35"/>
      <c r="AG417" s="46"/>
    </row>
    <row r="418" ht="44.25" customHeight="1">
      <c r="A418" s="35">
        <v>417.0</v>
      </c>
      <c r="B418" s="35">
        <v>389.0</v>
      </c>
      <c r="C418" s="35" t="s">
        <v>509</v>
      </c>
      <c r="D418" s="35" t="s">
        <v>1209</v>
      </c>
      <c r="E418" s="35" t="s">
        <v>4340</v>
      </c>
      <c r="F418" s="35" t="s">
        <v>6991</v>
      </c>
      <c r="G418" s="41" t="s">
        <v>6992</v>
      </c>
      <c r="H418" s="35" t="s">
        <v>59</v>
      </c>
      <c r="I418" s="35" t="s">
        <v>61</v>
      </c>
      <c r="J418" s="35" t="s">
        <v>62</v>
      </c>
      <c r="K418" s="35" t="s">
        <v>111</v>
      </c>
      <c r="L418" s="35">
        <v>150.0</v>
      </c>
      <c r="M418" s="35" t="s">
        <v>649</v>
      </c>
      <c r="N418" s="35" t="s">
        <v>66</v>
      </c>
      <c r="O418" s="35" t="s">
        <v>67</v>
      </c>
      <c r="P418" s="35" t="s">
        <v>6996</v>
      </c>
      <c r="Q418" s="35"/>
      <c r="R418" s="35"/>
      <c r="S418" s="35"/>
      <c r="T418" s="35"/>
      <c r="U418" s="35"/>
      <c r="V418" s="35" t="s">
        <v>61</v>
      </c>
      <c r="W418" s="35" t="s">
        <v>93</v>
      </c>
      <c r="X418" s="35" t="s">
        <v>6998</v>
      </c>
      <c r="Y418" s="35" t="s">
        <v>6999</v>
      </c>
      <c r="Z418" s="35" t="s">
        <v>7000</v>
      </c>
      <c r="AA418" s="46">
        <v>46023.0</v>
      </c>
      <c r="AB418" s="46">
        <v>46387.0</v>
      </c>
      <c r="AC418" s="35" t="s">
        <v>7002</v>
      </c>
      <c r="AD418" s="35" t="s">
        <v>79</v>
      </c>
      <c r="AE418" s="35"/>
      <c r="AF418" s="35"/>
      <c r="AG418" s="46"/>
    </row>
    <row r="419" ht="44.25" customHeight="1">
      <c r="A419" s="35">
        <v>418.0</v>
      </c>
      <c r="B419" s="35">
        <v>29639.0</v>
      </c>
      <c r="C419" s="35" t="s">
        <v>509</v>
      </c>
      <c r="D419" s="35" t="s">
        <v>1209</v>
      </c>
      <c r="E419" s="35" t="s">
        <v>7006</v>
      </c>
      <c r="F419" s="35" t="s">
        <v>7007</v>
      </c>
      <c r="G419" s="41" t="s">
        <v>7008</v>
      </c>
      <c r="H419" s="35" t="s">
        <v>59</v>
      </c>
      <c r="I419" s="35" t="s">
        <v>61</v>
      </c>
      <c r="J419" s="35" t="s">
        <v>62</v>
      </c>
      <c r="K419" s="35" t="s">
        <v>63</v>
      </c>
      <c r="L419" s="35">
        <v>25.0</v>
      </c>
      <c r="M419" s="35" t="s">
        <v>7009</v>
      </c>
      <c r="N419" s="35" t="s">
        <v>66</v>
      </c>
      <c r="O419" s="35" t="s">
        <v>67</v>
      </c>
      <c r="P419" s="35">
        <v>1.0</v>
      </c>
      <c r="Q419" s="35"/>
      <c r="R419" s="35"/>
      <c r="S419" s="35"/>
      <c r="T419" s="35" t="s">
        <v>7010</v>
      </c>
      <c r="U419" s="35"/>
      <c r="V419" s="35" t="s">
        <v>61</v>
      </c>
      <c r="W419" s="35" t="s">
        <v>74</v>
      </c>
      <c r="X419" s="35" t="s">
        <v>7011</v>
      </c>
      <c r="Y419" s="112">
        <v>9.516184622E9</v>
      </c>
      <c r="Z419" s="35" t="s">
        <v>7013</v>
      </c>
      <c r="AA419" s="46">
        <v>46023.0</v>
      </c>
      <c r="AB419" s="46">
        <v>46387.0</v>
      </c>
      <c r="AC419" s="35" t="s">
        <v>7014</v>
      </c>
      <c r="AD419" s="35" t="s">
        <v>79</v>
      </c>
      <c r="AE419" s="35"/>
      <c r="AF419" s="35"/>
      <c r="AG419" s="46"/>
    </row>
    <row r="420" ht="44.25" customHeight="1">
      <c r="A420" s="35">
        <v>419.0</v>
      </c>
      <c r="B420" s="35">
        <v>5758.0</v>
      </c>
      <c r="C420" s="35" t="s">
        <v>509</v>
      </c>
      <c r="D420" s="35" t="s">
        <v>1209</v>
      </c>
      <c r="E420" s="35" t="s">
        <v>7017</v>
      </c>
      <c r="F420" s="35" t="s">
        <v>7019</v>
      </c>
      <c r="G420" s="41" t="s">
        <v>7020</v>
      </c>
      <c r="H420" s="35" t="s">
        <v>59</v>
      </c>
      <c r="I420" s="35" t="s">
        <v>61</v>
      </c>
      <c r="J420" s="35" t="s">
        <v>62</v>
      </c>
      <c r="K420" s="35" t="s">
        <v>63</v>
      </c>
      <c r="L420" s="35">
        <v>50.0</v>
      </c>
      <c r="M420" s="35" t="s">
        <v>7024</v>
      </c>
      <c r="N420" s="35" t="s">
        <v>66</v>
      </c>
      <c r="O420" s="35" t="s">
        <v>67</v>
      </c>
      <c r="P420" s="35" t="s">
        <v>7025</v>
      </c>
      <c r="Q420" s="52"/>
      <c r="R420" s="35"/>
      <c r="S420" s="35"/>
      <c r="T420" s="52"/>
      <c r="U420" s="35"/>
      <c r="V420" s="35" t="s">
        <v>61</v>
      </c>
      <c r="W420" s="35" t="s">
        <v>74</v>
      </c>
      <c r="X420" s="35" t="s">
        <v>7026</v>
      </c>
      <c r="Y420" s="35">
        <v>9.089993484E9</v>
      </c>
      <c r="Z420" s="35" t="s">
        <v>7027</v>
      </c>
      <c r="AA420" s="46">
        <v>46023.0</v>
      </c>
      <c r="AB420" s="46">
        <v>46387.0</v>
      </c>
      <c r="AC420" s="35" t="s">
        <v>7028</v>
      </c>
      <c r="AD420" s="35" t="s">
        <v>79</v>
      </c>
      <c r="AE420" s="35"/>
      <c r="AF420" s="35"/>
      <c r="AG420" s="46"/>
    </row>
    <row r="421" ht="44.25" customHeight="1">
      <c r="A421" s="35">
        <v>420.0</v>
      </c>
      <c r="B421" s="35">
        <v>385.0</v>
      </c>
      <c r="C421" s="35" t="s">
        <v>509</v>
      </c>
      <c r="D421" s="35" t="s">
        <v>1209</v>
      </c>
      <c r="E421" s="35" t="s">
        <v>7017</v>
      </c>
      <c r="F421" s="35" t="s">
        <v>7030</v>
      </c>
      <c r="G421" s="41" t="s">
        <v>7031</v>
      </c>
      <c r="H421" s="35" t="s">
        <v>59</v>
      </c>
      <c r="I421" s="35" t="s">
        <v>61</v>
      </c>
      <c r="J421" s="35" t="s">
        <v>62</v>
      </c>
      <c r="K421" s="35" t="s">
        <v>63</v>
      </c>
      <c r="L421" s="35">
        <v>50.0</v>
      </c>
      <c r="M421" s="35" t="s">
        <v>7034</v>
      </c>
      <c r="N421" s="35" t="s">
        <v>66</v>
      </c>
      <c r="O421" s="35" t="s">
        <v>67</v>
      </c>
      <c r="P421" s="35" t="s">
        <v>7037</v>
      </c>
      <c r="Q421" s="35"/>
      <c r="R421" s="35"/>
      <c r="S421" s="35"/>
      <c r="T421" s="35"/>
      <c r="U421" s="35">
        <v>3.0</v>
      </c>
      <c r="V421" s="35" t="s">
        <v>61</v>
      </c>
      <c r="W421" s="35" t="s">
        <v>74</v>
      </c>
      <c r="X421" s="35" t="s">
        <v>7039</v>
      </c>
      <c r="Y421" s="112" t="s">
        <v>7040</v>
      </c>
      <c r="Z421" s="35" t="s">
        <v>7041</v>
      </c>
      <c r="AA421" s="46">
        <v>46023.0</v>
      </c>
      <c r="AB421" s="46">
        <v>46387.0</v>
      </c>
      <c r="AC421" s="35" t="s">
        <v>7042</v>
      </c>
      <c r="AD421" s="35" t="s">
        <v>79</v>
      </c>
      <c r="AE421" s="35"/>
      <c r="AF421" s="35"/>
      <c r="AG421" s="46"/>
    </row>
    <row r="422" ht="44.25" customHeight="1">
      <c r="A422" s="35">
        <v>421.0</v>
      </c>
      <c r="B422" s="35">
        <v>386.0</v>
      </c>
      <c r="C422" s="35" t="s">
        <v>509</v>
      </c>
      <c r="D422" s="35" t="s">
        <v>1209</v>
      </c>
      <c r="E422" s="35" t="s">
        <v>7017</v>
      </c>
      <c r="F422" s="35" t="s">
        <v>7047</v>
      </c>
      <c r="G422" s="41" t="s">
        <v>7048</v>
      </c>
      <c r="H422" s="35" t="s">
        <v>59</v>
      </c>
      <c r="I422" s="35" t="s">
        <v>61</v>
      </c>
      <c r="J422" s="35" t="s">
        <v>62</v>
      </c>
      <c r="K422" s="35" t="s">
        <v>63</v>
      </c>
      <c r="L422" s="35">
        <v>103.0</v>
      </c>
      <c r="M422" s="35" t="s">
        <v>7049</v>
      </c>
      <c r="N422" s="35" t="s">
        <v>66</v>
      </c>
      <c r="O422" s="35" t="s">
        <v>67</v>
      </c>
      <c r="P422" s="35" t="s">
        <v>7051</v>
      </c>
      <c r="Q422" s="52"/>
      <c r="R422" s="35"/>
      <c r="S422" s="35"/>
      <c r="T422" s="52"/>
      <c r="U422" s="35">
        <v>15.0</v>
      </c>
      <c r="V422" s="35" t="s">
        <v>61</v>
      </c>
      <c r="W422" s="35" t="s">
        <v>93</v>
      </c>
      <c r="X422" s="35" t="s">
        <v>7053</v>
      </c>
      <c r="Y422" s="112" t="s">
        <v>7054</v>
      </c>
      <c r="Z422" s="35" t="s">
        <v>7055</v>
      </c>
      <c r="AA422" s="46">
        <v>46023.0</v>
      </c>
      <c r="AB422" s="46">
        <v>46387.0</v>
      </c>
      <c r="AC422" s="35" t="s">
        <v>7056</v>
      </c>
      <c r="AD422" s="35" t="s">
        <v>79</v>
      </c>
      <c r="AE422" s="35"/>
      <c r="AF422" s="35"/>
      <c r="AG422" s="46"/>
    </row>
    <row r="423" ht="44.25" customHeight="1">
      <c r="A423" s="35">
        <v>422.0</v>
      </c>
      <c r="B423" s="35">
        <v>38399.0</v>
      </c>
      <c r="C423" s="35" t="s">
        <v>509</v>
      </c>
      <c r="D423" s="35" t="s">
        <v>1209</v>
      </c>
      <c r="E423" s="35" t="s">
        <v>7017</v>
      </c>
      <c r="F423" s="35" t="s">
        <v>7061</v>
      </c>
      <c r="G423" s="41" t="s">
        <v>7062</v>
      </c>
      <c r="H423" s="35" t="s">
        <v>59</v>
      </c>
      <c r="I423" s="35" t="s">
        <v>61</v>
      </c>
      <c r="J423" s="35" t="s">
        <v>62</v>
      </c>
      <c r="K423" s="35" t="s">
        <v>63</v>
      </c>
      <c r="L423" s="35">
        <v>25.0</v>
      </c>
      <c r="M423" s="35" t="s">
        <v>7067</v>
      </c>
      <c r="N423" s="35" t="s">
        <v>66</v>
      </c>
      <c r="O423" s="35" t="s">
        <v>67</v>
      </c>
      <c r="P423" s="35" t="s">
        <v>7068</v>
      </c>
      <c r="Q423" s="52"/>
      <c r="R423" s="35"/>
      <c r="S423" s="35"/>
      <c r="T423" s="52"/>
      <c r="U423" s="35"/>
      <c r="V423" s="35" t="s">
        <v>61</v>
      </c>
      <c r="W423" s="35" t="s">
        <v>74</v>
      </c>
      <c r="X423" s="35" t="s">
        <v>7069</v>
      </c>
      <c r="Y423" s="35">
        <v>9.77240486E9</v>
      </c>
      <c r="Z423" s="35" t="s">
        <v>7070</v>
      </c>
      <c r="AA423" s="46">
        <v>46023.0</v>
      </c>
      <c r="AB423" s="46">
        <v>46387.0</v>
      </c>
      <c r="AC423" s="35" t="s">
        <v>7071</v>
      </c>
      <c r="AD423" s="35" t="s">
        <v>79</v>
      </c>
      <c r="AE423" s="35"/>
      <c r="AF423" s="35"/>
      <c r="AG423" s="46"/>
    </row>
    <row r="424" ht="44.25" customHeight="1">
      <c r="A424" s="35">
        <v>423.0</v>
      </c>
      <c r="B424" s="35">
        <v>5377.0</v>
      </c>
      <c r="C424" s="35" t="s">
        <v>509</v>
      </c>
      <c r="D424" s="35" t="s">
        <v>1209</v>
      </c>
      <c r="E424" s="35" t="s">
        <v>7073</v>
      </c>
      <c r="F424" s="35" t="s">
        <v>7074</v>
      </c>
      <c r="G424" s="41" t="s">
        <v>7075</v>
      </c>
      <c r="H424" s="35" t="s">
        <v>59</v>
      </c>
      <c r="I424" s="35" t="s">
        <v>61</v>
      </c>
      <c r="J424" s="35" t="s">
        <v>62</v>
      </c>
      <c r="K424" s="35" t="s">
        <v>63</v>
      </c>
      <c r="L424" s="35">
        <v>36.0</v>
      </c>
      <c r="M424" s="35" t="s">
        <v>7080</v>
      </c>
      <c r="N424" s="35" t="s">
        <v>66</v>
      </c>
      <c r="O424" s="35" t="s">
        <v>67</v>
      </c>
      <c r="P424" s="35" t="s">
        <v>7081</v>
      </c>
      <c r="Q424" s="52"/>
      <c r="R424" s="35"/>
      <c r="S424" s="35"/>
      <c r="T424" s="52"/>
      <c r="U424" s="35">
        <v>4.0</v>
      </c>
      <c r="V424" s="35" t="s">
        <v>61</v>
      </c>
      <c r="W424" s="35" t="s">
        <v>74</v>
      </c>
      <c r="X424" s="35" t="s">
        <v>7084</v>
      </c>
      <c r="Y424" s="112" t="s">
        <v>7086</v>
      </c>
      <c r="Z424" s="35" t="s">
        <v>7088</v>
      </c>
      <c r="AA424" s="46">
        <v>46023.0</v>
      </c>
      <c r="AB424" s="46">
        <v>46387.0</v>
      </c>
      <c r="AC424" s="35" t="s">
        <v>7089</v>
      </c>
      <c r="AD424" s="35" t="s">
        <v>79</v>
      </c>
      <c r="AE424" s="35"/>
      <c r="AF424" s="35"/>
      <c r="AG424" s="46"/>
    </row>
    <row r="425" ht="44.25" customHeight="1">
      <c r="A425" s="35">
        <v>424.0</v>
      </c>
      <c r="B425" s="35">
        <v>32018.0</v>
      </c>
      <c r="C425" s="35" t="s">
        <v>509</v>
      </c>
      <c r="D425" s="35" t="s">
        <v>1209</v>
      </c>
      <c r="E425" s="35" t="s">
        <v>1238</v>
      </c>
      <c r="F425" s="35" t="s">
        <v>7090</v>
      </c>
      <c r="G425" s="41" t="s">
        <v>7091</v>
      </c>
      <c r="H425" s="35" t="s">
        <v>59</v>
      </c>
      <c r="I425" s="35" t="s">
        <v>61</v>
      </c>
      <c r="J425" s="35" t="s">
        <v>62</v>
      </c>
      <c r="K425" s="35" t="s">
        <v>111</v>
      </c>
      <c r="L425" s="35">
        <v>50.0</v>
      </c>
      <c r="M425" s="35" t="s">
        <v>7094</v>
      </c>
      <c r="N425" s="35" t="s">
        <v>66</v>
      </c>
      <c r="O425" s="35" t="s">
        <v>67</v>
      </c>
      <c r="P425" s="35" t="s">
        <v>7095</v>
      </c>
      <c r="Q425" s="52"/>
      <c r="R425" s="35"/>
      <c r="S425" s="35"/>
      <c r="T425" s="52"/>
      <c r="U425" s="35"/>
      <c r="V425" s="35" t="s">
        <v>61</v>
      </c>
      <c r="W425" s="52"/>
      <c r="X425" s="35" t="s">
        <v>7096</v>
      </c>
      <c r="Y425" s="112">
        <v>9.999906605E9</v>
      </c>
      <c r="Z425" s="35" t="s">
        <v>7098</v>
      </c>
      <c r="AA425" s="46">
        <v>46023.0</v>
      </c>
      <c r="AB425" s="46">
        <v>46387.0</v>
      </c>
      <c r="AC425" s="35" t="s">
        <v>7099</v>
      </c>
      <c r="AD425" s="35" t="s">
        <v>79</v>
      </c>
      <c r="AE425" s="35"/>
      <c r="AF425" s="35"/>
      <c r="AG425" s="46"/>
    </row>
    <row r="426" ht="44.25" customHeight="1">
      <c r="A426" s="35">
        <v>425.0</v>
      </c>
      <c r="B426" s="35">
        <v>31927.0</v>
      </c>
      <c r="C426" s="35" t="s">
        <v>509</v>
      </c>
      <c r="D426" s="35" t="s">
        <v>1209</v>
      </c>
      <c r="E426" s="35" t="s">
        <v>1238</v>
      </c>
      <c r="F426" s="35" t="s">
        <v>7100</v>
      </c>
      <c r="G426" s="41" t="s">
        <v>7101</v>
      </c>
      <c r="H426" s="35" t="s">
        <v>59</v>
      </c>
      <c r="I426" s="35" t="s">
        <v>61</v>
      </c>
      <c r="J426" s="35" t="s">
        <v>62</v>
      </c>
      <c r="K426" s="35" t="s">
        <v>111</v>
      </c>
      <c r="L426" s="35">
        <v>156.0</v>
      </c>
      <c r="M426" s="35" t="s">
        <v>7102</v>
      </c>
      <c r="N426" s="35" t="s">
        <v>66</v>
      </c>
      <c r="O426" s="35" t="s">
        <v>67</v>
      </c>
      <c r="P426" s="35" t="s">
        <v>7104</v>
      </c>
      <c r="Q426" s="52"/>
      <c r="R426" s="35"/>
      <c r="S426" s="35"/>
      <c r="T426" s="52"/>
      <c r="U426" s="35">
        <v>7.0</v>
      </c>
      <c r="V426" s="35" t="s">
        <v>61</v>
      </c>
      <c r="W426" s="35" t="s">
        <v>93</v>
      </c>
      <c r="X426" s="35" t="s">
        <v>7106</v>
      </c>
      <c r="Y426" s="112" t="s">
        <v>7107</v>
      </c>
      <c r="Z426" s="35" t="s">
        <v>7108</v>
      </c>
      <c r="AA426" s="46">
        <v>46023.0</v>
      </c>
      <c r="AB426" s="46">
        <v>46387.0</v>
      </c>
      <c r="AC426" s="35" t="s">
        <v>7109</v>
      </c>
      <c r="AD426" s="35" t="s">
        <v>79</v>
      </c>
      <c r="AE426" s="35"/>
      <c r="AF426" s="35"/>
      <c r="AG426" s="46"/>
    </row>
    <row r="427" ht="44.25" customHeight="1">
      <c r="A427" s="35">
        <v>426.0</v>
      </c>
      <c r="B427" s="35">
        <v>5199.0</v>
      </c>
      <c r="C427" s="35" t="s">
        <v>509</v>
      </c>
      <c r="D427" s="35" t="s">
        <v>1209</v>
      </c>
      <c r="E427" s="35" t="s">
        <v>1238</v>
      </c>
      <c r="F427" s="35" t="s">
        <v>7112</v>
      </c>
      <c r="G427" s="41" t="s">
        <v>7113</v>
      </c>
      <c r="H427" s="35" t="s">
        <v>59</v>
      </c>
      <c r="I427" s="35" t="s">
        <v>61</v>
      </c>
      <c r="J427" s="35" t="s">
        <v>62</v>
      </c>
      <c r="K427" s="35" t="s">
        <v>63</v>
      </c>
      <c r="L427" s="35">
        <v>12.0</v>
      </c>
      <c r="M427" s="35" t="s">
        <v>7114</v>
      </c>
      <c r="N427" s="35" t="s">
        <v>66</v>
      </c>
      <c r="O427" s="52"/>
      <c r="P427" s="35" t="s">
        <v>1180</v>
      </c>
      <c r="Q427" s="35"/>
      <c r="R427" s="35"/>
      <c r="S427" s="35"/>
      <c r="T427" s="35" t="s">
        <v>7115</v>
      </c>
      <c r="U427" s="35"/>
      <c r="V427" s="35" t="s">
        <v>61</v>
      </c>
      <c r="W427" s="35" t="s">
        <v>74</v>
      </c>
      <c r="X427" s="35" t="s">
        <v>7117</v>
      </c>
      <c r="Y427" s="35" t="s">
        <v>7118</v>
      </c>
      <c r="Z427" s="35" t="s">
        <v>7119</v>
      </c>
      <c r="AA427" s="46">
        <v>46023.0</v>
      </c>
      <c r="AB427" s="46">
        <v>46387.0</v>
      </c>
      <c r="AC427" s="35" t="s">
        <v>7120</v>
      </c>
      <c r="AD427" s="35" t="s">
        <v>79</v>
      </c>
      <c r="AE427" s="35"/>
      <c r="AF427" s="35"/>
      <c r="AG427" s="46"/>
    </row>
    <row r="428" ht="44.25" customHeight="1">
      <c r="A428" s="35">
        <v>427.0</v>
      </c>
      <c r="B428" s="35">
        <v>1873.0</v>
      </c>
      <c r="C428" s="35" t="s">
        <v>509</v>
      </c>
      <c r="D428" s="35" t="s">
        <v>1209</v>
      </c>
      <c r="E428" s="35" t="s">
        <v>1238</v>
      </c>
      <c r="F428" s="35" t="s">
        <v>7123</v>
      </c>
      <c r="G428" s="41" t="s">
        <v>7124</v>
      </c>
      <c r="H428" s="35" t="s">
        <v>59</v>
      </c>
      <c r="I428" s="35" t="s">
        <v>61</v>
      </c>
      <c r="J428" s="35" t="s">
        <v>62</v>
      </c>
      <c r="K428" s="35" t="s">
        <v>68</v>
      </c>
      <c r="L428" s="35">
        <v>150.0</v>
      </c>
      <c r="M428" s="35" t="s">
        <v>7126</v>
      </c>
      <c r="N428" s="35" t="s">
        <v>221</v>
      </c>
      <c r="O428" s="35" t="s">
        <v>67</v>
      </c>
      <c r="P428" s="35" t="s">
        <v>1180</v>
      </c>
      <c r="Q428" s="52"/>
      <c r="R428" s="35"/>
      <c r="S428" s="35"/>
      <c r="T428" s="52"/>
      <c r="U428" s="35">
        <v>10.0</v>
      </c>
      <c r="V428" s="35" t="s">
        <v>61</v>
      </c>
      <c r="W428" s="35" t="s">
        <v>93</v>
      </c>
      <c r="X428" s="35" t="s">
        <v>7131</v>
      </c>
      <c r="Y428" s="35" t="s">
        <v>7132</v>
      </c>
      <c r="Z428" s="35" t="s">
        <v>7133</v>
      </c>
      <c r="AA428" s="46">
        <v>46023.0</v>
      </c>
      <c r="AB428" s="46">
        <v>46387.0</v>
      </c>
      <c r="AC428" s="35" t="s">
        <v>7134</v>
      </c>
      <c r="AD428" s="35" t="s">
        <v>79</v>
      </c>
      <c r="AE428" s="35"/>
      <c r="AF428" s="35"/>
      <c r="AG428" s="46"/>
    </row>
    <row r="429" ht="44.25" customHeight="1">
      <c r="A429" s="35">
        <v>428.0</v>
      </c>
      <c r="B429" s="35">
        <v>38113.0</v>
      </c>
      <c r="C429" s="35" t="s">
        <v>509</v>
      </c>
      <c r="D429" s="35" t="s">
        <v>4417</v>
      </c>
      <c r="E429" s="35" t="s">
        <v>4470</v>
      </c>
      <c r="F429" s="35" t="s">
        <v>7135</v>
      </c>
      <c r="G429" s="41" t="s">
        <v>7136</v>
      </c>
      <c r="H429" s="35" t="s">
        <v>59</v>
      </c>
      <c r="I429" s="35" t="s">
        <v>61</v>
      </c>
      <c r="J429" s="35" t="s">
        <v>62</v>
      </c>
      <c r="K429" s="35" t="s">
        <v>111</v>
      </c>
      <c r="L429" s="35">
        <v>70.0</v>
      </c>
      <c r="M429" s="35" t="s">
        <v>7138</v>
      </c>
      <c r="N429" s="35" t="s">
        <v>71</v>
      </c>
      <c r="O429" s="35" t="s">
        <v>67</v>
      </c>
      <c r="P429" s="35" t="s">
        <v>7140</v>
      </c>
      <c r="Q429" s="52"/>
      <c r="R429" s="35"/>
      <c r="S429" s="35"/>
      <c r="T429" s="52"/>
      <c r="U429" s="35">
        <v>8.0</v>
      </c>
      <c r="V429" s="35" t="s">
        <v>61</v>
      </c>
      <c r="W429" s="35" t="s">
        <v>93</v>
      </c>
      <c r="X429" s="35" t="s">
        <v>7142</v>
      </c>
      <c r="Y429" s="112">
        <v>9.694452674E9</v>
      </c>
      <c r="Z429" s="35" t="s">
        <v>7143</v>
      </c>
      <c r="AA429" s="46">
        <v>46023.0</v>
      </c>
      <c r="AB429" s="46">
        <v>46387.0</v>
      </c>
      <c r="AC429" s="35" t="s">
        <v>7144</v>
      </c>
      <c r="AD429" s="35" t="s">
        <v>79</v>
      </c>
      <c r="AE429" s="35"/>
      <c r="AF429" s="35"/>
      <c r="AG429" s="46"/>
    </row>
    <row r="430" ht="44.25" customHeight="1">
      <c r="A430" s="35">
        <v>429.0</v>
      </c>
      <c r="B430" s="35">
        <v>357.0</v>
      </c>
      <c r="C430" s="35" t="s">
        <v>509</v>
      </c>
      <c r="D430" s="35" t="s">
        <v>4417</v>
      </c>
      <c r="E430" s="35" t="s">
        <v>4470</v>
      </c>
      <c r="F430" s="35" t="s">
        <v>7148</v>
      </c>
      <c r="G430" s="41" t="s">
        <v>7150</v>
      </c>
      <c r="H430" s="35" t="s">
        <v>59</v>
      </c>
      <c r="I430" s="35" t="s">
        <v>61</v>
      </c>
      <c r="J430" s="35" t="s">
        <v>62</v>
      </c>
      <c r="K430" s="35" t="s">
        <v>111</v>
      </c>
      <c r="L430" s="35">
        <v>36.0</v>
      </c>
      <c r="M430" s="35" t="s">
        <v>7151</v>
      </c>
      <c r="N430" s="35" t="s">
        <v>66</v>
      </c>
      <c r="O430" s="35" t="s">
        <v>67</v>
      </c>
      <c r="P430" s="35" t="s">
        <v>7152</v>
      </c>
      <c r="Q430" s="52"/>
      <c r="R430" s="35"/>
      <c r="S430" s="35"/>
      <c r="T430" s="52"/>
      <c r="U430" s="35"/>
      <c r="V430" s="35" t="s">
        <v>61</v>
      </c>
      <c r="W430" s="35" t="s">
        <v>93</v>
      </c>
      <c r="X430" s="35" t="s">
        <v>7153</v>
      </c>
      <c r="Y430" s="112" t="s">
        <v>7155</v>
      </c>
      <c r="Z430" s="35" t="s">
        <v>7156</v>
      </c>
      <c r="AA430" s="46">
        <v>46023.0</v>
      </c>
      <c r="AB430" s="46">
        <v>46387.0</v>
      </c>
      <c r="AC430" s="35" t="s">
        <v>7157</v>
      </c>
      <c r="AD430" s="35" t="s">
        <v>79</v>
      </c>
      <c r="AE430" s="35"/>
      <c r="AF430" s="35"/>
      <c r="AG430" s="46"/>
    </row>
    <row r="431" ht="44.25" customHeight="1">
      <c r="A431" s="35">
        <v>430.0</v>
      </c>
      <c r="B431" s="35">
        <v>38000.0</v>
      </c>
      <c r="C431" s="35" t="s">
        <v>509</v>
      </c>
      <c r="D431" s="35" t="s">
        <v>4527</v>
      </c>
      <c r="E431" s="35" t="s">
        <v>4599</v>
      </c>
      <c r="F431" s="35" t="s">
        <v>7159</v>
      </c>
      <c r="G431" s="41" t="s">
        <v>7161</v>
      </c>
      <c r="H431" s="35" t="s">
        <v>59</v>
      </c>
      <c r="I431" s="35" t="s">
        <v>61</v>
      </c>
      <c r="J431" s="35" t="s">
        <v>62</v>
      </c>
      <c r="K431" s="35" t="s">
        <v>111</v>
      </c>
      <c r="L431" s="35">
        <v>100.0</v>
      </c>
      <c r="M431" s="35" t="s">
        <v>7164</v>
      </c>
      <c r="N431" s="35" t="s">
        <v>66</v>
      </c>
      <c r="O431" s="35" t="s">
        <v>67</v>
      </c>
      <c r="P431" s="35" t="s">
        <v>7165</v>
      </c>
      <c r="Q431" s="52"/>
      <c r="R431" s="35"/>
      <c r="S431" s="35"/>
      <c r="T431" s="52"/>
      <c r="U431" s="35">
        <v>15.0</v>
      </c>
      <c r="V431" s="35" t="s">
        <v>533</v>
      </c>
      <c r="W431" s="35" t="s">
        <v>93</v>
      </c>
      <c r="X431" s="35" t="s">
        <v>7169</v>
      </c>
      <c r="Y431" s="112">
        <v>9.190750421E9</v>
      </c>
      <c r="Z431" s="35" t="s">
        <v>7170</v>
      </c>
      <c r="AA431" s="46">
        <v>46023.0</v>
      </c>
      <c r="AB431" s="46">
        <v>46387.0</v>
      </c>
      <c r="AC431" s="35" t="s">
        <v>7171</v>
      </c>
      <c r="AD431" s="35" t="s">
        <v>79</v>
      </c>
      <c r="AE431" s="35"/>
      <c r="AF431" s="35"/>
      <c r="AG431" s="46"/>
    </row>
    <row r="432" ht="44.25" customHeight="1">
      <c r="A432" s="35">
        <v>431.0</v>
      </c>
      <c r="B432" s="35">
        <v>3620.0</v>
      </c>
      <c r="C432" s="35" t="s">
        <v>509</v>
      </c>
      <c r="D432" s="35" t="s">
        <v>4527</v>
      </c>
      <c r="E432" s="35" t="s">
        <v>4599</v>
      </c>
      <c r="F432" s="35" t="s">
        <v>7172</v>
      </c>
      <c r="G432" s="41" t="s">
        <v>7174</v>
      </c>
      <c r="H432" s="35" t="s">
        <v>59</v>
      </c>
      <c r="I432" s="35" t="s">
        <v>61</v>
      </c>
      <c r="J432" s="35" t="s">
        <v>62</v>
      </c>
      <c r="K432" s="35" t="s">
        <v>111</v>
      </c>
      <c r="L432" s="35">
        <v>100.0</v>
      </c>
      <c r="M432" s="35" t="s">
        <v>7176</v>
      </c>
      <c r="N432" s="35" t="s">
        <v>66</v>
      </c>
      <c r="O432" s="35" t="s">
        <v>67</v>
      </c>
      <c r="P432" s="35" t="s">
        <v>7178</v>
      </c>
      <c r="Q432" s="52"/>
      <c r="R432" s="35"/>
      <c r="S432" s="35"/>
      <c r="T432" s="52"/>
      <c r="U432" s="35">
        <v>14.0</v>
      </c>
      <c r="V432" s="35" t="s">
        <v>61</v>
      </c>
      <c r="W432" s="35" t="s">
        <v>93</v>
      </c>
      <c r="X432" s="35" t="s">
        <v>7181</v>
      </c>
      <c r="Y432" s="112">
        <v>9.154798094E9</v>
      </c>
      <c r="Z432" s="35" t="s">
        <v>7182</v>
      </c>
      <c r="AA432" s="46">
        <v>46023.0</v>
      </c>
      <c r="AB432" s="46">
        <v>46387.0</v>
      </c>
      <c r="AC432" s="35" t="s">
        <v>7183</v>
      </c>
      <c r="AD432" s="35" t="s">
        <v>79</v>
      </c>
      <c r="AE432" s="35"/>
      <c r="AF432" s="35"/>
      <c r="AG432" s="46"/>
    </row>
    <row r="433" ht="44.25" customHeight="1">
      <c r="A433" s="35">
        <v>432.0</v>
      </c>
      <c r="B433" s="35">
        <v>39070.0</v>
      </c>
      <c r="C433" s="35" t="s">
        <v>509</v>
      </c>
      <c r="D433" s="35" t="s">
        <v>4527</v>
      </c>
      <c r="E433" s="35" t="s">
        <v>4599</v>
      </c>
      <c r="F433" s="35" t="s">
        <v>7184</v>
      </c>
      <c r="G433" s="41" t="s">
        <v>7185</v>
      </c>
      <c r="H433" s="35" t="s">
        <v>59</v>
      </c>
      <c r="I433" s="35" t="s">
        <v>61</v>
      </c>
      <c r="J433" s="35" t="s">
        <v>62</v>
      </c>
      <c r="K433" s="35" t="s">
        <v>63</v>
      </c>
      <c r="L433" s="35">
        <v>26.0</v>
      </c>
      <c r="M433" s="35" t="s">
        <v>7186</v>
      </c>
      <c r="N433" s="35" t="s">
        <v>66</v>
      </c>
      <c r="O433" s="35" t="s">
        <v>67</v>
      </c>
      <c r="P433" s="35" t="s">
        <v>7187</v>
      </c>
      <c r="Q433" s="52"/>
      <c r="R433" s="35"/>
      <c r="S433" s="35"/>
      <c r="T433" s="52"/>
      <c r="U433" s="35"/>
      <c r="V433" s="35" t="s">
        <v>61</v>
      </c>
      <c r="W433" s="35" t="s">
        <v>74</v>
      </c>
      <c r="X433" s="35" t="s">
        <v>7188</v>
      </c>
      <c r="Y433" s="112" t="s">
        <v>7189</v>
      </c>
      <c r="Z433" s="35" t="s">
        <v>7190</v>
      </c>
      <c r="AA433" s="46">
        <v>46023.0</v>
      </c>
      <c r="AB433" s="46">
        <v>46387.0</v>
      </c>
      <c r="AC433" s="35" t="s">
        <v>7191</v>
      </c>
      <c r="AD433" s="35" t="s">
        <v>79</v>
      </c>
      <c r="AE433" s="35"/>
      <c r="AF433" s="35"/>
      <c r="AG433" s="46"/>
    </row>
    <row r="434" ht="44.25" customHeight="1">
      <c r="A434" s="35">
        <v>433.0</v>
      </c>
      <c r="B434" s="35">
        <v>5974.0</v>
      </c>
      <c r="C434" s="35" t="s">
        <v>509</v>
      </c>
      <c r="D434" s="35" t="s">
        <v>4527</v>
      </c>
      <c r="E434" s="35" t="s">
        <v>4599</v>
      </c>
      <c r="F434" s="35" t="s">
        <v>7194</v>
      </c>
      <c r="G434" s="41" t="s">
        <v>7195</v>
      </c>
      <c r="H434" s="35" t="s">
        <v>59</v>
      </c>
      <c r="I434" s="35" t="s">
        <v>61</v>
      </c>
      <c r="J434" s="35" t="s">
        <v>62</v>
      </c>
      <c r="K434" s="35" t="s">
        <v>63</v>
      </c>
      <c r="L434" s="35">
        <v>45.0</v>
      </c>
      <c r="M434" s="35" t="s">
        <v>7196</v>
      </c>
      <c r="N434" s="35" t="s">
        <v>66</v>
      </c>
      <c r="O434" s="35" t="s">
        <v>67</v>
      </c>
      <c r="P434" s="35" t="s">
        <v>7198</v>
      </c>
      <c r="Q434" s="52"/>
      <c r="R434" s="35"/>
      <c r="S434" s="35"/>
      <c r="T434" s="52"/>
      <c r="U434" s="35">
        <v>19.0</v>
      </c>
      <c r="V434" s="35" t="s">
        <v>61</v>
      </c>
      <c r="W434" s="35" t="s">
        <v>74</v>
      </c>
      <c r="X434" s="35" t="s">
        <v>7199</v>
      </c>
      <c r="Y434" s="112">
        <v>9.46887332E9</v>
      </c>
      <c r="Z434" s="35" t="s">
        <v>7200</v>
      </c>
      <c r="AA434" s="46">
        <v>46023.0</v>
      </c>
      <c r="AB434" s="46">
        <v>46387.0</v>
      </c>
      <c r="AC434" s="35" t="s">
        <v>7202</v>
      </c>
      <c r="AD434" s="35" t="s">
        <v>79</v>
      </c>
      <c r="AE434" s="35"/>
      <c r="AF434" s="35"/>
      <c r="AG434" s="46"/>
    </row>
    <row r="435" ht="44.25" customHeight="1">
      <c r="A435" s="35">
        <v>434.0</v>
      </c>
      <c r="B435" s="35">
        <v>37947.0</v>
      </c>
      <c r="C435" s="35" t="s">
        <v>509</v>
      </c>
      <c r="D435" s="35" t="s">
        <v>4486</v>
      </c>
      <c r="E435" s="35" t="s">
        <v>4509</v>
      </c>
      <c r="F435" s="35" t="s">
        <v>7205</v>
      </c>
      <c r="G435" s="41" t="s">
        <v>7206</v>
      </c>
      <c r="H435" s="35" t="s">
        <v>59</v>
      </c>
      <c r="I435" s="35" t="s">
        <v>61</v>
      </c>
      <c r="J435" s="35" t="s">
        <v>62</v>
      </c>
      <c r="K435" s="35" t="s">
        <v>63</v>
      </c>
      <c r="L435" s="35">
        <v>43.0</v>
      </c>
      <c r="M435" s="35" t="s">
        <v>7207</v>
      </c>
      <c r="N435" s="35" t="s">
        <v>66</v>
      </c>
      <c r="O435" s="35" t="s">
        <v>67</v>
      </c>
      <c r="P435" s="35" t="s">
        <v>7209</v>
      </c>
      <c r="Q435" s="52"/>
      <c r="R435" s="35"/>
      <c r="S435" s="35"/>
      <c r="T435" s="52"/>
      <c r="U435" s="35"/>
      <c r="V435" s="35" t="s">
        <v>61</v>
      </c>
      <c r="W435" s="35" t="s">
        <v>74</v>
      </c>
      <c r="X435" s="35" t="s">
        <v>7211</v>
      </c>
      <c r="Y435" s="112" t="s">
        <v>7212</v>
      </c>
      <c r="Z435" s="35" t="s">
        <v>7213</v>
      </c>
      <c r="AA435" s="46">
        <v>46023.0</v>
      </c>
      <c r="AB435" s="46">
        <v>46387.0</v>
      </c>
      <c r="AC435" s="35" t="s">
        <v>7215</v>
      </c>
      <c r="AD435" s="35" t="s">
        <v>79</v>
      </c>
      <c r="AE435" s="35"/>
      <c r="AF435" s="35"/>
      <c r="AG435" s="46"/>
    </row>
    <row r="436" ht="44.25" customHeight="1">
      <c r="A436" s="35">
        <v>435.0</v>
      </c>
      <c r="B436" s="35">
        <v>43266.0</v>
      </c>
      <c r="C436" s="35" t="s">
        <v>509</v>
      </c>
      <c r="D436" s="35" t="s">
        <v>1167</v>
      </c>
      <c r="E436" s="35" t="s">
        <v>7218</v>
      </c>
      <c r="F436" s="35" t="s">
        <v>7219</v>
      </c>
      <c r="G436" s="41" t="s">
        <v>7220</v>
      </c>
      <c r="H436" s="35" t="s">
        <v>59</v>
      </c>
      <c r="I436" s="35" t="s">
        <v>61</v>
      </c>
      <c r="J436" s="35" t="s">
        <v>62</v>
      </c>
      <c r="K436" s="35" t="s">
        <v>63</v>
      </c>
      <c r="L436" s="35">
        <v>20.0</v>
      </c>
      <c r="M436" s="35" t="s">
        <v>7221</v>
      </c>
      <c r="N436" s="35" t="s">
        <v>66</v>
      </c>
      <c r="O436" s="35" t="s">
        <v>67</v>
      </c>
      <c r="P436" s="35" t="s">
        <v>7223</v>
      </c>
      <c r="Q436" s="35"/>
      <c r="R436" s="35"/>
      <c r="S436" s="35"/>
      <c r="T436" s="35" t="s">
        <v>7224</v>
      </c>
      <c r="U436" s="35"/>
      <c r="V436" s="35" t="s">
        <v>61</v>
      </c>
      <c r="W436" s="35" t="s">
        <v>74</v>
      </c>
      <c r="X436" s="35" t="s">
        <v>7225</v>
      </c>
      <c r="Y436" s="112">
        <v>9.683597893E9</v>
      </c>
      <c r="Z436" s="35" t="s">
        <v>7226</v>
      </c>
      <c r="AA436" s="46">
        <v>46023.0</v>
      </c>
      <c r="AB436" s="46">
        <v>46387.0</v>
      </c>
      <c r="AC436" s="35" t="s">
        <v>7227</v>
      </c>
      <c r="AD436" s="35" t="s">
        <v>79</v>
      </c>
      <c r="AE436" s="35"/>
      <c r="AF436" s="35"/>
      <c r="AG436" s="46"/>
    </row>
    <row r="437" ht="44.25" customHeight="1">
      <c r="A437" s="35">
        <v>436.0</v>
      </c>
      <c r="B437" s="35">
        <v>5737.0</v>
      </c>
      <c r="C437" s="35" t="s">
        <v>581</v>
      </c>
      <c r="D437" s="35" t="s">
        <v>4618</v>
      </c>
      <c r="E437" s="35" t="s">
        <v>4620</v>
      </c>
      <c r="F437" s="35" t="s">
        <v>7228</v>
      </c>
      <c r="G437" s="41" t="s">
        <v>7229</v>
      </c>
      <c r="H437" s="35" t="s">
        <v>59</v>
      </c>
      <c r="I437" s="35" t="s">
        <v>61</v>
      </c>
      <c r="J437" s="35" t="s">
        <v>62</v>
      </c>
      <c r="K437" s="35" t="s">
        <v>63</v>
      </c>
      <c r="L437" s="35">
        <v>50.0</v>
      </c>
      <c r="M437" s="35" t="s">
        <v>7230</v>
      </c>
      <c r="N437" s="35" t="s">
        <v>66</v>
      </c>
      <c r="O437" s="35" t="s">
        <v>67</v>
      </c>
      <c r="P437" s="35" t="s">
        <v>7231</v>
      </c>
      <c r="Q437" s="35"/>
      <c r="R437" s="35"/>
      <c r="S437" s="35"/>
      <c r="T437" s="35" t="s">
        <v>61</v>
      </c>
      <c r="U437" s="35" t="s">
        <v>61</v>
      </c>
      <c r="V437" s="35" t="s">
        <v>61</v>
      </c>
      <c r="W437" s="35" t="s">
        <v>93</v>
      </c>
      <c r="X437" s="35" t="s">
        <v>7233</v>
      </c>
      <c r="Y437" s="35" t="s">
        <v>7234</v>
      </c>
      <c r="Z437" s="35" t="s">
        <v>7235</v>
      </c>
      <c r="AA437" s="46">
        <v>46023.0</v>
      </c>
      <c r="AB437" s="46">
        <v>46387.0</v>
      </c>
      <c r="AC437" s="35" t="s">
        <v>7236</v>
      </c>
      <c r="AD437" s="35" t="s">
        <v>79</v>
      </c>
      <c r="AE437" s="52"/>
      <c r="AF437" s="52"/>
      <c r="AG437" s="46"/>
    </row>
    <row r="438" ht="44.25" customHeight="1">
      <c r="A438" s="35">
        <v>437.0</v>
      </c>
      <c r="B438" s="35">
        <v>50279.0</v>
      </c>
      <c r="C438" s="35" t="s">
        <v>581</v>
      </c>
      <c r="D438" s="35" t="s">
        <v>4618</v>
      </c>
      <c r="E438" s="35" t="s">
        <v>4620</v>
      </c>
      <c r="F438" s="35" t="s">
        <v>7240</v>
      </c>
      <c r="G438" s="41" t="s">
        <v>7241</v>
      </c>
      <c r="H438" s="35" t="s">
        <v>59</v>
      </c>
      <c r="I438" s="35" t="s">
        <v>61</v>
      </c>
      <c r="J438" s="35" t="s">
        <v>62</v>
      </c>
      <c r="K438" s="35" t="s">
        <v>111</v>
      </c>
      <c r="L438" s="35">
        <v>150.0</v>
      </c>
      <c r="M438" s="35" t="s">
        <v>7243</v>
      </c>
      <c r="N438" s="35" t="s">
        <v>66</v>
      </c>
      <c r="O438" s="35" t="s">
        <v>67</v>
      </c>
      <c r="P438" s="35" t="s">
        <v>7244</v>
      </c>
      <c r="Q438" s="35"/>
      <c r="R438" s="35"/>
      <c r="S438" s="35"/>
      <c r="T438" s="35" t="s">
        <v>61</v>
      </c>
      <c r="U438" s="35">
        <v>15.0</v>
      </c>
      <c r="V438" s="35" t="s">
        <v>61</v>
      </c>
      <c r="W438" s="35" t="s">
        <v>93</v>
      </c>
      <c r="X438" s="35" t="s">
        <v>7245</v>
      </c>
      <c r="Y438" s="35">
        <v>9.171649116E9</v>
      </c>
      <c r="Z438" s="35" t="s">
        <v>7246</v>
      </c>
      <c r="AA438" s="46">
        <v>46023.0</v>
      </c>
      <c r="AB438" s="46">
        <v>46387.0</v>
      </c>
      <c r="AC438" s="35" t="s">
        <v>7247</v>
      </c>
      <c r="AD438" s="35" t="s">
        <v>79</v>
      </c>
      <c r="AE438" s="35" t="s">
        <v>61</v>
      </c>
      <c r="AF438" s="52"/>
      <c r="AG438" s="46"/>
    </row>
    <row r="439" ht="44.25" customHeight="1">
      <c r="A439" s="35">
        <v>438.0</v>
      </c>
      <c r="B439" s="35">
        <v>26150.0</v>
      </c>
      <c r="C439" s="35" t="s">
        <v>581</v>
      </c>
      <c r="D439" s="35" t="s">
        <v>4618</v>
      </c>
      <c r="E439" s="35" t="s">
        <v>4620</v>
      </c>
      <c r="F439" s="35" t="s">
        <v>7248</v>
      </c>
      <c r="G439" s="41" t="s">
        <v>7250</v>
      </c>
      <c r="H439" s="35" t="s">
        <v>59</v>
      </c>
      <c r="I439" s="35" t="s">
        <v>61</v>
      </c>
      <c r="J439" s="35" t="s">
        <v>62</v>
      </c>
      <c r="K439" s="35" t="s">
        <v>111</v>
      </c>
      <c r="L439" s="35">
        <v>74.0</v>
      </c>
      <c r="M439" s="35" t="s">
        <v>7254</v>
      </c>
      <c r="N439" s="35" t="s">
        <v>66</v>
      </c>
      <c r="O439" s="35" t="s">
        <v>67</v>
      </c>
      <c r="P439" s="35" t="s">
        <v>7255</v>
      </c>
      <c r="Q439" s="35"/>
      <c r="R439" s="35"/>
      <c r="S439" s="35"/>
      <c r="T439" s="35" t="s">
        <v>1298</v>
      </c>
      <c r="U439" s="35">
        <v>12.0</v>
      </c>
      <c r="V439" s="35" t="s">
        <v>533</v>
      </c>
      <c r="W439" s="35" t="s">
        <v>93</v>
      </c>
      <c r="X439" s="35" t="s">
        <v>7256</v>
      </c>
      <c r="Y439" s="35" t="s">
        <v>7257</v>
      </c>
      <c r="Z439" s="35" t="s">
        <v>7261</v>
      </c>
      <c r="AA439" s="46">
        <v>46023.0</v>
      </c>
      <c r="AB439" s="46">
        <v>46387.0</v>
      </c>
      <c r="AC439" s="35" t="s">
        <v>7262</v>
      </c>
      <c r="AD439" s="35" t="s">
        <v>79</v>
      </c>
      <c r="AE439" s="52"/>
      <c r="AF439" s="52"/>
      <c r="AG439" s="46"/>
    </row>
    <row r="440" ht="44.25" customHeight="1">
      <c r="A440" s="35">
        <v>439.0</v>
      </c>
      <c r="B440" s="35">
        <v>763.0</v>
      </c>
      <c r="C440" s="35" t="s">
        <v>581</v>
      </c>
      <c r="D440" s="35" t="s">
        <v>4618</v>
      </c>
      <c r="E440" s="35" t="s">
        <v>4620</v>
      </c>
      <c r="F440" s="35" t="s">
        <v>7263</v>
      </c>
      <c r="G440" s="41" t="s">
        <v>7264</v>
      </c>
      <c r="H440" s="35" t="s">
        <v>59</v>
      </c>
      <c r="I440" s="35" t="s">
        <v>61</v>
      </c>
      <c r="J440" s="35" t="s">
        <v>62</v>
      </c>
      <c r="K440" s="35" t="s">
        <v>111</v>
      </c>
      <c r="L440" s="35">
        <v>120.0</v>
      </c>
      <c r="M440" s="35" t="s">
        <v>7266</v>
      </c>
      <c r="N440" s="35" t="s">
        <v>66</v>
      </c>
      <c r="O440" s="35" t="s">
        <v>67</v>
      </c>
      <c r="P440" s="35" t="s">
        <v>7267</v>
      </c>
      <c r="Q440" s="35"/>
      <c r="R440" s="35"/>
      <c r="S440" s="35"/>
      <c r="T440" s="35" t="s">
        <v>1298</v>
      </c>
      <c r="U440" s="35">
        <v>10.0</v>
      </c>
      <c r="V440" s="35" t="s">
        <v>61</v>
      </c>
      <c r="W440" s="35" t="s">
        <v>93</v>
      </c>
      <c r="X440" s="35" t="s">
        <v>7271</v>
      </c>
      <c r="Y440" s="35" t="s">
        <v>7272</v>
      </c>
      <c r="Z440" s="112" t="s">
        <v>7274</v>
      </c>
      <c r="AA440" s="46">
        <v>46023.0</v>
      </c>
      <c r="AB440" s="46">
        <v>46387.0</v>
      </c>
      <c r="AC440" s="35" t="s">
        <v>7275</v>
      </c>
      <c r="AD440" s="35" t="s">
        <v>79</v>
      </c>
      <c r="AE440" s="35" t="s">
        <v>61</v>
      </c>
      <c r="AF440" s="52"/>
      <c r="AG440" s="46"/>
    </row>
    <row r="441" ht="44.25" customHeight="1">
      <c r="A441" s="35">
        <v>440.0</v>
      </c>
      <c r="B441" s="35">
        <v>3418.0</v>
      </c>
      <c r="C441" s="35" t="s">
        <v>581</v>
      </c>
      <c r="D441" s="35" t="s">
        <v>4618</v>
      </c>
      <c r="E441" s="35" t="s">
        <v>4620</v>
      </c>
      <c r="F441" s="35" t="s">
        <v>7277</v>
      </c>
      <c r="G441" s="41" t="s">
        <v>7279</v>
      </c>
      <c r="H441" s="35" t="s">
        <v>59</v>
      </c>
      <c r="I441" s="35" t="s">
        <v>61</v>
      </c>
      <c r="J441" s="35" t="s">
        <v>62</v>
      </c>
      <c r="K441" s="35" t="s">
        <v>63</v>
      </c>
      <c r="L441" s="35">
        <v>25.0</v>
      </c>
      <c r="M441" s="35" t="s">
        <v>7281</v>
      </c>
      <c r="N441" s="35" t="s">
        <v>66</v>
      </c>
      <c r="O441" s="35" t="s">
        <v>67</v>
      </c>
      <c r="P441" s="35" t="s">
        <v>7282</v>
      </c>
      <c r="Q441" s="35"/>
      <c r="R441" s="35"/>
      <c r="S441" s="35"/>
      <c r="T441" s="35" t="s">
        <v>61</v>
      </c>
      <c r="U441" s="35" t="s">
        <v>61</v>
      </c>
      <c r="V441" s="35" t="s">
        <v>61</v>
      </c>
      <c r="W441" s="35" t="s">
        <v>74</v>
      </c>
      <c r="X441" s="35" t="s">
        <v>7283</v>
      </c>
      <c r="Y441" s="35" t="s">
        <v>7285</v>
      </c>
      <c r="Z441" s="35" t="s">
        <v>7286</v>
      </c>
      <c r="AA441" s="46">
        <v>46023.0</v>
      </c>
      <c r="AB441" s="46">
        <v>46387.0</v>
      </c>
      <c r="AC441" s="35" t="s">
        <v>7287</v>
      </c>
      <c r="AD441" s="35" t="s">
        <v>79</v>
      </c>
      <c r="AE441" s="52"/>
      <c r="AF441" s="52"/>
      <c r="AG441" s="46"/>
    </row>
    <row r="442" ht="44.25" customHeight="1">
      <c r="A442" s="35">
        <v>441.0</v>
      </c>
      <c r="B442" s="35">
        <v>26270.0</v>
      </c>
      <c r="C442" s="35" t="s">
        <v>581</v>
      </c>
      <c r="D442" s="35" t="s">
        <v>4660</v>
      </c>
      <c r="E442" s="35" t="s">
        <v>4680</v>
      </c>
      <c r="F442" s="35" t="s">
        <v>7289</v>
      </c>
      <c r="G442" s="41" t="s">
        <v>7290</v>
      </c>
      <c r="H442" s="35" t="s">
        <v>59</v>
      </c>
      <c r="I442" s="35" t="s">
        <v>61</v>
      </c>
      <c r="J442" s="35" t="s">
        <v>62</v>
      </c>
      <c r="K442" s="35" t="s">
        <v>111</v>
      </c>
      <c r="L442" s="35">
        <v>100.0</v>
      </c>
      <c r="M442" s="35" t="s">
        <v>7294</v>
      </c>
      <c r="N442" s="35" t="s">
        <v>66</v>
      </c>
      <c r="O442" s="35" t="s">
        <v>67</v>
      </c>
      <c r="P442" s="35" t="s">
        <v>7295</v>
      </c>
      <c r="Q442" s="35"/>
      <c r="R442" s="35"/>
      <c r="S442" s="35"/>
      <c r="T442" s="35" t="s">
        <v>1298</v>
      </c>
      <c r="U442" s="35">
        <v>12.0</v>
      </c>
      <c r="V442" s="35" t="s">
        <v>61</v>
      </c>
      <c r="W442" s="35" t="s">
        <v>93</v>
      </c>
      <c r="X442" s="35" t="s">
        <v>7297</v>
      </c>
      <c r="Y442" s="35" t="s">
        <v>7299</v>
      </c>
      <c r="Z442" s="112" t="s">
        <v>7301</v>
      </c>
      <c r="AA442" s="46">
        <v>46023.0</v>
      </c>
      <c r="AB442" s="46">
        <v>46387.0</v>
      </c>
      <c r="AC442" s="35" t="s">
        <v>7302</v>
      </c>
      <c r="AD442" s="35" t="s">
        <v>79</v>
      </c>
      <c r="AE442" s="35" t="s">
        <v>61</v>
      </c>
      <c r="AF442" s="187"/>
      <c r="AG442" s="46"/>
    </row>
    <row r="443" ht="44.25" customHeight="1">
      <c r="A443" s="35">
        <v>442.0</v>
      </c>
      <c r="B443" s="35">
        <v>48946.0</v>
      </c>
      <c r="C443" s="35" t="s">
        <v>581</v>
      </c>
      <c r="D443" s="35" t="s">
        <v>4717</v>
      </c>
      <c r="E443" s="35" t="s">
        <v>4771</v>
      </c>
      <c r="F443" s="35" t="s">
        <v>7307</v>
      </c>
      <c r="G443" s="41" t="s">
        <v>7309</v>
      </c>
      <c r="H443" s="35" t="s">
        <v>59</v>
      </c>
      <c r="I443" s="35" t="s">
        <v>61</v>
      </c>
      <c r="J443" s="35" t="s">
        <v>62</v>
      </c>
      <c r="K443" s="35" t="s">
        <v>111</v>
      </c>
      <c r="L443" s="35">
        <v>94.0</v>
      </c>
      <c r="M443" s="35" t="s">
        <v>7312</v>
      </c>
      <c r="N443" s="35" t="s">
        <v>66</v>
      </c>
      <c r="O443" s="35" t="s">
        <v>67</v>
      </c>
      <c r="P443" s="35" t="s">
        <v>7314</v>
      </c>
      <c r="Q443" s="35"/>
      <c r="R443" s="35"/>
      <c r="S443" s="35"/>
      <c r="T443" s="35" t="s">
        <v>1298</v>
      </c>
      <c r="U443" s="35">
        <v>12.0</v>
      </c>
      <c r="V443" s="35" t="s">
        <v>61</v>
      </c>
      <c r="W443" s="35" t="s">
        <v>93</v>
      </c>
      <c r="X443" s="35" t="s">
        <v>7315</v>
      </c>
      <c r="Y443" s="35" t="s">
        <v>7316</v>
      </c>
      <c r="Z443" s="112" t="s">
        <v>7317</v>
      </c>
      <c r="AA443" s="46">
        <v>46023.0</v>
      </c>
      <c r="AB443" s="46">
        <v>46387.0</v>
      </c>
      <c r="AC443" s="35" t="s">
        <v>7318</v>
      </c>
      <c r="AD443" s="35" t="s">
        <v>79</v>
      </c>
      <c r="AE443" s="35" t="s">
        <v>61</v>
      </c>
      <c r="AF443" s="52"/>
      <c r="AG443" s="46"/>
    </row>
    <row r="444" ht="44.25" customHeight="1">
      <c r="A444" s="35">
        <v>443.0</v>
      </c>
      <c r="B444" s="35">
        <v>1815.0</v>
      </c>
      <c r="C444" s="35" t="s">
        <v>581</v>
      </c>
      <c r="D444" s="35" t="s">
        <v>4717</v>
      </c>
      <c r="E444" s="35" t="s">
        <v>4771</v>
      </c>
      <c r="F444" s="35" t="s">
        <v>7320</v>
      </c>
      <c r="G444" s="41" t="s">
        <v>7322</v>
      </c>
      <c r="H444" s="35" t="s">
        <v>59</v>
      </c>
      <c r="I444" s="35" t="s">
        <v>61</v>
      </c>
      <c r="J444" s="35" t="s">
        <v>62</v>
      </c>
      <c r="K444" s="35" t="s">
        <v>111</v>
      </c>
      <c r="L444" s="35">
        <v>100.0</v>
      </c>
      <c r="M444" s="35" t="s">
        <v>7324</v>
      </c>
      <c r="N444" s="35" t="s">
        <v>66</v>
      </c>
      <c r="O444" s="35" t="s">
        <v>67</v>
      </c>
      <c r="P444" s="35" t="s">
        <v>7325</v>
      </c>
      <c r="Q444" s="35"/>
      <c r="R444" s="35"/>
      <c r="S444" s="35"/>
      <c r="T444" s="35" t="s">
        <v>1298</v>
      </c>
      <c r="U444" s="35">
        <v>10.0</v>
      </c>
      <c r="V444" s="35" t="s">
        <v>61</v>
      </c>
      <c r="W444" s="35" t="s">
        <v>93</v>
      </c>
      <c r="X444" s="35" t="s">
        <v>7327</v>
      </c>
      <c r="Y444" s="35" t="s">
        <v>7328</v>
      </c>
      <c r="Z444" s="112" t="s">
        <v>7329</v>
      </c>
      <c r="AA444" s="46">
        <v>46023.0</v>
      </c>
      <c r="AB444" s="46">
        <v>46387.0</v>
      </c>
      <c r="AC444" s="35" t="s">
        <v>7330</v>
      </c>
      <c r="AD444" s="35" t="s">
        <v>79</v>
      </c>
      <c r="AE444" s="52"/>
      <c r="AF444" s="35"/>
      <c r="AG444" s="46"/>
    </row>
    <row r="445" ht="44.25" customHeight="1">
      <c r="A445" s="35">
        <v>444.0</v>
      </c>
      <c r="B445" s="35">
        <v>756.0</v>
      </c>
      <c r="C445" s="35" t="s">
        <v>581</v>
      </c>
      <c r="D445" s="35" t="s">
        <v>4717</v>
      </c>
      <c r="E445" s="35" t="s">
        <v>4771</v>
      </c>
      <c r="F445" s="35" t="s">
        <v>7331</v>
      </c>
      <c r="G445" s="41" t="s">
        <v>7332</v>
      </c>
      <c r="H445" s="35" t="s">
        <v>59</v>
      </c>
      <c r="I445" s="35" t="s">
        <v>61</v>
      </c>
      <c r="J445" s="35" t="s">
        <v>62</v>
      </c>
      <c r="K445" s="35" t="s">
        <v>111</v>
      </c>
      <c r="L445" s="35">
        <v>110.0</v>
      </c>
      <c r="M445" s="35" t="s">
        <v>7333</v>
      </c>
      <c r="N445" s="35" t="s">
        <v>66</v>
      </c>
      <c r="O445" s="35" t="s">
        <v>67</v>
      </c>
      <c r="P445" s="35" t="s">
        <v>7334</v>
      </c>
      <c r="Q445" s="35"/>
      <c r="R445" s="35"/>
      <c r="S445" s="35"/>
      <c r="T445" s="35" t="s">
        <v>1298</v>
      </c>
      <c r="U445" s="35">
        <v>10.0</v>
      </c>
      <c r="V445" s="35" t="s">
        <v>61</v>
      </c>
      <c r="W445" s="35" t="s">
        <v>93</v>
      </c>
      <c r="X445" s="35" t="s">
        <v>7335</v>
      </c>
      <c r="Y445" s="35" t="s">
        <v>7336</v>
      </c>
      <c r="Z445" s="112" t="s">
        <v>7337</v>
      </c>
      <c r="AA445" s="46">
        <v>46023.0</v>
      </c>
      <c r="AB445" s="46">
        <v>46387.0</v>
      </c>
      <c r="AC445" s="35" t="s">
        <v>7338</v>
      </c>
      <c r="AD445" s="35" t="s">
        <v>79</v>
      </c>
      <c r="AE445" s="52"/>
      <c r="AF445" s="35"/>
      <c r="AG445" s="46"/>
    </row>
    <row r="446" ht="44.25" customHeight="1">
      <c r="A446" s="35">
        <v>445.0</v>
      </c>
      <c r="B446" s="35">
        <v>24195.0</v>
      </c>
      <c r="C446" s="35" t="s">
        <v>581</v>
      </c>
      <c r="D446" s="35" t="s">
        <v>4717</v>
      </c>
      <c r="E446" s="35" t="s">
        <v>4771</v>
      </c>
      <c r="F446" s="35" t="s">
        <v>7339</v>
      </c>
      <c r="G446" s="41" t="s">
        <v>7340</v>
      </c>
      <c r="H446" s="35" t="s">
        <v>59</v>
      </c>
      <c r="I446" s="35" t="s">
        <v>61</v>
      </c>
      <c r="J446" s="35" t="s">
        <v>62</v>
      </c>
      <c r="K446" s="35" t="s">
        <v>111</v>
      </c>
      <c r="L446" s="35">
        <v>20.0</v>
      </c>
      <c r="M446" s="35" t="s">
        <v>7341</v>
      </c>
      <c r="N446" s="35" t="s">
        <v>66</v>
      </c>
      <c r="O446" s="35" t="s">
        <v>67</v>
      </c>
      <c r="P446" s="35" t="s">
        <v>7342</v>
      </c>
      <c r="Q446" s="35"/>
      <c r="R446" s="35"/>
      <c r="S446" s="35"/>
      <c r="T446" s="35" t="s">
        <v>1298</v>
      </c>
      <c r="U446" s="35">
        <v>5.0</v>
      </c>
      <c r="V446" s="35" t="s">
        <v>61</v>
      </c>
      <c r="W446" s="35" t="s">
        <v>93</v>
      </c>
      <c r="X446" s="35" t="s">
        <v>7343</v>
      </c>
      <c r="Y446" s="35" t="s">
        <v>7344</v>
      </c>
      <c r="Z446" s="35" t="s">
        <v>7345</v>
      </c>
      <c r="AA446" s="46">
        <v>46023.0</v>
      </c>
      <c r="AB446" s="46">
        <v>46387.0</v>
      </c>
      <c r="AC446" s="35" t="s">
        <v>7346</v>
      </c>
      <c r="AD446" s="35" t="s">
        <v>79</v>
      </c>
      <c r="AE446" s="52"/>
      <c r="AF446" s="52"/>
      <c r="AG446" s="46"/>
    </row>
    <row r="447" ht="44.25" customHeight="1">
      <c r="A447" s="35">
        <v>446.0</v>
      </c>
      <c r="B447" s="35">
        <v>50516.0</v>
      </c>
      <c r="C447" s="35" t="s">
        <v>581</v>
      </c>
      <c r="D447" s="35" t="s">
        <v>4794</v>
      </c>
      <c r="E447" s="35" t="s">
        <v>4795</v>
      </c>
      <c r="F447" s="35" t="s">
        <v>4796</v>
      </c>
      <c r="G447" s="41" t="s">
        <v>7349</v>
      </c>
      <c r="H447" s="35" t="s">
        <v>59</v>
      </c>
      <c r="I447" s="35" t="s">
        <v>61</v>
      </c>
      <c r="J447" s="35" t="s">
        <v>62</v>
      </c>
      <c r="K447" s="35" t="s">
        <v>111</v>
      </c>
      <c r="L447" s="35">
        <v>50.0</v>
      </c>
      <c r="M447" s="35" t="s">
        <v>7350</v>
      </c>
      <c r="N447" s="35" t="s">
        <v>66</v>
      </c>
      <c r="O447" s="35" t="s">
        <v>67</v>
      </c>
      <c r="P447" s="35" t="s">
        <v>7351</v>
      </c>
      <c r="Q447" s="35"/>
      <c r="R447" s="35"/>
      <c r="S447" s="35"/>
      <c r="T447" s="35" t="s">
        <v>1298</v>
      </c>
      <c r="U447" s="35">
        <v>8.0</v>
      </c>
      <c r="V447" s="35" t="s">
        <v>61</v>
      </c>
      <c r="W447" s="35" t="s">
        <v>93</v>
      </c>
      <c r="X447" s="35" t="s">
        <v>7354</v>
      </c>
      <c r="Y447" s="35">
        <v>9.49886802E9</v>
      </c>
      <c r="Z447" s="112" t="s">
        <v>7355</v>
      </c>
      <c r="AA447" s="46">
        <v>46023.0</v>
      </c>
      <c r="AB447" s="46">
        <v>46387.0</v>
      </c>
      <c r="AC447" s="35" t="s">
        <v>7356</v>
      </c>
      <c r="AD447" s="35" t="s">
        <v>79</v>
      </c>
      <c r="AE447" s="35" t="s">
        <v>61</v>
      </c>
      <c r="AF447" s="35"/>
      <c r="AG447" s="46"/>
    </row>
    <row r="448" ht="44.25" customHeight="1">
      <c r="A448" s="35">
        <v>447.0</v>
      </c>
      <c r="B448" s="35">
        <v>50442.0</v>
      </c>
      <c r="C448" s="35" t="s">
        <v>581</v>
      </c>
      <c r="D448" s="35" t="s">
        <v>1274</v>
      </c>
      <c r="E448" s="35" t="s">
        <v>1316</v>
      </c>
      <c r="F448" s="35" t="s">
        <v>7357</v>
      </c>
      <c r="G448" s="41" t="s">
        <v>7358</v>
      </c>
      <c r="H448" s="35" t="s">
        <v>59</v>
      </c>
      <c r="I448" s="35" t="s">
        <v>61</v>
      </c>
      <c r="J448" s="35" t="s">
        <v>62</v>
      </c>
      <c r="K448" s="35" t="s">
        <v>111</v>
      </c>
      <c r="L448" s="35">
        <v>100.0</v>
      </c>
      <c r="M448" s="35" t="s">
        <v>7359</v>
      </c>
      <c r="N448" s="35" t="s">
        <v>71</v>
      </c>
      <c r="O448" s="35" t="s">
        <v>67</v>
      </c>
      <c r="P448" s="35" t="s">
        <v>7361</v>
      </c>
      <c r="Q448" s="35"/>
      <c r="R448" s="35"/>
      <c r="S448" s="35"/>
      <c r="T448" s="35" t="s">
        <v>1298</v>
      </c>
      <c r="U448" s="35">
        <v>8.0</v>
      </c>
      <c r="V448" s="35" t="s">
        <v>61</v>
      </c>
      <c r="W448" s="35" t="s">
        <v>93</v>
      </c>
      <c r="X448" s="35" t="s">
        <v>7362</v>
      </c>
      <c r="Y448" s="35" t="s">
        <v>7364</v>
      </c>
      <c r="Z448" s="112" t="s">
        <v>7365</v>
      </c>
      <c r="AA448" s="46">
        <v>46023.0</v>
      </c>
      <c r="AB448" s="46">
        <v>46387.0</v>
      </c>
      <c r="AC448" s="35" t="s">
        <v>7366</v>
      </c>
      <c r="AD448" s="35" t="s">
        <v>79</v>
      </c>
      <c r="AE448" s="52"/>
      <c r="AF448" s="52"/>
      <c r="AG448" s="46"/>
    </row>
    <row r="449" ht="44.25" customHeight="1">
      <c r="A449" s="35">
        <v>448.0</v>
      </c>
      <c r="B449" s="35">
        <v>32079.0</v>
      </c>
      <c r="C449" s="35" t="s">
        <v>581</v>
      </c>
      <c r="D449" s="35" t="s">
        <v>1274</v>
      </c>
      <c r="E449" s="35" t="s">
        <v>1316</v>
      </c>
      <c r="F449" s="35" t="s">
        <v>7367</v>
      </c>
      <c r="G449" s="41" t="s">
        <v>7368</v>
      </c>
      <c r="H449" s="35" t="s">
        <v>59</v>
      </c>
      <c r="I449" s="35" t="s">
        <v>61</v>
      </c>
      <c r="J449" s="35" t="s">
        <v>62</v>
      </c>
      <c r="K449" s="35" t="s">
        <v>111</v>
      </c>
      <c r="L449" s="35">
        <v>100.0</v>
      </c>
      <c r="M449" s="35" t="s">
        <v>7369</v>
      </c>
      <c r="N449" s="35" t="s">
        <v>66</v>
      </c>
      <c r="O449" s="35" t="s">
        <v>67</v>
      </c>
      <c r="P449" s="35" t="s">
        <v>7370</v>
      </c>
      <c r="Q449" s="35"/>
      <c r="R449" s="35"/>
      <c r="S449" s="35"/>
      <c r="T449" s="35" t="s">
        <v>61</v>
      </c>
      <c r="U449" s="35">
        <v>11.0</v>
      </c>
      <c r="V449" s="35" t="s">
        <v>61</v>
      </c>
      <c r="W449" s="35" t="s">
        <v>93</v>
      </c>
      <c r="X449" s="35" t="s">
        <v>7371</v>
      </c>
      <c r="Y449" s="35" t="s">
        <v>7372</v>
      </c>
      <c r="Z449" s="35" t="s">
        <v>7373</v>
      </c>
      <c r="AA449" s="46">
        <v>46023.0</v>
      </c>
      <c r="AB449" s="46">
        <v>46387.0</v>
      </c>
      <c r="AC449" s="35" t="s">
        <v>7377</v>
      </c>
      <c r="AD449" s="35" t="s">
        <v>79</v>
      </c>
      <c r="AE449" s="52"/>
      <c r="AF449" s="35"/>
      <c r="AG449" s="46"/>
    </row>
    <row r="450" ht="44.25" customHeight="1">
      <c r="A450" s="35">
        <v>449.0</v>
      </c>
      <c r="B450" s="52"/>
      <c r="C450" s="35" t="s">
        <v>581</v>
      </c>
      <c r="D450" s="35" t="s">
        <v>1274</v>
      </c>
      <c r="E450" s="35" t="s">
        <v>1316</v>
      </c>
      <c r="F450" s="35" t="s">
        <v>7379</v>
      </c>
      <c r="G450" s="41" t="s">
        <v>7380</v>
      </c>
      <c r="H450" s="35" t="s">
        <v>59</v>
      </c>
      <c r="I450" s="35" t="s">
        <v>61</v>
      </c>
      <c r="J450" s="35" t="s">
        <v>62</v>
      </c>
      <c r="K450" s="35" t="s">
        <v>68</v>
      </c>
      <c r="L450" s="35">
        <v>200.0</v>
      </c>
      <c r="M450" s="35" t="s">
        <v>7382</v>
      </c>
      <c r="N450" s="52"/>
      <c r="O450" s="52"/>
      <c r="P450" s="35" t="s">
        <v>7383</v>
      </c>
      <c r="Q450" s="35"/>
      <c r="R450" s="35"/>
      <c r="S450" s="35"/>
      <c r="T450" s="52"/>
      <c r="U450" s="35">
        <v>6.0</v>
      </c>
      <c r="V450" s="35" t="s">
        <v>533</v>
      </c>
      <c r="W450" s="35" t="s">
        <v>93</v>
      </c>
      <c r="X450" s="35" t="s">
        <v>7385</v>
      </c>
      <c r="Y450" s="35">
        <v>6.3333377702E10</v>
      </c>
      <c r="Z450" s="35" t="s">
        <v>7387</v>
      </c>
      <c r="AA450" s="46">
        <v>46023.0</v>
      </c>
      <c r="AB450" s="46">
        <v>46387.0</v>
      </c>
      <c r="AC450" s="35" t="s">
        <v>7388</v>
      </c>
      <c r="AD450" s="35" t="s">
        <v>79</v>
      </c>
      <c r="AE450" s="35" t="s">
        <v>165</v>
      </c>
      <c r="AF450" s="35" t="s">
        <v>7389</v>
      </c>
      <c r="AG450" s="46"/>
    </row>
    <row r="451" ht="44.25" customHeight="1">
      <c r="A451" s="35">
        <v>450.0</v>
      </c>
      <c r="B451" s="52"/>
      <c r="C451" s="35" t="s">
        <v>581</v>
      </c>
      <c r="D451" s="35" t="s">
        <v>1274</v>
      </c>
      <c r="E451" s="35" t="s">
        <v>1316</v>
      </c>
      <c r="F451" s="35" t="s">
        <v>7390</v>
      </c>
      <c r="G451" s="41" t="s">
        <v>7391</v>
      </c>
      <c r="H451" s="35" t="s">
        <v>59</v>
      </c>
      <c r="I451" s="35" t="s">
        <v>61</v>
      </c>
      <c r="J451" s="35" t="s">
        <v>62</v>
      </c>
      <c r="K451" s="35" t="s">
        <v>68</v>
      </c>
      <c r="L451" s="35">
        <v>345.0</v>
      </c>
      <c r="M451" s="35" t="s">
        <v>7394</v>
      </c>
      <c r="N451" s="35" t="s">
        <v>221</v>
      </c>
      <c r="O451" s="52"/>
      <c r="P451" s="35" t="s">
        <v>1180</v>
      </c>
      <c r="Q451" s="35"/>
      <c r="R451" s="35"/>
      <c r="S451" s="52"/>
      <c r="T451" s="52"/>
      <c r="U451" s="35">
        <v>11.0</v>
      </c>
      <c r="V451" s="52"/>
      <c r="W451" s="35" t="s">
        <v>93</v>
      </c>
      <c r="X451" s="35" t="s">
        <v>7396</v>
      </c>
      <c r="Y451" s="35" t="s">
        <v>7398</v>
      </c>
      <c r="Z451" s="35" t="s">
        <v>7400</v>
      </c>
      <c r="AA451" s="46">
        <v>46023.0</v>
      </c>
      <c r="AB451" s="46">
        <v>46387.0</v>
      </c>
      <c r="AC451" s="35" t="s">
        <v>7401</v>
      </c>
      <c r="AD451" s="35" t="s">
        <v>79</v>
      </c>
      <c r="AE451" s="52"/>
      <c r="AF451" s="52"/>
      <c r="AG451" s="46"/>
    </row>
    <row r="452" ht="44.25" customHeight="1">
      <c r="A452" s="35">
        <v>451.0</v>
      </c>
      <c r="B452" s="35">
        <v>32078.0</v>
      </c>
      <c r="C452" s="35" t="s">
        <v>581</v>
      </c>
      <c r="D452" s="35" t="s">
        <v>1274</v>
      </c>
      <c r="E452" s="35" t="s">
        <v>1316</v>
      </c>
      <c r="F452" s="35" t="s">
        <v>7403</v>
      </c>
      <c r="G452" s="41" t="s">
        <v>7404</v>
      </c>
      <c r="H452" s="35" t="s">
        <v>59</v>
      </c>
      <c r="I452" s="35" t="s">
        <v>61</v>
      </c>
      <c r="J452" s="35" t="s">
        <v>62</v>
      </c>
      <c r="K452" s="35" t="s">
        <v>111</v>
      </c>
      <c r="L452" s="35">
        <v>60.0</v>
      </c>
      <c r="M452" s="35" t="s">
        <v>7405</v>
      </c>
      <c r="N452" s="35" t="s">
        <v>66</v>
      </c>
      <c r="O452" s="35" t="s">
        <v>67</v>
      </c>
      <c r="P452" s="35" t="s">
        <v>7406</v>
      </c>
      <c r="Q452" s="35"/>
      <c r="R452" s="35"/>
      <c r="S452" s="35"/>
      <c r="T452" s="35" t="s">
        <v>1298</v>
      </c>
      <c r="U452" s="35">
        <v>2.0</v>
      </c>
      <c r="V452" s="35" t="s">
        <v>61</v>
      </c>
      <c r="W452" s="35" t="s">
        <v>93</v>
      </c>
      <c r="X452" s="35" t="s">
        <v>7407</v>
      </c>
      <c r="Y452" s="35" t="s">
        <v>7408</v>
      </c>
      <c r="Z452" s="112" t="s">
        <v>7409</v>
      </c>
      <c r="AA452" s="46">
        <v>46023.0</v>
      </c>
      <c r="AB452" s="46">
        <v>46387.0</v>
      </c>
      <c r="AC452" s="35" t="s">
        <v>7411</v>
      </c>
      <c r="AD452" s="35" t="s">
        <v>79</v>
      </c>
      <c r="AE452" s="52"/>
      <c r="AF452" s="73"/>
      <c r="AG452" s="46"/>
    </row>
    <row r="453" ht="44.25" customHeight="1">
      <c r="A453" s="35">
        <v>452.0</v>
      </c>
      <c r="B453" s="35">
        <v>38114.0</v>
      </c>
      <c r="C453" s="35" t="s">
        <v>581</v>
      </c>
      <c r="D453" s="35" t="s">
        <v>1274</v>
      </c>
      <c r="E453" s="35" t="s">
        <v>1316</v>
      </c>
      <c r="F453" s="35" t="s">
        <v>7413</v>
      </c>
      <c r="G453" s="41" t="s">
        <v>7414</v>
      </c>
      <c r="H453" s="35" t="s">
        <v>59</v>
      </c>
      <c r="I453" s="35" t="s">
        <v>61</v>
      </c>
      <c r="J453" s="35" t="s">
        <v>62</v>
      </c>
      <c r="K453" s="35" t="s">
        <v>111</v>
      </c>
      <c r="L453" s="35">
        <v>110.0</v>
      </c>
      <c r="M453" s="35" t="s">
        <v>7417</v>
      </c>
      <c r="N453" s="35" t="s">
        <v>66</v>
      </c>
      <c r="O453" s="35" t="s">
        <v>67</v>
      </c>
      <c r="P453" s="35" t="s">
        <v>7418</v>
      </c>
      <c r="Q453" s="35"/>
      <c r="R453" s="35"/>
      <c r="S453" s="35"/>
      <c r="T453" s="35" t="s">
        <v>1298</v>
      </c>
      <c r="U453" s="35">
        <v>10.0</v>
      </c>
      <c r="V453" s="35" t="s">
        <v>61</v>
      </c>
      <c r="W453" s="35" t="s">
        <v>93</v>
      </c>
      <c r="X453" s="35" t="s">
        <v>7421</v>
      </c>
      <c r="Y453" s="35" t="s">
        <v>7422</v>
      </c>
      <c r="Z453" s="112" t="s">
        <v>7423</v>
      </c>
      <c r="AA453" s="46">
        <v>46023.0</v>
      </c>
      <c r="AB453" s="46">
        <v>46387.0</v>
      </c>
      <c r="AC453" s="35" t="s">
        <v>7424</v>
      </c>
      <c r="AD453" s="35" t="s">
        <v>79</v>
      </c>
      <c r="AE453" s="35" t="s">
        <v>61</v>
      </c>
      <c r="AF453" s="52"/>
      <c r="AG453" s="46"/>
    </row>
    <row r="454" ht="44.25" customHeight="1">
      <c r="A454" s="35">
        <v>453.0</v>
      </c>
      <c r="B454" s="35">
        <v>2349.0</v>
      </c>
      <c r="C454" s="35" t="s">
        <v>581</v>
      </c>
      <c r="D454" s="35" t="s">
        <v>1274</v>
      </c>
      <c r="E454" s="35" t="s">
        <v>1316</v>
      </c>
      <c r="F454" s="35" t="s">
        <v>7425</v>
      </c>
      <c r="G454" s="41" t="s">
        <v>7426</v>
      </c>
      <c r="H454" s="35" t="s">
        <v>59</v>
      </c>
      <c r="I454" s="35" t="s">
        <v>61</v>
      </c>
      <c r="J454" s="35" t="s">
        <v>62</v>
      </c>
      <c r="K454" s="35" t="s">
        <v>111</v>
      </c>
      <c r="L454" s="35">
        <v>43.0</v>
      </c>
      <c r="M454" s="35" t="s">
        <v>61</v>
      </c>
      <c r="N454" s="35" t="s">
        <v>66</v>
      </c>
      <c r="O454" s="35" t="s">
        <v>67</v>
      </c>
      <c r="P454" s="35" t="s">
        <v>7429</v>
      </c>
      <c r="Q454" s="35"/>
      <c r="R454" s="35"/>
      <c r="S454" s="35"/>
      <c r="T454" s="35" t="s">
        <v>1298</v>
      </c>
      <c r="U454" s="35" t="s">
        <v>61</v>
      </c>
      <c r="V454" s="35" t="s">
        <v>61</v>
      </c>
      <c r="W454" s="35" t="s">
        <v>93</v>
      </c>
      <c r="X454" s="35" t="s">
        <v>7431</v>
      </c>
      <c r="Y454" s="35" t="s">
        <v>7432</v>
      </c>
      <c r="Z454" s="35" t="s">
        <v>7434</v>
      </c>
      <c r="AA454" s="46">
        <v>46023.0</v>
      </c>
      <c r="AB454" s="46">
        <v>46387.0</v>
      </c>
      <c r="AC454" s="35" t="s">
        <v>7435</v>
      </c>
      <c r="AD454" s="35" t="s">
        <v>79</v>
      </c>
      <c r="AE454" s="52"/>
      <c r="AF454" s="52"/>
      <c r="AG454" s="46"/>
    </row>
    <row r="455" ht="44.25" customHeight="1">
      <c r="A455" s="35">
        <v>454.0</v>
      </c>
      <c r="B455" s="52"/>
      <c r="C455" s="35" t="s">
        <v>581</v>
      </c>
      <c r="D455" s="35" t="s">
        <v>1274</v>
      </c>
      <c r="E455" s="35" t="s">
        <v>1316</v>
      </c>
      <c r="F455" s="35" t="s">
        <v>7436</v>
      </c>
      <c r="G455" s="41" t="s">
        <v>7437</v>
      </c>
      <c r="H455" s="35" t="s">
        <v>59</v>
      </c>
      <c r="I455" s="35" t="s">
        <v>61</v>
      </c>
      <c r="J455" s="35" t="s">
        <v>62</v>
      </c>
      <c r="K455" s="35" t="s">
        <v>68</v>
      </c>
      <c r="L455" s="35">
        <v>180.0</v>
      </c>
      <c r="M455" s="35" t="s">
        <v>7441</v>
      </c>
      <c r="N455" s="35" t="s">
        <v>71</v>
      </c>
      <c r="O455" s="52"/>
      <c r="P455" s="35" t="s">
        <v>7442</v>
      </c>
      <c r="Q455" s="35"/>
      <c r="R455" s="35"/>
      <c r="S455" s="52"/>
      <c r="T455" s="52"/>
      <c r="U455" s="35">
        <v>15.0</v>
      </c>
      <c r="V455" s="52"/>
      <c r="W455" s="35" t="s">
        <v>93</v>
      </c>
      <c r="X455" s="35" t="s">
        <v>7443</v>
      </c>
      <c r="Y455" s="35" t="s">
        <v>7445</v>
      </c>
      <c r="Z455" s="35" t="s">
        <v>7446</v>
      </c>
      <c r="AA455" s="46">
        <v>46023.0</v>
      </c>
      <c r="AB455" s="46">
        <v>46387.0</v>
      </c>
      <c r="AC455" s="35" t="s">
        <v>7447</v>
      </c>
      <c r="AD455" s="35" t="s">
        <v>79</v>
      </c>
      <c r="AE455" s="52"/>
      <c r="AF455" s="52"/>
      <c r="AG455" s="46"/>
    </row>
    <row r="456" ht="44.25" customHeight="1">
      <c r="A456" s="35">
        <v>455.0</v>
      </c>
      <c r="B456" s="35">
        <v>3715.0</v>
      </c>
      <c r="C456" s="35" t="s">
        <v>581</v>
      </c>
      <c r="D456" s="35" t="s">
        <v>1274</v>
      </c>
      <c r="E456" s="35" t="s">
        <v>1316</v>
      </c>
      <c r="F456" s="35" t="s">
        <v>7449</v>
      </c>
      <c r="G456" s="41" t="s">
        <v>7451</v>
      </c>
      <c r="H456" s="35" t="s">
        <v>59</v>
      </c>
      <c r="I456" s="35" t="s">
        <v>61</v>
      </c>
      <c r="J456" s="35" t="s">
        <v>62</v>
      </c>
      <c r="K456" s="35" t="s">
        <v>111</v>
      </c>
      <c r="L456" s="35">
        <v>122.0</v>
      </c>
      <c r="M456" s="35" t="s">
        <v>7455</v>
      </c>
      <c r="N456" s="35" t="s">
        <v>66</v>
      </c>
      <c r="O456" s="35" t="s">
        <v>67</v>
      </c>
      <c r="P456" s="35" t="s">
        <v>7456</v>
      </c>
      <c r="Q456" s="35"/>
      <c r="R456" s="35"/>
      <c r="S456" s="35"/>
      <c r="T456" s="35" t="s">
        <v>1298</v>
      </c>
      <c r="U456" s="35" t="s">
        <v>61</v>
      </c>
      <c r="V456" s="35" t="s">
        <v>61</v>
      </c>
      <c r="W456" s="35" t="s">
        <v>93</v>
      </c>
      <c r="X456" s="35" t="s">
        <v>7458</v>
      </c>
      <c r="Y456" s="35" t="s">
        <v>7459</v>
      </c>
      <c r="Z456" s="35" t="s">
        <v>7460</v>
      </c>
      <c r="AA456" s="46">
        <v>46023.0</v>
      </c>
      <c r="AB456" s="46">
        <v>46387.0</v>
      </c>
      <c r="AC456" s="35" t="s">
        <v>7463</v>
      </c>
      <c r="AD456" s="35" t="s">
        <v>79</v>
      </c>
      <c r="AE456" s="52"/>
      <c r="AF456" s="52"/>
      <c r="AG456" s="46"/>
    </row>
    <row r="457" ht="44.25" customHeight="1">
      <c r="A457" s="35">
        <v>456.0</v>
      </c>
      <c r="B457" s="35"/>
      <c r="C457" s="35" t="s">
        <v>682</v>
      </c>
      <c r="D457" s="35" t="s">
        <v>1498</v>
      </c>
      <c r="E457" s="35" t="s">
        <v>1499</v>
      </c>
      <c r="F457" s="35" t="s">
        <v>7464</v>
      </c>
      <c r="G457" s="41" t="s">
        <v>7465</v>
      </c>
      <c r="H457" s="35" t="s">
        <v>59</v>
      </c>
      <c r="I457" s="35" t="s">
        <v>61</v>
      </c>
      <c r="J457" s="35" t="s">
        <v>62</v>
      </c>
      <c r="K457" s="35" t="s">
        <v>111</v>
      </c>
      <c r="L457" s="35">
        <v>100.0</v>
      </c>
      <c r="M457" s="35" t="s">
        <v>7467</v>
      </c>
      <c r="N457" s="35" t="s">
        <v>66</v>
      </c>
      <c r="O457" s="35" t="s">
        <v>67</v>
      </c>
      <c r="P457" s="35" t="s">
        <v>7468</v>
      </c>
      <c r="Q457" s="35"/>
      <c r="R457" s="35"/>
      <c r="S457" s="35"/>
      <c r="T457" s="35"/>
      <c r="U457" s="35">
        <v>8.0</v>
      </c>
      <c r="V457" s="35" t="s">
        <v>61</v>
      </c>
      <c r="W457" s="35" t="s">
        <v>93</v>
      </c>
      <c r="X457" s="35" t="s">
        <v>7471</v>
      </c>
      <c r="Y457" s="35" t="s">
        <v>7473</v>
      </c>
      <c r="Z457" s="35" t="s">
        <v>7474</v>
      </c>
      <c r="AA457" s="46">
        <v>46023.0</v>
      </c>
      <c r="AB457" s="46">
        <v>46387.0</v>
      </c>
      <c r="AC457" s="35" t="s">
        <v>7476</v>
      </c>
      <c r="AD457" s="35" t="s">
        <v>79</v>
      </c>
      <c r="AE457" s="35"/>
      <c r="AF457" s="35"/>
      <c r="AG457" s="46"/>
    </row>
    <row r="458" ht="44.25" customHeight="1">
      <c r="A458" s="35">
        <v>457.0</v>
      </c>
      <c r="B458" s="35"/>
      <c r="C458" s="35" t="s">
        <v>682</v>
      </c>
      <c r="D458" s="35" t="s">
        <v>1498</v>
      </c>
      <c r="E458" s="35" t="s">
        <v>5385</v>
      </c>
      <c r="F458" s="35" t="s">
        <v>7478</v>
      </c>
      <c r="G458" s="41" t="s">
        <v>7479</v>
      </c>
      <c r="H458" s="35" t="s">
        <v>59</v>
      </c>
      <c r="I458" s="35" t="s">
        <v>61</v>
      </c>
      <c r="J458" s="35" t="s">
        <v>62</v>
      </c>
      <c r="K458" s="35" t="s">
        <v>111</v>
      </c>
      <c r="L458" s="35">
        <v>58.0</v>
      </c>
      <c r="M458" s="35" t="s">
        <v>7480</v>
      </c>
      <c r="N458" s="35" t="s">
        <v>71</v>
      </c>
      <c r="O458" s="35" t="s">
        <v>67</v>
      </c>
      <c r="P458" s="35" t="s">
        <v>7481</v>
      </c>
      <c r="Q458" s="35"/>
      <c r="R458" s="35"/>
      <c r="S458" s="35"/>
      <c r="T458" s="35"/>
      <c r="U458" s="35">
        <v>8.0</v>
      </c>
      <c r="V458" s="35" t="s">
        <v>61</v>
      </c>
      <c r="W458" s="35" t="s">
        <v>93</v>
      </c>
      <c r="X458" s="35" t="s">
        <v>7482</v>
      </c>
      <c r="Y458" s="35" t="s">
        <v>7483</v>
      </c>
      <c r="Z458" s="35" t="s">
        <v>7484</v>
      </c>
      <c r="AA458" s="46">
        <v>46023.0</v>
      </c>
      <c r="AB458" s="46">
        <v>46387.0</v>
      </c>
      <c r="AC458" s="35" t="s">
        <v>7485</v>
      </c>
      <c r="AD458" s="35" t="s">
        <v>79</v>
      </c>
      <c r="AE458" s="35"/>
      <c r="AF458" s="35"/>
      <c r="AG458" s="46"/>
    </row>
    <row r="459" ht="44.25" customHeight="1">
      <c r="A459" s="35">
        <v>458.0</v>
      </c>
      <c r="B459" s="35"/>
      <c r="C459" s="35" t="s">
        <v>682</v>
      </c>
      <c r="D459" s="35" t="s">
        <v>1498</v>
      </c>
      <c r="E459" s="35" t="s">
        <v>1499</v>
      </c>
      <c r="F459" s="35" t="s">
        <v>7491</v>
      </c>
      <c r="G459" s="41" t="s">
        <v>7492</v>
      </c>
      <c r="H459" s="35" t="s">
        <v>59</v>
      </c>
      <c r="I459" s="35" t="s">
        <v>61</v>
      </c>
      <c r="J459" s="35" t="s">
        <v>62</v>
      </c>
      <c r="K459" s="35" t="s">
        <v>111</v>
      </c>
      <c r="L459" s="35">
        <v>70.0</v>
      </c>
      <c r="M459" s="35" t="s">
        <v>7467</v>
      </c>
      <c r="N459" s="35" t="s">
        <v>66</v>
      </c>
      <c r="O459" s="35" t="s">
        <v>67</v>
      </c>
      <c r="P459" s="35" t="s">
        <v>7496</v>
      </c>
      <c r="Q459" s="35"/>
      <c r="R459" s="35"/>
      <c r="S459" s="35"/>
      <c r="T459" s="35"/>
      <c r="U459" s="35">
        <v>12.0</v>
      </c>
      <c r="V459" s="35" t="s">
        <v>61</v>
      </c>
      <c r="W459" s="35" t="s">
        <v>93</v>
      </c>
      <c r="X459" s="35" t="s">
        <v>7497</v>
      </c>
      <c r="Y459" s="35" t="s">
        <v>7498</v>
      </c>
      <c r="Z459" s="35" t="s">
        <v>7499</v>
      </c>
      <c r="AA459" s="46">
        <v>46023.0</v>
      </c>
      <c r="AB459" s="46">
        <v>46387.0</v>
      </c>
      <c r="AC459" s="35" t="s">
        <v>7500</v>
      </c>
      <c r="AD459" s="35" t="s">
        <v>79</v>
      </c>
      <c r="AE459" s="35"/>
      <c r="AF459" s="35"/>
      <c r="AG459" s="46"/>
    </row>
    <row r="460" ht="44.25" customHeight="1">
      <c r="A460" s="35">
        <v>459.0</v>
      </c>
      <c r="B460" s="35"/>
      <c r="C460" s="35" t="s">
        <v>682</v>
      </c>
      <c r="D460" s="35" t="s">
        <v>1408</v>
      </c>
      <c r="E460" s="35" t="s">
        <v>1409</v>
      </c>
      <c r="F460" s="35" t="s">
        <v>7502</v>
      </c>
      <c r="G460" s="41" t="s">
        <v>7504</v>
      </c>
      <c r="H460" s="35" t="s">
        <v>59</v>
      </c>
      <c r="I460" s="35" t="s">
        <v>61</v>
      </c>
      <c r="J460" s="35" t="s">
        <v>62</v>
      </c>
      <c r="K460" s="35" t="s">
        <v>111</v>
      </c>
      <c r="L460" s="35">
        <v>100.0</v>
      </c>
      <c r="M460" s="35" t="s">
        <v>7506</v>
      </c>
      <c r="N460" s="35" t="s">
        <v>71</v>
      </c>
      <c r="O460" s="35" t="s">
        <v>67</v>
      </c>
      <c r="P460" s="35" t="s">
        <v>7507</v>
      </c>
      <c r="Q460" s="35"/>
      <c r="R460" s="35"/>
      <c r="S460" s="35"/>
      <c r="T460" s="35"/>
      <c r="U460" s="35">
        <v>17.0</v>
      </c>
      <c r="V460" s="35" t="s">
        <v>61</v>
      </c>
      <c r="W460" s="35" t="s">
        <v>93</v>
      </c>
      <c r="X460" s="35" t="s">
        <v>7508</v>
      </c>
      <c r="Y460" s="35" t="s">
        <v>7510</v>
      </c>
      <c r="Z460" s="35" t="s">
        <v>7511</v>
      </c>
      <c r="AA460" s="46">
        <v>46023.0</v>
      </c>
      <c r="AB460" s="46">
        <v>46387.0</v>
      </c>
      <c r="AC460" s="35" t="s">
        <v>7512</v>
      </c>
      <c r="AD460" s="35" t="s">
        <v>79</v>
      </c>
      <c r="AE460" s="35"/>
      <c r="AF460" s="35"/>
      <c r="AG460" s="46"/>
    </row>
    <row r="461" ht="44.25" customHeight="1">
      <c r="A461" s="35">
        <v>460.0</v>
      </c>
      <c r="B461" s="35"/>
      <c r="C461" s="35" t="s">
        <v>682</v>
      </c>
      <c r="D461" s="35" t="s">
        <v>1498</v>
      </c>
      <c r="E461" s="35" t="s">
        <v>1673</v>
      </c>
      <c r="F461" s="35" t="s">
        <v>7513</v>
      </c>
      <c r="G461" s="41" t="s">
        <v>7514</v>
      </c>
      <c r="H461" s="35" t="s">
        <v>59</v>
      </c>
      <c r="I461" s="35" t="s">
        <v>61</v>
      </c>
      <c r="J461" s="35" t="s">
        <v>62</v>
      </c>
      <c r="K461" s="35" t="s">
        <v>111</v>
      </c>
      <c r="L461" s="35">
        <v>60.0</v>
      </c>
      <c r="M461" s="35" t="s">
        <v>7516</v>
      </c>
      <c r="N461" s="35" t="s">
        <v>66</v>
      </c>
      <c r="O461" s="35" t="s">
        <v>67</v>
      </c>
      <c r="P461" s="35" t="s">
        <v>7517</v>
      </c>
      <c r="Q461" s="35"/>
      <c r="R461" s="35"/>
      <c r="S461" s="35"/>
      <c r="T461" s="35"/>
      <c r="U461" s="35"/>
      <c r="V461" s="35" t="s">
        <v>61</v>
      </c>
      <c r="W461" s="35" t="s">
        <v>93</v>
      </c>
      <c r="X461" s="35" t="s">
        <v>7518</v>
      </c>
      <c r="Y461" s="35" t="s">
        <v>7520</v>
      </c>
      <c r="Z461" s="35" t="s">
        <v>7521</v>
      </c>
      <c r="AA461" s="46">
        <v>46023.0</v>
      </c>
      <c r="AB461" s="46">
        <v>46387.0</v>
      </c>
      <c r="AC461" s="35" t="s">
        <v>7522</v>
      </c>
      <c r="AD461" s="35" t="s">
        <v>79</v>
      </c>
      <c r="AE461" s="35"/>
      <c r="AF461" s="35"/>
      <c r="AG461" s="46"/>
    </row>
    <row r="462" ht="44.25" customHeight="1">
      <c r="A462" s="35">
        <v>461.0</v>
      </c>
      <c r="B462" s="35"/>
      <c r="C462" s="35" t="s">
        <v>682</v>
      </c>
      <c r="D462" s="35" t="s">
        <v>1498</v>
      </c>
      <c r="E462" s="35" t="s">
        <v>7524</v>
      </c>
      <c r="F462" s="35" t="s">
        <v>7525</v>
      </c>
      <c r="G462" s="41" t="s">
        <v>7526</v>
      </c>
      <c r="H462" s="35" t="s">
        <v>59</v>
      </c>
      <c r="I462" s="35" t="s">
        <v>61</v>
      </c>
      <c r="J462" s="35" t="s">
        <v>62</v>
      </c>
      <c r="K462" s="35" t="s">
        <v>63</v>
      </c>
      <c r="L462" s="35">
        <v>15.0</v>
      </c>
      <c r="M462" s="35" t="s">
        <v>5129</v>
      </c>
      <c r="N462" s="35" t="s">
        <v>66</v>
      </c>
      <c r="O462" s="35" t="s">
        <v>67</v>
      </c>
      <c r="P462" s="35" t="s">
        <v>7529</v>
      </c>
      <c r="Q462" s="35"/>
      <c r="R462" s="35"/>
      <c r="S462" s="35"/>
      <c r="T462" s="35"/>
      <c r="U462" s="35"/>
      <c r="V462" s="35" t="s">
        <v>61</v>
      </c>
      <c r="W462" s="35" t="s">
        <v>74</v>
      </c>
      <c r="X462" s="35" t="s">
        <v>7530</v>
      </c>
      <c r="Y462" s="35" t="s">
        <v>7531</v>
      </c>
      <c r="Z462" s="35" t="s">
        <v>7532</v>
      </c>
      <c r="AA462" s="46">
        <v>46023.0</v>
      </c>
      <c r="AB462" s="46">
        <v>46387.0</v>
      </c>
      <c r="AC462" s="35"/>
      <c r="AD462" s="35"/>
      <c r="AE462" s="166"/>
      <c r="AF462" s="166"/>
      <c r="AG462" s="46"/>
    </row>
    <row r="463" ht="44.25" customHeight="1">
      <c r="A463" s="35">
        <v>462.0</v>
      </c>
      <c r="B463" s="35"/>
      <c r="C463" s="35" t="s">
        <v>682</v>
      </c>
      <c r="D463" s="35" t="s">
        <v>1498</v>
      </c>
      <c r="E463" s="35" t="s">
        <v>5464</v>
      </c>
      <c r="F463" s="35" t="s">
        <v>7535</v>
      </c>
      <c r="G463" s="41" t="s">
        <v>7536</v>
      </c>
      <c r="H463" s="35" t="s">
        <v>59</v>
      </c>
      <c r="I463" s="35" t="s">
        <v>61</v>
      </c>
      <c r="J463" s="35" t="s">
        <v>62</v>
      </c>
      <c r="K463" s="35" t="s">
        <v>63</v>
      </c>
      <c r="L463" s="35">
        <v>20.0</v>
      </c>
      <c r="M463" s="35" t="s">
        <v>5437</v>
      </c>
      <c r="N463" s="35" t="s">
        <v>66</v>
      </c>
      <c r="O463" s="35" t="s">
        <v>67</v>
      </c>
      <c r="P463" s="35" t="s">
        <v>7540</v>
      </c>
      <c r="Q463" s="35"/>
      <c r="R463" s="35"/>
      <c r="S463" s="35"/>
      <c r="T463" s="35"/>
      <c r="U463" s="35"/>
      <c r="V463" s="35" t="s">
        <v>61</v>
      </c>
      <c r="W463" s="35" t="s">
        <v>74</v>
      </c>
      <c r="X463" s="35" t="s">
        <v>7541</v>
      </c>
      <c r="Y463" s="35" t="s">
        <v>7542</v>
      </c>
      <c r="Z463" s="35" t="s">
        <v>7543</v>
      </c>
      <c r="AA463" s="46">
        <v>46023.0</v>
      </c>
      <c r="AB463" s="46">
        <v>46387.0</v>
      </c>
      <c r="AC463" s="35" t="s">
        <v>7544</v>
      </c>
      <c r="AD463" s="35" t="s">
        <v>79</v>
      </c>
      <c r="AE463" s="35"/>
      <c r="AF463" s="35"/>
      <c r="AG463" s="46"/>
    </row>
    <row r="464" ht="44.25" customHeight="1">
      <c r="A464" s="35">
        <v>463.0</v>
      </c>
      <c r="B464" s="35"/>
      <c r="C464" s="35" t="s">
        <v>682</v>
      </c>
      <c r="D464" s="35" t="s">
        <v>1408</v>
      </c>
      <c r="E464" s="35" t="s">
        <v>1409</v>
      </c>
      <c r="F464" s="35" t="s">
        <v>7546</v>
      </c>
      <c r="G464" s="41" t="s">
        <v>7547</v>
      </c>
      <c r="H464" s="35" t="s">
        <v>59</v>
      </c>
      <c r="I464" s="35" t="s">
        <v>61</v>
      </c>
      <c r="J464" s="35" t="s">
        <v>62</v>
      </c>
      <c r="K464" s="35" t="s">
        <v>63</v>
      </c>
      <c r="L464" s="35">
        <v>50.0</v>
      </c>
      <c r="M464" s="35" t="s">
        <v>5129</v>
      </c>
      <c r="N464" s="35" t="s">
        <v>66</v>
      </c>
      <c r="O464" s="35" t="s">
        <v>67</v>
      </c>
      <c r="P464" s="35" t="s">
        <v>7549</v>
      </c>
      <c r="Q464" s="35"/>
      <c r="R464" s="35"/>
      <c r="S464" s="35"/>
      <c r="T464" s="35"/>
      <c r="U464" s="35">
        <v>8.0</v>
      </c>
      <c r="V464" s="35" t="s">
        <v>61</v>
      </c>
      <c r="W464" s="35" t="s">
        <v>74</v>
      </c>
      <c r="X464" s="35" t="s">
        <v>7552</v>
      </c>
      <c r="Y464" s="35" t="s">
        <v>7553</v>
      </c>
      <c r="Z464" s="35" t="s">
        <v>7554</v>
      </c>
      <c r="AA464" s="46">
        <v>46023.0</v>
      </c>
      <c r="AB464" s="46">
        <v>46387.0</v>
      </c>
      <c r="AC464" s="35" t="s">
        <v>7555</v>
      </c>
      <c r="AD464" s="35" t="s">
        <v>79</v>
      </c>
      <c r="AE464" s="35"/>
      <c r="AF464" s="35"/>
      <c r="AG464" s="46"/>
    </row>
    <row r="465" ht="44.25" customHeight="1">
      <c r="A465" s="35">
        <v>464.0</v>
      </c>
      <c r="B465" s="35"/>
      <c r="C465" s="35" t="s">
        <v>682</v>
      </c>
      <c r="D465" s="35" t="s">
        <v>1498</v>
      </c>
      <c r="E465" s="35" t="s">
        <v>1499</v>
      </c>
      <c r="F465" s="35" t="s">
        <v>7556</v>
      </c>
      <c r="G465" s="41" t="s">
        <v>7557</v>
      </c>
      <c r="H465" s="35" t="s">
        <v>59</v>
      </c>
      <c r="I465" s="35" t="s">
        <v>61</v>
      </c>
      <c r="J465" s="35" t="s">
        <v>62</v>
      </c>
      <c r="K465" s="35" t="s">
        <v>68</v>
      </c>
      <c r="L465" s="35">
        <v>200.0</v>
      </c>
      <c r="M465" s="35" t="s">
        <v>7559</v>
      </c>
      <c r="N465" s="35" t="s">
        <v>71</v>
      </c>
      <c r="O465" s="35" t="s">
        <v>67</v>
      </c>
      <c r="P465" s="35" t="s">
        <v>7560</v>
      </c>
      <c r="Q465" s="35"/>
      <c r="R465" s="35"/>
      <c r="S465" s="35"/>
      <c r="T465" s="35"/>
      <c r="U465" s="35">
        <v>10.0</v>
      </c>
      <c r="V465" s="35" t="s">
        <v>61</v>
      </c>
      <c r="W465" s="35" t="s">
        <v>93</v>
      </c>
      <c r="X465" s="35" t="s">
        <v>7563</v>
      </c>
      <c r="Y465" s="35" t="s">
        <v>7564</v>
      </c>
      <c r="Z465" s="35" t="s">
        <v>7565</v>
      </c>
      <c r="AA465" s="46">
        <v>46023.0</v>
      </c>
      <c r="AB465" s="46">
        <v>46387.0</v>
      </c>
      <c r="AC465" s="35" t="s">
        <v>7566</v>
      </c>
      <c r="AD465" s="35" t="s">
        <v>79</v>
      </c>
      <c r="AE465" s="35"/>
      <c r="AF465" s="35" t="s">
        <v>7568</v>
      </c>
      <c r="AG465" s="46"/>
    </row>
    <row r="466" ht="44.25" customHeight="1">
      <c r="A466" s="35">
        <v>465.0</v>
      </c>
      <c r="B466" s="35"/>
      <c r="C466" s="35" t="s">
        <v>682</v>
      </c>
      <c r="D466" s="35" t="s">
        <v>1498</v>
      </c>
      <c r="E466" s="35" t="s">
        <v>1499</v>
      </c>
      <c r="F466" s="35" t="s">
        <v>7570</v>
      </c>
      <c r="G466" s="41" t="s">
        <v>7571</v>
      </c>
      <c r="H466" s="35" t="s">
        <v>59</v>
      </c>
      <c r="I466" s="35" t="s">
        <v>3406</v>
      </c>
      <c r="J466" s="35" t="s">
        <v>62</v>
      </c>
      <c r="K466" s="35" t="s">
        <v>68</v>
      </c>
      <c r="L466" s="35">
        <v>300.0</v>
      </c>
      <c r="M466" s="35" t="s">
        <v>7575</v>
      </c>
      <c r="N466" s="35" t="s">
        <v>71</v>
      </c>
      <c r="O466" s="35" t="s">
        <v>67</v>
      </c>
      <c r="P466" s="35" t="s">
        <v>7577</v>
      </c>
      <c r="Q466" s="35"/>
      <c r="R466" s="35"/>
      <c r="S466" s="35"/>
      <c r="T466" s="35"/>
      <c r="U466" s="35">
        <v>40.0</v>
      </c>
      <c r="V466" s="35" t="s">
        <v>61</v>
      </c>
      <c r="W466" s="35" t="s">
        <v>93</v>
      </c>
      <c r="X466" s="35" t="s">
        <v>7578</v>
      </c>
      <c r="Y466" s="35" t="s">
        <v>7579</v>
      </c>
      <c r="Z466" s="35" t="s">
        <v>7581</v>
      </c>
      <c r="AA466" s="46">
        <v>46023.0</v>
      </c>
      <c r="AB466" s="46">
        <v>46387.0</v>
      </c>
      <c r="AC466" s="35" t="s">
        <v>7583</v>
      </c>
      <c r="AD466" s="35" t="s">
        <v>79</v>
      </c>
      <c r="AE466" s="35"/>
      <c r="AF466" s="35"/>
      <c r="AG466" s="46"/>
    </row>
    <row r="467" ht="44.25" customHeight="1">
      <c r="A467" s="35">
        <v>466.0</v>
      </c>
      <c r="B467" s="35"/>
      <c r="C467" s="35" t="s">
        <v>682</v>
      </c>
      <c r="D467" s="35" t="s">
        <v>1498</v>
      </c>
      <c r="E467" s="35" t="s">
        <v>1499</v>
      </c>
      <c r="F467" s="35" t="s">
        <v>7584</v>
      </c>
      <c r="G467" s="41" t="s">
        <v>7585</v>
      </c>
      <c r="H467" s="35" t="s">
        <v>59</v>
      </c>
      <c r="I467" s="35" t="s">
        <v>61</v>
      </c>
      <c r="J467" s="35" t="s">
        <v>62</v>
      </c>
      <c r="K467" s="35" t="s">
        <v>111</v>
      </c>
      <c r="L467" s="35">
        <v>100.0</v>
      </c>
      <c r="M467" s="35" t="s">
        <v>5328</v>
      </c>
      <c r="N467" s="35" t="s">
        <v>221</v>
      </c>
      <c r="O467" s="35" t="s">
        <v>67</v>
      </c>
      <c r="P467" s="35" t="s">
        <v>1517</v>
      </c>
      <c r="Q467" s="35"/>
      <c r="R467" s="35"/>
      <c r="S467" s="35"/>
      <c r="T467" s="35"/>
      <c r="U467" s="35">
        <v>15.0</v>
      </c>
      <c r="V467" s="35" t="s">
        <v>61</v>
      </c>
      <c r="W467" s="35" t="s">
        <v>93</v>
      </c>
      <c r="X467" s="35" t="s">
        <v>7590</v>
      </c>
      <c r="Y467" s="35" t="s">
        <v>7591</v>
      </c>
      <c r="Z467" s="35" t="s">
        <v>7593</v>
      </c>
      <c r="AA467" s="46">
        <v>46023.0</v>
      </c>
      <c r="AB467" s="46">
        <v>46387.0</v>
      </c>
      <c r="AC467" s="35" t="s">
        <v>7598</v>
      </c>
      <c r="AD467" s="35" t="s">
        <v>79</v>
      </c>
      <c r="AE467" s="35"/>
      <c r="AF467" s="35"/>
      <c r="AG467" s="46"/>
    </row>
    <row r="468" ht="44.25" customHeight="1">
      <c r="A468" s="35">
        <v>467.0</v>
      </c>
      <c r="B468" s="35"/>
      <c r="C468" s="35" t="s">
        <v>682</v>
      </c>
      <c r="D468" s="35" t="s">
        <v>1498</v>
      </c>
      <c r="E468" s="35" t="s">
        <v>1499</v>
      </c>
      <c r="F468" s="35" t="s">
        <v>7599</v>
      </c>
      <c r="G468" s="41" t="s">
        <v>7600</v>
      </c>
      <c r="H468" s="35" t="s">
        <v>59</v>
      </c>
      <c r="I468" s="35" t="s">
        <v>61</v>
      </c>
      <c r="J468" s="35" t="s">
        <v>663</v>
      </c>
      <c r="K468" s="35" t="s">
        <v>111</v>
      </c>
      <c r="L468" s="35">
        <v>50.0</v>
      </c>
      <c r="M468" s="35" t="s">
        <v>7601</v>
      </c>
      <c r="N468" s="35" t="s">
        <v>66</v>
      </c>
      <c r="O468" s="35" t="s">
        <v>67</v>
      </c>
      <c r="P468" s="35" t="s">
        <v>7603</v>
      </c>
      <c r="Q468" s="35"/>
      <c r="R468" s="35"/>
      <c r="S468" s="35"/>
      <c r="T468" s="35"/>
      <c r="U468" s="35"/>
      <c r="V468" s="35" t="s">
        <v>61</v>
      </c>
      <c r="W468" s="35" t="s">
        <v>74</v>
      </c>
      <c r="X468" s="35" t="s">
        <v>7605</v>
      </c>
      <c r="Y468" s="35" t="s">
        <v>7608</v>
      </c>
      <c r="Z468" s="35" t="s">
        <v>7609</v>
      </c>
      <c r="AA468" s="46">
        <v>46023.0</v>
      </c>
      <c r="AB468" s="46">
        <v>46387.0</v>
      </c>
      <c r="AC468" s="35" t="s">
        <v>7611</v>
      </c>
      <c r="AD468" s="35" t="s">
        <v>79</v>
      </c>
      <c r="AE468" s="35"/>
      <c r="AF468" s="35"/>
      <c r="AG468" s="46"/>
    </row>
    <row r="469" ht="44.25" customHeight="1">
      <c r="A469" s="35">
        <v>468.0</v>
      </c>
      <c r="B469" s="35"/>
      <c r="C469" s="35" t="s">
        <v>682</v>
      </c>
      <c r="D469" s="35" t="s">
        <v>1498</v>
      </c>
      <c r="E469" s="35" t="s">
        <v>1238</v>
      </c>
      <c r="F469" s="35" t="s">
        <v>7613</v>
      </c>
      <c r="G469" s="41" t="s">
        <v>7614</v>
      </c>
      <c r="H469" s="35" t="s">
        <v>59</v>
      </c>
      <c r="I469" s="35" t="s">
        <v>61</v>
      </c>
      <c r="J469" s="35"/>
      <c r="K469" s="35" t="s">
        <v>111</v>
      </c>
      <c r="L469" s="35">
        <v>100.0</v>
      </c>
      <c r="M469" s="35" t="s">
        <v>7617</v>
      </c>
      <c r="N469" s="35" t="s">
        <v>221</v>
      </c>
      <c r="O469" s="35" t="s">
        <v>67</v>
      </c>
      <c r="P469" s="35" t="s">
        <v>7618</v>
      </c>
      <c r="Q469" s="35"/>
      <c r="R469" s="35"/>
      <c r="S469" s="35"/>
      <c r="T469" s="35"/>
      <c r="U469" s="35">
        <v>20.0</v>
      </c>
      <c r="V469" s="35" t="s">
        <v>61</v>
      </c>
      <c r="W469" s="35" t="s">
        <v>93</v>
      </c>
      <c r="X469" s="35" t="s">
        <v>7619</v>
      </c>
      <c r="Y469" s="35" t="s">
        <v>7621</v>
      </c>
      <c r="Z469" s="35" t="s">
        <v>7623</v>
      </c>
      <c r="AA469" s="46">
        <v>46023.0</v>
      </c>
      <c r="AB469" s="46">
        <v>46387.0</v>
      </c>
      <c r="AC469" s="35" t="s">
        <v>7626</v>
      </c>
      <c r="AD469" s="35" t="s">
        <v>79</v>
      </c>
      <c r="AE469" s="35"/>
      <c r="AF469" s="35"/>
      <c r="AG469" s="46"/>
    </row>
    <row r="470" ht="44.25" customHeight="1">
      <c r="A470" s="35">
        <v>469.0</v>
      </c>
      <c r="B470" s="35"/>
      <c r="C470" s="35" t="s">
        <v>682</v>
      </c>
      <c r="D470" s="35" t="s">
        <v>1498</v>
      </c>
      <c r="E470" s="35" t="s">
        <v>1499</v>
      </c>
      <c r="F470" s="35" t="s">
        <v>7628</v>
      </c>
      <c r="G470" s="41" t="s">
        <v>7629</v>
      </c>
      <c r="H470" s="35" t="s">
        <v>59</v>
      </c>
      <c r="I470" s="35" t="s">
        <v>61</v>
      </c>
      <c r="J470" s="35" t="s">
        <v>62</v>
      </c>
      <c r="K470" s="35" t="s">
        <v>68</v>
      </c>
      <c r="L470" s="35">
        <v>660.0</v>
      </c>
      <c r="M470" s="35" t="s">
        <v>7559</v>
      </c>
      <c r="N470" s="35" t="s">
        <v>71</v>
      </c>
      <c r="O470" s="35" t="s">
        <v>67</v>
      </c>
      <c r="P470" s="35" t="s">
        <v>7630</v>
      </c>
      <c r="Q470" s="35"/>
      <c r="R470" s="35"/>
      <c r="S470" s="35"/>
      <c r="T470" s="35"/>
      <c r="U470" s="35">
        <v>70.0</v>
      </c>
      <c r="V470" s="35" t="s">
        <v>61</v>
      </c>
      <c r="W470" s="35" t="s">
        <v>93</v>
      </c>
      <c r="X470" s="35" t="s">
        <v>7631</v>
      </c>
      <c r="Y470" s="35" t="s">
        <v>7632</v>
      </c>
      <c r="Z470" s="35" t="s">
        <v>7633</v>
      </c>
      <c r="AA470" s="46">
        <v>46023.0</v>
      </c>
      <c r="AB470" s="46">
        <v>46387.0</v>
      </c>
      <c r="AC470" s="35" t="s">
        <v>7636</v>
      </c>
      <c r="AD470" s="35" t="s">
        <v>79</v>
      </c>
      <c r="AE470" s="35"/>
      <c r="AF470" s="35"/>
      <c r="AG470" s="46"/>
    </row>
    <row r="471" ht="44.25" customHeight="1">
      <c r="A471" s="35">
        <v>470.0</v>
      </c>
      <c r="B471" s="35"/>
      <c r="C471" s="35" t="s">
        <v>682</v>
      </c>
      <c r="D471" s="35" t="s">
        <v>1498</v>
      </c>
      <c r="E471" s="35" t="s">
        <v>1673</v>
      </c>
      <c r="F471" s="35" t="s">
        <v>7638</v>
      </c>
      <c r="G471" s="41" t="s">
        <v>7639</v>
      </c>
      <c r="H471" s="35" t="s">
        <v>59</v>
      </c>
      <c r="I471" s="35" t="s">
        <v>61</v>
      </c>
      <c r="J471" s="35" t="s">
        <v>62</v>
      </c>
      <c r="K471" s="35" t="s">
        <v>68</v>
      </c>
      <c r="L471" s="35">
        <v>400.0</v>
      </c>
      <c r="M471" s="35" t="s">
        <v>7640</v>
      </c>
      <c r="N471" s="35" t="s">
        <v>71</v>
      </c>
      <c r="O471" s="35" t="s">
        <v>67</v>
      </c>
      <c r="P471" s="35" t="s">
        <v>1517</v>
      </c>
      <c r="Q471" s="35"/>
      <c r="R471" s="35"/>
      <c r="S471" s="35"/>
      <c r="T471" s="35"/>
      <c r="U471" s="35">
        <v>27.0</v>
      </c>
      <c r="V471" s="35" t="s">
        <v>61</v>
      </c>
      <c r="W471" s="35" t="s">
        <v>93</v>
      </c>
      <c r="X471" s="35" t="s">
        <v>7643</v>
      </c>
      <c r="Y471" s="35" t="s">
        <v>7644</v>
      </c>
      <c r="Z471" s="35" t="s">
        <v>7633</v>
      </c>
      <c r="AA471" s="46">
        <v>46023.0</v>
      </c>
      <c r="AB471" s="46">
        <v>46387.0</v>
      </c>
      <c r="AC471" s="35" t="s">
        <v>7645</v>
      </c>
      <c r="AD471" s="35" t="s">
        <v>79</v>
      </c>
      <c r="AE471" s="35" t="s">
        <v>643</v>
      </c>
      <c r="AF471" s="35"/>
      <c r="AG471" s="46"/>
    </row>
    <row r="472" ht="44.25" customHeight="1">
      <c r="A472" s="35">
        <v>471.0</v>
      </c>
      <c r="B472" s="35"/>
      <c r="C472" s="35" t="s">
        <v>682</v>
      </c>
      <c r="D472" s="35" t="s">
        <v>1408</v>
      </c>
      <c r="E472" s="35" t="s">
        <v>7646</v>
      </c>
      <c r="F472" s="35" t="s">
        <v>7647</v>
      </c>
      <c r="G472" s="41" t="s">
        <v>7649</v>
      </c>
      <c r="H472" s="35" t="s">
        <v>59</v>
      </c>
      <c r="I472" s="35" t="s">
        <v>61</v>
      </c>
      <c r="J472" s="35" t="s">
        <v>62</v>
      </c>
      <c r="K472" s="35" t="s">
        <v>63</v>
      </c>
      <c r="L472" s="35">
        <v>30.0</v>
      </c>
      <c r="M472" s="35" t="s">
        <v>5129</v>
      </c>
      <c r="N472" s="35" t="s">
        <v>66</v>
      </c>
      <c r="O472" s="35" t="s">
        <v>67</v>
      </c>
      <c r="P472" s="35"/>
      <c r="Q472" s="35"/>
      <c r="R472" s="35"/>
      <c r="S472" s="35"/>
      <c r="T472" s="35" t="s">
        <v>7650</v>
      </c>
      <c r="U472" s="35"/>
      <c r="V472" s="35" t="s">
        <v>61</v>
      </c>
      <c r="W472" s="35" t="s">
        <v>74</v>
      </c>
      <c r="X472" s="35" t="s">
        <v>7651</v>
      </c>
      <c r="Y472" s="35" t="s">
        <v>7652</v>
      </c>
      <c r="Z472" s="35" t="s">
        <v>7653</v>
      </c>
      <c r="AA472" s="46">
        <v>46023.0</v>
      </c>
      <c r="AB472" s="46">
        <v>46387.0</v>
      </c>
      <c r="AC472" s="35" t="s">
        <v>7654</v>
      </c>
      <c r="AD472" s="35" t="s">
        <v>79</v>
      </c>
      <c r="AE472" s="35"/>
      <c r="AF472" s="35"/>
      <c r="AG472" s="46"/>
    </row>
    <row r="473" ht="44.25" customHeight="1">
      <c r="A473" s="35">
        <v>472.0</v>
      </c>
      <c r="B473" s="35"/>
      <c r="C473" s="35" t="s">
        <v>682</v>
      </c>
      <c r="D473" s="35" t="s">
        <v>1498</v>
      </c>
      <c r="E473" s="35" t="s">
        <v>7656</v>
      </c>
      <c r="F473" s="35" t="s">
        <v>7657</v>
      </c>
      <c r="G473" s="41" t="s">
        <v>7658</v>
      </c>
      <c r="H473" s="35" t="s">
        <v>59</v>
      </c>
      <c r="I473" s="35" t="s">
        <v>61</v>
      </c>
      <c r="J473" s="35" t="s">
        <v>62</v>
      </c>
      <c r="K473" s="35" t="s">
        <v>63</v>
      </c>
      <c r="L473" s="35">
        <v>30.0</v>
      </c>
      <c r="M473" s="35" t="s">
        <v>5390</v>
      </c>
      <c r="N473" s="35" t="s">
        <v>66</v>
      </c>
      <c r="O473" s="35" t="s">
        <v>67</v>
      </c>
      <c r="P473" s="35" t="s">
        <v>7664</v>
      </c>
      <c r="Q473" s="35"/>
      <c r="R473" s="35"/>
      <c r="S473" s="35"/>
      <c r="T473" s="35"/>
      <c r="U473" s="35"/>
      <c r="V473" s="35" t="s">
        <v>61</v>
      </c>
      <c r="W473" s="35" t="s">
        <v>74</v>
      </c>
      <c r="X473" s="35" t="s">
        <v>7665</v>
      </c>
      <c r="Y473" s="35" t="s">
        <v>7666</v>
      </c>
      <c r="Z473" s="35" t="s">
        <v>7667</v>
      </c>
      <c r="AA473" s="46">
        <v>46023.0</v>
      </c>
      <c r="AB473" s="46">
        <v>46387.0</v>
      </c>
      <c r="AC473" s="35" t="s">
        <v>7668</v>
      </c>
      <c r="AD473" s="35" t="s">
        <v>79</v>
      </c>
      <c r="AE473" s="35"/>
      <c r="AF473" s="35"/>
      <c r="AG473" s="46"/>
    </row>
    <row r="474" ht="44.25" customHeight="1">
      <c r="A474" s="35">
        <v>473.0</v>
      </c>
      <c r="B474" s="35"/>
      <c r="C474" s="35" t="s">
        <v>682</v>
      </c>
      <c r="D474" s="35" t="s">
        <v>1408</v>
      </c>
      <c r="E474" s="35" t="s">
        <v>7646</v>
      </c>
      <c r="F474" s="35" t="s">
        <v>7669</v>
      </c>
      <c r="G474" s="41" t="s">
        <v>7670</v>
      </c>
      <c r="H474" s="35" t="s">
        <v>59</v>
      </c>
      <c r="I474" s="35" t="s">
        <v>61</v>
      </c>
      <c r="J474" s="35" t="s">
        <v>62</v>
      </c>
      <c r="K474" s="35" t="s">
        <v>63</v>
      </c>
      <c r="L474" s="35">
        <v>35.0</v>
      </c>
      <c r="M474" s="35" t="s">
        <v>5129</v>
      </c>
      <c r="N474" s="35" t="s">
        <v>66</v>
      </c>
      <c r="O474" s="35" t="s">
        <v>67</v>
      </c>
      <c r="P474" s="35" t="s">
        <v>7672</v>
      </c>
      <c r="Q474" s="35"/>
      <c r="R474" s="35"/>
      <c r="S474" s="35"/>
      <c r="T474" s="35"/>
      <c r="U474" s="35"/>
      <c r="V474" s="35" t="s">
        <v>61</v>
      </c>
      <c r="W474" s="35" t="s">
        <v>74</v>
      </c>
      <c r="X474" s="35" t="s">
        <v>7673</v>
      </c>
      <c r="Y474" s="35" t="s">
        <v>7674</v>
      </c>
      <c r="Z474" s="35" t="s">
        <v>7676</v>
      </c>
      <c r="AA474" s="46">
        <v>46023.0</v>
      </c>
      <c r="AB474" s="46">
        <v>46387.0</v>
      </c>
      <c r="AC474" s="35" t="s">
        <v>7678</v>
      </c>
      <c r="AD474" s="35" t="s">
        <v>79</v>
      </c>
      <c r="AE474" s="35"/>
      <c r="AF474" s="35"/>
      <c r="AG474" s="46"/>
    </row>
    <row r="475" ht="44.25" customHeight="1">
      <c r="A475" s="35">
        <v>474.0</v>
      </c>
      <c r="B475" s="35"/>
      <c r="C475" s="35" t="s">
        <v>682</v>
      </c>
      <c r="D475" s="35" t="s">
        <v>1408</v>
      </c>
      <c r="E475" s="35" t="s">
        <v>1409</v>
      </c>
      <c r="F475" s="35" t="s">
        <v>7679</v>
      </c>
      <c r="G475" s="41" t="s">
        <v>7680</v>
      </c>
      <c r="H475" s="35" t="s">
        <v>59</v>
      </c>
      <c r="I475" s="35" t="s">
        <v>61</v>
      </c>
      <c r="J475" s="35" t="s">
        <v>62</v>
      </c>
      <c r="K475" s="35" t="s">
        <v>111</v>
      </c>
      <c r="L475" s="35">
        <v>85.0</v>
      </c>
      <c r="M475" s="35" t="s">
        <v>7683</v>
      </c>
      <c r="N475" s="35" t="s">
        <v>71</v>
      </c>
      <c r="O475" s="35" t="s">
        <v>67</v>
      </c>
      <c r="P475" s="35" t="s">
        <v>7684</v>
      </c>
      <c r="Q475" s="35"/>
      <c r="R475" s="35"/>
      <c r="S475" s="35"/>
      <c r="T475" s="35"/>
      <c r="U475" s="35">
        <v>9.0</v>
      </c>
      <c r="V475" s="35" t="s">
        <v>533</v>
      </c>
      <c r="W475" s="35" t="s">
        <v>93</v>
      </c>
      <c r="X475" s="35" t="s">
        <v>7687</v>
      </c>
      <c r="Y475" s="35" t="s">
        <v>7688</v>
      </c>
      <c r="Z475" s="35" t="s">
        <v>7689</v>
      </c>
      <c r="AA475" s="46">
        <v>46023.0</v>
      </c>
      <c r="AB475" s="46">
        <v>46387.0</v>
      </c>
      <c r="AC475" s="35" t="s">
        <v>7690</v>
      </c>
      <c r="AD475" s="35" t="s">
        <v>79</v>
      </c>
      <c r="AE475" s="35"/>
      <c r="AF475" s="35"/>
      <c r="AG475" s="46"/>
    </row>
    <row r="476" ht="44.25" customHeight="1">
      <c r="A476" s="35">
        <v>475.0</v>
      </c>
      <c r="B476" s="35"/>
      <c r="C476" s="35" t="s">
        <v>682</v>
      </c>
      <c r="D476" s="35" t="s">
        <v>1408</v>
      </c>
      <c r="E476" s="35" t="s">
        <v>5177</v>
      </c>
      <c r="F476" s="35" t="s">
        <v>7695</v>
      </c>
      <c r="G476" s="41" t="s">
        <v>7696</v>
      </c>
      <c r="H476" s="35" t="s">
        <v>59</v>
      </c>
      <c r="I476" s="35" t="s">
        <v>61</v>
      </c>
      <c r="J476" s="35" t="s">
        <v>62</v>
      </c>
      <c r="K476" s="35" t="s">
        <v>63</v>
      </c>
      <c r="L476" s="35">
        <v>25.0</v>
      </c>
      <c r="M476" s="35" t="s">
        <v>7697</v>
      </c>
      <c r="N476" s="35" t="s">
        <v>66</v>
      </c>
      <c r="O476" s="35" t="s">
        <v>67</v>
      </c>
      <c r="P476" s="35" t="s">
        <v>7698</v>
      </c>
      <c r="Q476" s="35"/>
      <c r="R476" s="35"/>
      <c r="S476" s="35"/>
      <c r="T476" s="35"/>
      <c r="U476" s="35">
        <v>10.0</v>
      </c>
      <c r="V476" s="35" t="s">
        <v>61</v>
      </c>
      <c r="W476" s="35" t="s">
        <v>74</v>
      </c>
      <c r="X476" s="35" t="s">
        <v>7699</v>
      </c>
      <c r="Y476" s="35" t="s">
        <v>7700</v>
      </c>
      <c r="Z476" s="35" t="s">
        <v>7701</v>
      </c>
      <c r="AA476" s="46">
        <v>46023.0</v>
      </c>
      <c r="AB476" s="46">
        <v>46387.0</v>
      </c>
      <c r="AC476" s="35" t="s">
        <v>7702</v>
      </c>
      <c r="AD476" s="35" t="s">
        <v>79</v>
      </c>
      <c r="AE476" s="35"/>
      <c r="AF476" s="35"/>
      <c r="AG476" s="46"/>
    </row>
    <row r="477" ht="44.25" customHeight="1">
      <c r="A477" s="35">
        <v>476.0</v>
      </c>
      <c r="B477" s="35"/>
      <c r="C477" s="35" t="s">
        <v>682</v>
      </c>
      <c r="D477" s="35" t="s">
        <v>1498</v>
      </c>
      <c r="E477" s="35" t="s">
        <v>5385</v>
      </c>
      <c r="F477" s="35" t="s">
        <v>7704</v>
      </c>
      <c r="G477" s="41" t="s">
        <v>7705</v>
      </c>
      <c r="H477" s="35" t="s">
        <v>59</v>
      </c>
      <c r="I477" s="35" t="s">
        <v>61</v>
      </c>
      <c r="J477" s="35" t="s">
        <v>62</v>
      </c>
      <c r="K477" s="35" t="s">
        <v>111</v>
      </c>
      <c r="L477" s="35">
        <v>110.0</v>
      </c>
      <c r="M477" s="35" t="s">
        <v>7709</v>
      </c>
      <c r="N477" s="35" t="s">
        <v>71</v>
      </c>
      <c r="O477" s="35" t="s">
        <v>67</v>
      </c>
      <c r="P477" s="35" t="s">
        <v>7710</v>
      </c>
      <c r="Q477" s="35"/>
      <c r="R477" s="35"/>
      <c r="S477" s="35"/>
      <c r="T477" s="35"/>
      <c r="U477" s="35">
        <v>30.0</v>
      </c>
      <c r="V477" s="35" t="s">
        <v>61</v>
      </c>
      <c r="W477" s="35" t="s">
        <v>93</v>
      </c>
      <c r="X477" s="35" t="s">
        <v>7712</v>
      </c>
      <c r="Y477" s="35" t="s">
        <v>7713</v>
      </c>
      <c r="Z477" s="35" t="s">
        <v>7714</v>
      </c>
      <c r="AA477" s="46">
        <v>46023.0</v>
      </c>
      <c r="AB477" s="46">
        <v>46387.0</v>
      </c>
      <c r="AC477" s="35" t="s">
        <v>7715</v>
      </c>
      <c r="AD477" s="35" t="s">
        <v>79</v>
      </c>
      <c r="AE477" s="35"/>
      <c r="AF477" s="35"/>
      <c r="AG477" s="46"/>
    </row>
    <row r="478" ht="44.25" customHeight="1">
      <c r="A478" s="35">
        <v>477.0</v>
      </c>
      <c r="B478" s="35"/>
      <c r="C478" s="35" t="s">
        <v>682</v>
      </c>
      <c r="D478" s="35" t="s">
        <v>1408</v>
      </c>
      <c r="E478" s="35" t="s">
        <v>1409</v>
      </c>
      <c r="F478" s="35" t="s">
        <v>7718</v>
      </c>
      <c r="G478" s="41" t="s">
        <v>7719</v>
      </c>
      <c r="H478" s="35" t="s">
        <v>59</v>
      </c>
      <c r="I478" s="35" t="s">
        <v>61</v>
      </c>
      <c r="J478" s="35" t="s">
        <v>62</v>
      </c>
      <c r="K478" s="35" t="s">
        <v>63</v>
      </c>
      <c r="L478" s="35">
        <v>50.0</v>
      </c>
      <c r="M478" s="35" t="s">
        <v>7467</v>
      </c>
      <c r="N478" s="35" t="s">
        <v>66</v>
      </c>
      <c r="O478" s="35" t="s">
        <v>67</v>
      </c>
      <c r="P478" s="35" t="s">
        <v>7721</v>
      </c>
      <c r="Q478" s="35"/>
      <c r="R478" s="35"/>
      <c r="S478" s="35"/>
      <c r="T478" s="35"/>
      <c r="U478" s="35">
        <v>12.0</v>
      </c>
      <c r="V478" s="35" t="s">
        <v>61</v>
      </c>
      <c r="W478" s="35" t="s">
        <v>93</v>
      </c>
      <c r="X478" s="35" t="s">
        <v>7723</v>
      </c>
      <c r="Y478" s="35" t="s">
        <v>7724</v>
      </c>
      <c r="Z478" s="35" t="s">
        <v>7725</v>
      </c>
      <c r="AA478" s="46">
        <v>46023.0</v>
      </c>
      <c r="AB478" s="46">
        <v>46387.0</v>
      </c>
      <c r="AC478" s="35" t="s">
        <v>7727</v>
      </c>
      <c r="AD478" s="35" t="s">
        <v>79</v>
      </c>
      <c r="AE478" s="35"/>
      <c r="AF478" s="35"/>
      <c r="AG478" s="46"/>
    </row>
    <row r="479" ht="44.25" customHeight="1">
      <c r="A479" s="35">
        <v>478.0</v>
      </c>
      <c r="B479" s="35"/>
      <c r="C479" s="35" t="s">
        <v>682</v>
      </c>
      <c r="D479" s="35" t="s">
        <v>1498</v>
      </c>
      <c r="E479" s="35" t="s">
        <v>7730</v>
      </c>
      <c r="F479" s="35" t="s">
        <v>7732</v>
      </c>
      <c r="G479" s="41" t="s">
        <v>7733</v>
      </c>
      <c r="H479" s="35" t="s">
        <v>59</v>
      </c>
      <c r="I479" s="35" t="s">
        <v>61</v>
      </c>
      <c r="J479" s="35" t="s">
        <v>62</v>
      </c>
      <c r="K479" s="35" t="s">
        <v>111</v>
      </c>
      <c r="L479" s="35">
        <v>110.0</v>
      </c>
      <c r="M479" s="35" t="s">
        <v>7734</v>
      </c>
      <c r="N479" s="35" t="s">
        <v>71</v>
      </c>
      <c r="O479" s="35" t="s">
        <v>67</v>
      </c>
      <c r="P479" s="35" t="s">
        <v>7735</v>
      </c>
      <c r="Q479" s="35"/>
      <c r="R479" s="35"/>
      <c r="S479" s="35"/>
      <c r="T479" s="35"/>
      <c r="U479" s="35">
        <v>12.0</v>
      </c>
      <c r="V479" s="35" t="s">
        <v>61</v>
      </c>
      <c r="W479" s="35" t="s">
        <v>93</v>
      </c>
      <c r="X479" s="35" t="s">
        <v>7736</v>
      </c>
      <c r="Y479" s="35" t="s">
        <v>7737</v>
      </c>
      <c r="Z479" s="35" t="s">
        <v>7738</v>
      </c>
      <c r="AA479" s="46">
        <v>46023.0</v>
      </c>
      <c r="AB479" s="46">
        <v>46387.0</v>
      </c>
      <c r="AC479" s="35" t="s">
        <v>7739</v>
      </c>
      <c r="AD479" s="35" t="s">
        <v>79</v>
      </c>
      <c r="AE479" s="35"/>
      <c r="AF479" s="35"/>
      <c r="AG479" s="46"/>
    </row>
    <row r="480" ht="44.25" customHeight="1">
      <c r="A480" s="35">
        <v>479.0</v>
      </c>
      <c r="B480" s="35"/>
      <c r="C480" s="35" t="s">
        <v>682</v>
      </c>
      <c r="D480" s="35" t="s">
        <v>1498</v>
      </c>
      <c r="E480" s="35" t="s">
        <v>1499</v>
      </c>
      <c r="F480" s="35" t="s">
        <v>7741</v>
      </c>
      <c r="G480" s="41" t="s">
        <v>7742</v>
      </c>
      <c r="H480" s="35" t="s">
        <v>59</v>
      </c>
      <c r="I480" s="35" t="s">
        <v>61</v>
      </c>
      <c r="J480" s="35" t="s">
        <v>62</v>
      </c>
      <c r="K480" s="35" t="s">
        <v>68</v>
      </c>
      <c r="L480" s="35">
        <v>372.0</v>
      </c>
      <c r="M480" s="35" t="s">
        <v>7709</v>
      </c>
      <c r="N480" s="35" t="s">
        <v>71</v>
      </c>
      <c r="O480" s="35" t="s">
        <v>67</v>
      </c>
      <c r="P480" s="35" t="s">
        <v>7577</v>
      </c>
      <c r="Q480" s="35"/>
      <c r="R480" s="35"/>
      <c r="S480" s="35"/>
      <c r="T480" s="35"/>
      <c r="U480" s="35">
        <v>28.0</v>
      </c>
      <c r="V480" s="35" t="s">
        <v>61</v>
      </c>
      <c r="W480" s="35" t="s">
        <v>93</v>
      </c>
      <c r="X480" s="35" t="s">
        <v>7745</v>
      </c>
      <c r="Y480" s="35" t="s">
        <v>7747</v>
      </c>
      <c r="Z480" s="35" t="s">
        <v>7748</v>
      </c>
      <c r="AA480" s="46">
        <v>46023.0</v>
      </c>
      <c r="AB480" s="46">
        <v>46387.0</v>
      </c>
      <c r="AC480" s="35" t="s">
        <v>7750</v>
      </c>
      <c r="AD480" s="35" t="s">
        <v>79</v>
      </c>
      <c r="AE480" s="35"/>
      <c r="AF480" s="35"/>
      <c r="AG480" s="46"/>
    </row>
    <row r="481" ht="44.25" customHeight="1">
      <c r="A481" s="35">
        <v>480.0</v>
      </c>
      <c r="B481" s="35"/>
      <c r="C481" s="35" t="s">
        <v>682</v>
      </c>
      <c r="D481" s="35" t="s">
        <v>1408</v>
      </c>
      <c r="E481" s="35" t="s">
        <v>1409</v>
      </c>
      <c r="F481" s="35" t="s">
        <v>7753</v>
      </c>
      <c r="G481" s="41" t="s">
        <v>7754</v>
      </c>
      <c r="H481" s="35" t="s">
        <v>59</v>
      </c>
      <c r="I481" s="35" t="s">
        <v>61</v>
      </c>
      <c r="J481" s="35" t="s">
        <v>62</v>
      </c>
      <c r="K481" s="35" t="s">
        <v>111</v>
      </c>
      <c r="L481" s="35">
        <v>118.0</v>
      </c>
      <c r="M481" s="35" t="s">
        <v>5328</v>
      </c>
      <c r="N481" s="35" t="s">
        <v>221</v>
      </c>
      <c r="O481" s="35" t="s">
        <v>67</v>
      </c>
      <c r="P481" s="35" t="s">
        <v>1517</v>
      </c>
      <c r="Q481" s="35"/>
      <c r="R481" s="35"/>
      <c r="S481" s="35"/>
      <c r="T481" s="35"/>
      <c r="U481" s="35">
        <v>14.0</v>
      </c>
      <c r="V481" s="35" t="s">
        <v>61</v>
      </c>
      <c r="W481" s="35" t="s">
        <v>93</v>
      </c>
      <c r="X481" s="35" t="s">
        <v>7756</v>
      </c>
      <c r="Y481" s="35" t="s">
        <v>7757</v>
      </c>
      <c r="Z481" s="35" t="s">
        <v>7758</v>
      </c>
      <c r="AA481" s="46">
        <v>46023.0</v>
      </c>
      <c r="AB481" s="46">
        <v>46387.0</v>
      </c>
      <c r="AC481" s="35" t="s">
        <v>7760</v>
      </c>
      <c r="AD481" s="166"/>
      <c r="AE481" s="35"/>
      <c r="AF481" s="35"/>
      <c r="AG481" s="46"/>
    </row>
    <row r="482" ht="44.25" customHeight="1">
      <c r="A482" s="35">
        <v>481.0</v>
      </c>
      <c r="B482" s="35"/>
      <c r="C482" s="35" t="s">
        <v>682</v>
      </c>
      <c r="D482" s="35" t="s">
        <v>1498</v>
      </c>
      <c r="E482" s="35" t="s">
        <v>1499</v>
      </c>
      <c r="F482" s="35" t="s">
        <v>7764</v>
      </c>
      <c r="G482" s="41" t="s">
        <v>7765</v>
      </c>
      <c r="H482" s="35" t="s">
        <v>59</v>
      </c>
      <c r="I482" s="35" t="s">
        <v>3406</v>
      </c>
      <c r="J482" s="35" t="s">
        <v>62</v>
      </c>
      <c r="K482" s="35" t="s">
        <v>68</v>
      </c>
      <c r="L482" s="35">
        <v>115.0</v>
      </c>
      <c r="M482" s="35" t="s">
        <v>7767</v>
      </c>
      <c r="N482" s="35" t="s">
        <v>71</v>
      </c>
      <c r="O482" s="35" t="s">
        <v>67</v>
      </c>
      <c r="P482" s="35" t="s">
        <v>7577</v>
      </c>
      <c r="Q482" s="35"/>
      <c r="R482" s="35"/>
      <c r="S482" s="35"/>
      <c r="T482" s="35"/>
      <c r="U482" s="35">
        <v>9.0</v>
      </c>
      <c r="V482" s="35" t="s">
        <v>61</v>
      </c>
      <c r="W482" s="35" t="s">
        <v>93</v>
      </c>
      <c r="X482" s="35" t="s">
        <v>7771</v>
      </c>
      <c r="Y482" s="35" t="s">
        <v>7772</v>
      </c>
      <c r="Z482" s="35" t="s">
        <v>7773</v>
      </c>
      <c r="AA482" s="46">
        <v>46023.0</v>
      </c>
      <c r="AB482" s="46">
        <v>46387.0</v>
      </c>
      <c r="AC482" s="35" t="s">
        <v>7774</v>
      </c>
      <c r="AD482" s="35" t="s">
        <v>79</v>
      </c>
      <c r="AE482" s="35"/>
      <c r="AF482" s="35"/>
      <c r="AG482" s="46"/>
    </row>
    <row r="483" ht="44.25" customHeight="1">
      <c r="A483" s="35">
        <v>482.0</v>
      </c>
      <c r="B483" s="35"/>
      <c r="C483" s="35" t="s">
        <v>682</v>
      </c>
      <c r="D483" s="35" t="s">
        <v>1498</v>
      </c>
      <c r="E483" s="35" t="s">
        <v>1499</v>
      </c>
      <c r="F483" s="35" t="s">
        <v>7777</v>
      </c>
      <c r="G483" s="41" t="s">
        <v>7778</v>
      </c>
      <c r="H483" s="35" t="s">
        <v>59</v>
      </c>
      <c r="I483" s="35" t="s">
        <v>61</v>
      </c>
      <c r="J483" s="35" t="s">
        <v>62</v>
      </c>
      <c r="K483" s="35" t="s">
        <v>111</v>
      </c>
      <c r="L483" s="35">
        <v>110.0</v>
      </c>
      <c r="M483" s="35" t="s">
        <v>7734</v>
      </c>
      <c r="N483" s="35" t="s">
        <v>71</v>
      </c>
      <c r="O483" s="35" t="s">
        <v>67</v>
      </c>
      <c r="P483" s="35" t="s">
        <v>1428</v>
      </c>
      <c r="Q483" s="35"/>
      <c r="R483" s="35"/>
      <c r="S483" s="35"/>
      <c r="T483" s="35"/>
      <c r="U483" s="35">
        <v>40.0</v>
      </c>
      <c r="V483" s="35" t="s">
        <v>61</v>
      </c>
      <c r="W483" s="35" t="s">
        <v>93</v>
      </c>
      <c r="X483" s="35" t="s">
        <v>7783</v>
      </c>
      <c r="Y483" s="35" t="s">
        <v>7784</v>
      </c>
      <c r="Z483" s="35" t="s">
        <v>7785</v>
      </c>
      <c r="AA483" s="46">
        <v>46023.0</v>
      </c>
      <c r="AB483" s="46">
        <v>46387.0</v>
      </c>
      <c r="AC483" s="35" t="s">
        <v>7787</v>
      </c>
      <c r="AD483" s="35" t="s">
        <v>79</v>
      </c>
      <c r="AE483" s="35"/>
      <c r="AF483" s="35"/>
      <c r="AG483" s="46"/>
    </row>
    <row r="484" ht="44.25" customHeight="1">
      <c r="A484" s="35">
        <v>483.0</v>
      </c>
      <c r="B484" s="35"/>
      <c r="C484" s="35" t="s">
        <v>682</v>
      </c>
      <c r="D484" s="35" t="s">
        <v>1408</v>
      </c>
      <c r="E484" s="35" t="s">
        <v>1409</v>
      </c>
      <c r="F484" s="35" t="s">
        <v>7790</v>
      </c>
      <c r="G484" s="41" t="s">
        <v>7791</v>
      </c>
      <c r="H484" s="35" t="s">
        <v>59</v>
      </c>
      <c r="I484" s="35" t="s">
        <v>61</v>
      </c>
      <c r="J484" s="35" t="s">
        <v>62</v>
      </c>
      <c r="K484" s="35" t="s">
        <v>111</v>
      </c>
      <c r="L484" s="35">
        <v>58.0</v>
      </c>
      <c r="M484" s="35" t="s">
        <v>5112</v>
      </c>
      <c r="N484" s="35" t="s">
        <v>66</v>
      </c>
      <c r="O484" s="35" t="s">
        <v>67</v>
      </c>
      <c r="P484" s="35" t="s">
        <v>7735</v>
      </c>
      <c r="Q484" s="35"/>
      <c r="R484" s="35"/>
      <c r="S484" s="35"/>
      <c r="T484" s="35"/>
      <c r="U484" s="35"/>
      <c r="V484" s="35" t="s">
        <v>61</v>
      </c>
      <c r="W484" s="35" t="s">
        <v>93</v>
      </c>
      <c r="X484" s="35" t="s">
        <v>7794</v>
      </c>
      <c r="Y484" s="35" t="s">
        <v>7795</v>
      </c>
      <c r="Z484" s="35" t="s">
        <v>7796</v>
      </c>
      <c r="AA484" s="46">
        <v>46023.0</v>
      </c>
      <c r="AB484" s="46">
        <v>46387.0</v>
      </c>
      <c r="AC484" s="35" t="s">
        <v>7797</v>
      </c>
      <c r="AD484" s="35" t="s">
        <v>79</v>
      </c>
      <c r="AE484" s="35"/>
      <c r="AF484" s="35"/>
      <c r="AG484" s="46"/>
    </row>
    <row r="485" ht="44.25" customHeight="1">
      <c r="A485" s="35">
        <v>484.0</v>
      </c>
      <c r="B485" s="35"/>
      <c r="C485" s="35" t="s">
        <v>682</v>
      </c>
      <c r="D485" s="35" t="s">
        <v>1498</v>
      </c>
      <c r="E485" s="35" t="s">
        <v>1673</v>
      </c>
      <c r="F485" s="35" t="s">
        <v>7801</v>
      </c>
      <c r="G485" s="41" t="s">
        <v>7803</v>
      </c>
      <c r="H485" s="35" t="s">
        <v>59</v>
      </c>
      <c r="I485" s="35" t="s">
        <v>61</v>
      </c>
      <c r="J485" s="35" t="s">
        <v>62</v>
      </c>
      <c r="K485" s="35" t="s">
        <v>111</v>
      </c>
      <c r="L485" s="35">
        <v>115.0</v>
      </c>
      <c r="M485" s="35" t="s">
        <v>7805</v>
      </c>
      <c r="N485" s="35" t="s">
        <v>71</v>
      </c>
      <c r="O485" s="35" t="s">
        <v>67</v>
      </c>
      <c r="P485" s="35" t="s">
        <v>7806</v>
      </c>
      <c r="Q485" s="35"/>
      <c r="R485" s="35"/>
      <c r="S485" s="35"/>
      <c r="T485" s="35"/>
      <c r="U485" s="35">
        <v>28.0</v>
      </c>
      <c r="V485" s="35" t="s">
        <v>61</v>
      </c>
      <c r="W485" s="35" t="s">
        <v>93</v>
      </c>
      <c r="X485" s="35" t="s">
        <v>7809</v>
      </c>
      <c r="Y485" s="35" t="s">
        <v>7810</v>
      </c>
      <c r="Z485" s="35" t="s">
        <v>7811</v>
      </c>
      <c r="AA485" s="46">
        <v>46023.0</v>
      </c>
      <c r="AB485" s="46">
        <v>46387.0</v>
      </c>
      <c r="AC485" s="35" t="s">
        <v>7812</v>
      </c>
      <c r="AD485" s="35" t="s">
        <v>79</v>
      </c>
      <c r="AE485" s="35"/>
      <c r="AF485" s="35"/>
      <c r="AG485" s="46"/>
    </row>
    <row r="486" ht="44.25" customHeight="1">
      <c r="A486" s="35">
        <v>485.0</v>
      </c>
      <c r="B486" s="35"/>
      <c r="C486" s="35" t="s">
        <v>682</v>
      </c>
      <c r="D486" s="35" t="s">
        <v>1498</v>
      </c>
      <c r="E486" s="35" t="s">
        <v>1673</v>
      </c>
      <c r="F486" s="35" t="s">
        <v>7813</v>
      </c>
      <c r="G486" s="41" t="s">
        <v>7814</v>
      </c>
      <c r="H486" s="35" t="s">
        <v>59</v>
      </c>
      <c r="I486" s="35" t="s">
        <v>3406</v>
      </c>
      <c r="J486" s="35" t="s">
        <v>62</v>
      </c>
      <c r="K486" s="35" t="s">
        <v>68</v>
      </c>
      <c r="L486" s="35">
        <v>260.0</v>
      </c>
      <c r="M486" s="35" t="s">
        <v>7480</v>
      </c>
      <c r="N486" s="35" t="s">
        <v>71</v>
      </c>
      <c r="O486" s="35" t="s">
        <v>67</v>
      </c>
      <c r="P486" s="35" t="s">
        <v>7816</v>
      </c>
      <c r="Q486" s="35"/>
      <c r="R486" s="35"/>
      <c r="S486" s="35"/>
      <c r="T486" s="35"/>
      <c r="U486" s="35">
        <v>25.0</v>
      </c>
      <c r="V486" s="35" t="s">
        <v>61</v>
      </c>
      <c r="W486" s="35" t="s">
        <v>93</v>
      </c>
      <c r="X486" s="35" t="s">
        <v>7818</v>
      </c>
      <c r="Y486" s="35" t="s">
        <v>7820</v>
      </c>
      <c r="Z486" s="35" t="s">
        <v>7822</v>
      </c>
      <c r="AA486" s="46">
        <v>46023.0</v>
      </c>
      <c r="AB486" s="46">
        <v>46387.0</v>
      </c>
      <c r="AC486" s="35" t="s">
        <v>7824</v>
      </c>
      <c r="AD486" s="35" t="s">
        <v>79</v>
      </c>
      <c r="AE486" s="35"/>
      <c r="AF486" s="35"/>
      <c r="AG486" s="46"/>
    </row>
    <row r="487" ht="44.25" customHeight="1">
      <c r="A487" s="35">
        <v>486.0</v>
      </c>
      <c r="B487" s="35"/>
      <c r="C487" s="35" t="s">
        <v>682</v>
      </c>
      <c r="D487" s="35" t="s">
        <v>1498</v>
      </c>
      <c r="E487" s="35" t="s">
        <v>1499</v>
      </c>
      <c r="F487" s="35" t="s">
        <v>7825</v>
      </c>
      <c r="G487" s="41" t="s">
        <v>7827</v>
      </c>
      <c r="H487" s="35" t="s">
        <v>59</v>
      </c>
      <c r="I487" s="35" t="s">
        <v>61</v>
      </c>
      <c r="J487" s="35" t="s">
        <v>62</v>
      </c>
      <c r="K487" s="35" t="s">
        <v>68</v>
      </c>
      <c r="L487" s="35">
        <v>200.0</v>
      </c>
      <c r="M487" s="35" t="s">
        <v>7480</v>
      </c>
      <c r="N487" s="35" t="s">
        <v>71</v>
      </c>
      <c r="O487" s="35" t="s">
        <v>67</v>
      </c>
      <c r="P487" s="35" t="s">
        <v>7829</v>
      </c>
      <c r="Q487" s="35"/>
      <c r="R487" s="35"/>
      <c r="S487" s="35"/>
      <c r="T487" s="35"/>
      <c r="U487" s="35">
        <v>5.0</v>
      </c>
      <c r="V487" s="35" t="s">
        <v>61</v>
      </c>
      <c r="W487" s="35" t="s">
        <v>93</v>
      </c>
      <c r="X487" s="35" t="s">
        <v>7830</v>
      </c>
      <c r="Y487" s="35" t="s">
        <v>7831</v>
      </c>
      <c r="Z487" s="35" t="s">
        <v>7832</v>
      </c>
      <c r="AA487" s="46">
        <v>46023.0</v>
      </c>
      <c r="AB487" s="46">
        <v>46387.0</v>
      </c>
      <c r="AC487" s="35" t="s">
        <v>7833</v>
      </c>
      <c r="AD487" s="35" t="s">
        <v>79</v>
      </c>
      <c r="AE487" s="35"/>
      <c r="AF487" s="35"/>
      <c r="AG487" s="46"/>
    </row>
    <row r="488" ht="44.25" customHeight="1">
      <c r="A488" s="35">
        <v>487.0</v>
      </c>
      <c r="B488" s="35" t="s">
        <v>7834</v>
      </c>
      <c r="C488" s="35" t="s">
        <v>764</v>
      </c>
      <c r="D488" s="35" t="s">
        <v>1766</v>
      </c>
      <c r="E488" s="35" t="s">
        <v>5613</v>
      </c>
      <c r="F488" s="35" t="s">
        <v>7837</v>
      </c>
      <c r="G488" s="41" t="s">
        <v>7838</v>
      </c>
      <c r="H488" s="35" t="s">
        <v>59</v>
      </c>
      <c r="I488" s="35" t="s">
        <v>61</v>
      </c>
      <c r="J488" s="35" t="s">
        <v>62</v>
      </c>
      <c r="K488" s="35" t="s">
        <v>63</v>
      </c>
      <c r="L488" s="35">
        <v>75.0</v>
      </c>
      <c r="M488" s="35" t="s">
        <v>7839</v>
      </c>
      <c r="N488" s="35" t="s">
        <v>66</v>
      </c>
      <c r="O488" s="35" t="s">
        <v>67</v>
      </c>
      <c r="P488" s="35" t="s">
        <v>7840</v>
      </c>
      <c r="Q488" s="35"/>
      <c r="R488" s="35"/>
      <c r="S488" s="35"/>
      <c r="T488" s="35" t="s">
        <v>61</v>
      </c>
      <c r="U488" s="35">
        <v>21.0</v>
      </c>
      <c r="V488" s="35" t="s">
        <v>61</v>
      </c>
      <c r="W488" s="35" t="s">
        <v>93</v>
      </c>
      <c r="X488" s="35" t="s">
        <v>7841</v>
      </c>
      <c r="Y488" s="35">
        <v>9.98494812E9</v>
      </c>
      <c r="Z488" s="35" t="s">
        <v>7842</v>
      </c>
      <c r="AA488" s="46">
        <v>46023.0</v>
      </c>
      <c r="AB488" s="46">
        <v>46387.0</v>
      </c>
      <c r="AC488" s="35" t="s">
        <v>7843</v>
      </c>
      <c r="AD488" s="35" t="s">
        <v>79</v>
      </c>
      <c r="AE488" s="35"/>
      <c r="AF488" s="35"/>
      <c r="AG488" s="46"/>
    </row>
    <row r="489" ht="44.25" customHeight="1">
      <c r="A489" s="35">
        <v>488.0</v>
      </c>
      <c r="B489" s="35" t="s">
        <v>7844</v>
      </c>
      <c r="C489" s="35" t="s">
        <v>764</v>
      </c>
      <c r="D489" s="35" t="s">
        <v>1766</v>
      </c>
      <c r="E489" s="35" t="s">
        <v>5595</v>
      </c>
      <c r="F489" s="35" t="s">
        <v>7845</v>
      </c>
      <c r="G489" s="41" t="s">
        <v>7846</v>
      </c>
      <c r="H489" s="35" t="s">
        <v>59</v>
      </c>
      <c r="I489" s="35" t="s">
        <v>61</v>
      </c>
      <c r="J489" s="35" t="s">
        <v>62</v>
      </c>
      <c r="K489" s="35" t="s">
        <v>63</v>
      </c>
      <c r="L489" s="35">
        <v>30.0</v>
      </c>
      <c r="M489" s="35" t="s">
        <v>4440</v>
      </c>
      <c r="N489" s="35" t="s">
        <v>66</v>
      </c>
      <c r="O489" s="35" t="s">
        <v>67</v>
      </c>
      <c r="P489" s="35" t="s">
        <v>7849</v>
      </c>
      <c r="Q489" s="35"/>
      <c r="R489" s="35"/>
      <c r="S489" s="35"/>
      <c r="T489" s="35" t="s">
        <v>61</v>
      </c>
      <c r="U489" s="35">
        <v>8.0</v>
      </c>
      <c r="V489" s="35" t="s">
        <v>61</v>
      </c>
      <c r="W489" s="35" t="s">
        <v>74</v>
      </c>
      <c r="X489" s="35" t="s">
        <v>7850</v>
      </c>
      <c r="Y489" s="35">
        <v>9.531081887E9</v>
      </c>
      <c r="Z489" s="35" t="s">
        <v>7852</v>
      </c>
      <c r="AA489" s="46">
        <v>46023.0</v>
      </c>
      <c r="AB489" s="46">
        <v>46387.0</v>
      </c>
      <c r="AC489" s="35" t="s">
        <v>7853</v>
      </c>
      <c r="AD489" s="35" t="s">
        <v>79</v>
      </c>
      <c r="AE489" s="35"/>
      <c r="AF489" s="35"/>
      <c r="AG489" s="46"/>
    </row>
    <row r="490" ht="44.25" customHeight="1">
      <c r="A490" s="35">
        <v>489.0</v>
      </c>
      <c r="B490" s="35" t="s">
        <v>7857</v>
      </c>
      <c r="C490" s="35" t="s">
        <v>764</v>
      </c>
      <c r="D490" s="35" t="s">
        <v>1766</v>
      </c>
      <c r="E490" s="35" t="s">
        <v>1846</v>
      </c>
      <c r="F490" s="35" t="s">
        <v>7858</v>
      </c>
      <c r="G490" s="41" t="s">
        <v>7859</v>
      </c>
      <c r="H490" s="35" t="s">
        <v>59</v>
      </c>
      <c r="I490" s="35" t="s">
        <v>61</v>
      </c>
      <c r="J490" s="35" t="s">
        <v>62</v>
      </c>
      <c r="K490" s="35" t="s">
        <v>63</v>
      </c>
      <c r="L490" s="35">
        <v>50.0</v>
      </c>
      <c r="M490" s="35" t="s">
        <v>7860</v>
      </c>
      <c r="N490" s="35" t="s">
        <v>66</v>
      </c>
      <c r="O490" s="35" t="s">
        <v>67</v>
      </c>
      <c r="P490" s="35" t="s">
        <v>7861</v>
      </c>
      <c r="Q490" s="35"/>
      <c r="R490" s="35"/>
      <c r="S490" s="35"/>
      <c r="T490" s="35" t="s">
        <v>61</v>
      </c>
      <c r="U490" s="35">
        <v>5.0</v>
      </c>
      <c r="V490" s="35" t="s">
        <v>61</v>
      </c>
      <c r="W490" s="35" t="s">
        <v>93</v>
      </c>
      <c r="X490" s="35" t="s">
        <v>7862</v>
      </c>
      <c r="Y490" s="35">
        <v>9.993230108E9</v>
      </c>
      <c r="Z490" s="35" t="s">
        <v>7863</v>
      </c>
      <c r="AA490" s="46">
        <v>46023.0</v>
      </c>
      <c r="AB490" s="46">
        <v>46387.0</v>
      </c>
      <c r="AC490" s="35" t="s">
        <v>7864</v>
      </c>
      <c r="AD490" s="35" t="s">
        <v>79</v>
      </c>
      <c r="AE490" s="35"/>
      <c r="AF490" s="35"/>
      <c r="AG490" s="46"/>
    </row>
    <row r="491" ht="44.25" customHeight="1">
      <c r="A491" s="35">
        <v>490.0</v>
      </c>
      <c r="B491" s="35" t="s">
        <v>7865</v>
      </c>
      <c r="C491" s="35" t="s">
        <v>764</v>
      </c>
      <c r="D491" s="35" t="s">
        <v>5770</v>
      </c>
      <c r="E491" s="35" t="s">
        <v>5803</v>
      </c>
      <c r="F491" s="35" t="s">
        <v>7866</v>
      </c>
      <c r="G491" s="41" t="s">
        <v>7867</v>
      </c>
      <c r="H491" s="35" t="s">
        <v>59</v>
      </c>
      <c r="I491" s="35" t="s">
        <v>61</v>
      </c>
      <c r="J491" s="35" t="s">
        <v>62</v>
      </c>
      <c r="K491" s="35" t="s">
        <v>63</v>
      </c>
      <c r="L491" s="35">
        <v>30.0</v>
      </c>
      <c r="M491" s="35" t="s">
        <v>7860</v>
      </c>
      <c r="N491" s="35" t="s">
        <v>66</v>
      </c>
      <c r="O491" s="35" t="s">
        <v>67</v>
      </c>
      <c r="P491" s="35" t="s">
        <v>7868</v>
      </c>
      <c r="Q491" s="35"/>
      <c r="R491" s="35"/>
      <c r="S491" s="35"/>
      <c r="T491" s="35" t="s">
        <v>61</v>
      </c>
      <c r="U491" s="35">
        <v>9.0</v>
      </c>
      <c r="V491" s="35" t="s">
        <v>61</v>
      </c>
      <c r="W491" s="35" t="s">
        <v>74</v>
      </c>
      <c r="X491" s="35" t="s">
        <v>7869</v>
      </c>
      <c r="Y491" s="35">
        <v>9.455217141E9</v>
      </c>
      <c r="Z491" s="35" t="s">
        <v>7870</v>
      </c>
      <c r="AA491" s="46">
        <v>46023.0</v>
      </c>
      <c r="AB491" s="46">
        <v>46387.0</v>
      </c>
      <c r="AC491" s="35" t="s">
        <v>7871</v>
      </c>
      <c r="AD491" s="35" t="s">
        <v>79</v>
      </c>
      <c r="AE491" s="35"/>
      <c r="AF491" s="35"/>
      <c r="AG491" s="46"/>
    </row>
    <row r="492" ht="44.25" customHeight="1">
      <c r="A492" s="35">
        <v>491.0</v>
      </c>
      <c r="B492" s="35" t="s">
        <v>7873</v>
      </c>
      <c r="C492" s="35" t="s">
        <v>764</v>
      </c>
      <c r="D492" s="35" t="s">
        <v>5770</v>
      </c>
      <c r="E492" s="35" t="s">
        <v>5803</v>
      </c>
      <c r="F492" s="35" t="s">
        <v>7875</v>
      </c>
      <c r="G492" s="41" t="s">
        <v>7876</v>
      </c>
      <c r="H492" s="35" t="s">
        <v>59</v>
      </c>
      <c r="I492" s="35" t="s">
        <v>61</v>
      </c>
      <c r="J492" s="35" t="s">
        <v>62</v>
      </c>
      <c r="K492" s="35" t="s">
        <v>63</v>
      </c>
      <c r="L492" s="35">
        <v>30.0</v>
      </c>
      <c r="M492" s="35" t="s">
        <v>61</v>
      </c>
      <c r="N492" s="35" t="s">
        <v>66</v>
      </c>
      <c r="O492" s="35" t="s">
        <v>67</v>
      </c>
      <c r="P492" s="35" t="s">
        <v>7880</v>
      </c>
      <c r="Q492" s="35"/>
      <c r="R492" s="35"/>
      <c r="S492" s="35"/>
      <c r="T492" s="35" t="s">
        <v>61</v>
      </c>
      <c r="U492" s="35" t="s">
        <v>61</v>
      </c>
      <c r="V492" s="35" t="s">
        <v>61</v>
      </c>
      <c r="W492" s="35" t="s">
        <v>74</v>
      </c>
      <c r="X492" s="35" t="s">
        <v>7882</v>
      </c>
      <c r="Y492" s="35">
        <v>9.251274297E9</v>
      </c>
      <c r="Z492" s="35" t="s">
        <v>7883</v>
      </c>
      <c r="AA492" s="46">
        <v>46023.0</v>
      </c>
      <c r="AB492" s="46">
        <v>46387.0</v>
      </c>
      <c r="AC492" s="35" t="s">
        <v>7884</v>
      </c>
      <c r="AD492" s="35" t="s">
        <v>79</v>
      </c>
      <c r="AE492" s="35"/>
      <c r="AF492" s="35"/>
      <c r="AG492" s="46"/>
    </row>
    <row r="493" ht="44.25" customHeight="1">
      <c r="A493" s="35">
        <v>492.0</v>
      </c>
      <c r="B493" s="35" t="s">
        <v>7887</v>
      </c>
      <c r="C493" s="35" t="s">
        <v>764</v>
      </c>
      <c r="D493" s="35" t="s">
        <v>5770</v>
      </c>
      <c r="E493" s="35" t="s">
        <v>5786</v>
      </c>
      <c r="F493" s="35" t="s">
        <v>7888</v>
      </c>
      <c r="G493" s="41" t="s">
        <v>7889</v>
      </c>
      <c r="H493" s="35" t="s">
        <v>59</v>
      </c>
      <c r="I493" s="35" t="s">
        <v>61</v>
      </c>
      <c r="J493" s="35" t="s">
        <v>62</v>
      </c>
      <c r="K493" s="35" t="s">
        <v>63</v>
      </c>
      <c r="L493" s="35">
        <v>50.0</v>
      </c>
      <c r="M493" s="35" t="s">
        <v>7891</v>
      </c>
      <c r="N493" s="35" t="s">
        <v>66</v>
      </c>
      <c r="O493" s="35" t="s">
        <v>67</v>
      </c>
      <c r="P493" s="35" t="s">
        <v>7892</v>
      </c>
      <c r="Q493" s="35"/>
      <c r="R493" s="35"/>
      <c r="S493" s="35"/>
      <c r="T493" s="35" t="s">
        <v>61</v>
      </c>
      <c r="U493" s="35">
        <v>10.0</v>
      </c>
      <c r="V493" s="35" t="s">
        <v>61</v>
      </c>
      <c r="W493" s="35" t="s">
        <v>74</v>
      </c>
      <c r="X493" s="35" t="s">
        <v>7893</v>
      </c>
      <c r="Y493" s="35">
        <v>9.071592186E9</v>
      </c>
      <c r="Z493" s="35" t="s">
        <v>7896</v>
      </c>
      <c r="AA493" s="46">
        <v>46023.0</v>
      </c>
      <c r="AB493" s="46">
        <v>46387.0</v>
      </c>
      <c r="AC493" s="35" t="s">
        <v>7898</v>
      </c>
      <c r="AD493" s="35" t="s">
        <v>79</v>
      </c>
      <c r="AE493" s="35"/>
      <c r="AF493" s="35"/>
      <c r="AG493" s="46"/>
    </row>
    <row r="494" ht="44.25" customHeight="1">
      <c r="A494" s="35">
        <v>493.0</v>
      </c>
      <c r="B494" s="35" t="s">
        <v>7900</v>
      </c>
      <c r="C494" s="35" t="s">
        <v>764</v>
      </c>
      <c r="D494" s="35" t="s">
        <v>5770</v>
      </c>
      <c r="E494" s="35" t="s">
        <v>5786</v>
      </c>
      <c r="F494" s="35" t="s">
        <v>7901</v>
      </c>
      <c r="G494" s="41" t="s">
        <v>7902</v>
      </c>
      <c r="H494" s="35" t="s">
        <v>59</v>
      </c>
      <c r="I494" s="35" t="s">
        <v>61</v>
      </c>
      <c r="J494" s="35" t="s">
        <v>62</v>
      </c>
      <c r="K494" s="35" t="s">
        <v>63</v>
      </c>
      <c r="L494" s="35">
        <v>22.0</v>
      </c>
      <c r="M494" s="35" t="s">
        <v>4440</v>
      </c>
      <c r="N494" s="35" t="s">
        <v>66</v>
      </c>
      <c r="O494" s="35" t="s">
        <v>67</v>
      </c>
      <c r="P494" s="35" t="s">
        <v>7903</v>
      </c>
      <c r="Q494" s="35"/>
      <c r="R494" s="35"/>
      <c r="S494" s="35"/>
      <c r="T494" s="35" t="s">
        <v>61</v>
      </c>
      <c r="U494" s="35">
        <v>12.0</v>
      </c>
      <c r="V494" s="35" t="s">
        <v>61</v>
      </c>
      <c r="W494" s="35" t="s">
        <v>74</v>
      </c>
      <c r="X494" s="35" t="s">
        <v>7904</v>
      </c>
      <c r="Y494" s="35">
        <v>9.177067075E9</v>
      </c>
      <c r="Z494" s="35" t="s">
        <v>7906</v>
      </c>
      <c r="AA494" s="46">
        <v>46023.0</v>
      </c>
      <c r="AB494" s="46">
        <v>46387.0</v>
      </c>
      <c r="AC494" s="35" t="s">
        <v>7907</v>
      </c>
      <c r="AD494" s="35" t="s">
        <v>79</v>
      </c>
      <c r="AE494" s="35"/>
      <c r="AF494" s="35"/>
      <c r="AG494" s="46"/>
    </row>
    <row r="495" ht="44.25" customHeight="1">
      <c r="A495" s="35">
        <v>494.0</v>
      </c>
      <c r="B495" s="35" t="s">
        <v>7908</v>
      </c>
      <c r="C495" s="35" t="s">
        <v>764</v>
      </c>
      <c r="D495" s="35" t="s">
        <v>5718</v>
      </c>
      <c r="E495" s="35" t="s">
        <v>5736</v>
      </c>
      <c r="F495" s="35" t="s">
        <v>7911</v>
      </c>
      <c r="G495" s="41" t="s">
        <v>7912</v>
      </c>
      <c r="H495" s="35" t="s">
        <v>59</v>
      </c>
      <c r="I495" s="35" t="s">
        <v>61</v>
      </c>
      <c r="J495" s="35" t="s">
        <v>62</v>
      </c>
      <c r="K495" s="35" t="s">
        <v>63</v>
      </c>
      <c r="L495" s="35">
        <v>15.0</v>
      </c>
      <c r="M495" s="35" t="s">
        <v>61</v>
      </c>
      <c r="N495" s="35" t="s">
        <v>66</v>
      </c>
      <c r="O495" s="35" t="s">
        <v>67</v>
      </c>
      <c r="P495" s="35" t="s">
        <v>7913</v>
      </c>
      <c r="Q495" s="35"/>
      <c r="R495" s="35"/>
      <c r="S495" s="35"/>
      <c r="T495" s="35" t="s">
        <v>61</v>
      </c>
      <c r="U495" s="35" t="s">
        <v>61</v>
      </c>
      <c r="V495" s="35" t="s">
        <v>61</v>
      </c>
      <c r="W495" s="35" t="s">
        <v>74</v>
      </c>
      <c r="X495" s="35" t="s">
        <v>7916</v>
      </c>
      <c r="Y495" s="35">
        <v>9.165112423E9</v>
      </c>
      <c r="Z495" s="35" t="s">
        <v>7918</v>
      </c>
      <c r="AA495" s="46">
        <v>46023.0</v>
      </c>
      <c r="AB495" s="46">
        <v>46387.0</v>
      </c>
      <c r="AC495" s="35" t="s">
        <v>7919</v>
      </c>
      <c r="AD495" s="35" t="s">
        <v>79</v>
      </c>
      <c r="AE495" s="35"/>
      <c r="AF495" s="35"/>
      <c r="AG495" s="46"/>
    </row>
    <row r="496" ht="44.25" customHeight="1">
      <c r="A496" s="35">
        <v>495.0</v>
      </c>
      <c r="B496" s="35" t="s">
        <v>7920</v>
      </c>
      <c r="C496" s="35" t="s">
        <v>764</v>
      </c>
      <c r="D496" s="35" t="s">
        <v>5718</v>
      </c>
      <c r="E496" s="35" t="s">
        <v>5752</v>
      </c>
      <c r="F496" s="35" t="s">
        <v>7922</v>
      </c>
      <c r="G496" s="41" t="s">
        <v>7923</v>
      </c>
      <c r="H496" s="35" t="s">
        <v>59</v>
      </c>
      <c r="I496" s="35" t="s">
        <v>65</v>
      </c>
      <c r="J496" s="35" t="s">
        <v>62</v>
      </c>
      <c r="K496" s="35" t="s">
        <v>63</v>
      </c>
      <c r="L496" s="35">
        <v>100.0</v>
      </c>
      <c r="M496" s="35" t="s">
        <v>7860</v>
      </c>
      <c r="N496" s="35" t="s">
        <v>66</v>
      </c>
      <c r="O496" s="35" t="s">
        <v>67</v>
      </c>
      <c r="P496" s="35" t="s">
        <v>7924</v>
      </c>
      <c r="Q496" s="35"/>
      <c r="R496" s="35"/>
      <c r="S496" s="35"/>
      <c r="T496" s="35" t="s">
        <v>61</v>
      </c>
      <c r="U496" s="35">
        <v>8.0</v>
      </c>
      <c r="V496" s="35" t="s">
        <v>61</v>
      </c>
      <c r="W496" s="35" t="s">
        <v>74</v>
      </c>
      <c r="X496" s="35" t="s">
        <v>7928</v>
      </c>
      <c r="Y496" s="35" t="s">
        <v>7930</v>
      </c>
      <c r="Z496" s="35" t="s">
        <v>7931</v>
      </c>
      <c r="AA496" s="46">
        <v>46023.0</v>
      </c>
      <c r="AB496" s="46">
        <v>46387.0</v>
      </c>
      <c r="AC496" s="35" t="s">
        <v>7933</v>
      </c>
      <c r="AD496" s="35" t="s">
        <v>79</v>
      </c>
      <c r="AE496" s="35"/>
      <c r="AF496" s="35"/>
      <c r="AG496" s="46"/>
    </row>
    <row r="497" ht="44.25" customHeight="1">
      <c r="A497" s="35">
        <v>496.0</v>
      </c>
      <c r="B497" s="35"/>
      <c r="C497" s="35" t="s">
        <v>764</v>
      </c>
      <c r="D497" s="35" t="s">
        <v>5506</v>
      </c>
      <c r="E497" s="35" t="s">
        <v>5736</v>
      </c>
      <c r="F497" s="35" t="s">
        <v>7934</v>
      </c>
      <c r="G497" s="41" t="s">
        <v>7935</v>
      </c>
      <c r="H497" s="35" t="s">
        <v>59</v>
      </c>
      <c r="I497" s="35" t="s">
        <v>61</v>
      </c>
      <c r="J497" s="35" t="s">
        <v>62</v>
      </c>
      <c r="K497" s="35" t="s">
        <v>63</v>
      </c>
      <c r="L497" s="35">
        <v>25.0</v>
      </c>
      <c r="M497" s="35" t="s">
        <v>61</v>
      </c>
      <c r="N497" s="35" t="s">
        <v>66</v>
      </c>
      <c r="O497" s="35" t="s">
        <v>67</v>
      </c>
      <c r="P497" s="35" t="s">
        <v>7936</v>
      </c>
      <c r="Q497" s="35"/>
      <c r="R497" s="35"/>
      <c r="S497" s="35"/>
      <c r="T497" s="35" t="s">
        <v>61</v>
      </c>
      <c r="U497" s="35" t="s">
        <v>61</v>
      </c>
      <c r="V497" s="35" t="s">
        <v>61</v>
      </c>
      <c r="W497" s="35" t="s">
        <v>74</v>
      </c>
      <c r="X497" s="35" t="s">
        <v>7937</v>
      </c>
      <c r="Y497" s="35">
        <v>9.75632329E9</v>
      </c>
      <c r="Z497" s="35" t="s">
        <v>7938</v>
      </c>
      <c r="AA497" s="46">
        <v>46044.0</v>
      </c>
      <c r="AB497" s="46">
        <v>46387.0</v>
      </c>
      <c r="AC497" s="35" t="s">
        <v>7939</v>
      </c>
      <c r="AD497" s="35" t="s">
        <v>79</v>
      </c>
      <c r="AE497" s="35"/>
      <c r="AF497" s="35"/>
      <c r="AG497" s="46"/>
    </row>
    <row r="498" ht="44.25" customHeight="1">
      <c r="A498" s="35">
        <v>497.0</v>
      </c>
      <c r="B498" s="35"/>
      <c r="C498" s="35" t="s">
        <v>764</v>
      </c>
      <c r="D498" s="35" t="s">
        <v>5718</v>
      </c>
      <c r="E498" s="35" t="s">
        <v>5752</v>
      </c>
      <c r="F498" s="35" t="s">
        <v>7941</v>
      </c>
      <c r="G498" s="41" t="s">
        <v>7943</v>
      </c>
      <c r="H498" s="35" t="s">
        <v>59</v>
      </c>
      <c r="I498" s="35" t="s">
        <v>61</v>
      </c>
      <c r="J498" s="35" t="s">
        <v>62</v>
      </c>
      <c r="K498" s="35" t="s">
        <v>63</v>
      </c>
      <c r="L498" s="35">
        <v>15.0</v>
      </c>
      <c r="M498" s="35" t="s">
        <v>61</v>
      </c>
      <c r="N498" s="35" t="s">
        <v>66</v>
      </c>
      <c r="O498" s="35" t="s">
        <v>67</v>
      </c>
      <c r="P498" s="35" t="s">
        <v>61</v>
      </c>
      <c r="Q498" s="35"/>
      <c r="R498" s="35"/>
      <c r="S498" s="35"/>
      <c r="T498" s="35" t="s">
        <v>7944</v>
      </c>
      <c r="U498" s="35" t="s">
        <v>61</v>
      </c>
      <c r="V498" s="35" t="s">
        <v>61</v>
      </c>
      <c r="W498" s="35" t="s">
        <v>74</v>
      </c>
      <c r="X498" s="35" t="s">
        <v>7946</v>
      </c>
      <c r="Y498" s="35">
        <v>9.171432864E9</v>
      </c>
      <c r="Z498" s="35" t="s">
        <v>7948</v>
      </c>
      <c r="AA498" s="46">
        <v>46076.0</v>
      </c>
      <c r="AB498" s="46">
        <v>46387.0</v>
      </c>
      <c r="AC498" s="35" t="s">
        <v>7949</v>
      </c>
      <c r="AD498" s="35" t="s">
        <v>2346</v>
      </c>
      <c r="AE498" s="35"/>
      <c r="AF498" s="35"/>
      <c r="AG498" s="46"/>
    </row>
    <row r="499" ht="44.25" customHeight="1">
      <c r="A499" s="35">
        <v>498.0</v>
      </c>
      <c r="B499" s="35" t="s">
        <v>7950</v>
      </c>
      <c r="C499" s="35" t="s">
        <v>764</v>
      </c>
      <c r="D499" s="35" t="s">
        <v>5718</v>
      </c>
      <c r="E499" s="35" t="s">
        <v>5736</v>
      </c>
      <c r="F499" s="35" t="s">
        <v>7951</v>
      </c>
      <c r="G499" s="41" t="s">
        <v>7952</v>
      </c>
      <c r="H499" s="35" t="s">
        <v>59</v>
      </c>
      <c r="I499" s="35" t="s">
        <v>61</v>
      </c>
      <c r="J499" s="35" t="s">
        <v>62</v>
      </c>
      <c r="K499" s="35" t="s">
        <v>63</v>
      </c>
      <c r="L499" s="35">
        <v>50.0</v>
      </c>
      <c r="M499" s="35" t="s">
        <v>7954</v>
      </c>
      <c r="N499" s="35" t="s">
        <v>66</v>
      </c>
      <c r="O499" s="35" t="s">
        <v>67</v>
      </c>
      <c r="P499" s="35" t="s">
        <v>7955</v>
      </c>
      <c r="Q499" s="35"/>
      <c r="R499" s="35"/>
      <c r="S499" s="35"/>
      <c r="T499" s="35" t="s">
        <v>61</v>
      </c>
      <c r="U499" s="35" t="s">
        <v>61</v>
      </c>
      <c r="V499" s="35" t="s">
        <v>61</v>
      </c>
      <c r="W499" s="35" t="s">
        <v>93</v>
      </c>
      <c r="X499" s="35" t="s">
        <v>7956</v>
      </c>
      <c r="Y499" s="35">
        <v>9.178889986E9</v>
      </c>
      <c r="Z499" s="35" t="s">
        <v>7958</v>
      </c>
      <c r="AA499" s="46">
        <v>46023.0</v>
      </c>
      <c r="AB499" s="46">
        <v>46387.0</v>
      </c>
      <c r="AC499" s="35" t="s">
        <v>7961</v>
      </c>
      <c r="AD499" s="35" t="s">
        <v>79</v>
      </c>
      <c r="AE499" s="35"/>
      <c r="AF499" s="35"/>
      <c r="AG499" s="46"/>
    </row>
    <row r="500" ht="44.25" customHeight="1">
      <c r="A500" s="35">
        <v>499.0</v>
      </c>
      <c r="B500" s="35" t="s">
        <v>7963</v>
      </c>
      <c r="C500" s="35" t="s">
        <v>764</v>
      </c>
      <c r="D500" s="35" t="s">
        <v>5506</v>
      </c>
      <c r="E500" s="35" t="s">
        <v>5507</v>
      </c>
      <c r="F500" s="35" t="s">
        <v>7965</v>
      </c>
      <c r="G500" s="41" t="s">
        <v>7966</v>
      </c>
      <c r="H500" s="35" t="s">
        <v>59</v>
      </c>
      <c r="I500" s="35" t="s">
        <v>61</v>
      </c>
      <c r="J500" s="35" t="s">
        <v>62</v>
      </c>
      <c r="K500" s="35" t="s">
        <v>63</v>
      </c>
      <c r="L500" s="35">
        <v>84.0</v>
      </c>
      <c r="M500" s="35" t="s">
        <v>7860</v>
      </c>
      <c r="N500" s="35" t="s">
        <v>66</v>
      </c>
      <c r="O500" s="35" t="s">
        <v>67</v>
      </c>
      <c r="P500" s="35" t="s">
        <v>61</v>
      </c>
      <c r="Q500" s="35"/>
      <c r="R500" s="35"/>
      <c r="S500" s="35"/>
      <c r="T500" s="35" t="s">
        <v>7969</v>
      </c>
      <c r="U500" s="35">
        <v>8.0</v>
      </c>
      <c r="V500" s="35" t="s">
        <v>61</v>
      </c>
      <c r="W500" s="35" t="s">
        <v>74</v>
      </c>
      <c r="X500" s="35" t="s">
        <v>7970</v>
      </c>
      <c r="Y500" s="35">
        <v>9.952397013E9</v>
      </c>
      <c r="Z500" s="35" t="s">
        <v>7971</v>
      </c>
      <c r="AA500" s="46">
        <v>46023.0</v>
      </c>
      <c r="AB500" s="46">
        <v>46387.0</v>
      </c>
      <c r="AC500" s="35" t="s">
        <v>7972</v>
      </c>
      <c r="AD500" s="35" t="s">
        <v>79</v>
      </c>
      <c r="AE500" s="35"/>
      <c r="AF500" s="35"/>
      <c r="AG500" s="46"/>
    </row>
    <row r="501" ht="44.25" customHeight="1">
      <c r="A501" s="35">
        <v>500.0</v>
      </c>
      <c r="B501" s="35" t="s">
        <v>7974</v>
      </c>
      <c r="C501" s="35" t="s">
        <v>764</v>
      </c>
      <c r="D501" s="35" t="s">
        <v>5506</v>
      </c>
      <c r="E501" s="35" t="s">
        <v>884</v>
      </c>
      <c r="F501" s="35" t="s">
        <v>7976</v>
      </c>
      <c r="G501" s="41" t="s">
        <v>7977</v>
      </c>
      <c r="H501" s="35" t="s">
        <v>59</v>
      </c>
      <c r="I501" s="35" t="s">
        <v>61</v>
      </c>
      <c r="J501" s="35" t="s">
        <v>62</v>
      </c>
      <c r="K501" s="35" t="s">
        <v>63</v>
      </c>
      <c r="L501" s="35">
        <v>50.0</v>
      </c>
      <c r="M501" s="35" t="s">
        <v>61</v>
      </c>
      <c r="N501" s="35" t="s">
        <v>66</v>
      </c>
      <c r="O501" s="35" t="s">
        <v>67</v>
      </c>
      <c r="P501" s="35" t="s">
        <v>61</v>
      </c>
      <c r="Q501" s="35"/>
      <c r="R501" s="35"/>
      <c r="S501" s="35"/>
      <c r="T501" s="35" t="s">
        <v>7969</v>
      </c>
      <c r="U501" s="35" t="s">
        <v>61</v>
      </c>
      <c r="V501" s="35" t="s">
        <v>61</v>
      </c>
      <c r="W501" s="35" t="s">
        <v>74</v>
      </c>
      <c r="X501" s="35" t="s">
        <v>7980</v>
      </c>
      <c r="Y501" s="35">
        <v>9.27263021E9</v>
      </c>
      <c r="Z501" s="35" t="s">
        <v>7981</v>
      </c>
      <c r="AA501" s="46">
        <v>46023.0</v>
      </c>
      <c r="AB501" s="46">
        <v>46387.0</v>
      </c>
      <c r="AC501" s="35" t="s">
        <v>7933</v>
      </c>
      <c r="AD501" s="35" t="s">
        <v>79</v>
      </c>
      <c r="AE501" s="35"/>
      <c r="AF501" s="35"/>
      <c r="AG501" s="46"/>
    </row>
    <row r="502" ht="44.25" customHeight="1">
      <c r="A502" s="35">
        <v>501.0</v>
      </c>
      <c r="B502" s="35" t="s">
        <v>7984</v>
      </c>
      <c r="C502" s="35" t="s">
        <v>764</v>
      </c>
      <c r="D502" s="35" t="s">
        <v>5506</v>
      </c>
      <c r="E502" s="35" t="s">
        <v>5528</v>
      </c>
      <c r="F502" s="35" t="s">
        <v>7985</v>
      </c>
      <c r="G502" s="41" t="s">
        <v>7986</v>
      </c>
      <c r="H502" s="35" t="s">
        <v>59</v>
      </c>
      <c r="I502" s="35" t="s">
        <v>61</v>
      </c>
      <c r="J502" s="35" t="s">
        <v>62</v>
      </c>
      <c r="K502" s="35" t="s">
        <v>63</v>
      </c>
      <c r="L502" s="35">
        <v>20.0</v>
      </c>
      <c r="M502" s="35" t="s">
        <v>61</v>
      </c>
      <c r="N502" s="35" t="s">
        <v>66</v>
      </c>
      <c r="O502" s="35" t="s">
        <v>67</v>
      </c>
      <c r="P502" s="35" t="s">
        <v>61</v>
      </c>
      <c r="Q502" s="35"/>
      <c r="R502" s="35"/>
      <c r="S502" s="35"/>
      <c r="T502" s="35" t="s">
        <v>7987</v>
      </c>
      <c r="U502" s="35" t="s">
        <v>61</v>
      </c>
      <c r="V502" s="35" t="s">
        <v>61</v>
      </c>
      <c r="W502" s="35" t="s">
        <v>74</v>
      </c>
      <c r="X502" s="35" t="s">
        <v>7989</v>
      </c>
      <c r="Y502" s="35">
        <v>9.957431342E9</v>
      </c>
      <c r="Z502" s="35" t="s">
        <v>7991</v>
      </c>
      <c r="AA502" s="46">
        <v>46023.0</v>
      </c>
      <c r="AB502" s="46">
        <v>46387.0</v>
      </c>
      <c r="AC502" s="35" t="s">
        <v>7993</v>
      </c>
      <c r="AD502" s="35" t="s">
        <v>79</v>
      </c>
      <c r="AE502" s="35"/>
      <c r="AF502" s="35"/>
      <c r="AG502" s="46"/>
    </row>
    <row r="503" ht="44.25" customHeight="1">
      <c r="A503" s="35">
        <v>502.0</v>
      </c>
      <c r="B503" s="35" t="s">
        <v>7994</v>
      </c>
      <c r="C503" s="35" t="s">
        <v>764</v>
      </c>
      <c r="D503" s="35" t="s">
        <v>5506</v>
      </c>
      <c r="E503" s="35" t="s">
        <v>7995</v>
      </c>
      <c r="F503" s="35" t="s">
        <v>7996</v>
      </c>
      <c r="G503" s="41" t="s">
        <v>7997</v>
      </c>
      <c r="H503" s="35" t="s">
        <v>59</v>
      </c>
      <c r="I503" s="35" t="s">
        <v>61</v>
      </c>
      <c r="J503" s="35" t="s">
        <v>62</v>
      </c>
      <c r="K503" s="35" t="s">
        <v>63</v>
      </c>
      <c r="L503" s="35">
        <v>50.0</v>
      </c>
      <c r="M503" s="35" t="s">
        <v>61</v>
      </c>
      <c r="N503" s="35" t="s">
        <v>66</v>
      </c>
      <c r="O503" s="35" t="s">
        <v>67</v>
      </c>
      <c r="P503" s="35" t="s">
        <v>7999</v>
      </c>
      <c r="Q503" s="35"/>
      <c r="R503" s="35"/>
      <c r="S503" s="35"/>
      <c r="T503" s="35" t="s">
        <v>61</v>
      </c>
      <c r="U503" s="35" t="s">
        <v>61</v>
      </c>
      <c r="V503" s="35" t="s">
        <v>61</v>
      </c>
      <c r="W503" s="35" t="s">
        <v>74</v>
      </c>
      <c r="X503" s="35" t="s">
        <v>8001</v>
      </c>
      <c r="Y503" s="35">
        <v>9.654470913E9</v>
      </c>
      <c r="Z503" s="35" t="s">
        <v>8002</v>
      </c>
      <c r="AA503" s="46">
        <v>46023.0</v>
      </c>
      <c r="AB503" s="46">
        <v>46387.0</v>
      </c>
      <c r="AC503" s="35" t="s">
        <v>8003</v>
      </c>
      <c r="AD503" s="35" t="s">
        <v>79</v>
      </c>
      <c r="AE503" s="35"/>
      <c r="AF503" s="35"/>
      <c r="AG503" s="46"/>
    </row>
    <row r="504" ht="44.25" customHeight="1">
      <c r="A504" s="35">
        <v>503.0</v>
      </c>
      <c r="B504" s="35" t="s">
        <v>8004</v>
      </c>
      <c r="C504" s="35" t="s">
        <v>764</v>
      </c>
      <c r="D504" s="35" t="s">
        <v>5506</v>
      </c>
      <c r="E504" s="35" t="s">
        <v>8006</v>
      </c>
      <c r="F504" s="35" t="s">
        <v>8007</v>
      </c>
      <c r="G504" s="41" t="s">
        <v>8008</v>
      </c>
      <c r="H504" s="35" t="s">
        <v>59</v>
      </c>
      <c r="I504" s="35" t="s">
        <v>61</v>
      </c>
      <c r="J504" s="35" t="s">
        <v>62</v>
      </c>
      <c r="K504" s="35" t="s">
        <v>63</v>
      </c>
      <c r="L504" s="35">
        <v>18.0</v>
      </c>
      <c r="M504" s="35" t="s">
        <v>61</v>
      </c>
      <c r="N504" s="35" t="s">
        <v>66</v>
      </c>
      <c r="O504" s="35" t="s">
        <v>67</v>
      </c>
      <c r="P504" s="35" t="s">
        <v>8009</v>
      </c>
      <c r="Q504" s="35"/>
      <c r="R504" s="35"/>
      <c r="S504" s="35"/>
      <c r="T504" s="35" t="s">
        <v>8010</v>
      </c>
      <c r="U504" s="35" t="s">
        <v>61</v>
      </c>
      <c r="V504" s="35" t="s">
        <v>61</v>
      </c>
      <c r="W504" s="35" t="s">
        <v>74</v>
      </c>
      <c r="X504" s="35" t="s">
        <v>8011</v>
      </c>
      <c r="Y504" s="35">
        <v>9.777186162E9</v>
      </c>
      <c r="Z504" s="35" t="s">
        <v>8013</v>
      </c>
      <c r="AA504" s="46">
        <v>46034.0</v>
      </c>
      <c r="AB504" s="46">
        <v>46387.0</v>
      </c>
      <c r="AC504" s="35" t="s">
        <v>8016</v>
      </c>
      <c r="AD504" s="35" t="s">
        <v>79</v>
      </c>
      <c r="AE504" s="35"/>
      <c r="AF504" s="35"/>
      <c r="AG504" s="46"/>
    </row>
    <row r="505" ht="44.25" customHeight="1">
      <c r="A505" s="35">
        <v>504.0</v>
      </c>
      <c r="B505" s="35" t="s">
        <v>8018</v>
      </c>
      <c r="C505" s="35" t="s">
        <v>764</v>
      </c>
      <c r="D505" s="35" t="s">
        <v>5506</v>
      </c>
      <c r="E505" s="35" t="s">
        <v>8019</v>
      </c>
      <c r="F505" s="35" t="s">
        <v>8020</v>
      </c>
      <c r="G505" s="41" t="s">
        <v>8021</v>
      </c>
      <c r="H505" s="35" t="s">
        <v>59</v>
      </c>
      <c r="I505" s="35" t="s">
        <v>61</v>
      </c>
      <c r="J505" s="35" t="s">
        <v>62</v>
      </c>
      <c r="K505" s="35" t="s">
        <v>63</v>
      </c>
      <c r="L505" s="35">
        <v>20.0</v>
      </c>
      <c r="M505" s="35" t="s">
        <v>61</v>
      </c>
      <c r="N505" s="35" t="s">
        <v>66</v>
      </c>
      <c r="O505" s="35" t="s">
        <v>67</v>
      </c>
      <c r="P505" s="35" t="s">
        <v>61</v>
      </c>
      <c r="Q505" s="35"/>
      <c r="R505" s="35"/>
      <c r="S505" s="35"/>
      <c r="T505" s="35" t="s">
        <v>8023</v>
      </c>
      <c r="U505" s="35" t="s">
        <v>61</v>
      </c>
      <c r="V505" s="35" t="s">
        <v>61</v>
      </c>
      <c r="W505" s="35" t="s">
        <v>74</v>
      </c>
      <c r="X505" s="35" t="s">
        <v>8024</v>
      </c>
      <c r="Y505" s="35">
        <v>9.224458789E9</v>
      </c>
      <c r="Z505" s="35" t="s">
        <v>8025</v>
      </c>
      <c r="AA505" s="46">
        <v>46027.0</v>
      </c>
      <c r="AB505" s="46">
        <v>46387.0</v>
      </c>
      <c r="AC505" s="35" t="s">
        <v>8026</v>
      </c>
      <c r="AD505" s="35" t="s">
        <v>79</v>
      </c>
      <c r="AE505" s="35"/>
      <c r="AF505" s="35"/>
      <c r="AG505" s="46"/>
    </row>
    <row r="506" ht="44.25" customHeight="1">
      <c r="A506" s="35">
        <v>505.0</v>
      </c>
      <c r="B506" s="35" t="s">
        <v>8027</v>
      </c>
      <c r="C506" s="35" t="s">
        <v>764</v>
      </c>
      <c r="D506" s="35" t="s">
        <v>5506</v>
      </c>
      <c r="E506" s="35" t="s">
        <v>5528</v>
      </c>
      <c r="F506" s="35" t="s">
        <v>8028</v>
      </c>
      <c r="G506" s="41" t="s">
        <v>8029</v>
      </c>
      <c r="H506" s="35" t="s">
        <v>59</v>
      </c>
      <c r="I506" s="35" t="s">
        <v>61</v>
      </c>
      <c r="J506" s="35" t="s">
        <v>62</v>
      </c>
      <c r="K506" s="35" t="s">
        <v>63</v>
      </c>
      <c r="L506" s="35">
        <v>42.0</v>
      </c>
      <c r="M506" s="35" t="s">
        <v>61</v>
      </c>
      <c r="N506" s="35" t="s">
        <v>66</v>
      </c>
      <c r="O506" s="35" t="s">
        <v>67</v>
      </c>
      <c r="P506" s="35" t="s">
        <v>61</v>
      </c>
      <c r="Q506" s="35"/>
      <c r="R506" s="35"/>
      <c r="S506" s="35"/>
      <c r="T506" s="35" t="s">
        <v>7987</v>
      </c>
      <c r="U506" s="35" t="s">
        <v>61</v>
      </c>
      <c r="V506" s="35" t="s">
        <v>61</v>
      </c>
      <c r="W506" s="35" t="s">
        <v>74</v>
      </c>
      <c r="X506" s="35" t="s">
        <v>8030</v>
      </c>
      <c r="Y506" s="35">
        <v>9.46830306E9</v>
      </c>
      <c r="Z506" s="35" t="s">
        <v>8032</v>
      </c>
      <c r="AA506" s="46">
        <v>46023.0</v>
      </c>
      <c r="AB506" s="46">
        <v>46387.0</v>
      </c>
      <c r="AC506" s="35" t="s">
        <v>8033</v>
      </c>
      <c r="AD506" s="35" t="s">
        <v>79</v>
      </c>
      <c r="AE506" s="35"/>
      <c r="AF506" s="35"/>
      <c r="AG506" s="46"/>
    </row>
    <row r="507" ht="44.25" customHeight="1">
      <c r="A507" s="35">
        <v>506.0</v>
      </c>
      <c r="B507" s="35" t="s">
        <v>8035</v>
      </c>
      <c r="C507" s="35" t="s">
        <v>764</v>
      </c>
      <c r="D507" s="35" t="s">
        <v>5506</v>
      </c>
      <c r="E507" s="35" t="s">
        <v>5528</v>
      </c>
      <c r="F507" s="35" t="s">
        <v>8036</v>
      </c>
      <c r="G507" s="41" t="s">
        <v>8037</v>
      </c>
      <c r="H507" s="35" t="s">
        <v>59</v>
      </c>
      <c r="I507" s="35" t="s">
        <v>61</v>
      </c>
      <c r="J507" s="35" t="s">
        <v>62</v>
      </c>
      <c r="K507" s="35" t="s">
        <v>63</v>
      </c>
      <c r="L507" s="35">
        <v>23.0</v>
      </c>
      <c r="M507" s="35" t="s">
        <v>61</v>
      </c>
      <c r="N507" s="35" t="s">
        <v>66</v>
      </c>
      <c r="O507" s="35" t="s">
        <v>67</v>
      </c>
      <c r="P507" s="35" t="s">
        <v>8039</v>
      </c>
      <c r="Q507" s="35"/>
      <c r="R507" s="35"/>
      <c r="S507" s="35"/>
      <c r="T507" s="35" t="s">
        <v>61</v>
      </c>
      <c r="U507" s="35" t="s">
        <v>61</v>
      </c>
      <c r="V507" s="35" t="s">
        <v>61</v>
      </c>
      <c r="W507" s="35" t="s">
        <v>74</v>
      </c>
      <c r="X507" s="35" t="s">
        <v>8041</v>
      </c>
      <c r="Y507" s="35">
        <v>9.175117707E9</v>
      </c>
      <c r="Z507" s="35" t="s">
        <v>8043</v>
      </c>
      <c r="AA507" s="46">
        <v>46023.0</v>
      </c>
      <c r="AB507" s="46">
        <v>46387.0</v>
      </c>
      <c r="AC507" s="35" t="s">
        <v>8044</v>
      </c>
      <c r="AD507" s="35" t="s">
        <v>79</v>
      </c>
      <c r="AE507" s="35"/>
      <c r="AF507" s="35"/>
      <c r="AG507" s="46"/>
    </row>
    <row r="508" ht="44.25" customHeight="1">
      <c r="A508" s="35">
        <v>507.0</v>
      </c>
      <c r="B508" s="35" t="s">
        <v>8046</v>
      </c>
      <c r="C508" s="35" t="s">
        <v>764</v>
      </c>
      <c r="D508" s="35" t="s">
        <v>5685</v>
      </c>
      <c r="E508" s="35" t="s">
        <v>5703</v>
      </c>
      <c r="F508" s="35" t="s">
        <v>8047</v>
      </c>
      <c r="G508" s="41" t="s">
        <v>8048</v>
      </c>
      <c r="H508" s="35" t="s">
        <v>59</v>
      </c>
      <c r="I508" s="35" t="s">
        <v>61</v>
      </c>
      <c r="J508" s="35" t="s">
        <v>62</v>
      </c>
      <c r="K508" s="35" t="s">
        <v>63</v>
      </c>
      <c r="L508" s="35">
        <v>41.0</v>
      </c>
      <c r="M508" s="35" t="s">
        <v>7860</v>
      </c>
      <c r="N508" s="35" t="s">
        <v>66</v>
      </c>
      <c r="O508" s="35" t="s">
        <v>67</v>
      </c>
      <c r="P508" s="35" t="s">
        <v>8049</v>
      </c>
      <c r="Q508" s="35"/>
      <c r="R508" s="35"/>
      <c r="S508" s="35"/>
      <c r="T508" s="35" t="s">
        <v>61</v>
      </c>
      <c r="U508" s="35">
        <v>6.0</v>
      </c>
      <c r="V508" s="35" t="s">
        <v>61</v>
      </c>
      <c r="W508" s="35" t="s">
        <v>74</v>
      </c>
      <c r="X508" s="35" t="s">
        <v>8050</v>
      </c>
      <c r="Y508" s="35">
        <v>9.998796338E9</v>
      </c>
      <c r="Z508" s="35" t="s">
        <v>8052</v>
      </c>
      <c r="AA508" s="46">
        <v>46023.0</v>
      </c>
      <c r="AB508" s="46">
        <v>46387.0</v>
      </c>
      <c r="AC508" s="35" t="s">
        <v>8053</v>
      </c>
      <c r="AD508" s="35" t="s">
        <v>79</v>
      </c>
      <c r="AE508" s="35"/>
      <c r="AF508" s="35"/>
      <c r="AG508" s="46"/>
    </row>
    <row r="509" ht="44.25" customHeight="1">
      <c r="A509" s="35">
        <v>508.0</v>
      </c>
      <c r="B509" s="35" t="s">
        <v>8054</v>
      </c>
      <c r="C509" s="35" t="s">
        <v>764</v>
      </c>
      <c r="D509" s="35" t="s">
        <v>5685</v>
      </c>
      <c r="E509" s="35" t="s">
        <v>8057</v>
      </c>
      <c r="F509" s="35" t="s">
        <v>8059</v>
      </c>
      <c r="G509" s="41" t="s">
        <v>8060</v>
      </c>
      <c r="H509" s="35" t="s">
        <v>59</v>
      </c>
      <c r="I509" s="35" t="s">
        <v>61</v>
      </c>
      <c r="J509" s="35" t="s">
        <v>62</v>
      </c>
      <c r="K509" s="35" t="s">
        <v>63</v>
      </c>
      <c r="L509" s="35">
        <v>25.0</v>
      </c>
      <c r="M509" s="35" t="s">
        <v>61</v>
      </c>
      <c r="N509" s="35" t="s">
        <v>66</v>
      </c>
      <c r="O509" s="35" t="s">
        <v>67</v>
      </c>
      <c r="P509" s="35" t="s">
        <v>8062</v>
      </c>
      <c r="Q509" s="35"/>
      <c r="R509" s="35"/>
      <c r="S509" s="35"/>
      <c r="T509" s="35" t="s">
        <v>61</v>
      </c>
      <c r="U509" s="35" t="s">
        <v>61</v>
      </c>
      <c r="V509" s="35" t="s">
        <v>533</v>
      </c>
      <c r="W509" s="35" t="s">
        <v>74</v>
      </c>
      <c r="X509" s="35" t="s">
        <v>8011</v>
      </c>
      <c r="Y509" s="35">
        <v>9.777186162E9</v>
      </c>
      <c r="Z509" s="35" t="s">
        <v>8066</v>
      </c>
      <c r="AA509" s="46">
        <v>46034.0</v>
      </c>
      <c r="AB509" s="46">
        <v>46387.0</v>
      </c>
      <c r="AC509" s="35" t="s">
        <v>8067</v>
      </c>
      <c r="AD509" s="35" t="s">
        <v>79</v>
      </c>
      <c r="AE509" s="35"/>
      <c r="AF509" s="35"/>
      <c r="AG509" s="46"/>
    </row>
    <row r="510" ht="44.25" customHeight="1">
      <c r="A510" s="35">
        <v>509.0</v>
      </c>
      <c r="B510" s="35" t="s">
        <v>8072</v>
      </c>
      <c r="C510" s="35" t="s">
        <v>764</v>
      </c>
      <c r="D510" s="35" t="s">
        <v>5685</v>
      </c>
      <c r="E510" s="35" t="s">
        <v>8073</v>
      </c>
      <c r="F510" s="35" t="s">
        <v>8074</v>
      </c>
      <c r="G510" s="41" t="s">
        <v>8075</v>
      </c>
      <c r="H510" s="35" t="s">
        <v>59</v>
      </c>
      <c r="I510" s="35" t="s">
        <v>61</v>
      </c>
      <c r="J510" s="35" t="s">
        <v>62</v>
      </c>
      <c r="K510" s="35" t="s">
        <v>63</v>
      </c>
      <c r="L510" s="35">
        <v>10.0</v>
      </c>
      <c r="M510" s="35" t="s">
        <v>4440</v>
      </c>
      <c r="N510" s="35" t="s">
        <v>66</v>
      </c>
      <c r="O510" s="35" t="s">
        <v>67</v>
      </c>
      <c r="P510" s="35" t="s">
        <v>8079</v>
      </c>
      <c r="Q510" s="35"/>
      <c r="R510" s="35"/>
      <c r="S510" s="35"/>
      <c r="T510" s="35" t="s">
        <v>61</v>
      </c>
      <c r="U510" s="35">
        <v>6.0</v>
      </c>
      <c r="V510" s="35" t="s">
        <v>61</v>
      </c>
      <c r="W510" s="35" t="s">
        <v>74</v>
      </c>
      <c r="X510" s="35" t="s">
        <v>8080</v>
      </c>
      <c r="Y510" s="35">
        <v>9.817409213E9</v>
      </c>
      <c r="Z510" s="35" t="s">
        <v>8082</v>
      </c>
      <c r="AA510" s="46">
        <v>46023.0</v>
      </c>
      <c r="AB510" s="46">
        <v>46387.0</v>
      </c>
      <c r="AC510" s="35" t="s">
        <v>8083</v>
      </c>
      <c r="AD510" s="35" t="s">
        <v>79</v>
      </c>
      <c r="AE510" s="35"/>
      <c r="AF510" s="35"/>
      <c r="AG510" s="46"/>
    </row>
    <row r="511" ht="44.25" customHeight="1">
      <c r="A511" s="35">
        <v>510.0</v>
      </c>
      <c r="B511" s="35" t="s">
        <v>8086</v>
      </c>
      <c r="C511" s="35" t="s">
        <v>764</v>
      </c>
      <c r="D511" s="35" t="s">
        <v>5770</v>
      </c>
      <c r="E511" s="35" t="s">
        <v>5803</v>
      </c>
      <c r="F511" s="35" t="s">
        <v>8087</v>
      </c>
      <c r="G511" s="41" t="s">
        <v>8088</v>
      </c>
      <c r="H511" s="35" t="s">
        <v>59</v>
      </c>
      <c r="I511" s="35" t="s">
        <v>61</v>
      </c>
      <c r="J511" s="35" t="s">
        <v>62</v>
      </c>
      <c r="K511" s="35" t="s">
        <v>63</v>
      </c>
      <c r="L511" s="35">
        <v>30.0</v>
      </c>
      <c r="M511" s="35" t="s">
        <v>61</v>
      </c>
      <c r="N511" s="35" t="s">
        <v>66</v>
      </c>
      <c r="O511" s="35" t="s">
        <v>67</v>
      </c>
      <c r="P511" s="35" t="s">
        <v>8090</v>
      </c>
      <c r="Q511" s="35"/>
      <c r="R511" s="35"/>
      <c r="S511" s="35"/>
      <c r="T511" s="35" t="s">
        <v>61</v>
      </c>
      <c r="U511" s="35" t="s">
        <v>61</v>
      </c>
      <c r="V511" s="35" t="s">
        <v>61</v>
      </c>
      <c r="W511" s="35" t="s">
        <v>74</v>
      </c>
      <c r="X511" s="35" t="s">
        <v>8091</v>
      </c>
      <c r="Y511" s="35">
        <v>9.691377189E9</v>
      </c>
      <c r="Z511" s="35" t="s">
        <v>8092</v>
      </c>
      <c r="AA511" s="46">
        <v>46023.0</v>
      </c>
      <c r="AB511" s="46">
        <v>46387.0</v>
      </c>
      <c r="AC511" s="35" t="s">
        <v>8094</v>
      </c>
      <c r="AD511" s="35" t="s">
        <v>79</v>
      </c>
      <c r="AE511" s="35"/>
      <c r="AF511" s="35"/>
      <c r="AG511" s="46"/>
    </row>
    <row r="512" ht="44.25" customHeight="1">
      <c r="A512" s="35">
        <v>511.0</v>
      </c>
      <c r="B512" s="35">
        <v>3542.0</v>
      </c>
      <c r="C512" s="35" t="s">
        <v>764</v>
      </c>
      <c r="D512" s="35" t="s">
        <v>1766</v>
      </c>
      <c r="E512" s="35" t="s">
        <v>1846</v>
      </c>
      <c r="F512" s="35" t="s">
        <v>8098</v>
      </c>
      <c r="G512" s="41" t="s">
        <v>2470</v>
      </c>
      <c r="H512" s="35" t="s">
        <v>59</v>
      </c>
      <c r="I512" s="35" t="s">
        <v>61</v>
      </c>
      <c r="J512" s="35" t="s">
        <v>62</v>
      </c>
      <c r="K512" s="35" t="s">
        <v>68</v>
      </c>
      <c r="L512" s="35">
        <v>179.0</v>
      </c>
      <c r="M512" s="35" t="s">
        <v>8099</v>
      </c>
      <c r="N512" s="35" t="s">
        <v>71</v>
      </c>
      <c r="O512" s="35" t="s">
        <v>72</v>
      </c>
      <c r="P512" s="35" t="s">
        <v>8101</v>
      </c>
      <c r="Q512" s="35"/>
      <c r="R512" s="35"/>
      <c r="S512" s="35">
        <v>1.0</v>
      </c>
      <c r="T512" s="64"/>
      <c r="U512" s="35">
        <v>13.0</v>
      </c>
      <c r="V512" s="35" t="s">
        <v>533</v>
      </c>
      <c r="W512" s="35" t="s">
        <v>8104</v>
      </c>
      <c r="X512" s="35" t="s">
        <v>8105</v>
      </c>
      <c r="Y512" s="35" t="s">
        <v>8106</v>
      </c>
      <c r="Z512" s="35" t="s">
        <v>8107</v>
      </c>
      <c r="AA512" s="46">
        <v>46023.0</v>
      </c>
      <c r="AB512" s="46">
        <v>46387.0</v>
      </c>
      <c r="AC512" s="35" t="s">
        <v>8108</v>
      </c>
      <c r="AD512" s="35" t="s">
        <v>79</v>
      </c>
      <c r="AE512" s="35"/>
      <c r="AF512" s="35"/>
      <c r="AG512" s="46"/>
    </row>
    <row r="513" ht="44.25" customHeight="1">
      <c r="A513" s="35">
        <v>512.0</v>
      </c>
      <c r="B513" s="35" t="s">
        <v>8109</v>
      </c>
      <c r="C513" s="35" t="s">
        <v>764</v>
      </c>
      <c r="D513" s="35" t="s">
        <v>1766</v>
      </c>
      <c r="E513" s="35" t="s">
        <v>1846</v>
      </c>
      <c r="F513" s="35" t="s">
        <v>8111</v>
      </c>
      <c r="G513" s="41" t="s">
        <v>8113</v>
      </c>
      <c r="H513" s="35" t="s">
        <v>59</v>
      </c>
      <c r="I513" s="35" t="s">
        <v>61</v>
      </c>
      <c r="J513" s="35" t="s">
        <v>62</v>
      </c>
      <c r="K513" s="35" t="s">
        <v>111</v>
      </c>
      <c r="L513" s="35">
        <v>100.0</v>
      </c>
      <c r="M513" s="35" t="s">
        <v>8117</v>
      </c>
      <c r="N513" s="35" t="s">
        <v>66</v>
      </c>
      <c r="O513" s="35" t="s">
        <v>67</v>
      </c>
      <c r="P513" s="35" t="s">
        <v>8118</v>
      </c>
      <c r="Q513" s="35"/>
      <c r="R513" s="35"/>
      <c r="S513" s="35" t="s">
        <v>61</v>
      </c>
      <c r="T513" s="64"/>
      <c r="U513" s="35">
        <v>11.0</v>
      </c>
      <c r="V513" s="35"/>
      <c r="W513" s="35" t="s">
        <v>93</v>
      </c>
      <c r="X513" s="35" t="s">
        <v>8119</v>
      </c>
      <c r="Y513" s="35">
        <v>9.664798711E9</v>
      </c>
      <c r="Z513" s="35" t="s">
        <v>8121</v>
      </c>
      <c r="AA513" s="46">
        <v>46023.0</v>
      </c>
      <c r="AB513" s="46">
        <v>46387.0</v>
      </c>
      <c r="AC513" s="35" t="s">
        <v>8123</v>
      </c>
      <c r="AD513" s="35" t="s">
        <v>79</v>
      </c>
      <c r="AE513" s="35"/>
      <c r="AF513" s="35"/>
      <c r="AG513" s="46"/>
    </row>
    <row r="514" ht="44.25" customHeight="1">
      <c r="A514" s="35">
        <v>513.0</v>
      </c>
      <c r="B514" s="35" t="s">
        <v>8124</v>
      </c>
      <c r="C514" s="35" t="s">
        <v>764</v>
      </c>
      <c r="D514" s="35" t="s">
        <v>1766</v>
      </c>
      <c r="E514" s="35" t="s">
        <v>1846</v>
      </c>
      <c r="F514" s="35" t="s">
        <v>8127</v>
      </c>
      <c r="G514" s="41" t="s">
        <v>8128</v>
      </c>
      <c r="H514" s="35" t="s">
        <v>59</v>
      </c>
      <c r="I514" s="35" t="s">
        <v>61</v>
      </c>
      <c r="J514" s="35" t="s">
        <v>62</v>
      </c>
      <c r="K514" s="35" t="s">
        <v>111</v>
      </c>
      <c r="L514" s="35">
        <v>50.0</v>
      </c>
      <c r="M514" s="35" t="s">
        <v>8129</v>
      </c>
      <c r="N514" s="35" t="s">
        <v>66</v>
      </c>
      <c r="O514" s="35" t="s">
        <v>67</v>
      </c>
      <c r="P514" s="35" t="s">
        <v>8130</v>
      </c>
      <c r="Q514" s="35"/>
      <c r="R514" s="35"/>
      <c r="S514" s="35" t="s">
        <v>61</v>
      </c>
      <c r="T514" s="64"/>
      <c r="U514" s="35">
        <v>5.0</v>
      </c>
      <c r="V514" s="35" t="s">
        <v>61</v>
      </c>
      <c r="W514" s="35" t="s">
        <v>93</v>
      </c>
      <c r="X514" s="35" t="s">
        <v>8133</v>
      </c>
      <c r="Y514" s="35">
        <v>9.778501781E9</v>
      </c>
      <c r="Z514" s="35" t="s">
        <v>8135</v>
      </c>
      <c r="AA514" s="46">
        <v>46023.0</v>
      </c>
      <c r="AB514" s="46">
        <v>46387.0</v>
      </c>
      <c r="AC514" s="35" t="s">
        <v>8137</v>
      </c>
      <c r="AD514" s="35" t="s">
        <v>79</v>
      </c>
      <c r="AE514" s="35"/>
      <c r="AF514" s="35"/>
      <c r="AG514" s="46"/>
    </row>
    <row r="515" ht="44.25" customHeight="1">
      <c r="A515" s="35">
        <v>514.0</v>
      </c>
      <c r="B515" s="35" t="s">
        <v>8140</v>
      </c>
      <c r="C515" s="35" t="s">
        <v>764</v>
      </c>
      <c r="D515" s="35" t="s">
        <v>1766</v>
      </c>
      <c r="E515" s="35" t="s">
        <v>5613</v>
      </c>
      <c r="F515" s="35" t="s">
        <v>8141</v>
      </c>
      <c r="G515" s="41" t="s">
        <v>8143</v>
      </c>
      <c r="H515" s="35" t="s">
        <v>59</v>
      </c>
      <c r="I515" s="35" t="s">
        <v>61</v>
      </c>
      <c r="J515" s="35" t="s">
        <v>62</v>
      </c>
      <c r="K515" s="35" t="s">
        <v>111</v>
      </c>
      <c r="L515" s="35">
        <v>137.0</v>
      </c>
      <c r="M515" s="35" t="s">
        <v>8145</v>
      </c>
      <c r="N515" s="35" t="s">
        <v>71</v>
      </c>
      <c r="O515" s="35" t="s">
        <v>72</v>
      </c>
      <c r="P515" s="35" t="s">
        <v>8147</v>
      </c>
      <c r="Q515" s="35"/>
      <c r="R515" s="35"/>
      <c r="S515" s="35" t="s">
        <v>61</v>
      </c>
      <c r="T515" s="64"/>
      <c r="U515" s="35">
        <v>20.0</v>
      </c>
      <c r="V515" s="35" t="s">
        <v>61</v>
      </c>
      <c r="W515" s="35" t="s">
        <v>93</v>
      </c>
      <c r="X515" s="35" t="s">
        <v>8148</v>
      </c>
      <c r="Y515" s="35">
        <v>9.631677564E9</v>
      </c>
      <c r="Z515" s="35" t="s">
        <v>8150</v>
      </c>
      <c r="AA515" s="46">
        <v>46023.0</v>
      </c>
      <c r="AB515" s="46">
        <v>46387.0</v>
      </c>
      <c r="AC515" s="35" t="s">
        <v>8151</v>
      </c>
      <c r="AD515" s="35" t="s">
        <v>79</v>
      </c>
      <c r="AE515" s="35"/>
      <c r="AF515" s="35"/>
      <c r="AG515" s="46"/>
    </row>
    <row r="516" ht="44.25" customHeight="1">
      <c r="A516" s="35">
        <v>515.0</v>
      </c>
      <c r="B516" s="35" t="s">
        <v>8153</v>
      </c>
      <c r="C516" s="35" t="s">
        <v>764</v>
      </c>
      <c r="D516" s="35" t="s">
        <v>1766</v>
      </c>
      <c r="E516" s="35" t="s">
        <v>1846</v>
      </c>
      <c r="F516" s="35" t="s">
        <v>8156</v>
      </c>
      <c r="G516" s="41" t="s">
        <v>8160</v>
      </c>
      <c r="H516" s="35" t="s">
        <v>59</v>
      </c>
      <c r="I516" s="35" t="s">
        <v>61</v>
      </c>
      <c r="J516" s="35" t="s">
        <v>62</v>
      </c>
      <c r="K516" s="35" t="s">
        <v>111</v>
      </c>
      <c r="L516" s="35">
        <v>100.0</v>
      </c>
      <c r="M516" s="35" t="s">
        <v>8162</v>
      </c>
      <c r="N516" s="35" t="s">
        <v>66</v>
      </c>
      <c r="O516" s="35" t="s">
        <v>67</v>
      </c>
      <c r="P516" s="35" t="s">
        <v>8163</v>
      </c>
      <c r="Q516" s="35"/>
      <c r="R516" s="35"/>
      <c r="S516" s="35" t="s">
        <v>61</v>
      </c>
      <c r="T516" s="64"/>
      <c r="U516" s="35">
        <v>21.0</v>
      </c>
      <c r="V516" s="35" t="s">
        <v>61</v>
      </c>
      <c r="W516" s="35" t="s">
        <v>93</v>
      </c>
      <c r="X516" s="35" t="s">
        <v>8167</v>
      </c>
      <c r="Y516" s="35">
        <v>9.957410379E9</v>
      </c>
      <c r="Z516" s="35" t="s">
        <v>8168</v>
      </c>
      <c r="AA516" s="46">
        <v>46023.0</v>
      </c>
      <c r="AB516" s="46">
        <v>46387.0</v>
      </c>
      <c r="AC516" s="35" t="s">
        <v>7933</v>
      </c>
      <c r="AD516" s="35" t="s">
        <v>79</v>
      </c>
      <c r="AE516" s="35"/>
      <c r="AF516" s="35"/>
      <c r="AG516" s="46"/>
    </row>
    <row r="517" ht="44.25" customHeight="1">
      <c r="A517" s="35">
        <v>516.0</v>
      </c>
      <c r="B517" s="35" t="s">
        <v>8169</v>
      </c>
      <c r="C517" s="35" t="s">
        <v>764</v>
      </c>
      <c r="D517" s="35" t="s">
        <v>1766</v>
      </c>
      <c r="E517" s="35" t="s">
        <v>5613</v>
      </c>
      <c r="F517" s="35" t="s">
        <v>8171</v>
      </c>
      <c r="G517" s="41" t="s">
        <v>8172</v>
      </c>
      <c r="H517" s="35" t="s">
        <v>59</v>
      </c>
      <c r="I517" s="35" t="s">
        <v>61</v>
      </c>
      <c r="J517" s="35" t="s">
        <v>62</v>
      </c>
      <c r="K517" s="35" t="s">
        <v>111</v>
      </c>
      <c r="L517" s="35">
        <v>100.0</v>
      </c>
      <c r="M517" s="35" t="s">
        <v>8173</v>
      </c>
      <c r="N517" s="35" t="s">
        <v>66</v>
      </c>
      <c r="O517" s="35" t="s">
        <v>67</v>
      </c>
      <c r="P517" s="35" t="s">
        <v>8174</v>
      </c>
      <c r="Q517" s="35"/>
      <c r="R517" s="35"/>
      <c r="S517" s="35" t="s">
        <v>61</v>
      </c>
      <c r="T517" s="64"/>
      <c r="U517" s="35">
        <v>22.0</v>
      </c>
      <c r="V517" s="35" t="s">
        <v>61</v>
      </c>
      <c r="W517" s="35" t="s">
        <v>93</v>
      </c>
      <c r="X517" s="35" t="s">
        <v>8177</v>
      </c>
      <c r="Y517" s="35">
        <v>9.647376557E9</v>
      </c>
      <c r="Z517" s="35" t="s">
        <v>8179</v>
      </c>
      <c r="AA517" s="46">
        <v>46027.0</v>
      </c>
      <c r="AB517" s="46">
        <v>46387.0</v>
      </c>
      <c r="AC517" s="35" t="s">
        <v>8083</v>
      </c>
      <c r="AD517" s="35" t="s">
        <v>79</v>
      </c>
      <c r="AE517" s="35"/>
      <c r="AF517" s="35"/>
      <c r="AG517" s="46"/>
    </row>
    <row r="518" ht="44.25" customHeight="1">
      <c r="A518" s="35">
        <v>517.0</v>
      </c>
      <c r="B518" s="35">
        <v>2634.0</v>
      </c>
      <c r="C518" s="35" t="s">
        <v>808</v>
      </c>
      <c r="D518" s="35" t="s">
        <v>1952</v>
      </c>
      <c r="E518" s="35" t="s">
        <v>5966</v>
      </c>
      <c r="F518" s="35" t="s">
        <v>8182</v>
      </c>
      <c r="G518" s="41" t="s">
        <v>8183</v>
      </c>
      <c r="H518" s="35" t="s">
        <v>59</v>
      </c>
      <c r="I518" s="35" t="s">
        <v>61</v>
      </c>
      <c r="J518" s="35" t="s">
        <v>62</v>
      </c>
      <c r="K518" s="35" t="s">
        <v>63</v>
      </c>
      <c r="L518" s="35">
        <v>35.0</v>
      </c>
      <c r="M518" s="35" t="s">
        <v>8186</v>
      </c>
      <c r="N518" s="52"/>
      <c r="O518" s="52"/>
      <c r="P518" s="35" t="s">
        <v>8187</v>
      </c>
      <c r="Q518" s="52"/>
      <c r="R518" s="52"/>
      <c r="S518" s="52"/>
      <c r="T518" s="64"/>
      <c r="U518" s="52"/>
      <c r="V518" s="35"/>
      <c r="W518" s="35" t="s">
        <v>74</v>
      </c>
      <c r="X518" s="35" t="s">
        <v>8188</v>
      </c>
      <c r="Y518" s="35" t="s">
        <v>8190</v>
      </c>
      <c r="Z518" s="35" t="s">
        <v>8191</v>
      </c>
      <c r="AA518" s="46">
        <v>46023.0</v>
      </c>
      <c r="AB518" s="46">
        <v>46387.0</v>
      </c>
      <c r="AC518" s="35" t="s">
        <v>8192</v>
      </c>
      <c r="AD518" s="35" t="s">
        <v>79</v>
      </c>
      <c r="AE518" s="35"/>
      <c r="AF518" s="35"/>
      <c r="AG518" s="46"/>
    </row>
    <row r="519" ht="44.25" customHeight="1">
      <c r="A519" s="35">
        <v>518.0</v>
      </c>
      <c r="B519" s="35">
        <v>3014.0</v>
      </c>
      <c r="C519" s="35" t="s">
        <v>808</v>
      </c>
      <c r="D519" s="35" t="s">
        <v>1952</v>
      </c>
      <c r="E519" s="35" t="s">
        <v>5966</v>
      </c>
      <c r="F519" s="35" t="s">
        <v>8197</v>
      </c>
      <c r="G519" s="41" t="s">
        <v>8198</v>
      </c>
      <c r="H519" s="35" t="s">
        <v>59</v>
      </c>
      <c r="I519" s="35" t="s">
        <v>61</v>
      </c>
      <c r="J519" s="35" t="s">
        <v>62</v>
      </c>
      <c r="K519" s="35" t="s">
        <v>63</v>
      </c>
      <c r="L519" s="35">
        <v>26.0</v>
      </c>
      <c r="M519" s="35" t="s">
        <v>6393</v>
      </c>
      <c r="N519" s="52"/>
      <c r="O519" s="52"/>
      <c r="P519" s="35" t="s">
        <v>8202</v>
      </c>
      <c r="Q519" s="52"/>
      <c r="R519" s="35"/>
      <c r="S519" s="52"/>
      <c r="T519" s="64"/>
      <c r="U519" s="35">
        <v>3.0</v>
      </c>
      <c r="V519" s="35"/>
      <c r="W519" s="35" t="s">
        <v>74</v>
      </c>
      <c r="X519" s="35" t="s">
        <v>8204</v>
      </c>
      <c r="Y519" s="35" t="s">
        <v>8205</v>
      </c>
      <c r="Z519" s="35" t="s">
        <v>8206</v>
      </c>
      <c r="AA519" s="46">
        <v>46023.0</v>
      </c>
      <c r="AB519" s="46">
        <v>46387.0</v>
      </c>
      <c r="AC519" s="35" t="s">
        <v>8207</v>
      </c>
      <c r="AD519" s="35" t="s">
        <v>79</v>
      </c>
      <c r="AE519" s="35"/>
      <c r="AF519" s="35"/>
      <c r="AG519" s="46"/>
    </row>
    <row r="520" ht="44.25" customHeight="1">
      <c r="A520" s="35">
        <v>519.0</v>
      </c>
      <c r="B520" s="35">
        <v>495.0</v>
      </c>
      <c r="C520" s="35" t="s">
        <v>808</v>
      </c>
      <c r="D520" s="35" t="s">
        <v>6094</v>
      </c>
      <c r="E520" s="35" t="s">
        <v>1530</v>
      </c>
      <c r="F520" s="35" t="s">
        <v>8212</v>
      </c>
      <c r="G520" s="41" t="s">
        <v>8213</v>
      </c>
      <c r="H520" s="35" t="s">
        <v>59</v>
      </c>
      <c r="I520" s="35" t="s">
        <v>61</v>
      </c>
      <c r="J520" s="35" t="s">
        <v>62</v>
      </c>
      <c r="K520" s="35" t="s">
        <v>63</v>
      </c>
      <c r="L520" s="35">
        <v>30.0</v>
      </c>
      <c r="M520" s="35" t="s">
        <v>8215</v>
      </c>
      <c r="N520" s="52"/>
      <c r="O520" s="52"/>
      <c r="P520" s="35" t="s">
        <v>8216</v>
      </c>
      <c r="Q520" s="52"/>
      <c r="R520" s="52"/>
      <c r="S520" s="52"/>
      <c r="T520" s="64"/>
      <c r="U520" s="52"/>
      <c r="V520" s="35"/>
      <c r="W520" s="35" t="s">
        <v>74</v>
      </c>
      <c r="X520" s="35" t="s">
        <v>8219</v>
      </c>
      <c r="Y520" s="35" t="s">
        <v>8220</v>
      </c>
      <c r="Z520" s="35" t="s">
        <v>8221</v>
      </c>
      <c r="AA520" s="46">
        <v>46023.0</v>
      </c>
      <c r="AB520" s="46">
        <v>46387.0</v>
      </c>
      <c r="AC520" s="35" t="s">
        <v>8222</v>
      </c>
      <c r="AD520" s="35" t="s">
        <v>79</v>
      </c>
      <c r="AE520" s="35"/>
      <c r="AF520" s="35"/>
      <c r="AG520" s="46"/>
    </row>
    <row r="521" ht="44.25" customHeight="1">
      <c r="A521" s="35">
        <v>520.0</v>
      </c>
      <c r="B521" s="35">
        <v>7710.0</v>
      </c>
      <c r="C521" s="35" t="s">
        <v>808</v>
      </c>
      <c r="D521" s="35" t="s">
        <v>6094</v>
      </c>
      <c r="E521" s="35" t="s">
        <v>1530</v>
      </c>
      <c r="F521" s="35" t="s">
        <v>8223</v>
      </c>
      <c r="G521" s="41" t="s">
        <v>8224</v>
      </c>
      <c r="H521" s="35" t="s">
        <v>59</v>
      </c>
      <c r="I521" s="35" t="s">
        <v>61</v>
      </c>
      <c r="J521" s="35" t="s">
        <v>62</v>
      </c>
      <c r="K521" s="35" t="s">
        <v>63</v>
      </c>
      <c r="L521" s="35">
        <v>18.0</v>
      </c>
      <c r="M521" s="35"/>
      <c r="N521" s="52"/>
      <c r="O521" s="52"/>
      <c r="P521" s="35" t="s">
        <v>8227</v>
      </c>
      <c r="Q521" s="52"/>
      <c r="R521" s="35"/>
      <c r="S521" s="52"/>
      <c r="T521" s="64"/>
      <c r="U521" s="35"/>
      <c r="V521" s="35"/>
      <c r="W521" s="35" t="s">
        <v>74</v>
      </c>
      <c r="X521" s="35" t="s">
        <v>8230</v>
      </c>
      <c r="Y521" s="35" t="s">
        <v>8232</v>
      </c>
      <c r="Z521" s="35" t="s">
        <v>8233</v>
      </c>
      <c r="AA521" s="46">
        <v>46023.0</v>
      </c>
      <c r="AB521" s="46">
        <v>46387.0</v>
      </c>
      <c r="AC521" s="35" t="s">
        <v>8235</v>
      </c>
      <c r="AD521" s="35" t="s">
        <v>79</v>
      </c>
      <c r="AE521" s="35"/>
      <c r="AF521" s="35"/>
      <c r="AG521" s="46"/>
    </row>
    <row r="522" ht="44.25" customHeight="1">
      <c r="A522" s="35">
        <v>521.0</v>
      </c>
      <c r="B522" s="35">
        <v>6029.0</v>
      </c>
      <c r="C522" s="35" t="s">
        <v>808</v>
      </c>
      <c r="D522" s="35" t="s">
        <v>6094</v>
      </c>
      <c r="E522" s="35" t="s">
        <v>1530</v>
      </c>
      <c r="F522" s="35" t="s">
        <v>8236</v>
      </c>
      <c r="G522" s="41" t="s">
        <v>8237</v>
      </c>
      <c r="H522" s="35" t="s">
        <v>59</v>
      </c>
      <c r="I522" s="35" t="s">
        <v>61</v>
      </c>
      <c r="J522" s="35" t="s">
        <v>62</v>
      </c>
      <c r="K522" s="35" t="s">
        <v>63</v>
      </c>
      <c r="L522" s="35">
        <v>32.0</v>
      </c>
      <c r="M522" s="35"/>
      <c r="N522" s="52"/>
      <c r="O522" s="52"/>
      <c r="P522" s="35" t="s">
        <v>8238</v>
      </c>
      <c r="Q522" s="35"/>
      <c r="R522" s="52"/>
      <c r="S522" s="52"/>
      <c r="T522" s="64"/>
      <c r="U522" s="52"/>
      <c r="V522" s="35"/>
      <c r="W522" s="35" t="s">
        <v>74</v>
      </c>
      <c r="X522" s="35" t="s">
        <v>8239</v>
      </c>
      <c r="Y522" s="35" t="s">
        <v>8240</v>
      </c>
      <c r="Z522" s="35" t="s">
        <v>8241</v>
      </c>
      <c r="AA522" s="46">
        <v>46023.0</v>
      </c>
      <c r="AB522" s="46">
        <v>46387.0</v>
      </c>
      <c r="AC522" s="35" t="s">
        <v>8242</v>
      </c>
      <c r="AD522" s="35" t="s">
        <v>79</v>
      </c>
      <c r="AE522" s="35"/>
      <c r="AF522" s="35"/>
      <c r="AG522" s="46"/>
    </row>
    <row r="523" ht="44.25" customHeight="1">
      <c r="A523" s="35">
        <v>522.0</v>
      </c>
      <c r="B523" s="35">
        <v>5452.0</v>
      </c>
      <c r="C523" s="35" t="s">
        <v>808</v>
      </c>
      <c r="D523" s="35" t="s">
        <v>2197</v>
      </c>
      <c r="E523" s="35" t="s">
        <v>2199</v>
      </c>
      <c r="F523" s="35" t="s">
        <v>8243</v>
      </c>
      <c r="G523" s="41" t="s">
        <v>8244</v>
      </c>
      <c r="H523" s="35" t="s">
        <v>59</v>
      </c>
      <c r="I523" s="35" t="s">
        <v>61</v>
      </c>
      <c r="J523" s="35" t="s">
        <v>62</v>
      </c>
      <c r="K523" s="35" t="s">
        <v>63</v>
      </c>
      <c r="L523" s="35">
        <v>46.0</v>
      </c>
      <c r="M523" s="35"/>
      <c r="N523" s="52"/>
      <c r="O523" s="52"/>
      <c r="P523" s="35" t="s">
        <v>8246</v>
      </c>
      <c r="Q523" s="52"/>
      <c r="R523" s="35"/>
      <c r="S523" s="52"/>
      <c r="T523" s="64"/>
      <c r="U523" s="35"/>
      <c r="V523" s="35"/>
      <c r="W523" s="35" t="s">
        <v>74</v>
      </c>
      <c r="X523" s="35" t="s">
        <v>8247</v>
      </c>
      <c r="Y523" s="35">
        <v>9.177043022E9</v>
      </c>
      <c r="Z523" s="35" t="s">
        <v>8248</v>
      </c>
      <c r="AA523" s="46">
        <v>46023.0</v>
      </c>
      <c r="AB523" s="46">
        <v>46387.0</v>
      </c>
      <c r="AC523" s="35" t="s">
        <v>8250</v>
      </c>
      <c r="AD523" s="35" t="s">
        <v>79</v>
      </c>
      <c r="AE523" s="35"/>
      <c r="AF523" s="35"/>
      <c r="AG523" s="46"/>
    </row>
    <row r="524" ht="44.25" customHeight="1">
      <c r="A524" s="35">
        <v>523.0</v>
      </c>
      <c r="B524" s="35">
        <v>425.0</v>
      </c>
      <c r="C524" s="35" t="s">
        <v>808</v>
      </c>
      <c r="D524" s="35" t="s">
        <v>2197</v>
      </c>
      <c r="E524" s="35" t="s">
        <v>2199</v>
      </c>
      <c r="F524" s="35" t="s">
        <v>8252</v>
      </c>
      <c r="G524" s="41" t="s">
        <v>8253</v>
      </c>
      <c r="H524" s="35" t="s">
        <v>59</v>
      </c>
      <c r="I524" s="35" t="s">
        <v>61</v>
      </c>
      <c r="J524" s="35" t="s">
        <v>62</v>
      </c>
      <c r="K524" s="35" t="s">
        <v>63</v>
      </c>
      <c r="L524" s="35">
        <v>12.0</v>
      </c>
      <c r="M524" s="35"/>
      <c r="N524" s="52"/>
      <c r="O524" s="52"/>
      <c r="P524" s="35" t="s">
        <v>8255</v>
      </c>
      <c r="Q524" s="52"/>
      <c r="R524" s="52"/>
      <c r="S524" s="52"/>
      <c r="T524" s="64"/>
      <c r="U524" s="52"/>
      <c r="V524" s="35"/>
      <c r="W524" s="112" t="s">
        <v>74</v>
      </c>
      <c r="X524" s="35" t="s">
        <v>8256</v>
      </c>
      <c r="Y524" s="35">
        <v>9.166120271E9</v>
      </c>
      <c r="Z524" s="35" t="s">
        <v>8257</v>
      </c>
      <c r="AA524" s="46">
        <v>46023.0</v>
      </c>
      <c r="AB524" s="46">
        <v>46387.0</v>
      </c>
      <c r="AC524" s="35" t="s">
        <v>8258</v>
      </c>
      <c r="AD524" s="35" t="s">
        <v>79</v>
      </c>
      <c r="AE524" s="35"/>
      <c r="AF524" s="35"/>
      <c r="AG524" s="46"/>
    </row>
    <row r="525" ht="44.25" customHeight="1">
      <c r="A525" s="35">
        <v>524.0</v>
      </c>
      <c r="B525" s="35">
        <v>588.0</v>
      </c>
      <c r="C525" s="35" t="s">
        <v>808</v>
      </c>
      <c r="D525" s="35" t="s">
        <v>2197</v>
      </c>
      <c r="E525" s="35" t="s">
        <v>2199</v>
      </c>
      <c r="F525" s="35" t="s">
        <v>8259</v>
      </c>
      <c r="G525" s="41" t="s">
        <v>8261</v>
      </c>
      <c r="H525" s="35" t="s">
        <v>59</v>
      </c>
      <c r="I525" s="35" t="s">
        <v>61</v>
      </c>
      <c r="J525" s="35" t="s">
        <v>62</v>
      </c>
      <c r="K525" s="35" t="s">
        <v>63</v>
      </c>
      <c r="L525" s="35">
        <v>25.0</v>
      </c>
      <c r="M525" s="52"/>
      <c r="N525" s="52"/>
      <c r="O525" s="52"/>
      <c r="P525" s="35" t="s">
        <v>8262</v>
      </c>
      <c r="Q525" s="52"/>
      <c r="R525" s="52"/>
      <c r="S525" s="52"/>
      <c r="T525" s="64"/>
      <c r="U525" s="52"/>
      <c r="V525" s="35"/>
      <c r="W525" s="35" t="s">
        <v>74</v>
      </c>
      <c r="X525" s="35" t="s">
        <v>8266</v>
      </c>
      <c r="Y525" s="35">
        <v>9.178243281E9</v>
      </c>
      <c r="Z525" s="35" t="s">
        <v>8267</v>
      </c>
      <c r="AA525" s="46">
        <v>46023.0</v>
      </c>
      <c r="AB525" s="46">
        <v>46387.0</v>
      </c>
      <c r="AC525" s="35" t="s">
        <v>8268</v>
      </c>
      <c r="AD525" s="35" t="s">
        <v>79</v>
      </c>
      <c r="AE525" s="35"/>
      <c r="AF525" s="35"/>
      <c r="AG525" s="46"/>
    </row>
    <row r="526" ht="44.25" customHeight="1">
      <c r="A526" s="35">
        <v>525.0</v>
      </c>
      <c r="B526" s="35">
        <v>703.0</v>
      </c>
      <c r="C526" s="35" t="s">
        <v>808</v>
      </c>
      <c r="D526" s="35" t="s">
        <v>6094</v>
      </c>
      <c r="E526" s="35" t="s">
        <v>8269</v>
      </c>
      <c r="F526" s="35" t="s">
        <v>8270</v>
      </c>
      <c r="G526" s="41" t="s">
        <v>8272</v>
      </c>
      <c r="H526" s="35" t="s">
        <v>59</v>
      </c>
      <c r="I526" s="35" t="s">
        <v>61</v>
      </c>
      <c r="J526" s="35" t="s">
        <v>62</v>
      </c>
      <c r="K526" s="35" t="s">
        <v>63</v>
      </c>
      <c r="L526" s="35">
        <v>22.0</v>
      </c>
      <c r="M526" s="35"/>
      <c r="N526" s="52"/>
      <c r="O526" s="52"/>
      <c r="P526" s="35" t="s">
        <v>8275</v>
      </c>
      <c r="Q526" s="52"/>
      <c r="R526" s="52"/>
      <c r="S526" s="52"/>
      <c r="T526" s="64"/>
      <c r="U526" s="52"/>
      <c r="V526" s="35"/>
      <c r="W526" s="35" t="s">
        <v>74</v>
      </c>
      <c r="X526" s="35" t="s">
        <v>8276</v>
      </c>
      <c r="Y526" s="35" t="s">
        <v>8277</v>
      </c>
      <c r="Z526" s="35" t="s">
        <v>8278</v>
      </c>
      <c r="AA526" s="46">
        <v>46023.0</v>
      </c>
      <c r="AB526" s="46">
        <v>46387.0</v>
      </c>
      <c r="AC526" s="35" t="s">
        <v>8279</v>
      </c>
      <c r="AD526" s="35" t="s">
        <v>79</v>
      </c>
      <c r="AE526" s="35"/>
      <c r="AF526" s="35"/>
      <c r="AG526" s="46"/>
    </row>
    <row r="527" ht="44.25" customHeight="1">
      <c r="A527" s="35">
        <v>526.0</v>
      </c>
      <c r="B527" s="35">
        <v>395.0</v>
      </c>
      <c r="C527" s="35" t="s">
        <v>808</v>
      </c>
      <c r="D527" s="35" t="s">
        <v>2072</v>
      </c>
      <c r="E527" s="35" t="s">
        <v>8282</v>
      </c>
      <c r="F527" s="35" t="s">
        <v>8283</v>
      </c>
      <c r="G527" s="41" t="s">
        <v>8284</v>
      </c>
      <c r="H527" s="35" t="s">
        <v>59</v>
      </c>
      <c r="I527" s="35" t="s">
        <v>61</v>
      </c>
      <c r="J527" s="35" t="s">
        <v>62</v>
      </c>
      <c r="K527" s="35" t="s">
        <v>63</v>
      </c>
      <c r="L527" s="35">
        <v>15.0</v>
      </c>
      <c r="M527" s="35" t="s">
        <v>8288</v>
      </c>
      <c r="N527" s="35" t="s">
        <v>66</v>
      </c>
      <c r="O527" s="52"/>
      <c r="P527" s="35" t="s">
        <v>8289</v>
      </c>
      <c r="Q527" s="52"/>
      <c r="R527" s="35"/>
      <c r="S527" s="52"/>
      <c r="T527" s="64"/>
      <c r="U527" s="35"/>
      <c r="V527" s="35"/>
      <c r="W527" s="35" t="s">
        <v>74</v>
      </c>
      <c r="X527" s="35" t="s">
        <v>8292</v>
      </c>
      <c r="Y527" s="35" t="s">
        <v>8293</v>
      </c>
      <c r="Z527" s="35" t="s">
        <v>8295</v>
      </c>
      <c r="AA527" s="46">
        <v>46023.0</v>
      </c>
      <c r="AB527" s="46">
        <v>46387.0</v>
      </c>
      <c r="AC527" s="35" t="s">
        <v>8296</v>
      </c>
      <c r="AD527" s="35" t="s">
        <v>79</v>
      </c>
      <c r="AE527" s="35"/>
      <c r="AF527" s="35"/>
      <c r="AG527" s="46"/>
    </row>
    <row r="528" ht="44.25" customHeight="1">
      <c r="A528" s="35">
        <v>527.0</v>
      </c>
      <c r="B528" s="35">
        <v>6576.0</v>
      </c>
      <c r="C528" s="35" t="s">
        <v>808</v>
      </c>
      <c r="D528" s="35" t="s">
        <v>2072</v>
      </c>
      <c r="E528" s="35" t="s">
        <v>8282</v>
      </c>
      <c r="F528" s="35" t="s">
        <v>8297</v>
      </c>
      <c r="G528" s="41" t="s">
        <v>8298</v>
      </c>
      <c r="H528" s="35" t="s">
        <v>59</v>
      </c>
      <c r="I528" s="35" t="s">
        <v>61</v>
      </c>
      <c r="J528" s="35" t="s">
        <v>62</v>
      </c>
      <c r="K528" s="35" t="s">
        <v>63</v>
      </c>
      <c r="L528" s="35">
        <v>28.0</v>
      </c>
      <c r="M528" s="52"/>
      <c r="N528" s="52"/>
      <c r="O528" s="52"/>
      <c r="P528" s="35" t="s">
        <v>8301</v>
      </c>
      <c r="Q528" s="52"/>
      <c r="R528" s="52"/>
      <c r="S528" s="52"/>
      <c r="T528" s="64"/>
      <c r="U528" s="52"/>
      <c r="V528" s="35"/>
      <c r="W528" s="35" t="s">
        <v>74</v>
      </c>
      <c r="X528" s="35" t="s">
        <v>8304</v>
      </c>
      <c r="Y528" s="35" t="s">
        <v>8305</v>
      </c>
      <c r="Z528" s="35" t="s">
        <v>8306</v>
      </c>
      <c r="AA528" s="46">
        <v>46023.0</v>
      </c>
      <c r="AB528" s="46">
        <v>46387.0</v>
      </c>
      <c r="AC528" s="35" t="s">
        <v>8308</v>
      </c>
      <c r="AD528" s="35" t="s">
        <v>79</v>
      </c>
      <c r="AE528" s="35"/>
      <c r="AF528" s="35"/>
      <c r="AG528" s="46"/>
    </row>
    <row r="529" ht="44.25" customHeight="1">
      <c r="A529" s="35">
        <v>528.0</v>
      </c>
      <c r="B529" s="35">
        <v>7972.0</v>
      </c>
      <c r="C529" s="35" t="s">
        <v>808</v>
      </c>
      <c r="D529" s="35" t="s">
        <v>2072</v>
      </c>
      <c r="E529" s="35" t="s">
        <v>6033</v>
      </c>
      <c r="F529" s="35" t="s">
        <v>8311</v>
      </c>
      <c r="G529" s="41" t="s">
        <v>8313</v>
      </c>
      <c r="H529" s="35" t="s">
        <v>59</v>
      </c>
      <c r="I529" s="35" t="s">
        <v>61</v>
      </c>
      <c r="J529" s="35" t="s">
        <v>62</v>
      </c>
      <c r="K529" s="35" t="s">
        <v>63</v>
      </c>
      <c r="L529" s="35">
        <v>123.0</v>
      </c>
      <c r="M529" s="35" t="s">
        <v>8316</v>
      </c>
      <c r="N529" s="52"/>
      <c r="O529" s="52"/>
      <c r="P529" s="35" t="s">
        <v>8318</v>
      </c>
      <c r="Q529" s="52"/>
      <c r="R529" s="52"/>
      <c r="S529" s="52"/>
      <c r="T529" s="64"/>
      <c r="U529" s="52"/>
      <c r="V529" s="35"/>
      <c r="W529" s="35" t="s">
        <v>74</v>
      </c>
      <c r="X529" s="35" t="s">
        <v>8321</v>
      </c>
      <c r="Y529" s="35" t="s">
        <v>8322</v>
      </c>
      <c r="Z529" s="35" t="s">
        <v>8324</v>
      </c>
      <c r="AA529" s="46">
        <v>46023.0</v>
      </c>
      <c r="AB529" s="46">
        <v>46387.0</v>
      </c>
      <c r="AC529" s="35" t="s">
        <v>8327</v>
      </c>
      <c r="AD529" s="35" t="s">
        <v>79</v>
      </c>
      <c r="AE529" s="35"/>
      <c r="AF529" s="35"/>
      <c r="AG529" s="46"/>
    </row>
    <row r="530" ht="44.25" customHeight="1">
      <c r="A530" s="35">
        <v>529.0</v>
      </c>
      <c r="B530" s="35">
        <v>7706.0</v>
      </c>
      <c r="C530" s="35" t="s">
        <v>808</v>
      </c>
      <c r="D530" s="35" t="s">
        <v>2072</v>
      </c>
      <c r="E530" s="35" t="s">
        <v>6033</v>
      </c>
      <c r="F530" s="35" t="s">
        <v>8329</v>
      </c>
      <c r="G530" s="41" t="s">
        <v>8331</v>
      </c>
      <c r="H530" s="35" t="s">
        <v>59</v>
      </c>
      <c r="I530" s="35" t="s">
        <v>61</v>
      </c>
      <c r="J530" s="35" t="s">
        <v>62</v>
      </c>
      <c r="K530" s="35" t="s">
        <v>63</v>
      </c>
      <c r="L530" s="35">
        <v>50.0</v>
      </c>
      <c r="M530" s="35" t="s">
        <v>8336</v>
      </c>
      <c r="N530" s="52"/>
      <c r="O530" s="52"/>
      <c r="P530" s="35" t="s">
        <v>8337</v>
      </c>
      <c r="Q530" s="52"/>
      <c r="R530" s="35"/>
      <c r="S530" s="52"/>
      <c r="T530" s="64"/>
      <c r="U530" s="35">
        <v>4.0</v>
      </c>
      <c r="V530" s="35"/>
      <c r="W530" s="112" t="s">
        <v>74</v>
      </c>
      <c r="X530" s="35" t="s">
        <v>8339</v>
      </c>
      <c r="Y530" s="35" t="s">
        <v>8341</v>
      </c>
      <c r="Z530" s="35" t="s">
        <v>8343</v>
      </c>
      <c r="AA530" s="46">
        <v>46023.0</v>
      </c>
      <c r="AB530" s="46">
        <v>46387.0</v>
      </c>
      <c r="AC530" s="35" t="s">
        <v>8344</v>
      </c>
      <c r="AD530" s="35" t="s">
        <v>79</v>
      </c>
      <c r="AE530" s="35"/>
      <c r="AF530" s="35"/>
      <c r="AG530" s="46"/>
    </row>
    <row r="531" ht="44.25" customHeight="1">
      <c r="A531" s="35">
        <v>530.0</v>
      </c>
      <c r="B531" s="35">
        <v>6019.0</v>
      </c>
      <c r="C531" s="35" t="s">
        <v>808</v>
      </c>
      <c r="D531" s="35" t="s">
        <v>2072</v>
      </c>
      <c r="E531" s="35" t="s">
        <v>6033</v>
      </c>
      <c r="F531" s="35" t="s">
        <v>8345</v>
      </c>
      <c r="G531" s="41" t="s">
        <v>8346</v>
      </c>
      <c r="H531" s="35" t="s">
        <v>59</v>
      </c>
      <c r="I531" s="35" t="s">
        <v>61</v>
      </c>
      <c r="J531" s="35" t="s">
        <v>62</v>
      </c>
      <c r="K531" s="35" t="s">
        <v>63</v>
      </c>
      <c r="L531" s="35">
        <v>25.0</v>
      </c>
      <c r="M531" s="52"/>
      <c r="N531" s="52"/>
      <c r="O531" s="52"/>
      <c r="P531" s="35" t="s">
        <v>8349</v>
      </c>
      <c r="Q531" s="52"/>
      <c r="R531" s="52"/>
      <c r="S531" s="52"/>
      <c r="T531" s="64"/>
      <c r="U531" s="52"/>
      <c r="V531" s="35"/>
      <c r="W531" s="35" t="s">
        <v>74</v>
      </c>
      <c r="X531" s="35" t="s">
        <v>8353</v>
      </c>
      <c r="Y531" s="35" t="s">
        <v>8354</v>
      </c>
      <c r="Z531" s="35" t="s">
        <v>8355</v>
      </c>
      <c r="AA531" s="46">
        <v>46023.0</v>
      </c>
      <c r="AB531" s="46">
        <v>46387.0</v>
      </c>
      <c r="AC531" s="35" t="s">
        <v>8357</v>
      </c>
      <c r="AD531" s="35" t="s">
        <v>79</v>
      </c>
      <c r="AE531" s="35"/>
      <c r="AF531" s="35"/>
      <c r="AG531" s="46"/>
    </row>
    <row r="532" ht="44.25" customHeight="1">
      <c r="A532" s="35">
        <v>531.0</v>
      </c>
      <c r="B532" s="35">
        <v>579.0</v>
      </c>
      <c r="C532" s="35" t="s">
        <v>808</v>
      </c>
      <c r="D532" s="35" t="s">
        <v>2072</v>
      </c>
      <c r="E532" s="35" t="s">
        <v>6033</v>
      </c>
      <c r="F532" s="35" t="s">
        <v>8360</v>
      </c>
      <c r="G532" s="41" t="s">
        <v>8361</v>
      </c>
      <c r="H532" s="35" t="s">
        <v>59</v>
      </c>
      <c r="I532" s="35" t="s">
        <v>61</v>
      </c>
      <c r="J532" s="35" t="s">
        <v>62</v>
      </c>
      <c r="K532" s="35" t="s">
        <v>63</v>
      </c>
      <c r="L532" s="35">
        <v>12.0</v>
      </c>
      <c r="M532" s="35" t="s">
        <v>8362</v>
      </c>
      <c r="N532" s="35" t="s">
        <v>66</v>
      </c>
      <c r="O532" s="52"/>
      <c r="P532" s="35" t="s">
        <v>8363</v>
      </c>
      <c r="Q532" s="52"/>
      <c r="R532" s="52"/>
      <c r="S532" s="52"/>
      <c r="T532" s="64"/>
      <c r="U532" s="52"/>
      <c r="V532" s="35"/>
      <c r="W532" s="35" t="s">
        <v>93</v>
      </c>
      <c r="X532" s="35" t="s">
        <v>8365</v>
      </c>
      <c r="Y532" s="35" t="s">
        <v>8367</v>
      </c>
      <c r="Z532" s="35" t="s">
        <v>8368</v>
      </c>
      <c r="AA532" s="46">
        <v>46023.0</v>
      </c>
      <c r="AB532" s="46">
        <v>46387.0</v>
      </c>
      <c r="AC532" s="35" t="s">
        <v>8369</v>
      </c>
      <c r="AD532" s="35" t="s">
        <v>79</v>
      </c>
      <c r="AE532" s="35"/>
      <c r="AF532" s="35"/>
      <c r="AG532" s="46"/>
    </row>
    <row r="533" ht="44.25" customHeight="1">
      <c r="A533" s="35">
        <v>532.0</v>
      </c>
      <c r="B533" s="35">
        <v>7708.0</v>
      </c>
      <c r="C533" s="35" t="s">
        <v>808</v>
      </c>
      <c r="D533" s="35" t="s">
        <v>2072</v>
      </c>
      <c r="E533" s="35" t="s">
        <v>6033</v>
      </c>
      <c r="F533" s="35" t="s">
        <v>8373</v>
      </c>
      <c r="G533" s="41" t="s">
        <v>8374</v>
      </c>
      <c r="H533" s="35" t="s">
        <v>59</v>
      </c>
      <c r="I533" s="35" t="s">
        <v>61</v>
      </c>
      <c r="J533" s="35" t="s">
        <v>62</v>
      </c>
      <c r="K533" s="35" t="s">
        <v>63</v>
      </c>
      <c r="L533" s="35">
        <v>30.0</v>
      </c>
      <c r="M533" s="35" t="s">
        <v>8362</v>
      </c>
      <c r="N533" s="35" t="s">
        <v>66</v>
      </c>
      <c r="O533" s="52"/>
      <c r="P533" s="35" t="s">
        <v>8376</v>
      </c>
      <c r="Q533" s="52"/>
      <c r="R533" s="35"/>
      <c r="S533" s="52"/>
      <c r="T533" s="64"/>
      <c r="U533" s="35"/>
      <c r="V533" s="35"/>
      <c r="W533" s="112" t="s">
        <v>74</v>
      </c>
      <c r="X533" s="35" t="s">
        <v>8379</v>
      </c>
      <c r="Y533" s="35" t="s">
        <v>8380</v>
      </c>
      <c r="Z533" s="35" t="s">
        <v>8381</v>
      </c>
      <c r="AA533" s="46">
        <v>46023.0</v>
      </c>
      <c r="AB533" s="46">
        <v>46387.0</v>
      </c>
      <c r="AC533" s="35" t="s">
        <v>8382</v>
      </c>
      <c r="AD533" s="35" t="s">
        <v>79</v>
      </c>
      <c r="AE533" s="35"/>
      <c r="AF533" s="35"/>
      <c r="AG533" s="46"/>
    </row>
    <row r="534" ht="44.25" customHeight="1">
      <c r="A534" s="35">
        <v>533.0</v>
      </c>
      <c r="B534" s="35">
        <v>4798.0</v>
      </c>
      <c r="C534" s="35" t="s">
        <v>808</v>
      </c>
      <c r="D534" s="35" t="s">
        <v>2072</v>
      </c>
      <c r="E534" s="35" t="s">
        <v>6033</v>
      </c>
      <c r="F534" s="35" t="s">
        <v>8384</v>
      </c>
      <c r="G534" s="41" t="s">
        <v>8385</v>
      </c>
      <c r="H534" s="35" t="s">
        <v>59</v>
      </c>
      <c r="I534" s="35" t="s">
        <v>61</v>
      </c>
      <c r="J534" s="35" t="s">
        <v>62</v>
      </c>
      <c r="K534" s="35" t="s">
        <v>111</v>
      </c>
      <c r="L534" s="35">
        <v>60.0</v>
      </c>
      <c r="M534" s="35" t="s">
        <v>8389</v>
      </c>
      <c r="N534" s="52"/>
      <c r="O534" s="52"/>
      <c r="P534" s="35" t="s">
        <v>8391</v>
      </c>
      <c r="Q534" s="52"/>
      <c r="R534" s="35"/>
      <c r="S534" s="52"/>
      <c r="T534" s="64"/>
      <c r="U534" s="35">
        <v>6.0</v>
      </c>
      <c r="V534" s="35"/>
      <c r="W534" s="35" t="s">
        <v>93</v>
      </c>
      <c r="X534" s="35" t="s">
        <v>8393</v>
      </c>
      <c r="Y534" s="35">
        <v>9.637016183E9</v>
      </c>
      <c r="Z534" s="35" t="s">
        <v>8394</v>
      </c>
      <c r="AA534" s="46">
        <v>46023.0</v>
      </c>
      <c r="AB534" s="46">
        <v>46387.0</v>
      </c>
      <c r="AC534" s="35" t="s">
        <v>8396</v>
      </c>
      <c r="AD534" s="35" t="s">
        <v>79</v>
      </c>
      <c r="AE534" s="35"/>
      <c r="AF534" s="35"/>
      <c r="AG534" s="46"/>
    </row>
    <row r="535" ht="44.25" customHeight="1">
      <c r="A535" s="35">
        <v>534.0</v>
      </c>
      <c r="B535" s="35">
        <v>42909.0</v>
      </c>
      <c r="C535" s="35" t="s">
        <v>808</v>
      </c>
      <c r="D535" s="35" t="s">
        <v>6094</v>
      </c>
      <c r="E535" s="35" t="s">
        <v>8400</v>
      </c>
      <c r="F535" s="35" t="s">
        <v>596</v>
      </c>
      <c r="G535" s="41" t="s">
        <v>8402</v>
      </c>
      <c r="H535" s="35" t="s">
        <v>59</v>
      </c>
      <c r="I535" s="35" t="s">
        <v>61</v>
      </c>
      <c r="J535" s="35" t="s">
        <v>62</v>
      </c>
      <c r="K535" s="35" t="s">
        <v>63</v>
      </c>
      <c r="L535" s="35">
        <v>18.0</v>
      </c>
      <c r="M535" s="35" t="s">
        <v>8405</v>
      </c>
      <c r="N535" s="52"/>
      <c r="O535" s="52"/>
      <c r="P535" s="35" t="s">
        <v>8407</v>
      </c>
      <c r="Q535" s="52"/>
      <c r="R535" s="52"/>
      <c r="S535" s="52"/>
      <c r="T535" s="64"/>
      <c r="U535" s="52"/>
      <c r="V535" s="35"/>
      <c r="W535" s="35" t="s">
        <v>74</v>
      </c>
      <c r="X535" s="35" t="s">
        <v>8408</v>
      </c>
      <c r="Y535" s="35" t="s">
        <v>8409</v>
      </c>
      <c r="Z535" s="35" t="s">
        <v>8411</v>
      </c>
      <c r="AA535" s="46">
        <v>46023.0</v>
      </c>
      <c r="AB535" s="46">
        <v>46387.0</v>
      </c>
      <c r="AC535" s="35" t="s">
        <v>8413</v>
      </c>
      <c r="AD535" s="35" t="s">
        <v>79</v>
      </c>
      <c r="AE535" s="35"/>
      <c r="AF535" s="35"/>
      <c r="AG535" s="46"/>
    </row>
    <row r="536" ht="44.25" customHeight="1">
      <c r="A536" s="35">
        <v>535.0</v>
      </c>
      <c r="B536" s="35">
        <v>732.0</v>
      </c>
      <c r="C536" s="35" t="s">
        <v>808</v>
      </c>
      <c r="D536" s="35" t="s">
        <v>6094</v>
      </c>
      <c r="E536" s="35" t="s">
        <v>8415</v>
      </c>
      <c r="F536" s="35" t="s">
        <v>8416</v>
      </c>
      <c r="G536" s="41" t="s">
        <v>8417</v>
      </c>
      <c r="H536" s="35" t="s">
        <v>59</v>
      </c>
      <c r="I536" s="35" t="s">
        <v>61</v>
      </c>
      <c r="J536" s="35" t="s">
        <v>62</v>
      </c>
      <c r="K536" s="35" t="s">
        <v>63</v>
      </c>
      <c r="L536" s="35">
        <v>20.0</v>
      </c>
      <c r="M536" s="35"/>
      <c r="N536" s="52"/>
      <c r="O536" s="52"/>
      <c r="P536" s="35" t="s">
        <v>8420</v>
      </c>
      <c r="Q536" s="52"/>
      <c r="R536" s="35"/>
      <c r="S536" s="52"/>
      <c r="T536" s="64"/>
      <c r="U536" s="35"/>
      <c r="V536" s="35"/>
      <c r="W536" s="35" t="s">
        <v>74</v>
      </c>
      <c r="X536" s="35" t="s">
        <v>8423</v>
      </c>
      <c r="Y536" s="35">
        <v>9.165533927E9</v>
      </c>
      <c r="Z536" s="35" t="s">
        <v>8425</v>
      </c>
      <c r="AA536" s="46">
        <v>46023.0</v>
      </c>
      <c r="AB536" s="46">
        <v>46387.0</v>
      </c>
      <c r="AC536" s="35" t="s">
        <v>8426</v>
      </c>
      <c r="AD536" s="35" t="s">
        <v>79</v>
      </c>
      <c r="AE536" s="35"/>
      <c r="AF536" s="35"/>
      <c r="AG536" s="46"/>
    </row>
    <row r="537" ht="44.25" customHeight="1">
      <c r="A537" s="35">
        <v>536.0</v>
      </c>
      <c r="B537" s="35">
        <v>3808.0</v>
      </c>
      <c r="C537" s="35" t="s">
        <v>808</v>
      </c>
      <c r="D537" s="35" t="s">
        <v>2072</v>
      </c>
      <c r="E537" s="35" t="s">
        <v>2132</v>
      </c>
      <c r="F537" s="35" t="s">
        <v>8429</v>
      </c>
      <c r="G537" s="41" t="s">
        <v>8430</v>
      </c>
      <c r="H537" s="35" t="s">
        <v>59</v>
      </c>
      <c r="I537" s="35" t="s">
        <v>61</v>
      </c>
      <c r="J537" s="35" t="s">
        <v>62</v>
      </c>
      <c r="K537" s="35" t="s">
        <v>111</v>
      </c>
      <c r="L537" s="35">
        <v>100.0</v>
      </c>
      <c r="M537" s="35" t="s">
        <v>8432</v>
      </c>
      <c r="N537" s="52"/>
      <c r="O537" s="52"/>
      <c r="P537" s="35" t="s">
        <v>8433</v>
      </c>
      <c r="Q537" s="52"/>
      <c r="R537" s="35"/>
      <c r="S537" s="52"/>
      <c r="T537" s="64"/>
      <c r="U537" s="35">
        <v>3.0</v>
      </c>
      <c r="V537" s="35"/>
      <c r="W537" s="35" t="s">
        <v>93</v>
      </c>
      <c r="X537" s="35" t="s">
        <v>8435</v>
      </c>
      <c r="Y537" s="35">
        <v>9.177174228E9</v>
      </c>
      <c r="Z537" s="35" t="s">
        <v>8436</v>
      </c>
      <c r="AA537" s="46">
        <v>46023.0</v>
      </c>
      <c r="AB537" s="46">
        <v>46387.0</v>
      </c>
      <c r="AC537" s="35" t="s">
        <v>8438</v>
      </c>
      <c r="AD537" s="35" t="s">
        <v>79</v>
      </c>
      <c r="AE537" s="35"/>
      <c r="AF537" s="35"/>
      <c r="AG537" s="46"/>
    </row>
    <row r="538" ht="44.25" customHeight="1">
      <c r="A538" s="35">
        <v>537.0</v>
      </c>
      <c r="B538" s="35">
        <v>449.0</v>
      </c>
      <c r="C538" s="35" t="s">
        <v>808</v>
      </c>
      <c r="D538" s="35" t="s">
        <v>2072</v>
      </c>
      <c r="E538" s="35" t="s">
        <v>2132</v>
      </c>
      <c r="F538" s="35" t="s">
        <v>8442</v>
      </c>
      <c r="G538" s="41" t="s">
        <v>8443</v>
      </c>
      <c r="H538" s="35" t="s">
        <v>59</v>
      </c>
      <c r="I538" s="35" t="s">
        <v>61</v>
      </c>
      <c r="J538" s="35" t="s">
        <v>62</v>
      </c>
      <c r="K538" s="35" t="s">
        <v>111</v>
      </c>
      <c r="L538" s="35">
        <v>131.0</v>
      </c>
      <c r="M538" s="35" t="s">
        <v>8447</v>
      </c>
      <c r="N538" s="52"/>
      <c r="O538" s="52"/>
      <c r="P538" s="35" t="s">
        <v>8448</v>
      </c>
      <c r="Q538" s="52"/>
      <c r="R538" s="35"/>
      <c r="S538" s="52"/>
      <c r="T538" s="64"/>
      <c r="U538" s="35">
        <v>13.0</v>
      </c>
      <c r="V538" s="35"/>
      <c r="W538" s="112" t="s">
        <v>93</v>
      </c>
      <c r="X538" s="35" t="s">
        <v>8449</v>
      </c>
      <c r="Y538" s="35" t="s">
        <v>8450</v>
      </c>
      <c r="Z538" s="35" t="s">
        <v>8451</v>
      </c>
      <c r="AA538" s="46">
        <v>46023.0</v>
      </c>
      <c r="AB538" s="46">
        <v>46387.0</v>
      </c>
      <c r="AC538" s="35" t="s">
        <v>8453</v>
      </c>
      <c r="AD538" s="35" t="s">
        <v>79</v>
      </c>
      <c r="AE538" s="35"/>
      <c r="AF538" s="35"/>
      <c r="AG538" s="46"/>
    </row>
    <row r="539" ht="44.25" customHeight="1">
      <c r="A539" s="35">
        <v>538.0</v>
      </c>
      <c r="B539" s="35">
        <v>37412.0</v>
      </c>
      <c r="C539" s="35" t="s">
        <v>808</v>
      </c>
      <c r="D539" s="35" t="s">
        <v>2072</v>
      </c>
      <c r="E539" s="35" t="s">
        <v>2132</v>
      </c>
      <c r="F539" s="35" t="s">
        <v>8455</v>
      </c>
      <c r="G539" s="41" t="s">
        <v>8460</v>
      </c>
      <c r="H539" s="35" t="s">
        <v>59</v>
      </c>
      <c r="I539" s="35" t="s">
        <v>61</v>
      </c>
      <c r="J539" s="35" t="s">
        <v>62</v>
      </c>
      <c r="K539" s="35" t="s">
        <v>63</v>
      </c>
      <c r="L539" s="35">
        <v>23.0</v>
      </c>
      <c r="M539" s="35" t="s">
        <v>8464</v>
      </c>
      <c r="N539" s="52"/>
      <c r="O539" s="52"/>
      <c r="P539" s="35" t="s">
        <v>8465</v>
      </c>
      <c r="Q539" s="52"/>
      <c r="R539" s="35"/>
      <c r="S539" s="52"/>
      <c r="T539" s="64"/>
      <c r="U539" s="35"/>
      <c r="V539" s="35"/>
      <c r="W539" s="112" t="s">
        <v>74</v>
      </c>
      <c r="X539" s="35" t="s">
        <v>8466</v>
      </c>
      <c r="Y539" s="35">
        <v>9.056710965E9</v>
      </c>
      <c r="Z539" s="35" t="s">
        <v>8467</v>
      </c>
      <c r="AA539" s="46">
        <v>46023.0</v>
      </c>
      <c r="AB539" s="46">
        <v>46387.0</v>
      </c>
      <c r="AC539" s="35" t="s">
        <v>8468</v>
      </c>
      <c r="AD539" s="35" t="s">
        <v>79</v>
      </c>
      <c r="AE539" s="35"/>
      <c r="AF539" s="35"/>
      <c r="AG539" s="46"/>
    </row>
    <row r="540" ht="44.25" customHeight="1">
      <c r="A540" s="35">
        <v>539.0</v>
      </c>
      <c r="B540" s="35">
        <v>50489.0</v>
      </c>
      <c r="C540" s="35" t="s">
        <v>808</v>
      </c>
      <c r="D540" s="35" t="s">
        <v>8470</v>
      </c>
      <c r="E540" s="35" t="s">
        <v>2132</v>
      </c>
      <c r="F540" s="35" t="s">
        <v>8473</v>
      </c>
      <c r="G540" s="41" t="s">
        <v>8474</v>
      </c>
      <c r="H540" s="35" t="s">
        <v>59</v>
      </c>
      <c r="I540" s="35" t="s">
        <v>61</v>
      </c>
      <c r="J540" s="35" t="s">
        <v>62</v>
      </c>
      <c r="K540" s="35" t="s">
        <v>111</v>
      </c>
      <c r="L540" s="35">
        <v>80.0</v>
      </c>
      <c r="M540" s="35" t="s">
        <v>8477</v>
      </c>
      <c r="N540" s="52"/>
      <c r="O540" s="52"/>
      <c r="P540" s="35" t="s">
        <v>8479</v>
      </c>
      <c r="Q540" s="52"/>
      <c r="R540" s="35"/>
      <c r="S540" s="52"/>
      <c r="T540" s="64"/>
      <c r="U540" s="35">
        <v>20.0</v>
      </c>
      <c r="V540" s="35"/>
      <c r="W540" s="112" t="s">
        <v>74</v>
      </c>
      <c r="X540" s="35" t="s">
        <v>8481</v>
      </c>
      <c r="Y540" s="35" t="s">
        <v>8482</v>
      </c>
      <c r="Z540" s="35" t="s">
        <v>8483</v>
      </c>
      <c r="AA540" s="46">
        <v>46023.0</v>
      </c>
      <c r="AB540" s="46">
        <v>46387.0</v>
      </c>
      <c r="AC540" s="35" t="s">
        <v>8484</v>
      </c>
      <c r="AD540" s="35" t="s">
        <v>79</v>
      </c>
      <c r="AE540" s="35"/>
      <c r="AF540" s="35"/>
      <c r="AG540" s="46"/>
    </row>
    <row r="541" ht="44.25" customHeight="1">
      <c r="A541" s="35">
        <v>540.0</v>
      </c>
      <c r="B541" s="35">
        <v>3141.0</v>
      </c>
      <c r="C541" s="35" t="s">
        <v>808</v>
      </c>
      <c r="D541" s="35" t="s">
        <v>2072</v>
      </c>
      <c r="E541" s="35" t="s">
        <v>2132</v>
      </c>
      <c r="F541" s="35" t="s">
        <v>8485</v>
      </c>
      <c r="G541" s="41" t="s">
        <v>8487</v>
      </c>
      <c r="H541" s="35" t="s">
        <v>59</v>
      </c>
      <c r="I541" s="35" t="s">
        <v>61</v>
      </c>
      <c r="J541" s="35" t="s">
        <v>62</v>
      </c>
      <c r="K541" s="35" t="s">
        <v>111</v>
      </c>
      <c r="L541" s="35">
        <v>110.0</v>
      </c>
      <c r="M541" s="35" t="s">
        <v>8491</v>
      </c>
      <c r="N541" s="52"/>
      <c r="O541" s="52"/>
      <c r="P541" s="35" t="s">
        <v>8492</v>
      </c>
      <c r="Q541" s="52"/>
      <c r="R541" s="35"/>
      <c r="S541" s="52"/>
      <c r="T541" s="64"/>
      <c r="U541" s="35">
        <v>2.0</v>
      </c>
      <c r="V541" s="35"/>
      <c r="W541" s="35" t="s">
        <v>93</v>
      </c>
      <c r="X541" s="35" t="s">
        <v>8494</v>
      </c>
      <c r="Y541" s="35" t="s">
        <v>8495</v>
      </c>
      <c r="Z541" s="35" t="s">
        <v>8496</v>
      </c>
      <c r="AA541" s="46">
        <v>46023.0</v>
      </c>
      <c r="AB541" s="46">
        <v>46387.0</v>
      </c>
      <c r="AC541" s="35" t="s">
        <v>8497</v>
      </c>
      <c r="AD541" s="35" t="s">
        <v>79</v>
      </c>
      <c r="AE541" s="35"/>
      <c r="AF541" s="35"/>
      <c r="AG541" s="46"/>
    </row>
    <row r="542" ht="44.25" customHeight="1">
      <c r="A542" s="35">
        <v>541.0</v>
      </c>
      <c r="B542" s="35">
        <v>7036.0</v>
      </c>
      <c r="C542" s="35" t="s">
        <v>808</v>
      </c>
      <c r="D542" s="35" t="s">
        <v>2072</v>
      </c>
      <c r="E542" s="35" t="s">
        <v>2132</v>
      </c>
      <c r="F542" s="35" t="s">
        <v>8501</v>
      </c>
      <c r="G542" s="41" t="s">
        <v>8502</v>
      </c>
      <c r="H542" s="35" t="s">
        <v>59</v>
      </c>
      <c r="I542" s="35" t="s">
        <v>61</v>
      </c>
      <c r="J542" s="35" t="s">
        <v>62</v>
      </c>
      <c r="K542" s="35" t="s">
        <v>111</v>
      </c>
      <c r="L542" s="35">
        <v>148.0</v>
      </c>
      <c r="M542" s="35" t="s">
        <v>8503</v>
      </c>
      <c r="N542" s="52"/>
      <c r="O542" s="52"/>
      <c r="P542" s="35" t="s">
        <v>8504</v>
      </c>
      <c r="Q542" s="52"/>
      <c r="R542" s="35"/>
      <c r="S542" s="52"/>
      <c r="T542" s="64"/>
      <c r="U542" s="35">
        <v>9.0</v>
      </c>
      <c r="V542" s="35"/>
      <c r="W542" s="112" t="s">
        <v>93</v>
      </c>
      <c r="X542" s="35" t="s">
        <v>8506</v>
      </c>
      <c r="Y542" s="35" t="s">
        <v>8507</v>
      </c>
      <c r="Z542" s="35" t="s">
        <v>8508</v>
      </c>
      <c r="AA542" s="46">
        <v>46023.0</v>
      </c>
      <c r="AB542" s="46">
        <v>46387.0</v>
      </c>
      <c r="AC542" s="35" t="s">
        <v>8510</v>
      </c>
      <c r="AD542" s="35" t="s">
        <v>79</v>
      </c>
      <c r="AE542" s="35"/>
      <c r="AF542" s="35"/>
      <c r="AG542" s="46"/>
    </row>
    <row r="543" ht="44.25" customHeight="1">
      <c r="A543" s="35">
        <v>542.0</v>
      </c>
      <c r="B543" s="35">
        <v>4975.0</v>
      </c>
      <c r="C543" s="35" t="s">
        <v>808</v>
      </c>
      <c r="D543" s="35" t="s">
        <v>2072</v>
      </c>
      <c r="E543" s="35" t="s">
        <v>2132</v>
      </c>
      <c r="F543" s="35" t="s">
        <v>8512</v>
      </c>
      <c r="G543" s="41" t="s">
        <v>8514</v>
      </c>
      <c r="H543" s="35" t="s">
        <v>59</v>
      </c>
      <c r="I543" s="35" t="s">
        <v>61</v>
      </c>
      <c r="J543" s="35" t="s">
        <v>62</v>
      </c>
      <c r="K543" s="35" t="s">
        <v>111</v>
      </c>
      <c r="L543" s="35">
        <v>150.0</v>
      </c>
      <c r="M543" s="35" t="s">
        <v>8516</v>
      </c>
      <c r="N543" s="35" t="s">
        <v>66</v>
      </c>
      <c r="O543" s="52"/>
      <c r="P543" s="35" t="s">
        <v>2147</v>
      </c>
      <c r="Q543" s="52"/>
      <c r="R543" s="35"/>
      <c r="S543" s="52"/>
      <c r="T543" s="64"/>
      <c r="U543" s="35">
        <v>10.0</v>
      </c>
      <c r="V543" s="35"/>
      <c r="W543" s="35" t="s">
        <v>93</v>
      </c>
      <c r="X543" s="35" t="s">
        <v>8519</v>
      </c>
      <c r="Y543" s="35" t="s">
        <v>8520</v>
      </c>
      <c r="Z543" s="35" t="s">
        <v>8521</v>
      </c>
      <c r="AA543" s="46">
        <v>46023.0</v>
      </c>
      <c r="AB543" s="46">
        <v>46387.0</v>
      </c>
      <c r="AC543" s="35" t="s">
        <v>8523</v>
      </c>
      <c r="AD543" s="35" t="s">
        <v>79</v>
      </c>
      <c r="AE543" s="35"/>
      <c r="AF543" s="35"/>
      <c r="AG543" s="46"/>
    </row>
    <row r="544" ht="44.25" customHeight="1">
      <c r="A544" s="35">
        <v>543.0</v>
      </c>
      <c r="B544" s="35">
        <v>4592.0</v>
      </c>
      <c r="C544" s="35" t="s">
        <v>808</v>
      </c>
      <c r="D544" s="35" t="s">
        <v>2072</v>
      </c>
      <c r="E544" s="35" t="s">
        <v>2132</v>
      </c>
      <c r="F544" s="35" t="s">
        <v>8527</v>
      </c>
      <c r="G544" s="41" t="s">
        <v>8529</v>
      </c>
      <c r="H544" s="35" t="s">
        <v>59</v>
      </c>
      <c r="I544" s="35" t="s">
        <v>61</v>
      </c>
      <c r="J544" s="35" t="s">
        <v>62</v>
      </c>
      <c r="K544" s="35" t="s">
        <v>63</v>
      </c>
      <c r="L544" s="35">
        <v>24.0</v>
      </c>
      <c r="M544" s="52"/>
      <c r="N544" s="52"/>
      <c r="O544" s="52"/>
      <c r="P544" s="35" t="s">
        <v>8532</v>
      </c>
      <c r="Q544" s="52"/>
      <c r="R544" s="52"/>
      <c r="S544" s="52"/>
      <c r="T544" s="64"/>
      <c r="U544" s="52"/>
      <c r="V544" s="35"/>
      <c r="W544" s="112" t="s">
        <v>74</v>
      </c>
      <c r="X544" s="35" t="s">
        <v>8534</v>
      </c>
      <c r="Y544" s="35">
        <v>6.29910379E8</v>
      </c>
      <c r="Z544" s="35" t="s">
        <v>8535</v>
      </c>
      <c r="AA544" s="46">
        <v>46023.0</v>
      </c>
      <c r="AB544" s="46">
        <v>46387.0</v>
      </c>
      <c r="AC544" s="35" t="s">
        <v>8536</v>
      </c>
      <c r="AD544" s="35" t="s">
        <v>79</v>
      </c>
      <c r="AE544" s="35"/>
      <c r="AF544" s="35"/>
      <c r="AG544" s="46"/>
    </row>
    <row r="545" ht="44.25" customHeight="1">
      <c r="A545" s="35">
        <v>544.0</v>
      </c>
      <c r="B545" s="35">
        <v>7054.0</v>
      </c>
      <c r="C545" s="35" t="s">
        <v>808</v>
      </c>
      <c r="D545" s="35" t="s">
        <v>2072</v>
      </c>
      <c r="E545" s="35" t="s">
        <v>6033</v>
      </c>
      <c r="F545" s="35" t="s">
        <v>8537</v>
      </c>
      <c r="G545" s="41" t="s">
        <v>8539</v>
      </c>
      <c r="H545" s="35" t="s">
        <v>59</v>
      </c>
      <c r="I545" s="35"/>
      <c r="J545" s="35" t="s">
        <v>62</v>
      </c>
      <c r="K545" s="35" t="s">
        <v>63</v>
      </c>
      <c r="L545" s="35">
        <v>19.0</v>
      </c>
      <c r="M545" s="35"/>
      <c r="N545" s="52"/>
      <c r="O545" s="52"/>
      <c r="P545" s="35" t="s">
        <v>8543</v>
      </c>
      <c r="Q545" s="52"/>
      <c r="R545" s="52"/>
      <c r="S545" s="52"/>
      <c r="T545" s="64"/>
      <c r="U545" s="52"/>
      <c r="V545" s="35"/>
      <c r="W545" s="112" t="s">
        <v>74</v>
      </c>
      <c r="X545" s="35" t="s">
        <v>8544</v>
      </c>
      <c r="Y545" s="35" t="s">
        <v>8545</v>
      </c>
      <c r="Z545" s="35" t="s">
        <v>8546</v>
      </c>
      <c r="AA545" s="46">
        <v>46023.0</v>
      </c>
      <c r="AB545" s="46">
        <v>46387.0</v>
      </c>
      <c r="AC545" s="35" t="s">
        <v>8548</v>
      </c>
      <c r="AD545" s="35" t="s">
        <v>79</v>
      </c>
      <c r="AE545" s="35"/>
      <c r="AF545" s="35"/>
      <c r="AG545" s="46"/>
    </row>
    <row r="546" ht="44.25" customHeight="1">
      <c r="A546" s="35">
        <v>545.0</v>
      </c>
      <c r="B546" s="35">
        <v>51498.0</v>
      </c>
      <c r="C546" s="35" t="s">
        <v>808</v>
      </c>
      <c r="D546" s="35" t="s">
        <v>1952</v>
      </c>
      <c r="E546" s="35" t="s">
        <v>5966</v>
      </c>
      <c r="F546" s="35" t="s">
        <v>8549</v>
      </c>
      <c r="G546" s="41" t="s">
        <v>8550</v>
      </c>
      <c r="H546" s="35" t="s">
        <v>59</v>
      </c>
      <c r="I546" s="35"/>
      <c r="J546" s="35"/>
      <c r="K546" s="35" t="s">
        <v>111</v>
      </c>
      <c r="L546" s="35">
        <v>35.0</v>
      </c>
      <c r="M546" s="35" t="s">
        <v>8554</v>
      </c>
      <c r="N546" s="52"/>
      <c r="O546" s="52"/>
      <c r="P546" s="35" t="s">
        <v>8556</v>
      </c>
      <c r="Q546" s="52"/>
      <c r="R546" s="35"/>
      <c r="S546" s="52"/>
      <c r="T546" s="64"/>
      <c r="U546" s="35">
        <v>12.0</v>
      </c>
      <c r="V546" s="35"/>
      <c r="W546" s="35" t="s">
        <v>74</v>
      </c>
      <c r="X546" s="35" t="s">
        <v>8557</v>
      </c>
      <c r="Y546" s="35">
        <v>9.759311016E9</v>
      </c>
      <c r="Z546" s="35" t="s">
        <v>8558</v>
      </c>
      <c r="AA546" s="46">
        <v>46023.0</v>
      </c>
      <c r="AB546" s="46">
        <v>46387.0</v>
      </c>
      <c r="AC546" s="35" t="s">
        <v>8560</v>
      </c>
      <c r="AD546" s="35" t="s">
        <v>79</v>
      </c>
      <c r="AE546" s="35"/>
      <c r="AF546" s="35"/>
      <c r="AG546" s="46"/>
    </row>
    <row r="547" ht="44.25" customHeight="1">
      <c r="A547" s="35">
        <v>546.0</v>
      </c>
      <c r="B547" s="35">
        <v>38524.0</v>
      </c>
      <c r="C547" s="35" t="s">
        <v>887</v>
      </c>
      <c r="D547" s="35" t="s">
        <v>2388</v>
      </c>
      <c r="E547" s="35" t="s">
        <v>8564</v>
      </c>
      <c r="F547" s="35" t="s">
        <v>8565</v>
      </c>
      <c r="G547" s="41" t="s">
        <v>8566</v>
      </c>
      <c r="H547" s="35" t="s">
        <v>59</v>
      </c>
      <c r="I547" s="35" t="s">
        <v>61</v>
      </c>
      <c r="J547" s="35" t="s">
        <v>62</v>
      </c>
      <c r="K547" s="35" t="s">
        <v>63</v>
      </c>
      <c r="L547" s="35">
        <v>60.0</v>
      </c>
      <c r="M547" s="35" t="s">
        <v>8569</v>
      </c>
      <c r="N547" s="35" t="s">
        <v>66</v>
      </c>
      <c r="O547" s="35" t="s">
        <v>67</v>
      </c>
      <c r="P547" s="35" t="s">
        <v>1752</v>
      </c>
      <c r="Q547" s="64"/>
      <c r="R547" s="167"/>
      <c r="S547" s="52"/>
      <c r="T547" s="64"/>
      <c r="U547" s="35" t="s">
        <v>1752</v>
      </c>
      <c r="V547" s="35" t="s">
        <v>61</v>
      </c>
      <c r="W547" s="35" t="s">
        <v>74</v>
      </c>
      <c r="X547" s="35" t="s">
        <v>8570</v>
      </c>
      <c r="Y547" s="35" t="s">
        <v>8571</v>
      </c>
      <c r="Z547" s="35" t="s">
        <v>8573</v>
      </c>
      <c r="AA547" s="46">
        <v>46023.0</v>
      </c>
      <c r="AB547" s="46">
        <v>46387.0</v>
      </c>
      <c r="AC547" s="35" t="s">
        <v>8574</v>
      </c>
      <c r="AD547" s="35" t="s">
        <v>164</v>
      </c>
      <c r="AE547" s="35" t="s">
        <v>165</v>
      </c>
      <c r="AF547" s="35" t="s">
        <v>8576</v>
      </c>
      <c r="AG547" s="46"/>
    </row>
    <row r="548" ht="44.25" customHeight="1">
      <c r="A548" s="35">
        <v>547.0</v>
      </c>
      <c r="B548" s="35">
        <v>2483.0</v>
      </c>
      <c r="C548" s="35" t="s">
        <v>887</v>
      </c>
      <c r="D548" s="35" t="s">
        <v>2388</v>
      </c>
      <c r="E548" s="35" t="s">
        <v>6398</v>
      </c>
      <c r="F548" s="35" t="s">
        <v>8580</v>
      </c>
      <c r="G548" s="41" t="s">
        <v>8581</v>
      </c>
      <c r="H548" s="35" t="s">
        <v>59</v>
      </c>
      <c r="I548" s="35" t="s">
        <v>61</v>
      </c>
      <c r="J548" s="35" t="s">
        <v>62</v>
      </c>
      <c r="K548" s="35" t="s">
        <v>63</v>
      </c>
      <c r="L548" s="35">
        <v>25.0</v>
      </c>
      <c r="M548" s="35" t="s">
        <v>6121</v>
      </c>
      <c r="N548" s="35" t="s">
        <v>66</v>
      </c>
      <c r="O548" s="35" t="s">
        <v>67</v>
      </c>
      <c r="P548" s="35" t="s">
        <v>1752</v>
      </c>
      <c r="Q548" s="64"/>
      <c r="R548" s="167"/>
      <c r="S548" s="52"/>
      <c r="T548" s="64"/>
      <c r="U548" s="35" t="s">
        <v>1752</v>
      </c>
      <c r="V548" s="35" t="s">
        <v>61</v>
      </c>
      <c r="W548" s="35" t="s">
        <v>74</v>
      </c>
      <c r="X548" s="35" t="s">
        <v>8587</v>
      </c>
      <c r="Y548" s="35" t="s">
        <v>8588</v>
      </c>
      <c r="Z548" s="35" t="s">
        <v>8589</v>
      </c>
      <c r="AA548" s="46">
        <v>46023.0</v>
      </c>
      <c r="AB548" s="46">
        <v>46387.0</v>
      </c>
      <c r="AC548" s="35" t="s">
        <v>8590</v>
      </c>
      <c r="AD548" s="35" t="s">
        <v>79</v>
      </c>
      <c r="AE548" s="35"/>
      <c r="AF548" s="35"/>
      <c r="AG548" s="46"/>
    </row>
    <row r="549" ht="44.25" customHeight="1">
      <c r="A549" s="35">
        <v>548.0</v>
      </c>
      <c r="B549" s="35">
        <v>3380.0</v>
      </c>
      <c r="C549" s="35" t="s">
        <v>887</v>
      </c>
      <c r="D549" s="35" t="s">
        <v>2388</v>
      </c>
      <c r="E549" s="35" t="s">
        <v>2391</v>
      </c>
      <c r="F549" s="35" t="s">
        <v>8592</v>
      </c>
      <c r="G549" s="41" t="s">
        <v>8594</v>
      </c>
      <c r="H549" s="35" t="s">
        <v>59</v>
      </c>
      <c r="I549" s="35" t="s">
        <v>61</v>
      </c>
      <c r="J549" s="35" t="s">
        <v>62</v>
      </c>
      <c r="K549" s="35" t="s">
        <v>63</v>
      </c>
      <c r="L549" s="35">
        <v>35.0</v>
      </c>
      <c r="M549" s="35" t="s">
        <v>6121</v>
      </c>
      <c r="N549" s="35" t="s">
        <v>66</v>
      </c>
      <c r="O549" s="35" t="s">
        <v>67</v>
      </c>
      <c r="P549" s="35" t="s">
        <v>8595</v>
      </c>
      <c r="Q549" s="64"/>
      <c r="R549" s="167"/>
      <c r="S549" s="52"/>
      <c r="T549" s="64"/>
      <c r="U549" s="35" t="s">
        <v>1752</v>
      </c>
      <c r="V549" s="35" t="s">
        <v>61</v>
      </c>
      <c r="W549" s="35" t="s">
        <v>74</v>
      </c>
      <c r="X549" s="35" t="s">
        <v>8598</v>
      </c>
      <c r="Y549" s="35">
        <v>9.063487851E9</v>
      </c>
      <c r="Z549" s="35" t="s">
        <v>8600</v>
      </c>
      <c r="AA549" s="46">
        <v>46023.0</v>
      </c>
      <c r="AB549" s="46">
        <v>46387.0</v>
      </c>
      <c r="AC549" s="35" t="s">
        <v>8601</v>
      </c>
      <c r="AD549" s="35" t="s">
        <v>79</v>
      </c>
      <c r="AE549" s="35"/>
      <c r="AF549" s="35"/>
      <c r="AG549" s="46"/>
    </row>
    <row r="550" ht="44.25" customHeight="1">
      <c r="A550" s="35">
        <v>549.0</v>
      </c>
      <c r="B550" s="35">
        <v>6588.0</v>
      </c>
      <c r="C550" s="35" t="s">
        <v>887</v>
      </c>
      <c r="D550" s="35" t="s">
        <v>2388</v>
      </c>
      <c r="E550" s="35" t="s">
        <v>2391</v>
      </c>
      <c r="F550" s="35" t="s">
        <v>8602</v>
      </c>
      <c r="G550" s="41" t="s">
        <v>8603</v>
      </c>
      <c r="H550" s="35" t="s">
        <v>59</v>
      </c>
      <c r="I550" s="35" t="s">
        <v>61</v>
      </c>
      <c r="J550" s="35" t="s">
        <v>62</v>
      </c>
      <c r="K550" s="35" t="s">
        <v>63</v>
      </c>
      <c r="L550" s="35">
        <v>40.0</v>
      </c>
      <c r="M550" s="35" t="s">
        <v>6121</v>
      </c>
      <c r="N550" s="35" t="s">
        <v>66</v>
      </c>
      <c r="O550" s="35" t="s">
        <v>67</v>
      </c>
      <c r="P550" s="35" t="s">
        <v>1752</v>
      </c>
      <c r="Q550" s="64"/>
      <c r="R550" s="167"/>
      <c r="S550" s="52"/>
      <c r="T550" s="64"/>
      <c r="U550" s="35" t="s">
        <v>1752</v>
      </c>
      <c r="V550" s="35" t="s">
        <v>61</v>
      </c>
      <c r="W550" s="35" t="s">
        <v>74</v>
      </c>
      <c r="X550" s="35" t="s">
        <v>8604</v>
      </c>
      <c r="Y550" s="35">
        <v>8.88561944E8</v>
      </c>
      <c r="Z550" s="35" t="s">
        <v>8605</v>
      </c>
      <c r="AA550" s="46">
        <v>46023.0</v>
      </c>
      <c r="AB550" s="46">
        <v>46387.0</v>
      </c>
      <c r="AC550" s="35" t="s">
        <v>8606</v>
      </c>
      <c r="AD550" s="35" t="s">
        <v>164</v>
      </c>
      <c r="AE550" s="35" t="s">
        <v>643</v>
      </c>
      <c r="AF550" s="35" t="s">
        <v>8607</v>
      </c>
      <c r="AG550" s="46"/>
    </row>
    <row r="551" ht="44.25" customHeight="1">
      <c r="A551" s="35">
        <v>550.0</v>
      </c>
      <c r="B551" s="35">
        <v>6003.0</v>
      </c>
      <c r="C551" s="35" t="s">
        <v>887</v>
      </c>
      <c r="D551" s="35" t="s">
        <v>2388</v>
      </c>
      <c r="E551" s="35" t="s">
        <v>2391</v>
      </c>
      <c r="F551" s="35" t="s">
        <v>8608</v>
      </c>
      <c r="G551" s="41" t="s">
        <v>8610</v>
      </c>
      <c r="H551" s="35" t="s">
        <v>59</v>
      </c>
      <c r="I551" s="35" t="s">
        <v>61</v>
      </c>
      <c r="J551" s="35" t="s">
        <v>62</v>
      </c>
      <c r="K551" s="35" t="s">
        <v>111</v>
      </c>
      <c r="L551" s="35">
        <v>181.0</v>
      </c>
      <c r="M551" s="35" t="s">
        <v>8611</v>
      </c>
      <c r="N551" s="35" t="s">
        <v>221</v>
      </c>
      <c r="O551" s="35" t="s">
        <v>67</v>
      </c>
      <c r="P551" s="35" t="s">
        <v>8613</v>
      </c>
      <c r="Q551" s="64"/>
      <c r="R551" s="167"/>
      <c r="S551" s="52"/>
      <c r="T551" s="64"/>
      <c r="U551" s="35">
        <v>80.0</v>
      </c>
      <c r="V551" s="35" t="s">
        <v>61</v>
      </c>
      <c r="W551" s="35" t="s">
        <v>93</v>
      </c>
      <c r="X551" s="35" t="s">
        <v>8615</v>
      </c>
      <c r="Y551" s="35" t="s">
        <v>8616</v>
      </c>
      <c r="Z551" s="35" t="s">
        <v>8617</v>
      </c>
      <c r="AA551" s="46">
        <v>46023.0</v>
      </c>
      <c r="AB551" s="46">
        <v>46387.0</v>
      </c>
      <c r="AC551" s="35" t="s">
        <v>8618</v>
      </c>
      <c r="AD551" s="35" t="s">
        <v>164</v>
      </c>
      <c r="AE551" s="35" t="s">
        <v>165</v>
      </c>
      <c r="AF551" s="35" t="s">
        <v>8619</v>
      </c>
      <c r="AG551" s="46"/>
    </row>
    <row r="552" ht="44.25" customHeight="1">
      <c r="A552" s="35">
        <v>551.0</v>
      </c>
      <c r="B552" s="35">
        <v>5762.0</v>
      </c>
      <c r="C552" s="35" t="s">
        <v>887</v>
      </c>
      <c r="D552" s="35" t="s">
        <v>2388</v>
      </c>
      <c r="E552" s="35" t="s">
        <v>2391</v>
      </c>
      <c r="F552" s="35" t="s">
        <v>8620</v>
      </c>
      <c r="G552" s="41" t="s">
        <v>8621</v>
      </c>
      <c r="H552" s="35" t="s">
        <v>59</v>
      </c>
      <c r="I552" s="35" t="s">
        <v>61</v>
      </c>
      <c r="J552" s="35" t="s">
        <v>62</v>
      </c>
      <c r="K552" s="35" t="s">
        <v>111</v>
      </c>
      <c r="L552" s="35">
        <v>115.0</v>
      </c>
      <c r="M552" s="35" t="s">
        <v>8622</v>
      </c>
      <c r="N552" s="35" t="s">
        <v>66</v>
      </c>
      <c r="O552" s="35" t="s">
        <v>67</v>
      </c>
      <c r="P552" s="35" t="s">
        <v>8623</v>
      </c>
      <c r="Q552" s="64"/>
      <c r="R552" s="167"/>
      <c r="S552" s="52"/>
      <c r="T552" s="64"/>
      <c r="U552" s="35">
        <v>12.0</v>
      </c>
      <c r="V552" s="35" t="s">
        <v>61</v>
      </c>
      <c r="W552" s="35" t="s">
        <v>93</v>
      </c>
      <c r="X552" s="35" t="s">
        <v>8624</v>
      </c>
      <c r="Y552" s="35" t="s">
        <v>8625</v>
      </c>
      <c r="Z552" s="35" t="s">
        <v>8626</v>
      </c>
      <c r="AA552" s="46">
        <v>46023.0</v>
      </c>
      <c r="AB552" s="46">
        <v>46387.0</v>
      </c>
      <c r="AC552" s="35" t="s">
        <v>8627</v>
      </c>
      <c r="AD552" s="35" t="s">
        <v>79</v>
      </c>
      <c r="AE552" s="35"/>
      <c r="AF552" s="35"/>
      <c r="AG552" s="46"/>
    </row>
    <row r="553" ht="44.25" customHeight="1">
      <c r="A553" s="35">
        <v>552.0</v>
      </c>
      <c r="B553" s="35">
        <v>7512.0</v>
      </c>
      <c r="C553" s="35" t="s">
        <v>887</v>
      </c>
      <c r="D553" s="35" t="s">
        <v>2388</v>
      </c>
      <c r="E553" s="35" t="s">
        <v>2391</v>
      </c>
      <c r="F553" s="35" t="s">
        <v>8628</v>
      </c>
      <c r="G553" s="41" t="s">
        <v>8630</v>
      </c>
      <c r="H553" s="35" t="s">
        <v>59</v>
      </c>
      <c r="I553" s="35" t="s">
        <v>61</v>
      </c>
      <c r="J553" s="35" t="s">
        <v>62</v>
      </c>
      <c r="K553" s="35" t="s">
        <v>63</v>
      </c>
      <c r="L553" s="35">
        <v>75.0</v>
      </c>
      <c r="M553" s="35" t="s">
        <v>8631</v>
      </c>
      <c r="N553" s="35" t="s">
        <v>66</v>
      </c>
      <c r="O553" s="35" t="s">
        <v>67</v>
      </c>
      <c r="P553" s="35" t="s">
        <v>8632</v>
      </c>
      <c r="Q553" s="64"/>
      <c r="R553" s="167"/>
      <c r="S553" s="52"/>
      <c r="T553" s="64"/>
      <c r="U553" s="35">
        <v>2.0</v>
      </c>
      <c r="V553" s="35" t="s">
        <v>61</v>
      </c>
      <c r="W553" s="35" t="s">
        <v>93</v>
      </c>
      <c r="X553" s="35" t="s">
        <v>8635</v>
      </c>
      <c r="Y553" s="35">
        <v>9.175636445E9</v>
      </c>
      <c r="Z553" s="35" t="s">
        <v>8637</v>
      </c>
      <c r="AA553" s="46">
        <v>46023.0</v>
      </c>
      <c r="AB553" s="46">
        <v>46387.0</v>
      </c>
      <c r="AC553" s="35" t="s">
        <v>8638</v>
      </c>
      <c r="AD553" s="35" t="s">
        <v>79</v>
      </c>
      <c r="AE553" s="35"/>
      <c r="AF553" s="35"/>
      <c r="AG553" s="46"/>
    </row>
    <row r="554" ht="44.25" customHeight="1">
      <c r="A554" s="35">
        <v>553.0</v>
      </c>
      <c r="B554" s="35">
        <v>23764.0</v>
      </c>
      <c r="C554" s="35" t="s">
        <v>887</v>
      </c>
      <c r="D554" s="35" t="s">
        <v>2388</v>
      </c>
      <c r="E554" s="35" t="s">
        <v>2391</v>
      </c>
      <c r="F554" s="35" t="s">
        <v>8639</v>
      </c>
      <c r="G554" s="41" t="s">
        <v>8640</v>
      </c>
      <c r="H554" s="35" t="s">
        <v>59</v>
      </c>
      <c r="I554" s="35" t="s">
        <v>61</v>
      </c>
      <c r="J554" s="35" t="s">
        <v>62</v>
      </c>
      <c r="K554" s="35" t="s">
        <v>111</v>
      </c>
      <c r="L554" s="35">
        <v>200.0</v>
      </c>
      <c r="M554" s="35" t="s">
        <v>8642</v>
      </c>
      <c r="N554" s="35" t="s">
        <v>66</v>
      </c>
      <c r="O554" s="35" t="s">
        <v>67</v>
      </c>
      <c r="P554" s="35" t="s">
        <v>8643</v>
      </c>
      <c r="Q554" s="64"/>
      <c r="R554" s="167"/>
      <c r="S554" s="52"/>
      <c r="T554" s="64"/>
      <c r="U554" s="35">
        <v>33.0</v>
      </c>
      <c r="V554" s="35" t="s">
        <v>61</v>
      </c>
      <c r="W554" s="35" t="s">
        <v>93</v>
      </c>
      <c r="X554" s="35" t="s">
        <v>8645</v>
      </c>
      <c r="Y554" s="35">
        <v>9.756279035E9</v>
      </c>
      <c r="Z554" s="35" t="s">
        <v>8637</v>
      </c>
      <c r="AA554" s="46">
        <v>46023.0</v>
      </c>
      <c r="AB554" s="46">
        <v>46387.0</v>
      </c>
      <c r="AC554" s="35" t="s">
        <v>8648</v>
      </c>
      <c r="AD554" s="35" t="s">
        <v>79</v>
      </c>
      <c r="AE554" s="35"/>
      <c r="AF554" s="35"/>
      <c r="AG554" s="46"/>
    </row>
    <row r="555" ht="44.25" customHeight="1">
      <c r="A555" s="35">
        <v>554.0</v>
      </c>
      <c r="B555" s="35">
        <v>3161.0</v>
      </c>
      <c r="C555" s="35" t="s">
        <v>887</v>
      </c>
      <c r="D555" s="35" t="s">
        <v>2358</v>
      </c>
      <c r="E555" s="35" t="s">
        <v>8649</v>
      </c>
      <c r="F555" s="35" t="s">
        <v>8650</v>
      </c>
      <c r="G555" s="41" t="s">
        <v>8651</v>
      </c>
      <c r="H555" s="35" t="s">
        <v>59</v>
      </c>
      <c r="I555" s="35" t="s">
        <v>61</v>
      </c>
      <c r="J555" s="35" t="s">
        <v>62</v>
      </c>
      <c r="K555" s="35" t="s">
        <v>63</v>
      </c>
      <c r="L555" s="35">
        <v>18.0</v>
      </c>
      <c r="M555" s="35" t="s">
        <v>1752</v>
      </c>
      <c r="N555" s="35" t="s">
        <v>66</v>
      </c>
      <c r="O555" s="35" t="s">
        <v>67</v>
      </c>
      <c r="P555" s="35" t="s">
        <v>1752</v>
      </c>
      <c r="Q555" s="64"/>
      <c r="R555" s="167"/>
      <c r="S555" s="52"/>
      <c r="T555" s="64"/>
      <c r="U555" s="35" t="s">
        <v>1752</v>
      </c>
      <c r="V555" s="35" t="s">
        <v>61</v>
      </c>
      <c r="W555" s="35" t="s">
        <v>74</v>
      </c>
      <c r="X555" s="35" t="s">
        <v>8652</v>
      </c>
      <c r="Y555" s="35" t="s">
        <v>8653</v>
      </c>
      <c r="Z555" s="35" t="s">
        <v>8654</v>
      </c>
      <c r="AA555" s="46">
        <v>46038.0</v>
      </c>
      <c r="AB555" s="46">
        <v>46387.0</v>
      </c>
      <c r="AC555" s="35" t="s">
        <v>8655</v>
      </c>
      <c r="AD555" s="35" t="s">
        <v>79</v>
      </c>
      <c r="AE555" s="35"/>
      <c r="AF555" s="35"/>
      <c r="AG555" s="46"/>
    </row>
    <row r="556" ht="44.25" customHeight="1">
      <c r="A556" s="35">
        <v>555.0</v>
      </c>
      <c r="B556" s="35">
        <v>7505.0</v>
      </c>
      <c r="C556" s="35" t="s">
        <v>887</v>
      </c>
      <c r="D556" s="35" t="s">
        <v>2358</v>
      </c>
      <c r="E556" s="35" t="s">
        <v>8656</v>
      </c>
      <c r="F556" s="35" t="s">
        <v>8657</v>
      </c>
      <c r="G556" s="41" t="s">
        <v>8658</v>
      </c>
      <c r="H556" s="35" t="s">
        <v>59</v>
      </c>
      <c r="I556" s="35" t="s">
        <v>61</v>
      </c>
      <c r="J556" s="35" t="s">
        <v>62</v>
      </c>
      <c r="K556" s="35" t="s">
        <v>63</v>
      </c>
      <c r="L556" s="35">
        <v>24.0</v>
      </c>
      <c r="M556" s="35" t="s">
        <v>8659</v>
      </c>
      <c r="N556" s="35" t="s">
        <v>66</v>
      </c>
      <c r="O556" s="35" t="s">
        <v>67</v>
      </c>
      <c r="P556" s="35" t="s">
        <v>8660</v>
      </c>
      <c r="Q556" s="64"/>
      <c r="R556" s="167"/>
      <c r="S556" s="52"/>
      <c r="T556" s="64"/>
      <c r="U556" s="35" t="s">
        <v>1752</v>
      </c>
      <c r="V556" s="35" t="s">
        <v>61</v>
      </c>
      <c r="W556" s="35" t="s">
        <v>74</v>
      </c>
      <c r="X556" s="35" t="s">
        <v>8661</v>
      </c>
      <c r="Y556" s="35" t="s">
        <v>8662</v>
      </c>
      <c r="Z556" s="35" t="s">
        <v>8663</v>
      </c>
      <c r="AA556" s="46">
        <v>46154.0</v>
      </c>
      <c r="AB556" s="46">
        <v>46387.0</v>
      </c>
      <c r="AC556" s="35" t="s">
        <v>8664</v>
      </c>
      <c r="AD556" s="35" t="s">
        <v>164</v>
      </c>
      <c r="AE556" s="35" t="s">
        <v>1640</v>
      </c>
      <c r="AF556" s="35" t="s">
        <v>8667</v>
      </c>
      <c r="AG556" s="46"/>
    </row>
    <row r="557" ht="44.25" customHeight="1">
      <c r="A557" s="35">
        <v>556.0</v>
      </c>
      <c r="B557" s="52"/>
      <c r="C557" s="35" t="s">
        <v>887</v>
      </c>
      <c r="D557" s="35" t="s">
        <v>2358</v>
      </c>
      <c r="E557" s="35" t="s">
        <v>2928</v>
      </c>
      <c r="F557" s="35" t="s">
        <v>8669</v>
      </c>
      <c r="G557" s="41" t="s">
        <v>8672</v>
      </c>
      <c r="H557" s="35" t="s">
        <v>59</v>
      </c>
      <c r="I557" s="35" t="s">
        <v>61</v>
      </c>
      <c r="J557" s="35" t="s">
        <v>62</v>
      </c>
      <c r="K557" s="35" t="s">
        <v>63</v>
      </c>
      <c r="L557" s="35">
        <v>20.0</v>
      </c>
      <c r="M557" s="35" t="s">
        <v>8675</v>
      </c>
      <c r="N557" s="35" t="s">
        <v>66</v>
      </c>
      <c r="O557" s="35" t="s">
        <v>67</v>
      </c>
      <c r="P557" s="35" t="s">
        <v>1752</v>
      </c>
      <c r="Q557" s="64"/>
      <c r="R557" s="167"/>
      <c r="S557" s="52"/>
      <c r="T557" s="64"/>
      <c r="U557" s="35" t="s">
        <v>1752</v>
      </c>
      <c r="V557" s="35" t="s">
        <v>61</v>
      </c>
      <c r="W557" s="35" t="s">
        <v>74</v>
      </c>
      <c r="X557" s="35" t="s">
        <v>8678</v>
      </c>
      <c r="Y557" s="35" t="s">
        <v>8679</v>
      </c>
      <c r="Z557" s="35" t="s">
        <v>8680</v>
      </c>
      <c r="AA557" s="46">
        <v>46023.0</v>
      </c>
      <c r="AB557" s="46">
        <v>46387.0</v>
      </c>
      <c r="AC557" s="35" t="s">
        <v>8683</v>
      </c>
      <c r="AD557" s="35" t="s">
        <v>164</v>
      </c>
      <c r="AE557" s="35" t="s">
        <v>165</v>
      </c>
      <c r="AF557" s="35" t="s">
        <v>8685</v>
      </c>
      <c r="AG557" s="46"/>
    </row>
    <row r="558" ht="44.25" customHeight="1">
      <c r="A558" s="35">
        <v>557.0</v>
      </c>
      <c r="B558" s="35">
        <v>4797.0</v>
      </c>
      <c r="C558" s="35" t="s">
        <v>887</v>
      </c>
      <c r="D558" s="35" t="s">
        <v>2358</v>
      </c>
      <c r="E558" s="35" t="s">
        <v>2359</v>
      </c>
      <c r="F558" s="35" t="s">
        <v>8686</v>
      </c>
      <c r="G558" s="41" t="s">
        <v>8687</v>
      </c>
      <c r="H558" s="35" t="s">
        <v>59</v>
      </c>
      <c r="I558" s="35" t="s">
        <v>61</v>
      </c>
      <c r="J558" s="35" t="s">
        <v>62</v>
      </c>
      <c r="K558" s="35" t="s">
        <v>63</v>
      </c>
      <c r="L558" s="35">
        <v>20.0</v>
      </c>
      <c r="M558" s="35" t="s">
        <v>8689</v>
      </c>
      <c r="N558" s="35" t="s">
        <v>66</v>
      </c>
      <c r="O558" s="35" t="s">
        <v>67</v>
      </c>
      <c r="P558" s="35" t="s">
        <v>8690</v>
      </c>
      <c r="Q558" s="64"/>
      <c r="R558" s="167"/>
      <c r="S558" s="52"/>
      <c r="T558" s="64"/>
      <c r="U558" s="35" t="s">
        <v>1752</v>
      </c>
      <c r="V558" s="35" t="s">
        <v>61</v>
      </c>
      <c r="W558" s="35" t="s">
        <v>74</v>
      </c>
      <c r="X558" s="35" t="s">
        <v>8694</v>
      </c>
      <c r="Y558" s="35" t="s">
        <v>8695</v>
      </c>
      <c r="Z558" s="35" t="s">
        <v>8696</v>
      </c>
      <c r="AA558" s="46">
        <v>46023.0</v>
      </c>
      <c r="AB558" s="46">
        <v>46387.0</v>
      </c>
      <c r="AC558" s="35" t="s">
        <v>8697</v>
      </c>
      <c r="AD558" s="35" t="s">
        <v>79</v>
      </c>
      <c r="AE558" s="35"/>
      <c r="AF558" s="35"/>
      <c r="AG558" s="46"/>
    </row>
    <row r="559" ht="44.25" customHeight="1">
      <c r="A559" s="35">
        <v>558.0</v>
      </c>
      <c r="B559" s="35">
        <v>397.0</v>
      </c>
      <c r="C559" s="35" t="s">
        <v>887</v>
      </c>
      <c r="D559" s="35" t="s">
        <v>2358</v>
      </c>
      <c r="E559" s="35" t="s">
        <v>2359</v>
      </c>
      <c r="F559" s="35" t="s">
        <v>8706</v>
      </c>
      <c r="G559" s="41" t="s">
        <v>8708</v>
      </c>
      <c r="H559" s="35" t="s">
        <v>59</v>
      </c>
      <c r="I559" s="35" t="s">
        <v>61</v>
      </c>
      <c r="J559" s="35" t="s">
        <v>62</v>
      </c>
      <c r="K559" s="35" t="s">
        <v>63</v>
      </c>
      <c r="L559" s="35">
        <v>99.0</v>
      </c>
      <c r="M559" s="35" t="s">
        <v>8711</v>
      </c>
      <c r="N559" s="35" t="s">
        <v>66</v>
      </c>
      <c r="O559" s="35" t="s">
        <v>67</v>
      </c>
      <c r="P559" s="35" t="s">
        <v>1752</v>
      </c>
      <c r="Q559" s="64"/>
      <c r="R559" s="167"/>
      <c r="S559" s="52"/>
      <c r="T559" s="64"/>
      <c r="U559" s="35">
        <v>12.0</v>
      </c>
      <c r="V559" s="35" t="s">
        <v>61</v>
      </c>
      <c r="W559" s="35" t="s">
        <v>93</v>
      </c>
      <c r="X559" s="35" t="s">
        <v>8714</v>
      </c>
      <c r="Y559" s="35" t="s">
        <v>8715</v>
      </c>
      <c r="Z559" s="35" t="s">
        <v>8716</v>
      </c>
      <c r="AA559" s="46">
        <v>46023.0</v>
      </c>
      <c r="AB559" s="46">
        <v>46387.0</v>
      </c>
      <c r="AC559" s="35" t="s">
        <v>8717</v>
      </c>
      <c r="AD559" s="35" t="s">
        <v>79</v>
      </c>
      <c r="AE559" s="35"/>
      <c r="AF559" s="35"/>
      <c r="AG559" s="46"/>
    </row>
    <row r="560" ht="44.25" customHeight="1">
      <c r="A560" s="35">
        <v>559.0</v>
      </c>
      <c r="B560" s="35">
        <v>3625.0</v>
      </c>
      <c r="C560" s="35" t="s">
        <v>887</v>
      </c>
      <c r="D560" s="35" t="s">
        <v>2358</v>
      </c>
      <c r="E560" s="35" t="s">
        <v>2359</v>
      </c>
      <c r="F560" s="35" t="s">
        <v>8721</v>
      </c>
      <c r="G560" s="41" t="s">
        <v>8722</v>
      </c>
      <c r="H560" s="35" t="s">
        <v>59</v>
      </c>
      <c r="I560" s="35" t="s">
        <v>61</v>
      </c>
      <c r="J560" s="35" t="s">
        <v>62</v>
      </c>
      <c r="K560" s="35" t="s">
        <v>111</v>
      </c>
      <c r="L560" s="35">
        <v>100.0</v>
      </c>
      <c r="M560" s="35" t="s">
        <v>8723</v>
      </c>
      <c r="N560" s="35" t="s">
        <v>66</v>
      </c>
      <c r="O560" s="35" t="s">
        <v>67</v>
      </c>
      <c r="P560" s="35" t="s">
        <v>8727</v>
      </c>
      <c r="Q560" s="64"/>
      <c r="R560" s="167"/>
      <c r="S560" s="52"/>
      <c r="T560" s="64"/>
      <c r="U560" s="35">
        <v>6.0</v>
      </c>
      <c r="V560" s="35" t="s">
        <v>61</v>
      </c>
      <c r="W560" s="35" t="s">
        <v>93</v>
      </c>
      <c r="X560" s="35" t="s">
        <v>8728</v>
      </c>
      <c r="Y560" s="35" t="s">
        <v>8729</v>
      </c>
      <c r="Z560" s="35" t="s">
        <v>8731</v>
      </c>
      <c r="AA560" s="46">
        <v>46023.0</v>
      </c>
      <c r="AB560" s="46">
        <v>46387.0</v>
      </c>
      <c r="AC560" s="35" t="s">
        <v>8732</v>
      </c>
      <c r="AD560" s="35" t="s">
        <v>79</v>
      </c>
      <c r="AE560" s="35"/>
      <c r="AF560" s="35"/>
      <c r="AG560" s="46"/>
    </row>
    <row r="561" ht="44.25" customHeight="1">
      <c r="A561" s="35">
        <v>560.0</v>
      </c>
      <c r="B561" s="35">
        <v>5019.0</v>
      </c>
      <c r="C561" s="35" t="s">
        <v>887</v>
      </c>
      <c r="D561" s="35" t="s">
        <v>2358</v>
      </c>
      <c r="E561" s="35" t="s">
        <v>6296</v>
      </c>
      <c r="F561" s="35" t="s">
        <v>8734</v>
      </c>
      <c r="G561" s="41" t="s">
        <v>8735</v>
      </c>
      <c r="H561" s="35" t="s">
        <v>59</v>
      </c>
      <c r="I561" s="35" t="s">
        <v>61</v>
      </c>
      <c r="J561" s="35" t="s">
        <v>62</v>
      </c>
      <c r="K561" s="35" t="s">
        <v>63</v>
      </c>
      <c r="L561" s="35">
        <v>20.0</v>
      </c>
      <c r="M561" s="35" t="s">
        <v>8738</v>
      </c>
      <c r="N561" s="35" t="s">
        <v>66</v>
      </c>
      <c r="O561" s="35" t="s">
        <v>67</v>
      </c>
      <c r="P561" s="35" t="s">
        <v>8740</v>
      </c>
      <c r="Q561" s="64"/>
      <c r="R561" s="167"/>
      <c r="S561" s="52"/>
      <c r="T561" s="64"/>
      <c r="U561" s="35" t="s">
        <v>1752</v>
      </c>
      <c r="V561" s="35" t="s">
        <v>61</v>
      </c>
      <c r="W561" s="35" t="s">
        <v>74</v>
      </c>
      <c r="X561" s="35" t="s">
        <v>8741</v>
      </c>
      <c r="Y561" s="35" t="s">
        <v>8743</v>
      </c>
      <c r="Z561" s="35" t="s">
        <v>8745</v>
      </c>
      <c r="AA561" s="46">
        <v>46023.0</v>
      </c>
      <c r="AB561" s="46">
        <v>46387.0</v>
      </c>
      <c r="AC561" s="35" t="s">
        <v>8747</v>
      </c>
      <c r="AD561" s="35" t="s">
        <v>79</v>
      </c>
      <c r="AE561" s="35"/>
      <c r="AF561" s="35"/>
      <c r="AG561" s="46"/>
    </row>
    <row r="562" ht="44.25" customHeight="1">
      <c r="A562" s="35">
        <v>561.0</v>
      </c>
      <c r="B562" s="35">
        <v>37937.0</v>
      </c>
      <c r="C562" s="35" t="s">
        <v>887</v>
      </c>
      <c r="D562" s="35" t="s">
        <v>6115</v>
      </c>
      <c r="E562" s="35" t="s">
        <v>8749</v>
      </c>
      <c r="F562" s="35" t="s">
        <v>8750</v>
      </c>
      <c r="G562" s="41" t="s">
        <v>8751</v>
      </c>
      <c r="H562" s="35" t="s">
        <v>59</v>
      </c>
      <c r="I562" s="35" t="s">
        <v>61</v>
      </c>
      <c r="J562" s="35" t="s">
        <v>62</v>
      </c>
      <c r="K562" s="35" t="s">
        <v>63</v>
      </c>
      <c r="L562" s="35">
        <v>16.0</v>
      </c>
      <c r="M562" s="35" t="s">
        <v>1752</v>
      </c>
      <c r="N562" s="35" t="s">
        <v>66</v>
      </c>
      <c r="O562" s="35" t="s">
        <v>67</v>
      </c>
      <c r="P562" s="35" t="s">
        <v>1752</v>
      </c>
      <c r="Q562" s="64"/>
      <c r="R562" s="167"/>
      <c r="S562" s="52"/>
      <c r="T562" s="64"/>
      <c r="U562" s="35" t="s">
        <v>1752</v>
      </c>
      <c r="V562" s="35" t="s">
        <v>61</v>
      </c>
      <c r="W562" s="35" t="s">
        <v>74</v>
      </c>
      <c r="X562" s="35" t="s">
        <v>8753</v>
      </c>
      <c r="Y562" s="35" t="s">
        <v>8754</v>
      </c>
      <c r="Z562" s="35" t="s">
        <v>8756</v>
      </c>
      <c r="AA562" s="46">
        <v>46023.0</v>
      </c>
      <c r="AB562" s="46">
        <v>46387.0</v>
      </c>
      <c r="AC562" s="35" t="s">
        <v>8758</v>
      </c>
      <c r="AD562" s="35" t="s">
        <v>79</v>
      </c>
      <c r="AE562" s="35"/>
      <c r="AF562" s="35"/>
      <c r="AG562" s="46"/>
    </row>
    <row r="563" ht="44.25" customHeight="1">
      <c r="A563" s="35">
        <v>562.0</v>
      </c>
      <c r="B563" s="35">
        <v>4340.0</v>
      </c>
      <c r="C563" s="35" t="s">
        <v>887</v>
      </c>
      <c r="D563" s="35" t="s">
        <v>6115</v>
      </c>
      <c r="E563" s="35" t="s">
        <v>8763</v>
      </c>
      <c r="F563" s="35" t="s">
        <v>8765</v>
      </c>
      <c r="G563" s="41" t="s">
        <v>8766</v>
      </c>
      <c r="H563" s="35" t="s">
        <v>59</v>
      </c>
      <c r="I563" s="35" t="s">
        <v>61</v>
      </c>
      <c r="J563" s="35" t="s">
        <v>62</v>
      </c>
      <c r="K563" s="35" t="s">
        <v>111</v>
      </c>
      <c r="L563" s="35">
        <v>100.0</v>
      </c>
      <c r="M563" s="35" t="s">
        <v>8767</v>
      </c>
      <c r="N563" s="35" t="s">
        <v>66</v>
      </c>
      <c r="O563" s="35" t="s">
        <v>67</v>
      </c>
      <c r="P563" s="35" t="s">
        <v>8768</v>
      </c>
      <c r="Q563" s="64"/>
      <c r="R563" s="167"/>
      <c r="S563" s="52"/>
      <c r="T563" s="64"/>
      <c r="U563" s="35">
        <v>17.0</v>
      </c>
      <c r="V563" s="35" t="s">
        <v>61</v>
      </c>
      <c r="W563" s="35" t="s">
        <v>93</v>
      </c>
      <c r="X563" s="35" t="s">
        <v>8770</v>
      </c>
      <c r="Y563" s="35">
        <v>9.178595314E9</v>
      </c>
      <c r="Z563" s="35" t="s">
        <v>8772</v>
      </c>
      <c r="AA563" s="46">
        <v>46023.0</v>
      </c>
      <c r="AB563" s="46">
        <v>46387.0</v>
      </c>
      <c r="AC563" s="35" t="s">
        <v>8774</v>
      </c>
      <c r="AD563" s="35" t="s">
        <v>79</v>
      </c>
      <c r="AE563" s="35"/>
      <c r="AF563" s="35"/>
      <c r="AG563" s="46"/>
    </row>
    <row r="564" ht="44.25" customHeight="1">
      <c r="A564" s="35">
        <v>563.0</v>
      </c>
      <c r="B564" s="35">
        <v>4426.0</v>
      </c>
      <c r="C564" s="35" t="s">
        <v>887</v>
      </c>
      <c r="D564" s="35" t="s">
        <v>6115</v>
      </c>
      <c r="E564" s="35" t="s">
        <v>8763</v>
      </c>
      <c r="F564" s="35" t="s">
        <v>8777</v>
      </c>
      <c r="G564" s="41" t="s">
        <v>8778</v>
      </c>
      <c r="H564" s="35" t="s">
        <v>59</v>
      </c>
      <c r="I564" s="35" t="s">
        <v>61</v>
      </c>
      <c r="J564" s="35" t="s">
        <v>62</v>
      </c>
      <c r="K564" s="35" t="s">
        <v>63</v>
      </c>
      <c r="L564" s="35">
        <v>48.0</v>
      </c>
      <c r="M564" s="35" t="s">
        <v>8711</v>
      </c>
      <c r="N564" s="35" t="s">
        <v>66</v>
      </c>
      <c r="O564" s="35" t="s">
        <v>67</v>
      </c>
      <c r="P564" s="35" t="s">
        <v>8779</v>
      </c>
      <c r="Q564" s="64"/>
      <c r="R564" s="167"/>
      <c r="S564" s="52"/>
      <c r="T564" s="64"/>
      <c r="U564" s="35">
        <v>10.0</v>
      </c>
      <c r="V564" s="35" t="s">
        <v>61</v>
      </c>
      <c r="W564" s="35" t="s">
        <v>93</v>
      </c>
      <c r="X564" s="35" t="s">
        <v>8780</v>
      </c>
      <c r="Y564" s="35" t="s">
        <v>8781</v>
      </c>
      <c r="Z564" s="35" t="s">
        <v>8782</v>
      </c>
      <c r="AA564" s="46">
        <v>46023.0</v>
      </c>
      <c r="AB564" s="46">
        <v>46387.0</v>
      </c>
      <c r="AC564" s="35" t="s">
        <v>8783</v>
      </c>
      <c r="AD564" s="35" t="s">
        <v>79</v>
      </c>
      <c r="AE564" s="35"/>
      <c r="AF564" s="35"/>
      <c r="AG564" s="46"/>
    </row>
    <row r="565" ht="44.25" customHeight="1">
      <c r="A565" s="35">
        <v>564.0</v>
      </c>
      <c r="B565" s="35">
        <v>659.0</v>
      </c>
      <c r="C565" s="35" t="s">
        <v>887</v>
      </c>
      <c r="D565" s="35" t="s">
        <v>6115</v>
      </c>
      <c r="E565" s="35" t="s">
        <v>8784</v>
      </c>
      <c r="F565" s="35" t="s">
        <v>8785</v>
      </c>
      <c r="G565" s="41" t="s">
        <v>8787</v>
      </c>
      <c r="H565" s="35" t="s">
        <v>59</v>
      </c>
      <c r="I565" s="35" t="s">
        <v>61</v>
      </c>
      <c r="J565" s="35" t="s">
        <v>62</v>
      </c>
      <c r="K565" s="35" t="s">
        <v>63</v>
      </c>
      <c r="L565" s="35">
        <v>25.0</v>
      </c>
      <c r="M565" s="35" t="s">
        <v>8788</v>
      </c>
      <c r="N565" s="35" t="s">
        <v>66</v>
      </c>
      <c r="O565" s="35" t="s">
        <v>67</v>
      </c>
      <c r="P565" s="35" t="s">
        <v>1752</v>
      </c>
      <c r="Q565" s="64"/>
      <c r="R565" s="167"/>
      <c r="S565" s="52"/>
      <c r="T565" s="64"/>
      <c r="U565" s="35" t="s">
        <v>1752</v>
      </c>
      <c r="V565" s="35" t="s">
        <v>61</v>
      </c>
      <c r="W565" s="35" t="s">
        <v>74</v>
      </c>
      <c r="X565" s="35" t="s">
        <v>8792</v>
      </c>
      <c r="Y565" s="35" t="s">
        <v>8793</v>
      </c>
      <c r="Z565" s="35" t="s">
        <v>8794</v>
      </c>
      <c r="AA565" s="46">
        <v>46023.0</v>
      </c>
      <c r="AB565" s="46">
        <v>46387.0</v>
      </c>
      <c r="AC565" s="35" t="s">
        <v>8796</v>
      </c>
      <c r="AD565" s="35" t="s">
        <v>79</v>
      </c>
      <c r="AE565" s="35"/>
      <c r="AF565" s="35"/>
      <c r="AG565" s="46"/>
    </row>
    <row r="566" ht="44.25" customHeight="1">
      <c r="A566" s="35">
        <v>565.0</v>
      </c>
      <c r="B566" s="35">
        <v>4818.0</v>
      </c>
      <c r="C566" s="35" t="s">
        <v>887</v>
      </c>
      <c r="D566" s="35" t="s">
        <v>6115</v>
      </c>
      <c r="E566" s="35" t="s">
        <v>8784</v>
      </c>
      <c r="F566" s="35" t="s">
        <v>8777</v>
      </c>
      <c r="G566" s="41" t="s">
        <v>8798</v>
      </c>
      <c r="H566" s="35" t="s">
        <v>59</v>
      </c>
      <c r="I566" s="35" t="s">
        <v>61</v>
      </c>
      <c r="J566" s="35" t="s">
        <v>62</v>
      </c>
      <c r="K566" s="35" t="s">
        <v>63</v>
      </c>
      <c r="L566" s="35">
        <v>20.0</v>
      </c>
      <c r="M566" s="35" t="s">
        <v>956</v>
      </c>
      <c r="N566" s="35" t="s">
        <v>66</v>
      </c>
      <c r="O566" s="35" t="s">
        <v>67</v>
      </c>
      <c r="P566" s="35" t="s">
        <v>8802</v>
      </c>
      <c r="Q566" s="64"/>
      <c r="R566" s="167"/>
      <c r="S566" s="52"/>
      <c r="T566" s="64"/>
      <c r="U566" s="35" t="s">
        <v>1752</v>
      </c>
      <c r="V566" s="35" t="s">
        <v>61</v>
      </c>
      <c r="W566" s="35" t="s">
        <v>74</v>
      </c>
      <c r="X566" s="35" t="s">
        <v>8803</v>
      </c>
      <c r="Y566" s="35" t="s">
        <v>8804</v>
      </c>
      <c r="Z566" s="35" t="s">
        <v>8805</v>
      </c>
      <c r="AA566" s="46">
        <v>46023.0</v>
      </c>
      <c r="AB566" s="46">
        <v>46387.0</v>
      </c>
      <c r="AC566" s="35" t="s">
        <v>8807</v>
      </c>
      <c r="AD566" s="35" t="s">
        <v>79</v>
      </c>
      <c r="AE566" s="35"/>
      <c r="AF566" s="35"/>
      <c r="AG566" s="46"/>
    </row>
    <row r="567" ht="44.25" customHeight="1">
      <c r="A567" s="35">
        <v>566.0</v>
      </c>
      <c r="B567" s="35">
        <v>3076.0</v>
      </c>
      <c r="C567" s="35" t="s">
        <v>887</v>
      </c>
      <c r="D567" s="35" t="s">
        <v>6115</v>
      </c>
      <c r="E567" s="35" t="s">
        <v>8784</v>
      </c>
      <c r="F567" s="35" t="s">
        <v>8810</v>
      </c>
      <c r="G567" s="41" t="s">
        <v>8811</v>
      </c>
      <c r="H567" s="35" t="s">
        <v>59</v>
      </c>
      <c r="I567" s="35" t="s">
        <v>61</v>
      </c>
      <c r="J567" s="35" t="s">
        <v>62</v>
      </c>
      <c r="K567" s="35" t="s">
        <v>63</v>
      </c>
      <c r="L567" s="35">
        <v>20.0</v>
      </c>
      <c r="M567" s="35" t="s">
        <v>8812</v>
      </c>
      <c r="N567" s="35" t="s">
        <v>66</v>
      </c>
      <c r="O567" s="35" t="s">
        <v>67</v>
      </c>
      <c r="P567" s="35" t="s">
        <v>8814</v>
      </c>
      <c r="Q567" s="64"/>
      <c r="R567" s="167"/>
      <c r="S567" s="52"/>
      <c r="T567" s="64"/>
      <c r="U567" s="35" t="s">
        <v>1752</v>
      </c>
      <c r="V567" s="35" t="s">
        <v>61</v>
      </c>
      <c r="W567" s="35" t="s">
        <v>74</v>
      </c>
      <c r="X567" s="35" t="s">
        <v>8816</v>
      </c>
      <c r="Y567" s="35" t="s">
        <v>8817</v>
      </c>
      <c r="Z567" s="35" t="s">
        <v>8756</v>
      </c>
      <c r="AA567" s="46">
        <v>46023.0</v>
      </c>
      <c r="AB567" s="46">
        <v>46387.0</v>
      </c>
      <c r="AC567" s="35" t="s">
        <v>8818</v>
      </c>
      <c r="AD567" s="35" t="s">
        <v>79</v>
      </c>
      <c r="AE567" s="35"/>
      <c r="AF567" s="35"/>
      <c r="AG567" s="46"/>
    </row>
    <row r="568" ht="44.25" customHeight="1">
      <c r="A568" s="35">
        <v>567.0</v>
      </c>
      <c r="B568" s="35">
        <v>32016.0</v>
      </c>
      <c r="C568" s="35" t="s">
        <v>887</v>
      </c>
      <c r="D568" s="35" t="s">
        <v>6115</v>
      </c>
      <c r="E568" s="35" t="s">
        <v>8784</v>
      </c>
      <c r="F568" s="35" t="s">
        <v>8777</v>
      </c>
      <c r="G568" s="41" t="s">
        <v>8822</v>
      </c>
      <c r="H568" s="35" t="s">
        <v>59</v>
      </c>
      <c r="I568" s="35" t="s">
        <v>61</v>
      </c>
      <c r="J568" s="35" t="s">
        <v>62</v>
      </c>
      <c r="K568" s="35" t="s">
        <v>111</v>
      </c>
      <c r="L568" s="35">
        <v>90.0</v>
      </c>
      <c r="M568" s="35" t="s">
        <v>2234</v>
      </c>
      <c r="N568" s="35" t="s">
        <v>66</v>
      </c>
      <c r="O568" s="35" t="s">
        <v>67</v>
      </c>
      <c r="P568" s="35" t="s">
        <v>8823</v>
      </c>
      <c r="Q568" s="64"/>
      <c r="R568" s="167"/>
      <c r="S568" s="52"/>
      <c r="T568" s="64"/>
      <c r="U568" s="35">
        <v>8.0</v>
      </c>
      <c r="V568" s="35" t="s">
        <v>61</v>
      </c>
      <c r="W568" s="35" t="s">
        <v>93</v>
      </c>
      <c r="X568" s="35" t="s">
        <v>8826</v>
      </c>
      <c r="Y568" s="35" t="s">
        <v>8827</v>
      </c>
      <c r="Z568" s="35" t="s">
        <v>8828</v>
      </c>
      <c r="AA568" s="46">
        <v>46023.0</v>
      </c>
      <c r="AB568" s="46">
        <v>46387.0</v>
      </c>
      <c r="AC568" s="35" t="s">
        <v>8829</v>
      </c>
      <c r="AD568" s="35" t="s">
        <v>79</v>
      </c>
      <c r="AE568" s="35"/>
      <c r="AF568" s="35"/>
      <c r="AG568" s="46"/>
    </row>
    <row r="569" ht="44.25" customHeight="1">
      <c r="A569" s="35">
        <v>568.0</v>
      </c>
      <c r="B569" s="35">
        <v>2151.0</v>
      </c>
      <c r="C569" s="35" t="s">
        <v>887</v>
      </c>
      <c r="D569" s="35" t="s">
        <v>6115</v>
      </c>
      <c r="E569" s="35" t="s">
        <v>6136</v>
      </c>
      <c r="F569" s="35" t="s">
        <v>8831</v>
      </c>
      <c r="G569" s="41" t="s">
        <v>8833</v>
      </c>
      <c r="H569" s="35" t="s">
        <v>59</v>
      </c>
      <c r="I569" s="35" t="s">
        <v>61</v>
      </c>
      <c r="J569" s="35" t="s">
        <v>62</v>
      </c>
      <c r="K569" s="35" t="s">
        <v>63</v>
      </c>
      <c r="L569" s="35">
        <v>75.0</v>
      </c>
      <c r="M569" s="35" t="s">
        <v>8834</v>
      </c>
      <c r="N569" s="35" t="s">
        <v>66</v>
      </c>
      <c r="O569" s="35" t="s">
        <v>67</v>
      </c>
      <c r="P569" s="35" t="s">
        <v>8838</v>
      </c>
      <c r="Q569" s="64"/>
      <c r="R569" s="167"/>
      <c r="S569" s="52"/>
      <c r="T569" s="64"/>
      <c r="U569" s="35" t="s">
        <v>1752</v>
      </c>
      <c r="V569" s="35" t="s">
        <v>61</v>
      </c>
      <c r="W569" s="35" t="s">
        <v>93</v>
      </c>
      <c r="X569" s="35" t="s">
        <v>8839</v>
      </c>
      <c r="Y569" s="35" t="s">
        <v>8840</v>
      </c>
      <c r="Z569" s="35" t="s">
        <v>8841</v>
      </c>
      <c r="AA569" s="46">
        <v>46023.0</v>
      </c>
      <c r="AB569" s="46">
        <v>46387.0</v>
      </c>
      <c r="AC569" s="35" t="s">
        <v>8844</v>
      </c>
      <c r="AD569" s="35" t="s">
        <v>79</v>
      </c>
      <c r="AE569" s="35"/>
      <c r="AF569" s="35"/>
      <c r="AG569" s="46"/>
    </row>
    <row r="570" ht="44.25" customHeight="1">
      <c r="A570" s="35">
        <v>569.0</v>
      </c>
      <c r="B570" s="35">
        <v>642.0</v>
      </c>
      <c r="C570" s="35" t="s">
        <v>887</v>
      </c>
      <c r="D570" s="35" t="s">
        <v>6115</v>
      </c>
      <c r="E570" s="35" t="s">
        <v>6136</v>
      </c>
      <c r="F570" s="35" t="s">
        <v>8845</v>
      </c>
      <c r="G570" s="41" t="s">
        <v>8846</v>
      </c>
      <c r="H570" s="35" t="s">
        <v>59</v>
      </c>
      <c r="I570" s="35" t="s">
        <v>61</v>
      </c>
      <c r="J570" s="35" t="s">
        <v>62</v>
      </c>
      <c r="K570" s="35" t="s">
        <v>111</v>
      </c>
      <c r="L570" s="35">
        <v>150.0</v>
      </c>
      <c r="M570" s="35" t="s">
        <v>2234</v>
      </c>
      <c r="N570" s="35" t="s">
        <v>66</v>
      </c>
      <c r="O570" s="35" t="s">
        <v>67</v>
      </c>
      <c r="P570" s="35" t="s">
        <v>8848</v>
      </c>
      <c r="Q570" s="64"/>
      <c r="R570" s="167"/>
      <c r="S570" s="52"/>
      <c r="T570" s="64"/>
      <c r="U570" s="35">
        <v>10.0</v>
      </c>
      <c r="V570" s="35" t="s">
        <v>61</v>
      </c>
      <c r="W570" s="35" t="s">
        <v>93</v>
      </c>
      <c r="X570" s="35" t="s">
        <v>8850</v>
      </c>
      <c r="Y570" s="35" t="s">
        <v>8851</v>
      </c>
      <c r="Z570" s="35" t="s">
        <v>8852</v>
      </c>
      <c r="AA570" s="46">
        <v>46023.0</v>
      </c>
      <c r="AB570" s="46">
        <v>46387.0</v>
      </c>
      <c r="AC570" s="35" t="s">
        <v>8853</v>
      </c>
      <c r="AD570" s="35" t="s">
        <v>79</v>
      </c>
      <c r="AE570" s="35"/>
      <c r="AF570" s="35"/>
      <c r="AG570" s="46"/>
    </row>
    <row r="571" ht="44.25" customHeight="1">
      <c r="A571" s="35">
        <v>570.0</v>
      </c>
      <c r="B571" s="35">
        <v>23761.0</v>
      </c>
      <c r="C571" s="35" t="s">
        <v>887</v>
      </c>
      <c r="D571" s="35" t="s">
        <v>6115</v>
      </c>
      <c r="E571" s="35" t="s">
        <v>6136</v>
      </c>
      <c r="F571" s="35" t="s">
        <v>8854</v>
      </c>
      <c r="G571" s="41" t="s">
        <v>8855</v>
      </c>
      <c r="H571" s="35" t="s">
        <v>59</v>
      </c>
      <c r="I571" s="35" t="s">
        <v>61</v>
      </c>
      <c r="J571" s="35" t="s">
        <v>62</v>
      </c>
      <c r="K571" s="35" t="s">
        <v>63</v>
      </c>
      <c r="L571" s="35">
        <v>50.0</v>
      </c>
      <c r="M571" s="35" t="s">
        <v>8856</v>
      </c>
      <c r="N571" s="35" t="s">
        <v>66</v>
      </c>
      <c r="O571" s="35" t="s">
        <v>67</v>
      </c>
      <c r="P571" s="35" t="s">
        <v>8857</v>
      </c>
      <c r="Q571" s="64"/>
      <c r="R571" s="167"/>
      <c r="S571" s="52"/>
      <c r="T571" s="64"/>
      <c r="U571" s="35">
        <v>21.0</v>
      </c>
      <c r="V571" s="35" t="s">
        <v>61</v>
      </c>
      <c r="W571" s="35" t="s">
        <v>74</v>
      </c>
      <c r="X571" s="35" t="s">
        <v>8858</v>
      </c>
      <c r="Y571" s="35" t="s">
        <v>8859</v>
      </c>
      <c r="Z571" s="35" t="s">
        <v>8860</v>
      </c>
      <c r="AA571" s="46">
        <v>46023.0</v>
      </c>
      <c r="AB571" s="46">
        <v>46387.0</v>
      </c>
      <c r="AC571" s="35" t="s">
        <v>8861</v>
      </c>
      <c r="AD571" s="35" t="s">
        <v>79</v>
      </c>
      <c r="AE571" s="35"/>
      <c r="AF571" s="35"/>
      <c r="AG571" s="46"/>
    </row>
    <row r="572" ht="44.25" customHeight="1">
      <c r="A572" s="35">
        <v>571.0</v>
      </c>
      <c r="B572" s="35">
        <v>23762.0</v>
      </c>
      <c r="C572" s="35" t="s">
        <v>887</v>
      </c>
      <c r="D572" s="35" t="s">
        <v>6201</v>
      </c>
      <c r="E572" s="35" t="s">
        <v>8863</v>
      </c>
      <c r="F572" s="35" t="s">
        <v>8864</v>
      </c>
      <c r="G572" s="41" t="s">
        <v>8865</v>
      </c>
      <c r="H572" s="35" t="s">
        <v>59</v>
      </c>
      <c r="I572" s="35" t="s">
        <v>61</v>
      </c>
      <c r="J572" s="35" t="s">
        <v>62</v>
      </c>
      <c r="K572" s="35" t="s">
        <v>63</v>
      </c>
      <c r="L572" s="35">
        <v>17.0</v>
      </c>
      <c r="M572" s="35" t="s">
        <v>1752</v>
      </c>
      <c r="N572" s="35" t="s">
        <v>66</v>
      </c>
      <c r="O572" s="35" t="s">
        <v>67</v>
      </c>
      <c r="P572" s="35" t="s">
        <v>1752</v>
      </c>
      <c r="Q572" s="64"/>
      <c r="R572" s="167"/>
      <c r="S572" s="52"/>
      <c r="T572" s="64"/>
      <c r="U572" s="35" t="s">
        <v>1752</v>
      </c>
      <c r="V572" s="35" t="s">
        <v>61</v>
      </c>
      <c r="W572" s="35" t="s">
        <v>74</v>
      </c>
      <c r="X572" s="35" t="s">
        <v>8870</v>
      </c>
      <c r="Y572" s="35">
        <v>9.088961568E9</v>
      </c>
      <c r="Z572" s="35" t="s">
        <v>8871</v>
      </c>
      <c r="AA572" s="46">
        <v>46023.0</v>
      </c>
      <c r="AB572" s="46">
        <v>46387.0</v>
      </c>
      <c r="AC572" s="35" t="s">
        <v>8872</v>
      </c>
      <c r="AD572" s="35" t="s">
        <v>79</v>
      </c>
      <c r="AE572" s="35"/>
      <c r="AF572" s="35"/>
      <c r="AG572" s="46"/>
    </row>
    <row r="573" ht="44.25" customHeight="1">
      <c r="A573" s="35">
        <v>572.0</v>
      </c>
      <c r="B573" s="35">
        <v>3714.0</v>
      </c>
      <c r="C573" s="35" t="s">
        <v>887</v>
      </c>
      <c r="D573" s="35" t="s">
        <v>6201</v>
      </c>
      <c r="E573" s="35" t="s">
        <v>8863</v>
      </c>
      <c r="F573" s="35" t="s">
        <v>8874</v>
      </c>
      <c r="G573" s="41" t="s">
        <v>8875</v>
      </c>
      <c r="H573" s="35" t="s">
        <v>59</v>
      </c>
      <c r="I573" s="35" t="s">
        <v>61</v>
      </c>
      <c r="J573" s="35" t="s">
        <v>62</v>
      </c>
      <c r="K573" s="35" t="s">
        <v>63</v>
      </c>
      <c r="L573" s="35">
        <v>26.0</v>
      </c>
      <c r="M573" s="35" t="s">
        <v>2234</v>
      </c>
      <c r="N573" s="35" t="s">
        <v>66</v>
      </c>
      <c r="O573" s="35" t="s">
        <v>67</v>
      </c>
      <c r="P573" s="35" t="s">
        <v>1752</v>
      </c>
      <c r="Q573" s="64"/>
      <c r="R573" s="167"/>
      <c r="S573" s="52"/>
      <c r="T573" s="64"/>
      <c r="U573" s="35">
        <v>6.0</v>
      </c>
      <c r="V573" s="35" t="s">
        <v>61</v>
      </c>
      <c r="W573" s="35" t="s">
        <v>74</v>
      </c>
      <c r="X573" s="35" t="s">
        <v>8876</v>
      </c>
      <c r="Y573" s="35" t="s">
        <v>8877</v>
      </c>
      <c r="Z573" s="35" t="s">
        <v>8878</v>
      </c>
      <c r="AA573" s="46">
        <v>46023.0</v>
      </c>
      <c r="AB573" s="46">
        <v>46387.0</v>
      </c>
      <c r="AC573" s="35" t="s">
        <v>8879</v>
      </c>
      <c r="AD573" s="35" t="s">
        <v>79</v>
      </c>
      <c r="AE573" s="35"/>
      <c r="AF573" s="35"/>
      <c r="AG573" s="46"/>
    </row>
    <row r="574" ht="44.25" customHeight="1">
      <c r="A574" s="35">
        <v>573.0</v>
      </c>
      <c r="B574" s="35">
        <v>3785.0</v>
      </c>
      <c r="C574" s="35" t="s">
        <v>887</v>
      </c>
      <c r="D574" s="35" t="s">
        <v>6201</v>
      </c>
      <c r="E574" s="35" t="s">
        <v>8863</v>
      </c>
      <c r="F574" s="35" t="s">
        <v>8880</v>
      </c>
      <c r="G574" s="41" t="s">
        <v>8881</v>
      </c>
      <c r="H574" s="35" t="s">
        <v>59</v>
      </c>
      <c r="I574" s="35" t="s">
        <v>61</v>
      </c>
      <c r="J574" s="35" t="s">
        <v>62</v>
      </c>
      <c r="K574" s="35" t="s">
        <v>63</v>
      </c>
      <c r="L574" s="35">
        <v>17.0</v>
      </c>
      <c r="M574" s="35" t="s">
        <v>8882</v>
      </c>
      <c r="N574" s="35" t="s">
        <v>66</v>
      </c>
      <c r="O574" s="35" t="s">
        <v>67</v>
      </c>
      <c r="P574" s="35" t="s">
        <v>1752</v>
      </c>
      <c r="Q574" s="64"/>
      <c r="R574" s="167"/>
      <c r="S574" s="52"/>
      <c r="T574" s="64"/>
      <c r="U574" s="35" t="s">
        <v>1752</v>
      </c>
      <c r="V574" s="35" t="s">
        <v>61</v>
      </c>
      <c r="W574" s="35" t="s">
        <v>74</v>
      </c>
      <c r="X574" s="35" t="s">
        <v>8883</v>
      </c>
      <c r="Y574" s="35" t="s">
        <v>8884</v>
      </c>
      <c r="Z574" s="35" t="s">
        <v>8885</v>
      </c>
      <c r="AA574" s="46">
        <v>46023.0</v>
      </c>
      <c r="AB574" s="46">
        <v>46387.0</v>
      </c>
      <c r="AC574" s="35" t="s">
        <v>8886</v>
      </c>
      <c r="AD574" s="35" t="s">
        <v>79</v>
      </c>
      <c r="AE574" s="35"/>
      <c r="AF574" s="35"/>
      <c r="AG574" s="46"/>
    </row>
    <row r="575" ht="44.25" customHeight="1">
      <c r="A575" s="35">
        <v>574.0</v>
      </c>
      <c r="B575" s="35">
        <v>3052.0</v>
      </c>
      <c r="C575" s="35" t="s">
        <v>887</v>
      </c>
      <c r="D575" s="35" t="s">
        <v>6201</v>
      </c>
      <c r="E575" s="35"/>
      <c r="F575" s="35" t="s">
        <v>8887</v>
      </c>
      <c r="G575" s="41" t="s">
        <v>8888</v>
      </c>
      <c r="H575" s="35" t="s">
        <v>59</v>
      </c>
      <c r="I575" s="35" t="s">
        <v>61</v>
      </c>
      <c r="J575" s="35" t="s">
        <v>62</v>
      </c>
      <c r="K575" s="35" t="s">
        <v>63</v>
      </c>
      <c r="L575" s="35">
        <v>25.0</v>
      </c>
      <c r="M575" s="35" t="s">
        <v>1752</v>
      </c>
      <c r="N575" s="35" t="s">
        <v>66</v>
      </c>
      <c r="O575" s="35" t="s">
        <v>67</v>
      </c>
      <c r="P575" s="35" t="s">
        <v>1752</v>
      </c>
      <c r="Q575" s="64"/>
      <c r="R575" s="167"/>
      <c r="S575" s="52"/>
      <c r="T575" s="64"/>
      <c r="U575" s="35" t="s">
        <v>1752</v>
      </c>
      <c r="V575" s="35" t="s">
        <v>61</v>
      </c>
      <c r="W575" s="35" t="s">
        <v>74</v>
      </c>
      <c r="X575" s="35" t="s">
        <v>8889</v>
      </c>
      <c r="Y575" s="35" t="s">
        <v>8890</v>
      </c>
      <c r="Z575" s="35" t="s">
        <v>8891</v>
      </c>
      <c r="AA575" s="46">
        <v>46023.0</v>
      </c>
      <c r="AB575" s="46">
        <v>46387.0</v>
      </c>
      <c r="AC575" s="35" t="s">
        <v>8892</v>
      </c>
      <c r="AD575" s="35" t="s">
        <v>79</v>
      </c>
      <c r="AE575" s="35"/>
      <c r="AF575" s="35"/>
      <c r="AG575" s="46"/>
    </row>
    <row r="576" ht="44.25" customHeight="1">
      <c r="A576" s="35">
        <v>575.0</v>
      </c>
      <c r="B576" s="35">
        <v>3674.0</v>
      </c>
      <c r="C576" s="35" t="s">
        <v>887</v>
      </c>
      <c r="D576" s="35" t="s">
        <v>6201</v>
      </c>
      <c r="E576" s="35" t="s">
        <v>8863</v>
      </c>
      <c r="F576" s="35" t="s">
        <v>8893</v>
      </c>
      <c r="G576" s="41" t="s">
        <v>8894</v>
      </c>
      <c r="H576" s="35" t="s">
        <v>59</v>
      </c>
      <c r="I576" s="35" t="s">
        <v>61</v>
      </c>
      <c r="J576" s="35" t="s">
        <v>62</v>
      </c>
      <c r="K576" s="35" t="s">
        <v>63</v>
      </c>
      <c r="L576" s="35">
        <v>50.0</v>
      </c>
      <c r="M576" s="35" t="s">
        <v>6121</v>
      </c>
      <c r="N576" s="35" t="s">
        <v>66</v>
      </c>
      <c r="O576" s="35" t="s">
        <v>67</v>
      </c>
      <c r="P576" s="35" t="s">
        <v>1752</v>
      </c>
      <c r="Q576" s="64"/>
      <c r="R576" s="167"/>
      <c r="S576" s="52"/>
      <c r="T576" s="64"/>
      <c r="U576" s="35" t="s">
        <v>1752</v>
      </c>
      <c r="V576" s="35" t="s">
        <v>61</v>
      </c>
      <c r="W576" s="35" t="s">
        <v>74</v>
      </c>
      <c r="X576" s="35" t="s">
        <v>8895</v>
      </c>
      <c r="Y576" s="35" t="s">
        <v>8896</v>
      </c>
      <c r="Z576" s="35" t="s">
        <v>8897</v>
      </c>
      <c r="AA576" s="46">
        <v>46023.0</v>
      </c>
      <c r="AB576" s="46">
        <v>46387.0</v>
      </c>
      <c r="AC576" s="35" t="s">
        <v>8899</v>
      </c>
      <c r="AD576" s="35" t="s">
        <v>79</v>
      </c>
      <c r="AE576" s="35"/>
      <c r="AF576" s="35"/>
      <c r="AG576" s="46"/>
    </row>
    <row r="577" ht="44.25" customHeight="1">
      <c r="A577" s="35">
        <v>576.0</v>
      </c>
      <c r="B577" s="35">
        <v>5991.0</v>
      </c>
      <c r="C577" s="35" t="s">
        <v>887</v>
      </c>
      <c r="D577" s="35" t="s">
        <v>6201</v>
      </c>
      <c r="E577" s="35" t="s">
        <v>8900</v>
      </c>
      <c r="F577" s="35" t="s">
        <v>8901</v>
      </c>
      <c r="G577" s="41" t="s">
        <v>8902</v>
      </c>
      <c r="H577" s="35" t="s">
        <v>59</v>
      </c>
      <c r="I577" s="35" t="s">
        <v>61</v>
      </c>
      <c r="J577" s="35" t="s">
        <v>62</v>
      </c>
      <c r="K577" s="35" t="s">
        <v>63</v>
      </c>
      <c r="L577" s="35">
        <v>25.0</v>
      </c>
      <c r="M577" s="35" t="s">
        <v>8903</v>
      </c>
      <c r="N577" s="35" t="s">
        <v>66</v>
      </c>
      <c r="O577" s="35" t="s">
        <v>67</v>
      </c>
      <c r="P577" s="35" t="s">
        <v>1752</v>
      </c>
      <c r="Q577" s="64"/>
      <c r="R577" s="167"/>
      <c r="S577" s="52"/>
      <c r="T577" s="64"/>
      <c r="U577" s="35" t="s">
        <v>1752</v>
      </c>
      <c r="V577" s="35" t="s">
        <v>61</v>
      </c>
      <c r="W577" s="35" t="s">
        <v>74</v>
      </c>
      <c r="X577" s="35" t="s">
        <v>8906</v>
      </c>
      <c r="Y577" s="35" t="s">
        <v>8908</v>
      </c>
      <c r="Z577" s="35" t="s">
        <v>8909</v>
      </c>
      <c r="AA577" s="46">
        <v>46023.0</v>
      </c>
      <c r="AB577" s="46">
        <v>46387.0</v>
      </c>
      <c r="AC577" s="35" t="s">
        <v>8912</v>
      </c>
      <c r="AD577" s="35" t="s">
        <v>79</v>
      </c>
      <c r="AE577" s="35"/>
      <c r="AF577" s="35"/>
      <c r="AG577" s="46"/>
    </row>
    <row r="578" ht="44.25" customHeight="1">
      <c r="A578" s="35">
        <v>577.0</v>
      </c>
      <c r="B578" s="35">
        <v>3716.0</v>
      </c>
      <c r="C578" s="35" t="s">
        <v>887</v>
      </c>
      <c r="D578" s="35" t="s">
        <v>6201</v>
      </c>
      <c r="E578" s="35" t="s">
        <v>6221</v>
      </c>
      <c r="F578" s="35" t="s">
        <v>8917</v>
      </c>
      <c r="G578" s="41" t="s">
        <v>8918</v>
      </c>
      <c r="H578" s="35" t="s">
        <v>59</v>
      </c>
      <c r="I578" s="35" t="s">
        <v>61</v>
      </c>
      <c r="J578" s="35" t="s">
        <v>62</v>
      </c>
      <c r="K578" s="35" t="s">
        <v>111</v>
      </c>
      <c r="L578" s="35">
        <v>75.0</v>
      </c>
      <c r="M578" s="35" t="s">
        <v>8920</v>
      </c>
      <c r="N578" s="35" t="s">
        <v>66</v>
      </c>
      <c r="O578" s="35" t="s">
        <v>67</v>
      </c>
      <c r="P578" s="35" t="s">
        <v>8921</v>
      </c>
      <c r="Q578" s="64"/>
      <c r="R578" s="167"/>
      <c r="S578" s="52"/>
      <c r="T578" s="64"/>
      <c r="U578" s="35">
        <v>14.0</v>
      </c>
      <c r="V578" s="35" t="s">
        <v>61</v>
      </c>
      <c r="W578" s="35" t="s">
        <v>93</v>
      </c>
      <c r="X578" s="35" t="s">
        <v>8925</v>
      </c>
      <c r="Y578" s="35" t="s">
        <v>8926</v>
      </c>
      <c r="Z578" s="35" t="s">
        <v>8927</v>
      </c>
      <c r="AA578" s="46">
        <v>46023.0</v>
      </c>
      <c r="AB578" s="46">
        <v>46387.0</v>
      </c>
      <c r="AC578" s="35" t="s">
        <v>8928</v>
      </c>
      <c r="AD578" s="35" t="s">
        <v>79</v>
      </c>
      <c r="AE578" s="35"/>
      <c r="AF578" s="35"/>
      <c r="AG578" s="46"/>
    </row>
    <row r="579" ht="44.25" customHeight="1">
      <c r="A579" s="35">
        <v>578.0</v>
      </c>
      <c r="B579" s="35">
        <v>7523.0</v>
      </c>
      <c r="C579" s="35" t="s">
        <v>887</v>
      </c>
      <c r="D579" s="35" t="s">
        <v>6201</v>
      </c>
      <c r="E579" s="35" t="s">
        <v>6221</v>
      </c>
      <c r="F579" s="35" t="s">
        <v>8930</v>
      </c>
      <c r="G579" s="41" t="s">
        <v>8932</v>
      </c>
      <c r="H579" s="35" t="s">
        <v>59</v>
      </c>
      <c r="I579" s="35" t="s">
        <v>61</v>
      </c>
      <c r="J579" s="35" t="s">
        <v>663</v>
      </c>
      <c r="K579" s="35" t="s">
        <v>63</v>
      </c>
      <c r="L579" s="35">
        <v>50.0</v>
      </c>
      <c r="M579" s="35" t="s">
        <v>6121</v>
      </c>
      <c r="N579" s="35" t="s">
        <v>66</v>
      </c>
      <c r="O579" s="35" t="s">
        <v>67</v>
      </c>
      <c r="P579" s="35" t="s">
        <v>8934</v>
      </c>
      <c r="Q579" s="64"/>
      <c r="R579" s="167"/>
      <c r="S579" s="52"/>
      <c r="T579" s="64"/>
      <c r="U579" s="35" t="s">
        <v>1752</v>
      </c>
      <c r="V579" s="35" t="s">
        <v>61</v>
      </c>
      <c r="W579" s="35" t="s">
        <v>74</v>
      </c>
      <c r="X579" s="35" t="s">
        <v>8937</v>
      </c>
      <c r="Y579" s="35" t="s">
        <v>8939</v>
      </c>
      <c r="Z579" s="35" t="s">
        <v>8940</v>
      </c>
      <c r="AA579" s="46">
        <v>46023.0</v>
      </c>
      <c r="AB579" s="46">
        <v>46387.0</v>
      </c>
      <c r="AC579" s="35" t="s">
        <v>8942</v>
      </c>
      <c r="AD579" s="35" t="s">
        <v>79</v>
      </c>
      <c r="AE579" s="35"/>
      <c r="AF579" s="35"/>
      <c r="AG579" s="46"/>
    </row>
    <row r="580" ht="44.25" customHeight="1">
      <c r="A580" s="35">
        <v>579.0</v>
      </c>
      <c r="B580" s="35">
        <v>574.0</v>
      </c>
      <c r="C580" s="35" t="s">
        <v>887</v>
      </c>
      <c r="D580" s="35" t="s">
        <v>6201</v>
      </c>
      <c r="E580" s="35" t="s">
        <v>6221</v>
      </c>
      <c r="F580" s="35" t="s">
        <v>8943</v>
      </c>
      <c r="G580" s="41" t="s">
        <v>8947</v>
      </c>
      <c r="H580" s="35" t="s">
        <v>59</v>
      </c>
      <c r="I580" s="35" t="s">
        <v>61</v>
      </c>
      <c r="J580" s="35" t="s">
        <v>62</v>
      </c>
      <c r="K580" s="35" t="s">
        <v>63</v>
      </c>
      <c r="L580" s="35">
        <v>50.0</v>
      </c>
      <c r="M580" s="35" t="s">
        <v>8948</v>
      </c>
      <c r="N580" s="35" t="s">
        <v>66</v>
      </c>
      <c r="O580" s="35" t="s">
        <v>67</v>
      </c>
      <c r="P580" s="35" t="s">
        <v>1752</v>
      </c>
      <c r="Q580" s="64"/>
      <c r="R580" s="167"/>
      <c r="S580" s="52"/>
      <c r="T580" s="64"/>
      <c r="U580" s="35" t="s">
        <v>1752</v>
      </c>
      <c r="V580" s="35" t="s">
        <v>61</v>
      </c>
      <c r="W580" s="35" t="s">
        <v>93</v>
      </c>
      <c r="X580" s="35" t="s">
        <v>8951</v>
      </c>
      <c r="Y580" s="35" t="s">
        <v>8952</v>
      </c>
      <c r="Z580" s="35" t="s">
        <v>8954</v>
      </c>
      <c r="AA580" s="46">
        <v>46023.0</v>
      </c>
      <c r="AB580" s="46">
        <v>46387.0</v>
      </c>
      <c r="AC580" s="35" t="s">
        <v>8955</v>
      </c>
      <c r="AD580" s="35" t="s">
        <v>79</v>
      </c>
      <c r="AE580" s="35"/>
      <c r="AF580" s="35"/>
      <c r="AG580" s="46"/>
    </row>
    <row r="581" ht="44.25" customHeight="1">
      <c r="A581" s="35">
        <v>580.0</v>
      </c>
      <c r="B581" s="35">
        <v>47636.0</v>
      </c>
      <c r="C581" s="35" t="s">
        <v>887</v>
      </c>
      <c r="D581" s="35" t="s">
        <v>2388</v>
      </c>
      <c r="E581" s="35" t="s">
        <v>2391</v>
      </c>
      <c r="F581" s="35" t="s">
        <v>8959</v>
      </c>
      <c r="G581" s="41" t="s">
        <v>8961</v>
      </c>
      <c r="H581" s="35" t="s">
        <v>59</v>
      </c>
      <c r="I581" s="35" t="s">
        <v>61</v>
      </c>
      <c r="J581" s="35" t="s">
        <v>62</v>
      </c>
      <c r="K581" s="35" t="s">
        <v>111</v>
      </c>
      <c r="L581" s="35">
        <v>125.0</v>
      </c>
      <c r="M581" s="35" t="s">
        <v>8963</v>
      </c>
      <c r="N581" s="35" t="s">
        <v>66</v>
      </c>
      <c r="O581" s="35" t="s">
        <v>67</v>
      </c>
      <c r="P581" s="35" t="s">
        <v>8965</v>
      </c>
      <c r="Q581" s="64"/>
      <c r="R581" s="167"/>
      <c r="S581" s="52"/>
      <c r="T581" s="64"/>
      <c r="U581" s="35">
        <v>30.0</v>
      </c>
      <c r="V581" s="35" t="s">
        <v>533</v>
      </c>
      <c r="W581" s="35" t="s">
        <v>93</v>
      </c>
      <c r="X581" s="35" t="s">
        <v>8968</v>
      </c>
      <c r="Y581" s="35">
        <v>9.177718385E9</v>
      </c>
      <c r="Z581" s="35" t="s">
        <v>8969</v>
      </c>
      <c r="AA581" s="46">
        <v>46023.0</v>
      </c>
      <c r="AB581" s="46">
        <v>46387.0</v>
      </c>
      <c r="AC581" s="35" t="s">
        <v>8970</v>
      </c>
      <c r="AD581" s="35" t="s">
        <v>164</v>
      </c>
      <c r="AE581" s="35" t="s">
        <v>643</v>
      </c>
      <c r="AF581" s="35" t="s">
        <v>8972</v>
      </c>
      <c r="AG581" s="46"/>
    </row>
    <row r="582" ht="44.25" customHeight="1">
      <c r="A582" s="35">
        <v>581.0</v>
      </c>
      <c r="B582" s="35">
        <v>7525.0</v>
      </c>
      <c r="C582" s="35" t="s">
        <v>887</v>
      </c>
      <c r="D582" s="35" t="s">
        <v>2388</v>
      </c>
      <c r="E582" s="35" t="s">
        <v>6454</v>
      </c>
      <c r="F582" s="35" t="s">
        <v>8976</v>
      </c>
      <c r="G582" s="41" t="s">
        <v>8978</v>
      </c>
      <c r="H582" s="35" t="s">
        <v>59</v>
      </c>
      <c r="I582" s="35" t="s">
        <v>61</v>
      </c>
      <c r="J582" s="35" t="s">
        <v>62</v>
      </c>
      <c r="K582" s="35" t="s">
        <v>63</v>
      </c>
      <c r="L582" s="35">
        <v>35.0</v>
      </c>
      <c r="M582" s="35" t="s">
        <v>6121</v>
      </c>
      <c r="N582" s="35" t="s">
        <v>66</v>
      </c>
      <c r="O582" s="35" t="s">
        <v>67</v>
      </c>
      <c r="P582" s="35" t="s">
        <v>1752</v>
      </c>
      <c r="Q582" s="64"/>
      <c r="R582" s="167"/>
      <c r="S582" s="52"/>
      <c r="T582" s="64"/>
      <c r="U582" s="35" t="s">
        <v>1752</v>
      </c>
      <c r="V582" s="35" t="s">
        <v>61</v>
      </c>
      <c r="W582" s="35" t="s">
        <v>74</v>
      </c>
      <c r="X582" s="35" t="s">
        <v>8983</v>
      </c>
      <c r="Y582" s="35" t="s">
        <v>8984</v>
      </c>
      <c r="Z582" s="35" t="s">
        <v>8985</v>
      </c>
      <c r="AA582" s="46">
        <v>46023.0</v>
      </c>
      <c r="AB582" s="46">
        <v>46387.0</v>
      </c>
      <c r="AC582" s="35" t="s">
        <v>8986</v>
      </c>
      <c r="AD582" s="35" t="s">
        <v>79</v>
      </c>
      <c r="AE582" s="35"/>
      <c r="AF582" s="35"/>
      <c r="AG582" s="46"/>
    </row>
    <row r="583" ht="44.25" customHeight="1">
      <c r="A583" s="35">
        <v>582.0</v>
      </c>
      <c r="B583" s="52"/>
      <c r="C583" s="35" t="s">
        <v>887</v>
      </c>
      <c r="D583" s="35" t="s">
        <v>2388</v>
      </c>
      <c r="E583" s="35" t="s">
        <v>6398</v>
      </c>
      <c r="F583" s="35" t="s">
        <v>8989</v>
      </c>
      <c r="G583" s="41" t="s">
        <v>8991</v>
      </c>
      <c r="H583" s="35" t="s">
        <v>59</v>
      </c>
      <c r="I583" s="35" t="s">
        <v>61</v>
      </c>
      <c r="J583" s="35" t="s">
        <v>62</v>
      </c>
      <c r="K583" s="35" t="s">
        <v>63</v>
      </c>
      <c r="L583" s="35">
        <v>35.0</v>
      </c>
      <c r="M583" s="35" t="s">
        <v>8995</v>
      </c>
      <c r="N583" s="35" t="s">
        <v>66</v>
      </c>
      <c r="O583" s="35" t="s">
        <v>67</v>
      </c>
      <c r="P583" s="35" t="s">
        <v>8996</v>
      </c>
      <c r="Q583" s="64"/>
      <c r="R583" s="167"/>
      <c r="S583" s="52"/>
      <c r="T583" s="64"/>
      <c r="U583" s="35">
        <v>5.0</v>
      </c>
      <c r="V583" s="35" t="s">
        <v>61</v>
      </c>
      <c r="W583" s="35" t="s">
        <v>74</v>
      </c>
      <c r="X583" s="35" t="s">
        <v>8998</v>
      </c>
      <c r="Y583" s="35" t="s">
        <v>9000</v>
      </c>
      <c r="Z583" s="35" t="s">
        <v>9002</v>
      </c>
      <c r="AA583" s="46">
        <v>46023.0</v>
      </c>
      <c r="AB583" s="46">
        <v>46387.0</v>
      </c>
      <c r="AC583" s="35" t="s">
        <v>9003</v>
      </c>
      <c r="AD583" s="35" t="s">
        <v>164</v>
      </c>
      <c r="AE583" s="35" t="s">
        <v>1640</v>
      </c>
      <c r="AF583" s="35" t="s">
        <v>9004</v>
      </c>
      <c r="AG583" s="46"/>
    </row>
    <row r="584" ht="44.25" customHeight="1">
      <c r="A584" s="35">
        <v>583.0</v>
      </c>
      <c r="B584" s="35">
        <v>630.0</v>
      </c>
      <c r="C584" s="35" t="s">
        <v>887</v>
      </c>
      <c r="D584" s="35" t="s">
        <v>2388</v>
      </c>
      <c r="E584" s="35" t="s">
        <v>2391</v>
      </c>
      <c r="F584" s="35" t="s">
        <v>6368</v>
      </c>
      <c r="G584" s="41" t="s">
        <v>9007</v>
      </c>
      <c r="H584" s="35" t="s">
        <v>59</v>
      </c>
      <c r="I584" s="35" t="s">
        <v>61</v>
      </c>
      <c r="J584" s="35" t="s">
        <v>62</v>
      </c>
      <c r="K584" s="35" t="s">
        <v>111</v>
      </c>
      <c r="L584" s="35">
        <v>105.0</v>
      </c>
      <c r="M584" s="35" t="s">
        <v>9008</v>
      </c>
      <c r="N584" s="35" t="s">
        <v>66</v>
      </c>
      <c r="O584" s="35" t="s">
        <v>67</v>
      </c>
      <c r="P584" s="35" t="s">
        <v>9011</v>
      </c>
      <c r="Q584" s="64"/>
      <c r="R584" s="167"/>
      <c r="S584" s="52"/>
      <c r="T584" s="64"/>
      <c r="U584" s="35">
        <v>18.0</v>
      </c>
      <c r="V584" s="35" t="s">
        <v>533</v>
      </c>
      <c r="W584" s="35" t="s">
        <v>93</v>
      </c>
      <c r="X584" s="35" t="s">
        <v>9014</v>
      </c>
      <c r="Y584" s="35" t="s">
        <v>9015</v>
      </c>
      <c r="Z584" s="35" t="s">
        <v>9016</v>
      </c>
      <c r="AA584" s="46">
        <v>46023.0</v>
      </c>
      <c r="AB584" s="46">
        <v>46387.0</v>
      </c>
      <c r="AC584" s="35" t="s">
        <v>9017</v>
      </c>
      <c r="AD584" s="35" t="s">
        <v>79</v>
      </c>
      <c r="AE584" s="35"/>
      <c r="AF584" s="35"/>
      <c r="AG584" s="46"/>
    </row>
    <row r="585" ht="44.25" customHeight="1">
      <c r="A585" s="35">
        <v>584.0</v>
      </c>
      <c r="B585" s="35">
        <v>660.0</v>
      </c>
      <c r="C585" s="35" t="s">
        <v>887</v>
      </c>
      <c r="D585" s="35" t="s">
        <v>2358</v>
      </c>
      <c r="E585" s="35" t="s">
        <v>2359</v>
      </c>
      <c r="F585" s="35" t="s">
        <v>9019</v>
      </c>
      <c r="G585" s="41" t="s">
        <v>9021</v>
      </c>
      <c r="H585" s="35" t="s">
        <v>59</v>
      </c>
      <c r="I585" s="35" t="s">
        <v>61</v>
      </c>
      <c r="J585" s="35" t="s">
        <v>62</v>
      </c>
      <c r="K585" s="35" t="s">
        <v>111</v>
      </c>
      <c r="L585" s="35">
        <v>100.0</v>
      </c>
      <c r="M585" s="35" t="s">
        <v>9024</v>
      </c>
      <c r="N585" s="35" t="s">
        <v>66</v>
      </c>
      <c r="O585" s="35" t="s">
        <v>67</v>
      </c>
      <c r="P585" s="35" t="s">
        <v>9025</v>
      </c>
      <c r="Q585" s="64"/>
      <c r="R585" s="167"/>
      <c r="S585" s="52"/>
      <c r="T585" s="64"/>
      <c r="U585" s="35">
        <v>10.0</v>
      </c>
      <c r="V585" s="35" t="s">
        <v>61</v>
      </c>
      <c r="W585" s="35" t="s">
        <v>93</v>
      </c>
      <c r="X585" s="35" t="s">
        <v>9027</v>
      </c>
      <c r="Y585" s="35" t="s">
        <v>9028</v>
      </c>
      <c r="Z585" s="35" t="s">
        <v>9029</v>
      </c>
      <c r="AA585" s="46">
        <v>46023.0</v>
      </c>
      <c r="AB585" s="46">
        <v>46387.0</v>
      </c>
      <c r="AC585" s="35" t="s">
        <v>9031</v>
      </c>
      <c r="AD585" s="35" t="s">
        <v>79</v>
      </c>
      <c r="AE585" s="35"/>
      <c r="AF585" s="35"/>
      <c r="AG585" s="46"/>
    </row>
    <row r="586" ht="44.25" customHeight="1">
      <c r="A586" s="35">
        <v>585.0</v>
      </c>
      <c r="B586" s="35">
        <v>767.0</v>
      </c>
      <c r="C586" s="35" t="s">
        <v>887</v>
      </c>
      <c r="D586" s="35" t="s">
        <v>6115</v>
      </c>
      <c r="E586" s="35" t="s">
        <v>6171</v>
      </c>
      <c r="F586" s="35" t="s">
        <v>9036</v>
      </c>
      <c r="G586" s="41" t="s">
        <v>9037</v>
      </c>
      <c r="H586" s="35" t="s">
        <v>59</v>
      </c>
      <c r="I586" s="35" t="s">
        <v>61</v>
      </c>
      <c r="J586" s="35" t="s">
        <v>62</v>
      </c>
      <c r="K586" s="35" t="s">
        <v>63</v>
      </c>
      <c r="L586" s="35">
        <v>30.0</v>
      </c>
      <c r="M586" s="35" t="s">
        <v>8856</v>
      </c>
      <c r="N586" s="35" t="s">
        <v>66</v>
      </c>
      <c r="O586" s="35" t="s">
        <v>67</v>
      </c>
      <c r="P586" s="35" t="s">
        <v>9038</v>
      </c>
      <c r="Q586" s="64"/>
      <c r="R586" s="167"/>
      <c r="S586" s="52"/>
      <c r="T586" s="64"/>
      <c r="U586" s="35">
        <v>5.0</v>
      </c>
      <c r="V586" s="35" t="s">
        <v>61</v>
      </c>
      <c r="W586" s="35" t="s">
        <v>74</v>
      </c>
      <c r="X586" s="35" t="s">
        <v>9040</v>
      </c>
      <c r="Y586" s="35" t="s">
        <v>9042</v>
      </c>
      <c r="Z586" s="35" t="s">
        <v>9044</v>
      </c>
      <c r="AA586" s="46">
        <v>46023.0</v>
      </c>
      <c r="AB586" s="46">
        <v>46387.0</v>
      </c>
      <c r="AC586" s="35" t="s">
        <v>9045</v>
      </c>
      <c r="AD586" s="35" t="s">
        <v>79</v>
      </c>
      <c r="AE586" s="35"/>
      <c r="AF586" s="35"/>
      <c r="AG586" s="46"/>
    </row>
    <row r="587" ht="44.25" customHeight="1">
      <c r="A587" s="35">
        <v>586.0</v>
      </c>
      <c r="B587" s="35">
        <v>3764.0</v>
      </c>
      <c r="C587" s="35" t="s">
        <v>887</v>
      </c>
      <c r="D587" s="35" t="s">
        <v>6115</v>
      </c>
      <c r="E587" s="35" t="s">
        <v>6171</v>
      </c>
      <c r="F587" s="35" t="s">
        <v>9046</v>
      </c>
      <c r="G587" s="41" t="s">
        <v>9047</v>
      </c>
      <c r="H587" s="35" t="s">
        <v>59</v>
      </c>
      <c r="I587" s="35" t="s">
        <v>61</v>
      </c>
      <c r="J587" s="35" t="s">
        <v>62</v>
      </c>
      <c r="K587" s="35" t="s">
        <v>63</v>
      </c>
      <c r="L587" s="35">
        <v>30.0</v>
      </c>
      <c r="M587" s="35" t="s">
        <v>6338</v>
      </c>
      <c r="N587" s="35" t="s">
        <v>66</v>
      </c>
      <c r="O587" s="35" t="s">
        <v>67</v>
      </c>
      <c r="P587" s="35" t="s">
        <v>1752</v>
      </c>
      <c r="Q587" s="64"/>
      <c r="R587" s="167"/>
      <c r="S587" s="52"/>
      <c r="T587" s="64"/>
      <c r="U587" s="35" t="s">
        <v>1752</v>
      </c>
      <c r="V587" s="35" t="s">
        <v>61</v>
      </c>
      <c r="W587" s="35" t="s">
        <v>74</v>
      </c>
      <c r="X587" s="35" t="s">
        <v>9051</v>
      </c>
      <c r="Y587" s="35" t="s">
        <v>9053</v>
      </c>
      <c r="Z587" s="35" t="s">
        <v>9055</v>
      </c>
      <c r="AA587" s="46">
        <v>46023.0</v>
      </c>
      <c r="AB587" s="46">
        <v>46387.0</v>
      </c>
      <c r="AC587" s="35" t="s">
        <v>9057</v>
      </c>
      <c r="AD587" s="35" t="s">
        <v>79</v>
      </c>
      <c r="AE587" s="35"/>
      <c r="AF587" s="35"/>
      <c r="AG587" s="46"/>
    </row>
    <row r="588" ht="44.25" customHeight="1">
      <c r="A588" s="35">
        <v>587.0</v>
      </c>
      <c r="B588" s="35">
        <v>5671.0</v>
      </c>
      <c r="C588" s="35" t="s">
        <v>887</v>
      </c>
      <c r="D588" s="35" t="s">
        <v>6115</v>
      </c>
      <c r="E588" s="35" t="s">
        <v>6155</v>
      </c>
      <c r="F588" s="35" t="s">
        <v>9059</v>
      </c>
      <c r="G588" s="41" t="s">
        <v>9060</v>
      </c>
      <c r="H588" s="35" t="s">
        <v>59</v>
      </c>
      <c r="I588" s="35" t="s">
        <v>61</v>
      </c>
      <c r="J588" s="35" t="s">
        <v>62</v>
      </c>
      <c r="K588" s="35" t="s">
        <v>63</v>
      </c>
      <c r="L588" s="35">
        <v>75.0</v>
      </c>
      <c r="M588" s="35" t="s">
        <v>9063</v>
      </c>
      <c r="N588" s="35" t="s">
        <v>66</v>
      </c>
      <c r="O588" s="35" t="s">
        <v>67</v>
      </c>
      <c r="P588" s="35" t="s">
        <v>9064</v>
      </c>
      <c r="Q588" s="64"/>
      <c r="R588" s="167"/>
      <c r="S588" s="52"/>
      <c r="T588" s="64"/>
      <c r="U588" s="35">
        <v>2.0</v>
      </c>
      <c r="V588" s="35" t="s">
        <v>61</v>
      </c>
      <c r="W588" s="35" t="s">
        <v>74</v>
      </c>
      <c r="X588" s="35" t="s">
        <v>9065</v>
      </c>
      <c r="Y588" s="35" t="s">
        <v>9066</v>
      </c>
      <c r="Z588" s="35" t="s">
        <v>9067</v>
      </c>
      <c r="AA588" s="46">
        <v>46023.0</v>
      </c>
      <c r="AB588" s="46">
        <v>46387.0</v>
      </c>
      <c r="AC588" s="35" t="s">
        <v>9068</v>
      </c>
      <c r="AD588" s="35" t="s">
        <v>79</v>
      </c>
      <c r="AE588" s="35"/>
      <c r="AF588" s="35"/>
      <c r="AG588" s="46"/>
    </row>
    <row r="589" ht="44.25" customHeight="1">
      <c r="A589" s="35">
        <v>588.0</v>
      </c>
      <c r="B589" s="35">
        <v>3315.0</v>
      </c>
      <c r="C589" s="35" t="s">
        <v>887</v>
      </c>
      <c r="D589" s="35" t="s">
        <v>6115</v>
      </c>
      <c r="E589" s="35" t="s">
        <v>8784</v>
      </c>
      <c r="F589" s="35" t="s">
        <v>9071</v>
      </c>
      <c r="G589" s="41" t="s">
        <v>9073</v>
      </c>
      <c r="H589" s="35" t="s">
        <v>59</v>
      </c>
      <c r="I589" s="35" t="s">
        <v>61</v>
      </c>
      <c r="J589" s="35" t="s">
        <v>62</v>
      </c>
      <c r="K589" s="35" t="s">
        <v>63</v>
      </c>
      <c r="L589" s="35">
        <v>17.0</v>
      </c>
      <c r="M589" s="35" t="s">
        <v>9076</v>
      </c>
      <c r="N589" s="35" t="s">
        <v>66</v>
      </c>
      <c r="O589" s="35" t="s">
        <v>67</v>
      </c>
      <c r="P589" s="35" t="s">
        <v>9078</v>
      </c>
      <c r="Q589" s="64"/>
      <c r="R589" s="167"/>
      <c r="S589" s="52"/>
      <c r="T589" s="64"/>
      <c r="U589" s="35" t="s">
        <v>1752</v>
      </c>
      <c r="V589" s="35" t="s">
        <v>61</v>
      </c>
      <c r="W589" s="35" t="s">
        <v>74</v>
      </c>
      <c r="X589" s="35" t="s">
        <v>9079</v>
      </c>
      <c r="Y589" s="35" t="s">
        <v>9080</v>
      </c>
      <c r="Z589" s="35" t="s">
        <v>9081</v>
      </c>
      <c r="AA589" s="46">
        <v>46023.0</v>
      </c>
      <c r="AB589" s="46">
        <v>46387.0</v>
      </c>
      <c r="AC589" s="35" t="s">
        <v>9083</v>
      </c>
      <c r="AD589" s="35" t="s">
        <v>79</v>
      </c>
      <c r="AE589" s="35"/>
      <c r="AF589" s="35"/>
      <c r="AG589" s="46"/>
    </row>
    <row r="590" ht="44.25" customHeight="1">
      <c r="A590" s="35">
        <v>589.0</v>
      </c>
      <c r="B590" s="35">
        <v>616.0</v>
      </c>
      <c r="C590" s="35" t="s">
        <v>887</v>
      </c>
      <c r="D590" s="35" t="s">
        <v>6115</v>
      </c>
      <c r="E590" s="35" t="s">
        <v>8784</v>
      </c>
      <c r="F590" s="35" t="s">
        <v>596</v>
      </c>
      <c r="G590" s="41" t="s">
        <v>9085</v>
      </c>
      <c r="H590" s="35" t="s">
        <v>59</v>
      </c>
      <c r="I590" s="35" t="s">
        <v>61</v>
      </c>
      <c r="J590" s="35" t="s">
        <v>62</v>
      </c>
      <c r="K590" s="35" t="s">
        <v>111</v>
      </c>
      <c r="L590" s="35">
        <v>72.0</v>
      </c>
      <c r="M590" s="35" t="s">
        <v>9086</v>
      </c>
      <c r="N590" s="35" t="s">
        <v>66</v>
      </c>
      <c r="O590" s="35" t="s">
        <v>67</v>
      </c>
      <c r="P590" s="35" t="s">
        <v>9088</v>
      </c>
      <c r="Q590" s="64"/>
      <c r="R590" s="167"/>
      <c r="S590" s="52"/>
      <c r="T590" s="64"/>
      <c r="U590" s="35">
        <v>13.0</v>
      </c>
      <c r="V590" s="35" t="s">
        <v>61</v>
      </c>
      <c r="W590" s="35" t="s">
        <v>93</v>
      </c>
      <c r="X590" s="35" t="s">
        <v>9091</v>
      </c>
      <c r="Y590" s="35" t="s">
        <v>9093</v>
      </c>
      <c r="Z590" s="35" t="s">
        <v>9094</v>
      </c>
      <c r="AA590" s="46">
        <v>46023.0</v>
      </c>
      <c r="AB590" s="46">
        <v>46387.0</v>
      </c>
      <c r="AC590" s="35" t="s">
        <v>9096</v>
      </c>
      <c r="AD590" s="35" t="s">
        <v>79</v>
      </c>
      <c r="AE590" s="35"/>
      <c r="AF590" s="35"/>
      <c r="AG590" s="46"/>
    </row>
    <row r="591" ht="44.25" customHeight="1">
      <c r="A591" s="35">
        <v>590.0</v>
      </c>
      <c r="B591" s="35">
        <v>5127.0</v>
      </c>
      <c r="C591" s="35" t="s">
        <v>887</v>
      </c>
      <c r="D591" s="35" t="s">
        <v>6115</v>
      </c>
      <c r="E591" s="35" t="s">
        <v>8784</v>
      </c>
      <c r="F591" s="35" t="s">
        <v>9098</v>
      </c>
      <c r="G591" s="41" t="s">
        <v>9099</v>
      </c>
      <c r="H591" s="35" t="s">
        <v>59</v>
      </c>
      <c r="I591" s="35" t="s">
        <v>61</v>
      </c>
      <c r="J591" s="35" t="s">
        <v>62</v>
      </c>
      <c r="K591" s="35" t="s">
        <v>111</v>
      </c>
      <c r="L591" s="35">
        <v>105.0</v>
      </c>
      <c r="M591" s="35" t="s">
        <v>8767</v>
      </c>
      <c r="N591" s="35" t="s">
        <v>66</v>
      </c>
      <c r="O591" s="35" t="s">
        <v>67</v>
      </c>
      <c r="P591" s="35" t="s">
        <v>9103</v>
      </c>
      <c r="Q591" s="64"/>
      <c r="R591" s="167"/>
      <c r="S591" s="52"/>
      <c r="T591" s="64"/>
      <c r="U591" s="35">
        <v>15.0</v>
      </c>
      <c r="V591" s="35" t="s">
        <v>61</v>
      </c>
      <c r="W591" s="35" t="s">
        <v>93</v>
      </c>
      <c r="X591" s="35" t="s">
        <v>9104</v>
      </c>
      <c r="Y591" s="35" t="s">
        <v>9105</v>
      </c>
      <c r="Z591" s="35" t="s">
        <v>9106</v>
      </c>
      <c r="AA591" s="46">
        <v>46023.0</v>
      </c>
      <c r="AB591" s="46">
        <v>46387.0</v>
      </c>
      <c r="AC591" s="35" t="s">
        <v>9107</v>
      </c>
      <c r="AD591" s="35" t="s">
        <v>79</v>
      </c>
      <c r="AE591" s="35"/>
      <c r="AF591" s="35"/>
      <c r="AG591" s="46"/>
    </row>
    <row r="592" ht="44.25" customHeight="1">
      <c r="A592" s="35">
        <v>591.0</v>
      </c>
      <c r="B592" s="35">
        <v>641.0</v>
      </c>
      <c r="C592" s="35" t="s">
        <v>887</v>
      </c>
      <c r="D592" s="35" t="s">
        <v>6115</v>
      </c>
      <c r="E592" s="35" t="s">
        <v>6136</v>
      </c>
      <c r="F592" s="35" t="s">
        <v>9109</v>
      </c>
      <c r="G592" s="41" t="s">
        <v>9111</v>
      </c>
      <c r="H592" s="35" t="s">
        <v>59</v>
      </c>
      <c r="I592" s="35" t="s">
        <v>61</v>
      </c>
      <c r="J592" s="35" t="s">
        <v>62</v>
      </c>
      <c r="K592" s="35" t="s">
        <v>63</v>
      </c>
      <c r="L592" s="35">
        <v>17.0</v>
      </c>
      <c r="M592" s="35" t="s">
        <v>1752</v>
      </c>
      <c r="N592" s="35" t="s">
        <v>66</v>
      </c>
      <c r="O592" s="35" t="s">
        <v>67</v>
      </c>
      <c r="P592" s="35" t="s">
        <v>1752</v>
      </c>
      <c r="Q592" s="64"/>
      <c r="R592" s="167"/>
      <c r="S592" s="52"/>
      <c r="T592" s="64"/>
      <c r="U592" s="35" t="s">
        <v>1752</v>
      </c>
      <c r="V592" s="35" t="s">
        <v>61</v>
      </c>
      <c r="W592" s="35" t="s">
        <v>74</v>
      </c>
      <c r="X592" s="35" t="s">
        <v>9116</v>
      </c>
      <c r="Y592" s="35" t="s">
        <v>9117</v>
      </c>
      <c r="Z592" s="35" t="s">
        <v>9119</v>
      </c>
      <c r="AA592" s="46">
        <v>46023.0</v>
      </c>
      <c r="AB592" s="46">
        <v>46387.0</v>
      </c>
      <c r="AC592" s="35" t="s">
        <v>9120</v>
      </c>
      <c r="AD592" s="35" t="s">
        <v>79</v>
      </c>
      <c r="AE592" s="35"/>
      <c r="AF592" s="35"/>
      <c r="AG592" s="46"/>
    </row>
    <row r="593" ht="44.25" customHeight="1">
      <c r="A593" s="35">
        <v>592.0</v>
      </c>
      <c r="B593" s="35">
        <v>522.0</v>
      </c>
      <c r="C593" s="35" t="s">
        <v>887</v>
      </c>
      <c r="D593" s="35" t="s">
        <v>6201</v>
      </c>
      <c r="E593" s="35" t="s">
        <v>6221</v>
      </c>
      <c r="F593" s="35" t="s">
        <v>7320</v>
      </c>
      <c r="G593" s="41" t="s">
        <v>9124</v>
      </c>
      <c r="H593" s="35" t="s">
        <v>59</v>
      </c>
      <c r="I593" s="35" t="s">
        <v>61</v>
      </c>
      <c r="J593" s="35" t="s">
        <v>62</v>
      </c>
      <c r="K593" s="35" t="s">
        <v>63</v>
      </c>
      <c r="L593" s="35">
        <v>35.0</v>
      </c>
      <c r="M593" s="35" t="s">
        <v>9125</v>
      </c>
      <c r="N593" s="35" t="s">
        <v>66</v>
      </c>
      <c r="O593" s="35" t="s">
        <v>67</v>
      </c>
      <c r="P593" s="35" t="s">
        <v>9126</v>
      </c>
      <c r="Q593" s="64"/>
      <c r="R593" s="167"/>
      <c r="S593" s="52"/>
      <c r="T593" s="64"/>
      <c r="U593" s="35" t="s">
        <v>1752</v>
      </c>
      <c r="V593" s="35" t="s">
        <v>61</v>
      </c>
      <c r="W593" s="35" t="s">
        <v>93</v>
      </c>
      <c r="X593" s="35" t="s">
        <v>9129</v>
      </c>
      <c r="Y593" s="35" t="s">
        <v>9130</v>
      </c>
      <c r="Z593" s="35" t="s">
        <v>9131</v>
      </c>
      <c r="AA593" s="46">
        <v>46023.0</v>
      </c>
      <c r="AB593" s="46">
        <v>46387.0</v>
      </c>
      <c r="AC593" s="35" t="s">
        <v>9133</v>
      </c>
      <c r="AD593" s="35" t="s">
        <v>79</v>
      </c>
      <c r="AE593" s="35"/>
      <c r="AF593" s="35"/>
      <c r="AG593" s="46"/>
    </row>
    <row r="594" ht="44.25" customHeight="1">
      <c r="A594" s="35">
        <v>593.0</v>
      </c>
      <c r="B594" s="35">
        <v>7511.0</v>
      </c>
      <c r="C594" s="35" t="s">
        <v>887</v>
      </c>
      <c r="D594" s="35" t="s">
        <v>6201</v>
      </c>
      <c r="E594" s="35" t="s">
        <v>6221</v>
      </c>
      <c r="F594" s="35" t="s">
        <v>9136</v>
      </c>
      <c r="G594" s="41" t="s">
        <v>9138</v>
      </c>
      <c r="H594" s="35" t="s">
        <v>59</v>
      </c>
      <c r="I594" s="35" t="s">
        <v>61</v>
      </c>
      <c r="J594" s="35" t="s">
        <v>62</v>
      </c>
      <c r="K594" s="35" t="s">
        <v>111</v>
      </c>
      <c r="L594" s="35">
        <v>120.0</v>
      </c>
      <c r="M594" s="35" t="s">
        <v>9140</v>
      </c>
      <c r="N594" s="35" t="s">
        <v>66</v>
      </c>
      <c r="O594" s="35" t="s">
        <v>67</v>
      </c>
      <c r="P594" s="35" t="s">
        <v>9141</v>
      </c>
      <c r="Q594" s="64"/>
      <c r="R594" s="167"/>
      <c r="S594" s="52"/>
      <c r="T594" s="64"/>
      <c r="U594" s="35">
        <v>20.0</v>
      </c>
      <c r="V594" s="35" t="s">
        <v>61</v>
      </c>
      <c r="W594" s="35" t="s">
        <v>93</v>
      </c>
      <c r="X594" s="35" t="s">
        <v>9143</v>
      </c>
      <c r="Y594" s="35" t="s">
        <v>9145</v>
      </c>
      <c r="Z594" s="35" t="s">
        <v>9147</v>
      </c>
      <c r="AA594" s="46">
        <v>46023.0</v>
      </c>
      <c r="AB594" s="46">
        <v>46387.0</v>
      </c>
      <c r="AC594" s="35" t="s">
        <v>9148</v>
      </c>
      <c r="AD594" s="35" t="s">
        <v>164</v>
      </c>
      <c r="AE594" s="35" t="s">
        <v>165</v>
      </c>
      <c r="AF594" s="35" t="s">
        <v>9149</v>
      </c>
      <c r="AG594" s="46"/>
    </row>
    <row r="595" ht="44.25" customHeight="1">
      <c r="A595" s="35">
        <v>594.0</v>
      </c>
      <c r="B595" s="52"/>
      <c r="C595" s="35" t="s">
        <v>887</v>
      </c>
      <c r="D595" s="35" t="s">
        <v>2388</v>
      </c>
      <c r="E595" s="35" t="s">
        <v>2391</v>
      </c>
      <c r="F595" s="35" t="s">
        <v>9150</v>
      </c>
      <c r="G595" s="41" t="s">
        <v>9151</v>
      </c>
      <c r="H595" s="35" t="s">
        <v>59</v>
      </c>
      <c r="I595" s="35"/>
      <c r="J595" s="35" t="s">
        <v>62</v>
      </c>
      <c r="K595" s="35" t="s">
        <v>68</v>
      </c>
      <c r="L595" s="35">
        <v>130.0</v>
      </c>
      <c r="M595" s="35" t="s">
        <v>9153</v>
      </c>
      <c r="N595" s="52"/>
      <c r="O595" s="52"/>
      <c r="P595" s="35" t="s">
        <v>1180</v>
      </c>
      <c r="Q595" s="64"/>
      <c r="R595" s="167"/>
      <c r="S595" s="52"/>
      <c r="T595" s="64"/>
      <c r="U595" s="35">
        <v>10.0</v>
      </c>
      <c r="V595" s="52"/>
      <c r="W595" s="35" t="s">
        <v>93</v>
      </c>
      <c r="X595" s="35" t="s">
        <v>9155</v>
      </c>
      <c r="Y595" s="35" t="s">
        <v>9157</v>
      </c>
      <c r="Z595" s="35" t="s">
        <v>9159</v>
      </c>
      <c r="AA595" s="46">
        <v>46023.0</v>
      </c>
      <c r="AB595" s="46">
        <v>46387.0</v>
      </c>
      <c r="AC595" s="35" t="s">
        <v>9161</v>
      </c>
      <c r="AD595" s="35" t="s">
        <v>79</v>
      </c>
      <c r="AE595" s="35"/>
      <c r="AF595" s="35"/>
      <c r="AG595" s="46"/>
    </row>
    <row r="596" ht="44.25" customHeight="1">
      <c r="A596" s="35">
        <v>595.0</v>
      </c>
      <c r="B596" s="35">
        <v>42732.0</v>
      </c>
      <c r="C596" s="35" t="s">
        <v>887</v>
      </c>
      <c r="D596" s="35" t="s">
        <v>2388</v>
      </c>
      <c r="E596" s="35" t="s">
        <v>2391</v>
      </c>
      <c r="F596" s="35" t="s">
        <v>9164</v>
      </c>
      <c r="G596" s="41" t="s">
        <v>9165</v>
      </c>
      <c r="H596" s="35" t="s">
        <v>59</v>
      </c>
      <c r="I596" s="35"/>
      <c r="J596" s="35" t="s">
        <v>62</v>
      </c>
      <c r="K596" s="35" t="s">
        <v>111</v>
      </c>
      <c r="L596" s="35">
        <v>45.0</v>
      </c>
      <c r="M596" s="35" t="s">
        <v>9166</v>
      </c>
      <c r="N596" s="35" t="s">
        <v>66</v>
      </c>
      <c r="O596" s="35" t="s">
        <v>67</v>
      </c>
      <c r="P596" s="35" t="s">
        <v>9167</v>
      </c>
      <c r="Q596" s="64"/>
      <c r="R596" s="167"/>
      <c r="S596" s="52"/>
      <c r="T596" s="64"/>
      <c r="U596" s="35">
        <v>8.0</v>
      </c>
      <c r="V596" s="35" t="s">
        <v>61</v>
      </c>
      <c r="W596" s="35" t="s">
        <v>93</v>
      </c>
      <c r="X596" s="35" t="s">
        <v>9168</v>
      </c>
      <c r="Y596" s="35" t="s">
        <v>9169</v>
      </c>
      <c r="Z596" s="35" t="s">
        <v>9170</v>
      </c>
      <c r="AA596" s="46">
        <v>46023.0</v>
      </c>
      <c r="AB596" s="46">
        <v>46387.0</v>
      </c>
      <c r="AC596" s="35" t="s">
        <v>9171</v>
      </c>
      <c r="AD596" s="35" t="s">
        <v>79</v>
      </c>
      <c r="AE596" s="35"/>
      <c r="AF596" s="35"/>
      <c r="AG596" s="46"/>
    </row>
    <row r="597" ht="44.25" customHeight="1">
      <c r="A597" s="35">
        <v>596.0</v>
      </c>
      <c r="B597" s="35">
        <v>49956.0</v>
      </c>
      <c r="C597" s="35" t="s">
        <v>887</v>
      </c>
      <c r="D597" s="35" t="s">
        <v>2388</v>
      </c>
      <c r="E597" s="35" t="s">
        <v>6398</v>
      </c>
      <c r="F597" s="35" t="s">
        <v>9172</v>
      </c>
      <c r="G597" s="41" t="s">
        <v>9173</v>
      </c>
      <c r="H597" s="35" t="s">
        <v>59</v>
      </c>
      <c r="I597" s="35" t="s">
        <v>61</v>
      </c>
      <c r="J597" s="35" t="s">
        <v>62</v>
      </c>
      <c r="K597" s="35" t="s">
        <v>111</v>
      </c>
      <c r="L597" s="35">
        <v>50.0</v>
      </c>
      <c r="M597" s="35" t="s">
        <v>6373</v>
      </c>
      <c r="N597" s="35" t="s">
        <v>66</v>
      </c>
      <c r="O597" s="35" t="s">
        <v>67</v>
      </c>
      <c r="P597" s="35" t="s">
        <v>9174</v>
      </c>
      <c r="Q597" s="64"/>
      <c r="R597" s="167"/>
      <c r="S597" s="52"/>
      <c r="T597" s="64"/>
      <c r="U597" s="35">
        <v>8.0</v>
      </c>
      <c r="V597" s="35" t="s">
        <v>61</v>
      </c>
      <c r="W597" s="35" t="s">
        <v>93</v>
      </c>
      <c r="X597" s="35" t="s">
        <v>9175</v>
      </c>
      <c r="Y597" s="35">
        <v>9.177163274E9</v>
      </c>
      <c r="Z597" s="35" t="s">
        <v>9176</v>
      </c>
      <c r="AA597" s="46">
        <v>46031.0</v>
      </c>
      <c r="AB597" s="46">
        <v>46387.0</v>
      </c>
      <c r="AC597" s="35" t="s">
        <v>9177</v>
      </c>
      <c r="AD597" s="35" t="s">
        <v>79</v>
      </c>
      <c r="AE597" s="35"/>
      <c r="AF597" s="35"/>
      <c r="AG597" s="46"/>
    </row>
    <row r="598" ht="44.25" customHeight="1">
      <c r="A598" s="35">
        <v>597.0</v>
      </c>
      <c r="B598" s="52"/>
      <c r="C598" s="35" t="s">
        <v>887</v>
      </c>
      <c r="D598" s="35" t="s">
        <v>6115</v>
      </c>
      <c r="E598" s="35" t="s">
        <v>1054</v>
      </c>
      <c r="F598" s="35" t="s">
        <v>9178</v>
      </c>
      <c r="G598" s="41" t="s">
        <v>9179</v>
      </c>
      <c r="H598" s="35" t="s">
        <v>59</v>
      </c>
      <c r="I598" s="35"/>
      <c r="J598" s="35" t="s">
        <v>62</v>
      </c>
      <c r="K598" s="35" t="s">
        <v>63</v>
      </c>
      <c r="L598" s="35">
        <v>28.0</v>
      </c>
      <c r="M598" s="35" t="s">
        <v>1752</v>
      </c>
      <c r="N598" s="35" t="s">
        <v>66</v>
      </c>
      <c r="O598" s="35" t="s">
        <v>67</v>
      </c>
      <c r="P598" s="35" t="s">
        <v>1752</v>
      </c>
      <c r="Q598" s="64"/>
      <c r="R598" s="167"/>
      <c r="S598" s="52"/>
      <c r="T598" s="64"/>
      <c r="U598" s="35" t="s">
        <v>1752</v>
      </c>
      <c r="V598" s="35" t="s">
        <v>61</v>
      </c>
      <c r="W598" s="35" t="s">
        <v>74</v>
      </c>
      <c r="X598" s="35" t="s">
        <v>9180</v>
      </c>
      <c r="Y598" s="35">
        <v>9.656617763E9</v>
      </c>
      <c r="Z598" s="35" t="s">
        <v>9181</v>
      </c>
      <c r="AA598" s="46">
        <v>46023.0</v>
      </c>
      <c r="AB598" s="46">
        <v>46387.0</v>
      </c>
      <c r="AC598" s="35" t="s">
        <v>9182</v>
      </c>
      <c r="AD598" s="35" t="s">
        <v>79</v>
      </c>
      <c r="AE598" s="35"/>
      <c r="AF598" s="35"/>
      <c r="AG598" s="46"/>
    </row>
    <row r="599" ht="44.25" customHeight="1">
      <c r="A599" s="35">
        <v>598.0</v>
      </c>
      <c r="B599" s="52"/>
      <c r="C599" s="35" t="s">
        <v>887</v>
      </c>
      <c r="D599" s="35" t="s">
        <v>2358</v>
      </c>
      <c r="E599" s="35" t="s">
        <v>6314</v>
      </c>
      <c r="F599" s="35" t="s">
        <v>9183</v>
      </c>
      <c r="G599" s="41" t="s">
        <v>9184</v>
      </c>
      <c r="H599" s="35" t="s">
        <v>59</v>
      </c>
      <c r="I599" s="35"/>
      <c r="J599" s="35" t="s">
        <v>62</v>
      </c>
      <c r="K599" s="35" t="s">
        <v>63</v>
      </c>
      <c r="L599" s="35">
        <v>21.0</v>
      </c>
      <c r="M599" s="35" t="s">
        <v>6121</v>
      </c>
      <c r="N599" s="35" t="s">
        <v>66</v>
      </c>
      <c r="O599" s="35" t="s">
        <v>67</v>
      </c>
      <c r="P599" s="35" t="s">
        <v>1752</v>
      </c>
      <c r="Q599" s="64"/>
      <c r="R599" s="167"/>
      <c r="S599" s="52"/>
      <c r="T599" s="64"/>
      <c r="U599" s="35" t="s">
        <v>1752</v>
      </c>
      <c r="V599" s="35" t="s">
        <v>61</v>
      </c>
      <c r="W599" s="35" t="s">
        <v>74</v>
      </c>
      <c r="X599" s="35" t="s">
        <v>9185</v>
      </c>
      <c r="Y599" s="35" t="s">
        <v>9186</v>
      </c>
      <c r="Z599" s="35" t="s">
        <v>9187</v>
      </c>
      <c r="AA599" s="46">
        <v>46141.0</v>
      </c>
      <c r="AB599" s="46">
        <v>46387.0</v>
      </c>
      <c r="AC599" s="35" t="s">
        <v>9188</v>
      </c>
      <c r="AD599" s="35" t="s">
        <v>2346</v>
      </c>
      <c r="AE599" s="35"/>
      <c r="AF599" s="35"/>
      <c r="AG599" s="46"/>
    </row>
    <row r="600" ht="44.25" customHeight="1">
      <c r="A600" s="35">
        <v>599.0</v>
      </c>
      <c r="B600" s="35">
        <v>34462.0</v>
      </c>
      <c r="C600" s="35" t="s">
        <v>949</v>
      </c>
      <c r="D600" s="35" t="s">
        <v>6487</v>
      </c>
      <c r="E600" s="35" t="s">
        <v>9189</v>
      </c>
      <c r="F600" s="35" t="s">
        <v>9190</v>
      </c>
      <c r="G600" s="41" t="s">
        <v>9191</v>
      </c>
      <c r="H600" s="35" t="s">
        <v>59</v>
      </c>
      <c r="I600" s="35" t="s">
        <v>61</v>
      </c>
      <c r="J600" s="35" t="s">
        <v>62</v>
      </c>
      <c r="K600" s="35" t="s">
        <v>63</v>
      </c>
      <c r="L600" s="35">
        <v>31.0</v>
      </c>
      <c r="M600" s="208"/>
      <c r="N600" s="35" t="s">
        <v>66</v>
      </c>
      <c r="O600" s="35" t="s">
        <v>67</v>
      </c>
      <c r="P600" s="208"/>
      <c r="Q600" s="35"/>
      <c r="R600" s="35"/>
      <c r="S600" s="64"/>
      <c r="T600" s="35" t="s">
        <v>9193</v>
      </c>
      <c r="U600" s="35" t="s">
        <v>1752</v>
      </c>
      <c r="V600" s="35" t="s">
        <v>61</v>
      </c>
      <c r="W600" s="35" t="s">
        <v>74</v>
      </c>
      <c r="X600" s="35" t="s">
        <v>9194</v>
      </c>
      <c r="Y600" s="35">
        <v>9.222409549E9</v>
      </c>
      <c r="Z600" s="35" t="s">
        <v>9195</v>
      </c>
      <c r="AA600" s="46">
        <v>46048.0</v>
      </c>
      <c r="AB600" s="46">
        <v>46387.0</v>
      </c>
      <c r="AC600" s="35" t="s">
        <v>9196</v>
      </c>
      <c r="AD600" s="35" t="s">
        <v>79</v>
      </c>
      <c r="AE600" s="35" t="s">
        <v>61</v>
      </c>
      <c r="AF600" s="35"/>
      <c r="AG600" s="46"/>
    </row>
    <row r="601" ht="44.25" customHeight="1">
      <c r="A601" s="35">
        <v>600.0</v>
      </c>
      <c r="B601" s="35">
        <v>23478.0</v>
      </c>
      <c r="C601" s="35" t="s">
        <v>949</v>
      </c>
      <c r="D601" s="35" t="s">
        <v>6487</v>
      </c>
      <c r="E601" s="35" t="s">
        <v>9197</v>
      </c>
      <c r="F601" s="35" t="s">
        <v>9198</v>
      </c>
      <c r="G601" s="41" t="s">
        <v>9199</v>
      </c>
      <c r="H601" s="35" t="s">
        <v>59</v>
      </c>
      <c r="I601" s="35" t="s">
        <v>61</v>
      </c>
      <c r="J601" s="35" t="s">
        <v>62</v>
      </c>
      <c r="K601" s="35" t="s">
        <v>63</v>
      </c>
      <c r="L601" s="35">
        <v>35.0</v>
      </c>
      <c r="M601" s="35" t="s">
        <v>9200</v>
      </c>
      <c r="N601" s="35" t="s">
        <v>66</v>
      </c>
      <c r="O601" s="35" t="s">
        <v>67</v>
      </c>
      <c r="P601" s="35" t="s">
        <v>9201</v>
      </c>
      <c r="Q601" s="52"/>
      <c r="R601" s="35"/>
      <c r="S601" s="52"/>
      <c r="T601" s="64"/>
      <c r="U601" s="35" t="s">
        <v>1752</v>
      </c>
      <c r="V601" s="35" t="s">
        <v>61</v>
      </c>
      <c r="W601" s="35" t="s">
        <v>74</v>
      </c>
      <c r="X601" s="35" t="s">
        <v>9202</v>
      </c>
      <c r="Y601" s="35" t="s">
        <v>6549</v>
      </c>
      <c r="Z601" s="35" t="s">
        <v>9203</v>
      </c>
      <c r="AA601" s="46">
        <v>46048.0</v>
      </c>
      <c r="AB601" s="46">
        <v>46387.0</v>
      </c>
      <c r="AC601" s="35" t="s">
        <v>9204</v>
      </c>
      <c r="AD601" s="35" t="s">
        <v>79</v>
      </c>
      <c r="AE601" s="35" t="s">
        <v>61</v>
      </c>
      <c r="AF601" s="35"/>
      <c r="AG601" s="46"/>
    </row>
    <row r="602" ht="44.25" customHeight="1">
      <c r="A602" s="35">
        <v>601.0</v>
      </c>
      <c r="B602" s="35">
        <v>352.0</v>
      </c>
      <c r="C602" s="35" t="s">
        <v>949</v>
      </c>
      <c r="D602" s="35" t="s">
        <v>2420</v>
      </c>
      <c r="E602" s="35" t="s">
        <v>9205</v>
      </c>
      <c r="F602" s="35" t="s">
        <v>9206</v>
      </c>
      <c r="G602" s="41" t="s">
        <v>9207</v>
      </c>
      <c r="H602" s="35" t="s">
        <v>59</v>
      </c>
      <c r="I602" s="35" t="s">
        <v>61</v>
      </c>
      <c r="J602" s="35" t="s">
        <v>62</v>
      </c>
      <c r="K602" s="35" t="s">
        <v>63</v>
      </c>
      <c r="L602" s="35">
        <v>30.0</v>
      </c>
      <c r="M602" s="208"/>
      <c r="N602" s="35" t="s">
        <v>66</v>
      </c>
      <c r="O602" s="35" t="s">
        <v>67</v>
      </c>
      <c r="P602" s="35" t="s">
        <v>2517</v>
      </c>
      <c r="Q602" s="52"/>
      <c r="R602" s="35"/>
      <c r="S602" s="52"/>
      <c r="T602" s="64"/>
      <c r="U602" s="35" t="s">
        <v>1752</v>
      </c>
      <c r="V602" s="35" t="s">
        <v>61</v>
      </c>
      <c r="W602" s="35" t="s">
        <v>74</v>
      </c>
      <c r="X602" s="35" t="s">
        <v>9208</v>
      </c>
      <c r="Y602" s="35" t="s">
        <v>9209</v>
      </c>
      <c r="Z602" s="35" t="s">
        <v>9210</v>
      </c>
      <c r="AA602" s="46">
        <v>46048.0</v>
      </c>
      <c r="AB602" s="46">
        <v>46387.0</v>
      </c>
      <c r="AC602" s="35" t="s">
        <v>9211</v>
      </c>
      <c r="AD602" s="35" t="s">
        <v>79</v>
      </c>
      <c r="AE602" s="35" t="s">
        <v>61</v>
      </c>
      <c r="AF602" s="35"/>
      <c r="AG602" s="46"/>
    </row>
    <row r="603" ht="44.25" customHeight="1">
      <c r="A603" s="35">
        <v>602.0</v>
      </c>
      <c r="B603" s="35">
        <v>26308.0</v>
      </c>
      <c r="C603" s="35" t="s">
        <v>949</v>
      </c>
      <c r="D603" s="35" t="s">
        <v>2420</v>
      </c>
      <c r="E603" s="35" t="s">
        <v>9205</v>
      </c>
      <c r="F603" s="35" t="s">
        <v>9212</v>
      </c>
      <c r="G603" s="41" t="s">
        <v>9213</v>
      </c>
      <c r="H603" s="35" t="s">
        <v>59</v>
      </c>
      <c r="I603" s="35" t="s">
        <v>61</v>
      </c>
      <c r="J603" s="35" t="s">
        <v>62</v>
      </c>
      <c r="K603" s="35" t="s">
        <v>63</v>
      </c>
      <c r="L603" s="35">
        <v>60.0</v>
      </c>
      <c r="M603" s="35" t="s">
        <v>9214</v>
      </c>
      <c r="N603" s="35" t="s">
        <v>66</v>
      </c>
      <c r="O603" s="35" t="s">
        <v>67</v>
      </c>
      <c r="P603" s="35" t="s">
        <v>9215</v>
      </c>
      <c r="Q603" s="52"/>
      <c r="R603" s="35"/>
      <c r="S603" s="52"/>
      <c r="T603" s="64"/>
      <c r="U603" s="35">
        <v>12.0</v>
      </c>
      <c r="V603" s="35" t="s">
        <v>61</v>
      </c>
      <c r="W603" s="35" t="s">
        <v>74</v>
      </c>
      <c r="X603" s="35" t="s">
        <v>9216</v>
      </c>
      <c r="Y603" s="35" t="s">
        <v>9217</v>
      </c>
      <c r="Z603" s="35" t="s">
        <v>9218</v>
      </c>
      <c r="AA603" s="46">
        <v>46048.0</v>
      </c>
      <c r="AB603" s="46">
        <v>46387.0</v>
      </c>
      <c r="AC603" s="35" t="s">
        <v>9219</v>
      </c>
      <c r="AD603" s="35" t="s">
        <v>79</v>
      </c>
      <c r="AE603" s="35" t="s">
        <v>61</v>
      </c>
      <c r="AF603" s="35"/>
      <c r="AG603" s="46"/>
    </row>
    <row r="604" ht="44.25" customHeight="1">
      <c r="A604" s="35">
        <v>603.0</v>
      </c>
      <c r="B604" s="35">
        <v>2595.0</v>
      </c>
      <c r="C604" s="35" t="s">
        <v>949</v>
      </c>
      <c r="D604" s="35" t="s">
        <v>2420</v>
      </c>
      <c r="E604" s="35" t="s">
        <v>9205</v>
      </c>
      <c r="F604" s="35" t="s">
        <v>9220</v>
      </c>
      <c r="G604" s="41" t="s">
        <v>9221</v>
      </c>
      <c r="H604" s="35" t="s">
        <v>59</v>
      </c>
      <c r="I604" s="35" t="s">
        <v>61</v>
      </c>
      <c r="J604" s="35" t="s">
        <v>62</v>
      </c>
      <c r="K604" s="35" t="s">
        <v>111</v>
      </c>
      <c r="L604" s="35">
        <v>94.0</v>
      </c>
      <c r="M604" s="35" t="s">
        <v>9222</v>
      </c>
      <c r="N604" s="35" t="s">
        <v>66</v>
      </c>
      <c r="O604" s="35" t="s">
        <v>67</v>
      </c>
      <c r="P604" s="208"/>
      <c r="Q604" s="52"/>
      <c r="R604" s="35"/>
      <c r="S604" s="52"/>
      <c r="T604" s="64"/>
      <c r="U604" s="35">
        <v>7.0</v>
      </c>
      <c r="V604" s="35" t="s">
        <v>61</v>
      </c>
      <c r="W604" s="35" t="s">
        <v>74</v>
      </c>
      <c r="X604" s="35" t="s">
        <v>9223</v>
      </c>
      <c r="Y604" s="35" t="s">
        <v>9224</v>
      </c>
      <c r="Z604" s="35" t="s">
        <v>9225</v>
      </c>
      <c r="AA604" s="46">
        <v>46048.0</v>
      </c>
      <c r="AB604" s="46">
        <v>46387.0</v>
      </c>
      <c r="AC604" s="35" t="s">
        <v>9226</v>
      </c>
      <c r="AD604" s="35" t="s">
        <v>79</v>
      </c>
      <c r="AE604" s="35" t="s">
        <v>61</v>
      </c>
      <c r="AF604" s="35"/>
      <c r="AG604" s="46"/>
    </row>
    <row r="605" ht="44.25" customHeight="1">
      <c r="A605" s="35">
        <v>604.0</v>
      </c>
      <c r="B605" s="35">
        <v>4794.0</v>
      </c>
      <c r="C605" s="35" t="s">
        <v>949</v>
      </c>
      <c r="D605" s="35" t="s">
        <v>2420</v>
      </c>
      <c r="E605" s="35" t="s">
        <v>9205</v>
      </c>
      <c r="F605" s="35" t="s">
        <v>9227</v>
      </c>
      <c r="G605" s="41" t="s">
        <v>9228</v>
      </c>
      <c r="H605" s="35" t="s">
        <v>59</v>
      </c>
      <c r="I605" s="35" t="s">
        <v>61</v>
      </c>
      <c r="J605" s="35" t="s">
        <v>62</v>
      </c>
      <c r="K605" s="35" t="s">
        <v>111</v>
      </c>
      <c r="L605" s="35">
        <v>100.0</v>
      </c>
      <c r="M605" s="35" t="s">
        <v>9229</v>
      </c>
      <c r="N605" s="35" t="s">
        <v>66</v>
      </c>
      <c r="O605" s="35" t="s">
        <v>67</v>
      </c>
      <c r="P605" s="35" t="s">
        <v>9230</v>
      </c>
      <c r="Q605" s="52"/>
      <c r="R605" s="35"/>
      <c r="S605" s="52"/>
      <c r="T605" s="64"/>
      <c r="U605" s="35" t="s">
        <v>1752</v>
      </c>
      <c r="V605" s="35" t="s">
        <v>61</v>
      </c>
      <c r="W605" s="35" t="s">
        <v>74</v>
      </c>
      <c r="X605" s="35" t="s">
        <v>9231</v>
      </c>
      <c r="Y605" s="35" t="s">
        <v>9232</v>
      </c>
      <c r="Z605" s="35" t="s">
        <v>9233</v>
      </c>
      <c r="AA605" s="46">
        <v>46048.0</v>
      </c>
      <c r="AB605" s="46">
        <v>46387.0</v>
      </c>
      <c r="AC605" s="35" t="s">
        <v>9234</v>
      </c>
      <c r="AD605" s="35" t="s">
        <v>79</v>
      </c>
      <c r="AE605" s="35" t="s">
        <v>61</v>
      </c>
      <c r="AF605" s="35"/>
      <c r="AG605" s="46"/>
    </row>
    <row r="606" ht="44.25" customHeight="1">
      <c r="A606" s="35">
        <v>605.0</v>
      </c>
      <c r="B606" s="35">
        <v>5224.0</v>
      </c>
      <c r="C606" s="35" t="s">
        <v>949</v>
      </c>
      <c r="D606" s="35" t="s">
        <v>2420</v>
      </c>
      <c r="E606" s="35" t="s">
        <v>9205</v>
      </c>
      <c r="F606" s="35" t="s">
        <v>9235</v>
      </c>
      <c r="G606" s="41" t="s">
        <v>9236</v>
      </c>
      <c r="H606" s="35" t="s">
        <v>59</v>
      </c>
      <c r="I606" s="35" t="s">
        <v>61</v>
      </c>
      <c r="J606" s="35" t="s">
        <v>62</v>
      </c>
      <c r="K606" s="35" t="s">
        <v>63</v>
      </c>
      <c r="L606" s="35">
        <v>30.0</v>
      </c>
      <c r="M606" s="35" t="s">
        <v>6544</v>
      </c>
      <c r="N606" s="35" t="s">
        <v>66</v>
      </c>
      <c r="O606" s="35" t="s">
        <v>67</v>
      </c>
      <c r="P606" s="35" t="s">
        <v>9237</v>
      </c>
      <c r="Q606" s="52"/>
      <c r="R606" s="35"/>
      <c r="S606" s="52"/>
      <c r="T606" s="64"/>
      <c r="U606" s="35" t="s">
        <v>1752</v>
      </c>
      <c r="V606" s="35" t="s">
        <v>61</v>
      </c>
      <c r="W606" s="35" t="s">
        <v>74</v>
      </c>
      <c r="X606" s="35" t="s">
        <v>9238</v>
      </c>
      <c r="Y606" s="35" t="s">
        <v>9239</v>
      </c>
      <c r="Z606" s="35" t="s">
        <v>9240</v>
      </c>
      <c r="AA606" s="46">
        <v>46048.0</v>
      </c>
      <c r="AB606" s="46">
        <v>46387.0</v>
      </c>
      <c r="AC606" s="35" t="s">
        <v>9241</v>
      </c>
      <c r="AD606" s="35" t="s">
        <v>79</v>
      </c>
      <c r="AE606" s="35" t="s">
        <v>61</v>
      </c>
      <c r="AF606" s="35"/>
      <c r="AG606" s="46"/>
    </row>
    <row r="607" ht="44.25" customHeight="1">
      <c r="A607" s="35">
        <v>606.0</v>
      </c>
      <c r="B607" s="35">
        <v>32076.0</v>
      </c>
      <c r="C607" s="35" t="s">
        <v>949</v>
      </c>
      <c r="D607" s="35" t="s">
        <v>2420</v>
      </c>
      <c r="E607" s="35" t="s">
        <v>4082</v>
      </c>
      <c r="F607" s="35" t="s">
        <v>9242</v>
      </c>
      <c r="G607" s="41" t="s">
        <v>9243</v>
      </c>
      <c r="H607" s="35" t="s">
        <v>59</v>
      </c>
      <c r="I607" s="35" t="s">
        <v>61</v>
      </c>
      <c r="J607" s="35" t="s">
        <v>62</v>
      </c>
      <c r="K607" s="35" t="s">
        <v>63</v>
      </c>
      <c r="L607" s="35">
        <v>30.0</v>
      </c>
      <c r="M607" s="35" t="s">
        <v>9244</v>
      </c>
      <c r="N607" s="35" t="s">
        <v>66</v>
      </c>
      <c r="O607" s="35" t="s">
        <v>67</v>
      </c>
      <c r="P607" s="35" t="s">
        <v>9245</v>
      </c>
      <c r="Q607" s="52"/>
      <c r="R607" s="35"/>
      <c r="S607" s="52"/>
      <c r="T607" s="64"/>
      <c r="U607" s="35" t="s">
        <v>1752</v>
      </c>
      <c r="V607" s="35" t="s">
        <v>61</v>
      </c>
      <c r="W607" s="35" t="s">
        <v>74</v>
      </c>
      <c r="X607" s="35" t="s">
        <v>9246</v>
      </c>
      <c r="Y607" s="35">
        <v>9.209458842E9</v>
      </c>
      <c r="Z607" s="35" t="s">
        <v>9247</v>
      </c>
      <c r="AA607" s="46">
        <v>46048.0</v>
      </c>
      <c r="AB607" s="46">
        <v>46387.0</v>
      </c>
      <c r="AC607" s="35" t="s">
        <v>9248</v>
      </c>
      <c r="AD607" s="35" t="s">
        <v>79</v>
      </c>
      <c r="AE607" s="35" t="s">
        <v>61</v>
      </c>
      <c r="AF607" s="35"/>
      <c r="AG607" s="46"/>
    </row>
    <row r="608" ht="44.25" customHeight="1">
      <c r="A608" s="35">
        <v>607.0</v>
      </c>
      <c r="B608" s="35">
        <v>32000.0</v>
      </c>
      <c r="C608" s="35" t="s">
        <v>949</v>
      </c>
      <c r="D608" s="35" t="s">
        <v>2420</v>
      </c>
      <c r="E608" s="35" t="s">
        <v>2421</v>
      </c>
      <c r="F608" s="35" t="s">
        <v>9249</v>
      </c>
      <c r="G608" s="41" t="s">
        <v>9250</v>
      </c>
      <c r="H608" s="35" t="s">
        <v>59</v>
      </c>
      <c r="I608" s="35" t="s">
        <v>61</v>
      </c>
      <c r="J608" s="35" t="s">
        <v>62</v>
      </c>
      <c r="K608" s="35" t="s">
        <v>63</v>
      </c>
      <c r="L608" s="35">
        <v>20.0</v>
      </c>
      <c r="M608" s="35" t="s">
        <v>9251</v>
      </c>
      <c r="N608" s="35" t="s">
        <v>66</v>
      </c>
      <c r="O608" s="35" t="s">
        <v>67</v>
      </c>
      <c r="P608" s="35" t="s">
        <v>9252</v>
      </c>
      <c r="Q608" s="35"/>
      <c r="R608" s="35"/>
      <c r="S608" s="35" t="s">
        <v>61</v>
      </c>
      <c r="T608" s="64"/>
      <c r="U608" s="35" t="s">
        <v>1752</v>
      </c>
      <c r="V608" s="35" t="s">
        <v>61</v>
      </c>
      <c r="W608" s="35" t="s">
        <v>74</v>
      </c>
      <c r="X608" s="35" t="s">
        <v>9253</v>
      </c>
      <c r="Y608" s="35" t="s">
        <v>9254</v>
      </c>
      <c r="Z608" s="35" t="s">
        <v>9255</v>
      </c>
      <c r="AA608" s="46">
        <v>46048.0</v>
      </c>
      <c r="AB608" s="46">
        <v>46387.0</v>
      </c>
      <c r="AC608" s="35" t="s">
        <v>9256</v>
      </c>
      <c r="AD608" s="35" t="s">
        <v>79</v>
      </c>
      <c r="AE608" s="35" t="s">
        <v>61</v>
      </c>
      <c r="AF608" s="35"/>
      <c r="AG608" s="46"/>
    </row>
    <row r="609" ht="44.25" customHeight="1">
      <c r="A609" s="35">
        <v>608.0</v>
      </c>
      <c r="B609" s="35">
        <v>2804.0</v>
      </c>
      <c r="C609" s="35" t="s">
        <v>949</v>
      </c>
      <c r="D609" s="35" t="s">
        <v>2420</v>
      </c>
      <c r="E609" s="35" t="s">
        <v>2421</v>
      </c>
      <c r="F609" s="35" t="s">
        <v>9257</v>
      </c>
      <c r="G609" s="41" t="s">
        <v>9258</v>
      </c>
      <c r="H609" s="35" t="s">
        <v>59</v>
      </c>
      <c r="I609" s="35" t="s">
        <v>61</v>
      </c>
      <c r="J609" s="35" t="s">
        <v>62</v>
      </c>
      <c r="K609" s="35" t="s">
        <v>111</v>
      </c>
      <c r="L609" s="35">
        <v>150.0</v>
      </c>
      <c r="M609" s="35" t="s">
        <v>9259</v>
      </c>
      <c r="N609" s="35" t="s">
        <v>66</v>
      </c>
      <c r="O609" s="35" t="s">
        <v>67</v>
      </c>
      <c r="P609" s="35" t="s">
        <v>9260</v>
      </c>
      <c r="Q609" s="52"/>
      <c r="R609" s="35"/>
      <c r="S609" s="52"/>
      <c r="T609" s="64"/>
      <c r="U609" s="35">
        <v>13.0</v>
      </c>
      <c r="V609" s="35" t="s">
        <v>61</v>
      </c>
      <c r="W609" s="35" t="s">
        <v>74</v>
      </c>
      <c r="X609" s="112" t="s">
        <v>9261</v>
      </c>
      <c r="Y609" s="35" t="s">
        <v>9262</v>
      </c>
      <c r="Z609" s="35" t="s">
        <v>9263</v>
      </c>
      <c r="AA609" s="46">
        <v>46048.0</v>
      </c>
      <c r="AB609" s="46">
        <v>46387.0</v>
      </c>
      <c r="AC609" s="35" t="s">
        <v>9264</v>
      </c>
      <c r="AD609" s="35" t="s">
        <v>79</v>
      </c>
      <c r="AE609" s="35" t="s">
        <v>61</v>
      </c>
      <c r="AF609" s="35"/>
      <c r="AG609" s="46"/>
    </row>
    <row r="610" ht="44.25" customHeight="1">
      <c r="A610" s="35">
        <v>609.0</v>
      </c>
      <c r="B610" s="35">
        <v>4638.0</v>
      </c>
      <c r="C610" s="35" t="s">
        <v>949</v>
      </c>
      <c r="D610" s="35" t="s">
        <v>2420</v>
      </c>
      <c r="E610" s="35" t="s">
        <v>2421</v>
      </c>
      <c r="F610" s="35" t="s">
        <v>9265</v>
      </c>
      <c r="G610" s="41" t="s">
        <v>9266</v>
      </c>
      <c r="H610" s="35" t="s">
        <v>59</v>
      </c>
      <c r="I610" s="35" t="s">
        <v>61</v>
      </c>
      <c r="J610" s="35" t="s">
        <v>62</v>
      </c>
      <c r="K610" s="35" t="s">
        <v>111</v>
      </c>
      <c r="L610" s="35">
        <v>80.0</v>
      </c>
      <c r="M610" s="35" t="s">
        <v>9267</v>
      </c>
      <c r="N610" s="35" t="s">
        <v>66</v>
      </c>
      <c r="O610" s="35" t="s">
        <v>67</v>
      </c>
      <c r="P610" s="35" t="s">
        <v>9268</v>
      </c>
      <c r="Q610" s="52"/>
      <c r="R610" s="35"/>
      <c r="S610" s="52"/>
      <c r="T610" s="64"/>
      <c r="U610" s="35" t="s">
        <v>1752</v>
      </c>
      <c r="V610" s="35" t="s">
        <v>61</v>
      </c>
      <c r="W610" s="35" t="s">
        <v>74</v>
      </c>
      <c r="X610" s="112" t="s">
        <v>9269</v>
      </c>
      <c r="Y610" s="35" t="s">
        <v>9270</v>
      </c>
      <c r="Z610" s="35" t="s">
        <v>9271</v>
      </c>
      <c r="AA610" s="46">
        <v>46048.0</v>
      </c>
      <c r="AB610" s="46">
        <v>46387.0</v>
      </c>
      <c r="AC610" s="35" t="s">
        <v>9272</v>
      </c>
      <c r="AD610" s="35" t="s">
        <v>79</v>
      </c>
      <c r="AE610" s="35" t="s">
        <v>61</v>
      </c>
      <c r="AF610" s="35"/>
      <c r="AG610" s="46"/>
    </row>
    <row r="611" ht="44.25" customHeight="1">
      <c r="A611" s="35">
        <v>610.0</v>
      </c>
      <c r="B611" s="35">
        <v>45561.0</v>
      </c>
      <c r="C611" s="35" t="s">
        <v>949</v>
      </c>
      <c r="D611" s="35" t="s">
        <v>2420</v>
      </c>
      <c r="E611" s="35" t="s">
        <v>2421</v>
      </c>
      <c r="F611" s="35" t="s">
        <v>9273</v>
      </c>
      <c r="G611" s="41" t="s">
        <v>9274</v>
      </c>
      <c r="H611" s="35" t="s">
        <v>59</v>
      </c>
      <c r="I611" s="35" t="s">
        <v>61</v>
      </c>
      <c r="J611" s="35" t="s">
        <v>62</v>
      </c>
      <c r="K611" s="35" t="s">
        <v>111</v>
      </c>
      <c r="L611" s="35">
        <v>100.0</v>
      </c>
      <c r="M611" s="35" t="s">
        <v>9275</v>
      </c>
      <c r="N611" s="35" t="s">
        <v>66</v>
      </c>
      <c r="O611" s="35" t="s">
        <v>67</v>
      </c>
      <c r="P611" s="35" t="s">
        <v>9276</v>
      </c>
      <c r="Q611" s="35"/>
      <c r="R611" s="35"/>
      <c r="S611" s="35" t="s">
        <v>61</v>
      </c>
      <c r="T611" s="64"/>
      <c r="U611" s="35">
        <v>15.0</v>
      </c>
      <c r="V611" s="35" t="s">
        <v>61</v>
      </c>
      <c r="W611" s="35" t="s">
        <v>74</v>
      </c>
      <c r="X611" s="112" t="s">
        <v>9277</v>
      </c>
      <c r="Y611" s="35">
        <v>9.256544636E9</v>
      </c>
      <c r="Z611" s="35" t="s">
        <v>9278</v>
      </c>
      <c r="AA611" s="46">
        <v>46048.0</v>
      </c>
      <c r="AB611" s="46">
        <v>46387.0</v>
      </c>
      <c r="AC611" s="35" t="s">
        <v>9279</v>
      </c>
      <c r="AD611" s="35" t="s">
        <v>79</v>
      </c>
      <c r="AE611" s="35" t="s">
        <v>61</v>
      </c>
      <c r="AF611" s="35"/>
      <c r="AG611" s="46"/>
    </row>
    <row r="612" ht="44.25" customHeight="1">
      <c r="A612" s="35">
        <v>611.0</v>
      </c>
      <c r="B612" s="35">
        <v>50277.0</v>
      </c>
      <c r="C612" s="35" t="s">
        <v>949</v>
      </c>
      <c r="D612" s="35" t="s">
        <v>2420</v>
      </c>
      <c r="E612" s="35" t="s">
        <v>2421</v>
      </c>
      <c r="F612" s="35" t="s">
        <v>9280</v>
      </c>
      <c r="G612" s="41" t="s">
        <v>9281</v>
      </c>
      <c r="H612" s="35" t="s">
        <v>59</v>
      </c>
      <c r="I612" s="208"/>
      <c r="J612" s="35" t="s">
        <v>62</v>
      </c>
      <c r="K612" s="35" t="s">
        <v>111</v>
      </c>
      <c r="L612" s="35">
        <v>74.0</v>
      </c>
      <c r="M612" s="35" t="s">
        <v>9282</v>
      </c>
      <c r="N612" s="35" t="s">
        <v>66</v>
      </c>
      <c r="O612" s="35" t="s">
        <v>67</v>
      </c>
      <c r="P612" s="35" t="s">
        <v>9283</v>
      </c>
      <c r="Q612" s="52"/>
      <c r="R612" s="35"/>
      <c r="S612" s="52"/>
      <c r="T612" s="64"/>
      <c r="U612" s="35">
        <v>2.0</v>
      </c>
      <c r="V612" s="35" t="s">
        <v>61</v>
      </c>
      <c r="W612" s="35" t="s">
        <v>93</v>
      </c>
      <c r="X612" s="35" t="s">
        <v>9284</v>
      </c>
      <c r="Y612" s="35" t="s">
        <v>9285</v>
      </c>
      <c r="Z612" s="35" t="s">
        <v>9286</v>
      </c>
      <c r="AA612" s="46">
        <v>46048.0</v>
      </c>
      <c r="AB612" s="46">
        <v>46387.0</v>
      </c>
      <c r="AC612" s="35" t="s">
        <v>9287</v>
      </c>
      <c r="AD612" s="35" t="s">
        <v>79</v>
      </c>
      <c r="AE612" s="35" t="s">
        <v>61</v>
      </c>
      <c r="AF612" s="35"/>
      <c r="AG612" s="46"/>
    </row>
    <row r="613" ht="44.25" customHeight="1">
      <c r="A613" s="35">
        <v>612.0</v>
      </c>
      <c r="B613" s="35">
        <v>5071.0</v>
      </c>
      <c r="C613" s="35" t="s">
        <v>949</v>
      </c>
      <c r="D613" s="35" t="s">
        <v>2420</v>
      </c>
      <c r="E613" s="35" t="s">
        <v>2421</v>
      </c>
      <c r="F613" s="35" t="s">
        <v>9288</v>
      </c>
      <c r="G613" s="41" t="s">
        <v>9289</v>
      </c>
      <c r="H613" s="35" t="s">
        <v>59</v>
      </c>
      <c r="I613" s="35" t="s">
        <v>61</v>
      </c>
      <c r="J613" s="35" t="s">
        <v>62</v>
      </c>
      <c r="K613" s="35" t="s">
        <v>63</v>
      </c>
      <c r="L613" s="35">
        <v>20.0</v>
      </c>
      <c r="M613" s="35" t="s">
        <v>9290</v>
      </c>
      <c r="N613" s="35" t="s">
        <v>66</v>
      </c>
      <c r="O613" s="35" t="s">
        <v>67</v>
      </c>
      <c r="P613" s="35" t="s">
        <v>2517</v>
      </c>
      <c r="Q613" s="35"/>
      <c r="R613" s="35"/>
      <c r="S613" s="35"/>
      <c r="T613" s="64"/>
      <c r="U613" s="35" t="s">
        <v>1752</v>
      </c>
      <c r="V613" s="35" t="s">
        <v>61</v>
      </c>
      <c r="W613" s="35" t="s">
        <v>74</v>
      </c>
      <c r="X613" s="35" t="s">
        <v>9291</v>
      </c>
      <c r="Y613" s="35" t="s">
        <v>9292</v>
      </c>
      <c r="Z613" s="35" t="s">
        <v>9293</v>
      </c>
      <c r="AA613" s="46">
        <v>46048.0</v>
      </c>
      <c r="AB613" s="46">
        <v>46387.0</v>
      </c>
      <c r="AC613" s="35" t="s">
        <v>9294</v>
      </c>
      <c r="AD613" s="35" t="s">
        <v>79</v>
      </c>
      <c r="AE613" s="35" t="s">
        <v>61</v>
      </c>
      <c r="AF613" s="35"/>
      <c r="AG613" s="46"/>
    </row>
    <row r="614" ht="44.25" customHeight="1">
      <c r="A614" s="35">
        <v>613.0</v>
      </c>
      <c r="B614" s="35">
        <v>325.0</v>
      </c>
      <c r="C614" s="35" t="s">
        <v>949</v>
      </c>
      <c r="D614" s="35" t="s">
        <v>2457</v>
      </c>
      <c r="E614" s="35" t="s">
        <v>9295</v>
      </c>
      <c r="F614" s="35" t="s">
        <v>9296</v>
      </c>
      <c r="G614" s="41" t="s">
        <v>9297</v>
      </c>
      <c r="H614" s="35" t="s">
        <v>59</v>
      </c>
      <c r="I614" s="35" t="s">
        <v>61</v>
      </c>
      <c r="J614" s="35" t="s">
        <v>62</v>
      </c>
      <c r="K614" s="35" t="s">
        <v>63</v>
      </c>
      <c r="L614" s="35">
        <v>24.0</v>
      </c>
      <c r="M614" s="35" t="s">
        <v>9298</v>
      </c>
      <c r="N614" s="35"/>
      <c r="O614" s="35"/>
      <c r="P614" s="35" t="s">
        <v>9299</v>
      </c>
      <c r="Q614" s="52"/>
      <c r="R614" s="35"/>
      <c r="S614" s="52"/>
      <c r="T614" s="64"/>
      <c r="U614" s="35" t="s">
        <v>1752</v>
      </c>
      <c r="V614" s="35" t="s">
        <v>61</v>
      </c>
      <c r="W614" s="35" t="s">
        <v>74</v>
      </c>
      <c r="X614" s="35" t="s">
        <v>9300</v>
      </c>
      <c r="Y614" s="35" t="s">
        <v>9301</v>
      </c>
      <c r="Z614" s="35" t="s">
        <v>9302</v>
      </c>
      <c r="AA614" s="46">
        <v>46048.0</v>
      </c>
      <c r="AB614" s="46">
        <v>46387.0</v>
      </c>
      <c r="AC614" s="35" t="s">
        <v>9303</v>
      </c>
      <c r="AD614" s="35" t="s">
        <v>79</v>
      </c>
      <c r="AE614" s="35" t="s">
        <v>61</v>
      </c>
      <c r="AF614" s="35"/>
      <c r="AG614" s="46"/>
    </row>
    <row r="615" ht="44.25" customHeight="1">
      <c r="A615" s="35">
        <v>614.0</v>
      </c>
      <c r="B615" s="35">
        <v>23477.0</v>
      </c>
      <c r="C615" s="35" t="s">
        <v>949</v>
      </c>
      <c r="D615" s="35" t="s">
        <v>2457</v>
      </c>
      <c r="E615" s="35" t="s">
        <v>9295</v>
      </c>
      <c r="F615" s="35" t="s">
        <v>9304</v>
      </c>
      <c r="G615" s="41" t="s">
        <v>9305</v>
      </c>
      <c r="H615" s="35" t="s">
        <v>59</v>
      </c>
      <c r="I615" s="35" t="s">
        <v>61</v>
      </c>
      <c r="J615" s="35" t="s">
        <v>62</v>
      </c>
      <c r="K615" s="35" t="s">
        <v>63</v>
      </c>
      <c r="L615" s="35">
        <v>52.0</v>
      </c>
      <c r="M615" s="35"/>
      <c r="N615" s="35" t="s">
        <v>66</v>
      </c>
      <c r="O615" s="35" t="s">
        <v>67</v>
      </c>
      <c r="P615" s="35" t="s">
        <v>2517</v>
      </c>
      <c r="Q615" s="52"/>
      <c r="R615" s="35"/>
      <c r="S615" s="52"/>
      <c r="T615" s="64"/>
      <c r="U615" s="35" t="s">
        <v>1752</v>
      </c>
      <c r="V615" s="35" t="s">
        <v>61</v>
      </c>
      <c r="W615" s="35" t="s">
        <v>74</v>
      </c>
      <c r="X615" s="35" t="s">
        <v>9306</v>
      </c>
      <c r="Y615" s="35" t="s">
        <v>9307</v>
      </c>
      <c r="Z615" s="35" t="s">
        <v>9308</v>
      </c>
      <c r="AA615" s="46">
        <v>46048.0</v>
      </c>
      <c r="AB615" s="46">
        <v>46387.0</v>
      </c>
      <c r="AC615" s="35" t="s">
        <v>9309</v>
      </c>
      <c r="AD615" s="35" t="s">
        <v>79</v>
      </c>
      <c r="AE615" s="35" t="s">
        <v>61</v>
      </c>
      <c r="AF615" s="35"/>
      <c r="AG615" s="46"/>
    </row>
    <row r="616" ht="44.25" customHeight="1">
      <c r="A616" s="35">
        <v>615.0</v>
      </c>
      <c r="B616" s="35">
        <v>338.0</v>
      </c>
      <c r="C616" s="35" t="s">
        <v>949</v>
      </c>
      <c r="D616" s="35" t="s">
        <v>2457</v>
      </c>
      <c r="E616" s="35" t="s">
        <v>9295</v>
      </c>
      <c r="F616" s="35" t="s">
        <v>9310</v>
      </c>
      <c r="G616" s="41" t="s">
        <v>9311</v>
      </c>
      <c r="H616" s="35" t="s">
        <v>59</v>
      </c>
      <c r="I616" s="35" t="s">
        <v>61</v>
      </c>
      <c r="J616" s="35" t="s">
        <v>62</v>
      </c>
      <c r="K616" s="35" t="s">
        <v>63</v>
      </c>
      <c r="L616" s="35">
        <v>78.0</v>
      </c>
      <c r="M616" s="208"/>
      <c r="N616" s="35" t="s">
        <v>66</v>
      </c>
      <c r="O616" s="35" t="s">
        <v>67</v>
      </c>
      <c r="P616" s="35" t="s">
        <v>9312</v>
      </c>
      <c r="Q616" s="52"/>
      <c r="R616" s="35"/>
      <c r="S616" s="52"/>
      <c r="T616" s="64"/>
      <c r="U616" s="35" t="s">
        <v>1752</v>
      </c>
      <c r="V616" s="35" t="s">
        <v>61</v>
      </c>
      <c r="W616" s="35" t="s">
        <v>74</v>
      </c>
      <c r="X616" s="35" t="s">
        <v>9313</v>
      </c>
      <c r="Y616" s="35">
        <v>9.518383098E9</v>
      </c>
      <c r="Z616" s="35" t="s">
        <v>9314</v>
      </c>
      <c r="AA616" s="46">
        <v>46048.0</v>
      </c>
      <c r="AB616" s="46">
        <v>46387.0</v>
      </c>
      <c r="AC616" s="35" t="s">
        <v>9315</v>
      </c>
      <c r="AD616" s="35" t="s">
        <v>79</v>
      </c>
      <c r="AE616" s="35" t="s">
        <v>61</v>
      </c>
      <c r="AF616" s="35"/>
      <c r="AG616" s="46"/>
    </row>
    <row r="617" ht="44.25" customHeight="1">
      <c r="A617" s="35">
        <v>616.0</v>
      </c>
      <c r="B617" s="35">
        <v>4076.0</v>
      </c>
      <c r="C617" s="35" t="s">
        <v>949</v>
      </c>
      <c r="D617" s="35" t="s">
        <v>2457</v>
      </c>
      <c r="E617" s="35" t="s">
        <v>2461</v>
      </c>
      <c r="F617" s="35" t="s">
        <v>9316</v>
      </c>
      <c r="G617" s="41" t="s">
        <v>9317</v>
      </c>
      <c r="H617" s="35" t="s">
        <v>59</v>
      </c>
      <c r="I617" s="35" t="s">
        <v>61</v>
      </c>
      <c r="J617" s="35" t="s">
        <v>62</v>
      </c>
      <c r="K617" s="35" t="s">
        <v>111</v>
      </c>
      <c r="L617" s="35">
        <v>75.0</v>
      </c>
      <c r="M617" s="35" t="s">
        <v>9318</v>
      </c>
      <c r="N617" s="35" t="s">
        <v>66</v>
      </c>
      <c r="O617" s="35" t="s">
        <v>67</v>
      </c>
      <c r="P617" s="35" t="s">
        <v>9319</v>
      </c>
      <c r="Q617" s="35"/>
      <c r="R617" s="35"/>
      <c r="S617" s="35" t="s">
        <v>61</v>
      </c>
      <c r="T617" s="64"/>
      <c r="U617" s="35">
        <v>5.0</v>
      </c>
      <c r="V617" s="35" t="s">
        <v>61</v>
      </c>
      <c r="W617" s="35" t="s">
        <v>93</v>
      </c>
      <c r="X617" s="35" t="s">
        <v>9320</v>
      </c>
      <c r="Y617" s="35" t="s">
        <v>9321</v>
      </c>
      <c r="Z617" s="35" t="s">
        <v>9322</v>
      </c>
      <c r="AA617" s="46">
        <v>46048.0</v>
      </c>
      <c r="AB617" s="46">
        <v>46387.0</v>
      </c>
      <c r="AC617" s="35" t="s">
        <v>9323</v>
      </c>
      <c r="AD617" s="35" t="s">
        <v>79</v>
      </c>
      <c r="AE617" s="35" t="s">
        <v>61</v>
      </c>
      <c r="AF617" s="35"/>
      <c r="AG617" s="46"/>
    </row>
    <row r="618" ht="44.25" customHeight="1">
      <c r="A618" s="35">
        <v>617.0</v>
      </c>
      <c r="B618" s="35">
        <v>3049.0</v>
      </c>
      <c r="C618" s="35" t="s">
        <v>949</v>
      </c>
      <c r="D618" s="35" t="s">
        <v>2457</v>
      </c>
      <c r="E618" s="35" t="s">
        <v>2461</v>
      </c>
      <c r="F618" s="35" t="s">
        <v>9324</v>
      </c>
      <c r="G618" s="41" t="s">
        <v>9325</v>
      </c>
      <c r="H618" s="35" t="s">
        <v>59</v>
      </c>
      <c r="I618" s="35" t="s">
        <v>61</v>
      </c>
      <c r="J618" s="35" t="s">
        <v>62</v>
      </c>
      <c r="K618" s="35" t="s">
        <v>111</v>
      </c>
      <c r="L618" s="35">
        <v>160.0</v>
      </c>
      <c r="M618" s="35" t="s">
        <v>9326</v>
      </c>
      <c r="N618" s="35" t="s">
        <v>66</v>
      </c>
      <c r="O618" s="35" t="s">
        <v>67</v>
      </c>
      <c r="P618" s="35">
        <v>1.0</v>
      </c>
      <c r="Q618" s="35"/>
      <c r="R618" s="35"/>
      <c r="S618" s="35"/>
      <c r="T618" s="64"/>
      <c r="U618" s="35" t="s">
        <v>1752</v>
      </c>
      <c r="V618" s="35" t="s">
        <v>61</v>
      </c>
      <c r="W618" s="35" t="s">
        <v>93</v>
      </c>
      <c r="X618" s="35" t="s">
        <v>9327</v>
      </c>
      <c r="Y618" s="35" t="s">
        <v>9328</v>
      </c>
      <c r="Z618" s="35" t="s">
        <v>9329</v>
      </c>
      <c r="AA618" s="46">
        <v>46048.0</v>
      </c>
      <c r="AB618" s="46">
        <v>46387.0</v>
      </c>
      <c r="AC618" s="35" t="s">
        <v>9330</v>
      </c>
      <c r="AD618" s="35" t="s">
        <v>79</v>
      </c>
      <c r="AE618" s="35" t="s">
        <v>61</v>
      </c>
      <c r="AF618" s="35"/>
      <c r="AG618" s="46"/>
    </row>
    <row r="619" ht="44.25" customHeight="1">
      <c r="A619" s="35">
        <v>618.0</v>
      </c>
      <c r="B619" s="35">
        <v>2993.0</v>
      </c>
      <c r="C619" s="35" t="s">
        <v>949</v>
      </c>
      <c r="D619" s="35" t="s">
        <v>2457</v>
      </c>
      <c r="E619" s="35" t="s">
        <v>2461</v>
      </c>
      <c r="F619" s="35" t="s">
        <v>9331</v>
      </c>
      <c r="G619" s="41" t="s">
        <v>9332</v>
      </c>
      <c r="H619" s="35" t="s">
        <v>59</v>
      </c>
      <c r="I619" s="35" t="s">
        <v>61</v>
      </c>
      <c r="J619" s="35" t="s">
        <v>62</v>
      </c>
      <c r="K619" s="35" t="s">
        <v>111</v>
      </c>
      <c r="L619" s="35">
        <v>56.0</v>
      </c>
      <c r="M619" s="35" t="s">
        <v>734</v>
      </c>
      <c r="N619" s="35" t="s">
        <v>66</v>
      </c>
      <c r="O619" s="35" t="s">
        <v>67</v>
      </c>
      <c r="P619" s="35">
        <v>1.0</v>
      </c>
      <c r="Q619" s="52"/>
      <c r="R619" s="35"/>
      <c r="S619" s="52"/>
      <c r="T619" s="64"/>
      <c r="U619" s="35" t="s">
        <v>1752</v>
      </c>
      <c r="V619" s="35" t="s">
        <v>61</v>
      </c>
      <c r="W619" s="35" t="s">
        <v>93</v>
      </c>
      <c r="X619" s="112" t="s">
        <v>9333</v>
      </c>
      <c r="Y619" s="35" t="s">
        <v>9334</v>
      </c>
      <c r="Z619" s="35" t="s">
        <v>9335</v>
      </c>
      <c r="AA619" s="46">
        <v>46048.0</v>
      </c>
      <c r="AB619" s="46">
        <v>46387.0</v>
      </c>
      <c r="AC619" s="35" t="s">
        <v>9336</v>
      </c>
      <c r="AD619" s="35" t="s">
        <v>79</v>
      </c>
      <c r="AE619" s="35" t="s">
        <v>61</v>
      </c>
      <c r="AF619" s="35"/>
      <c r="AG619" s="46"/>
    </row>
    <row r="620" ht="44.25" customHeight="1">
      <c r="A620" s="35">
        <v>619.0</v>
      </c>
      <c r="B620" s="35">
        <v>5288.0</v>
      </c>
      <c r="C620" s="35" t="s">
        <v>949</v>
      </c>
      <c r="D620" s="35" t="s">
        <v>2457</v>
      </c>
      <c r="E620" s="35" t="s">
        <v>2461</v>
      </c>
      <c r="F620" s="35" t="s">
        <v>9337</v>
      </c>
      <c r="G620" s="41" t="s">
        <v>9338</v>
      </c>
      <c r="H620" s="35" t="s">
        <v>59</v>
      </c>
      <c r="I620" s="35"/>
      <c r="J620" s="35" t="s">
        <v>62</v>
      </c>
      <c r="K620" s="35" t="s">
        <v>68</v>
      </c>
      <c r="L620" s="35">
        <v>200.0</v>
      </c>
      <c r="M620" s="35" t="s">
        <v>9339</v>
      </c>
      <c r="N620" s="35" t="s">
        <v>221</v>
      </c>
      <c r="O620" s="35" t="s">
        <v>72</v>
      </c>
      <c r="P620" s="35" t="s">
        <v>9340</v>
      </c>
      <c r="Q620" s="35"/>
      <c r="R620" s="35"/>
      <c r="S620" s="35">
        <v>2.0</v>
      </c>
      <c r="T620" s="64"/>
      <c r="U620" s="35">
        <v>15.0</v>
      </c>
      <c r="V620" s="35"/>
      <c r="W620" s="35" t="s">
        <v>93</v>
      </c>
      <c r="X620" s="35" t="s">
        <v>9341</v>
      </c>
      <c r="Y620" s="35" t="s">
        <v>9342</v>
      </c>
      <c r="Z620" s="35" t="s">
        <v>9343</v>
      </c>
      <c r="AA620" s="46">
        <v>46023.0</v>
      </c>
      <c r="AB620" s="46">
        <v>46387.0</v>
      </c>
      <c r="AC620" s="35" t="s">
        <v>9344</v>
      </c>
      <c r="AD620" s="35" t="s">
        <v>79</v>
      </c>
      <c r="AE620" s="35" t="s">
        <v>61</v>
      </c>
      <c r="AF620" s="35" t="s">
        <v>9345</v>
      </c>
      <c r="AG620" s="46"/>
    </row>
    <row r="621" ht="44.25" customHeight="1">
      <c r="A621" s="35">
        <v>620.0</v>
      </c>
      <c r="B621" s="35">
        <v>31999.0</v>
      </c>
      <c r="C621" s="35" t="s">
        <v>949</v>
      </c>
      <c r="D621" s="35" t="s">
        <v>2457</v>
      </c>
      <c r="E621" s="35" t="s">
        <v>2461</v>
      </c>
      <c r="F621" s="35" t="s">
        <v>9346</v>
      </c>
      <c r="G621" s="41" t="s">
        <v>9347</v>
      </c>
      <c r="H621" s="35" t="s">
        <v>59</v>
      </c>
      <c r="I621" s="35" t="s">
        <v>61</v>
      </c>
      <c r="J621" s="35" t="s">
        <v>663</v>
      </c>
      <c r="K621" s="35" t="s">
        <v>63</v>
      </c>
      <c r="L621" s="35">
        <v>30.0</v>
      </c>
      <c r="M621" s="35"/>
      <c r="N621" s="35" t="s">
        <v>66</v>
      </c>
      <c r="O621" s="35" t="s">
        <v>67</v>
      </c>
      <c r="P621" s="35" t="s">
        <v>9348</v>
      </c>
      <c r="Q621" s="35"/>
      <c r="R621" s="35"/>
      <c r="S621" s="35"/>
      <c r="T621" s="64"/>
      <c r="U621" s="35"/>
      <c r="V621" s="35" t="s">
        <v>61</v>
      </c>
      <c r="W621" s="35" t="s">
        <v>74</v>
      </c>
      <c r="X621" s="35" t="s">
        <v>9349</v>
      </c>
      <c r="Y621" s="35" t="s">
        <v>9350</v>
      </c>
      <c r="Z621" s="35" t="s">
        <v>9351</v>
      </c>
      <c r="AA621" s="46">
        <v>46048.0</v>
      </c>
      <c r="AB621" s="46">
        <v>46387.0</v>
      </c>
      <c r="AC621" s="35" t="s">
        <v>9352</v>
      </c>
      <c r="AD621" s="35" t="s">
        <v>79</v>
      </c>
      <c r="AE621" s="35" t="s">
        <v>61</v>
      </c>
      <c r="AF621" s="35"/>
      <c r="AG621" s="46"/>
    </row>
    <row r="622" ht="44.25" customHeight="1">
      <c r="A622" s="35">
        <v>621.0</v>
      </c>
      <c r="B622" s="35">
        <v>4534.0</v>
      </c>
      <c r="C622" s="35" t="s">
        <v>949</v>
      </c>
      <c r="D622" s="35" t="s">
        <v>2457</v>
      </c>
      <c r="E622" s="35" t="s">
        <v>2461</v>
      </c>
      <c r="F622" s="35" t="s">
        <v>9353</v>
      </c>
      <c r="G622" s="41" t="s">
        <v>9354</v>
      </c>
      <c r="H622" s="35" t="s">
        <v>59</v>
      </c>
      <c r="I622" s="35" t="s">
        <v>61</v>
      </c>
      <c r="J622" s="35" t="s">
        <v>62</v>
      </c>
      <c r="K622" s="35" t="s">
        <v>68</v>
      </c>
      <c r="L622" s="35">
        <v>250.0</v>
      </c>
      <c r="M622" s="35" t="s">
        <v>9355</v>
      </c>
      <c r="N622" s="35" t="s">
        <v>221</v>
      </c>
      <c r="O622" s="35" t="s">
        <v>72</v>
      </c>
      <c r="P622" s="35">
        <v>3.0</v>
      </c>
      <c r="Q622" s="35"/>
      <c r="R622" s="35"/>
      <c r="S622" s="35">
        <v>3.0</v>
      </c>
      <c r="T622" s="64"/>
      <c r="U622" s="35">
        <v>33.0</v>
      </c>
      <c r="V622" s="35"/>
      <c r="W622" s="35" t="s">
        <v>93</v>
      </c>
      <c r="X622" s="35" t="s">
        <v>9356</v>
      </c>
      <c r="Y622" s="35" t="s">
        <v>9357</v>
      </c>
      <c r="Z622" s="35" t="s">
        <v>9358</v>
      </c>
      <c r="AA622" s="46">
        <v>46023.0</v>
      </c>
      <c r="AB622" s="46">
        <v>46387.0</v>
      </c>
      <c r="AC622" s="35" t="s">
        <v>9359</v>
      </c>
      <c r="AD622" s="35" t="s">
        <v>79</v>
      </c>
      <c r="AE622" s="35" t="s">
        <v>61</v>
      </c>
      <c r="AF622" s="35" t="s">
        <v>9360</v>
      </c>
      <c r="AG622" s="46"/>
    </row>
    <row r="623" ht="44.25" customHeight="1">
      <c r="A623" s="35">
        <v>622.0</v>
      </c>
      <c r="B623" s="35">
        <v>5984.0</v>
      </c>
      <c r="C623" s="35" t="s">
        <v>949</v>
      </c>
      <c r="D623" s="35" t="s">
        <v>2457</v>
      </c>
      <c r="E623" s="35" t="s">
        <v>2461</v>
      </c>
      <c r="F623" s="35" t="s">
        <v>9361</v>
      </c>
      <c r="G623" s="41" t="s">
        <v>9362</v>
      </c>
      <c r="H623" s="35" t="s">
        <v>59</v>
      </c>
      <c r="I623" s="35" t="s">
        <v>61</v>
      </c>
      <c r="J623" s="35" t="s">
        <v>62</v>
      </c>
      <c r="K623" s="35" t="s">
        <v>111</v>
      </c>
      <c r="L623" s="35">
        <v>154.0</v>
      </c>
      <c r="M623" s="35" t="s">
        <v>9363</v>
      </c>
      <c r="N623" s="35" t="s">
        <v>66</v>
      </c>
      <c r="O623" s="35" t="s">
        <v>72</v>
      </c>
      <c r="P623" s="35" t="s">
        <v>9364</v>
      </c>
      <c r="Q623" s="35"/>
      <c r="R623" s="35"/>
      <c r="S623" s="35" t="s">
        <v>61</v>
      </c>
      <c r="T623" s="64"/>
      <c r="U623" s="35">
        <v>4.0</v>
      </c>
      <c r="V623" s="35" t="s">
        <v>61</v>
      </c>
      <c r="W623" s="35" t="s">
        <v>93</v>
      </c>
      <c r="X623" s="112" t="s">
        <v>9365</v>
      </c>
      <c r="Y623" s="35" t="s">
        <v>9366</v>
      </c>
      <c r="Z623" s="35" t="s">
        <v>9367</v>
      </c>
      <c r="AA623" s="46">
        <v>46048.0</v>
      </c>
      <c r="AB623" s="46">
        <v>46387.0</v>
      </c>
      <c r="AC623" s="35" t="s">
        <v>9368</v>
      </c>
      <c r="AD623" s="35" t="s">
        <v>79</v>
      </c>
      <c r="AE623" s="35" t="s">
        <v>61</v>
      </c>
      <c r="AF623" s="35"/>
      <c r="AG623" s="46"/>
    </row>
    <row r="624" ht="44.25" customHeight="1">
      <c r="A624" s="35">
        <v>623.0</v>
      </c>
      <c r="B624" s="35">
        <v>377.0</v>
      </c>
      <c r="C624" s="35" t="s">
        <v>949</v>
      </c>
      <c r="D624" s="35" t="s">
        <v>2457</v>
      </c>
      <c r="E624" s="35" t="s">
        <v>2461</v>
      </c>
      <c r="F624" s="35" t="s">
        <v>9369</v>
      </c>
      <c r="G624" s="41" t="s">
        <v>9370</v>
      </c>
      <c r="H624" s="35" t="s">
        <v>59</v>
      </c>
      <c r="I624" s="35" t="s">
        <v>61</v>
      </c>
      <c r="J624" s="35" t="s">
        <v>62</v>
      </c>
      <c r="K624" s="35" t="s">
        <v>63</v>
      </c>
      <c r="L624" s="35">
        <v>46.0</v>
      </c>
      <c r="M624" s="35" t="s">
        <v>9371</v>
      </c>
      <c r="N624" s="35" t="s">
        <v>66</v>
      </c>
      <c r="O624" s="35" t="s">
        <v>67</v>
      </c>
      <c r="P624" s="35" t="s">
        <v>9372</v>
      </c>
      <c r="Q624" s="35"/>
      <c r="R624" s="35"/>
      <c r="S624" s="35" t="s">
        <v>61</v>
      </c>
      <c r="T624" s="64"/>
      <c r="U624" s="35" t="s">
        <v>1752</v>
      </c>
      <c r="V624" s="35" t="s">
        <v>61</v>
      </c>
      <c r="W624" s="35" t="s">
        <v>74</v>
      </c>
      <c r="X624" s="35" t="s">
        <v>9373</v>
      </c>
      <c r="Y624" s="35" t="s">
        <v>9374</v>
      </c>
      <c r="Z624" s="35" t="s">
        <v>9375</v>
      </c>
      <c r="AA624" s="46">
        <v>46048.0</v>
      </c>
      <c r="AB624" s="46">
        <v>46387.0</v>
      </c>
      <c r="AC624" s="35" t="s">
        <v>9376</v>
      </c>
      <c r="AD624" s="35" t="s">
        <v>79</v>
      </c>
      <c r="AE624" s="35" t="s">
        <v>61</v>
      </c>
      <c r="AF624" s="35"/>
      <c r="AG624" s="46"/>
    </row>
    <row r="625" ht="44.25" customHeight="1">
      <c r="A625" s="35">
        <v>624.0</v>
      </c>
      <c r="B625" s="35">
        <v>4926.0</v>
      </c>
      <c r="C625" s="35" t="s">
        <v>949</v>
      </c>
      <c r="D625" s="35" t="s">
        <v>2457</v>
      </c>
      <c r="E625" s="35" t="s">
        <v>2461</v>
      </c>
      <c r="F625" s="35" t="s">
        <v>9377</v>
      </c>
      <c r="G625" s="41" t="s">
        <v>9378</v>
      </c>
      <c r="H625" s="35" t="s">
        <v>59</v>
      </c>
      <c r="I625" s="35" t="s">
        <v>61</v>
      </c>
      <c r="J625" s="35" t="s">
        <v>62</v>
      </c>
      <c r="K625" s="35" t="s">
        <v>111</v>
      </c>
      <c r="L625" s="35">
        <v>30.0</v>
      </c>
      <c r="M625" s="35" t="s">
        <v>9379</v>
      </c>
      <c r="N625" s="35" t="s">
        <v>66</v>
      </c>
      <c r="O625" s="35" t="s">
        <v>67</v>
      </c>
      <c r="P625" s="35" t="s">
        <v>9380</v>
      </c>
      <c r="Q625" s="35"/>
      <c r="R625" s="35"/>
      <c r="S625" s="35" t="s">
        <v>61</v>
      </c>
      <c r="T625" s="64"/>
      <c r="U625" s="35" t="s">
        <v>1752</v>
      </c>
      <c r="V625" s="35" t="s">
        <v>61</v>
      </c>
      <c r="W625" s="35" t="s">
        <v>93</v>
      </c>
      <c r="X625" s="35" t="s">
        <v>9381</v>
      </c>
      <c r="Y625" s="35" t="s">
        <v>9382</v>
      </c>
      <c r="Z625" s="35" t="s">
        <v>9383</v>
      </c>
      <c r="AA625" s="46">
        <v>46048.0</v>
      </c>
      <c r="AB625" s="46">
        <v>46387.0</v>
      </c>
      <c r="AC625" s="35" t="s">
        <v>9384</v>
      </c>
      <c r="AD625" s="35" t="s">
        <v>79</v>
      </c>
      <c r="AE625" s="35" t="s">
        <v>61</v>
      </c>
      <c r="AF625" s="35"/>
      <c r="AG625" s="46"/>
    </row>
    <row r="626" ht="44.25" customHeight="1">
      <c r="A626" s="35">
        <v>625.0</v>
      </c>
      <c r="B626" s="35">
        <v>3672.0</v>
      </c>
      <c r="C626" s="35" t="s">
        <v>949</v>
      </c>
      <c r="D626" s="35" t="s">
        <v>2457</v>
      </c>
      <c r="E626" s="35" t="s">
        <v>2461</v>
      </c>
      <c r="F626" s="35" t="s">
        <v>9385</v>
      </c>
      <c r="G626" s="41" t="s">
        <v>9386</v>
      </c>
      <c r="H626" s="35" t="s">
        <v>59</v>
      </c>
      <c r="I626" s="35" t="s">
        <v>61</v>
      </c>
      <c r="J626" s="35" t="s">
        <v>62</v>
      </c>
      <c r="K626" s="35" t="s">
        <v>63</v>
      </c>
      <c r="L626" s="35">
        <v>18.0</v>
      </c>
      <c r="M626" s="35"/>
      <c r="N626" s="35" t="s">
        <v>66</v>
      </c>
      <c r="O626" s="35" t="s">
        <v>67</v>
      </c>
      <c r="P626" s="35" t="s">
        <v>9387</v>
      </c>
      <c r="Q626" s="35"/>
      <c r="R626" s="35"/>
      <c r="S626" s="35" t="s">
        <v>61</v>
      </c>
      <c r="T626" s="64"/>
      <c r="U626" s="35" t="s">
        <v>1752</v>
      </c>
      <c r="V626" s="35" t="s">
        <v>61</v>
      </c>
      <c r="W626" s="35" t="s">
        <v>74</v>
      </c>
      <c r="X626" s="35" t="s">
        <v>9388</v>
      </c>
      <c r="Y626" s="35" t="s">
        <v>9389</v>
      </c>
      <c r="Z626" s="35" t="s">
        <v>9390</v>
      </c>
      <c r="AA626" s="46">
        <v>46048.0</v>
      </c>
      <c r="AB626" s="46">
        <v>46387.0</v>
      </c>
      <c r="AC626" s="35" t="s">
        <v>9391</v>
      </c>
      <c r="AD626" s="35" t="s">
        <v>79</v>
      </c>
      <c r="AE626" s="35" t="s">
        <v>61</v>
      </c>
      <c r="AF626" s="35"/>
      <c r="AG626" s="46"/>
    </row>
    <row r="627" ht="44.25" customHeight="1">
      <c r="A627" s="35">
        <v>626.0</v>
      </c>
      <c r="B627" s="35">
        <v>2338.0</v>
      </c>
      <c r="C627" s="35" t="s">
        <v>949</v>
      </c>
      <c r="D627" s="35" t="s">
        <v>2457</v>
      </c>
      <c r="E627" s="35" t="s">
        <v>2461</v>
      </c>
      <c r="F627" s="35" t="s">
        <v>9392</v>
      </c>
      <c r="G627" s="41" t="s">
        <v>9393</v>
      </c>
      <c r="H627" s="35" t="s">
        <v>59</v>
      </c>
      <c r="I627" s="35" t="s">
        <v>61</v>
      </c>
      <c r="J627" s="35" t="s">
        <v>62</v>
      </c>
      <c r="K627" s="35" t="s">
        <v>63</v>
      </c>
      <c r="L627" s="35">
        <v>78.0</v>
      </c>
      <c r="M627" s="208"/>
      <c r="N627" s="35" t="s">
        <v>66</v>
      </c>
      <c r="O627" s="35" t="s">
        <v>67</v>
      </c>
      <c r="P627" s="35" t="s">
        <v>9394</v>
      </c>
      <c r="Q627" s="35"/>
      <c r="R627" s="35"/>
      <c r="S627" s="35" t="s">
        <v>61</v>
      </c>
      <c r="T627" s="64"/>
      <c r="U627" s="35" t="s">
        <v>1752</v>
      </c>
      <c r="V627" s="35" t="s">
        <v>61</v>
      </c>
      <c r="W627" s="35" t="s">
        <v>74</v>
      </c>
      <c r="X627" s="35" t="s">
        <v>9395</v>
      </c>
      <c r="Y627" s="35" t="s">
        <v>9396</v>
      </c>
      <c r="Z627" s="35" t="s">
        <v>9397</v>
      </c>
      <c r="AA627" s="46">
        <v>46048.0</v>
      </c>
      <c r="AB627" s="46">
        <v>46387.0</v>
      </c>
      <c r="AC627" s="35" t="s">
        <v>9398</v>
      </c>
      <c r="AD627" s="35" t="s">
        <v>79</v>
      </c>
      <c r="AE627" s="35" t="s">
        <v>61</v>
      </c>
      <c r="AF627" s="35"/>
      <c r="AG627" s="46"/>
    </row>
    <row r="628" ht="44.25" customHeight="1">
      <c r="A628" s="35">
        <v>627.0</v>
      </c>
      <c r="B628" s="35">
        <v>40242.0</v>
      </c>
      <c r="C628" s="35" t="s">
        <v>949</v>
      </c>
      <c r="D628" s="35" t="s">
        <v>2457</v>
      </c>
      <c r="E628" s="35" t="s">
        <v>2461</v>
      </c>
      <c r="F628" s="35" t="s">
        <v>9399</v>
      </c>
      <c r="G628" s="41" t="s">
        <v>9400</v>
      </c>
      <c r="H628" s="35" t="s">
        <v>59</v>
      </c>
      <c r="I628" s="35" t="s">
        <v>61</v>
      </c>
      <c r="J628" s="35" t="s">
        <v>62</v>
      </c>
      <c r="K628" s="35" t="s">
        <v>111</v>
      </c>
      <c r="L628" s="35">
        <v>100.0</v>
      </c>
      <c r="M628" s="35" t="s">
        <v>9401</v>
      </c>
      <c r="N628" s="35" t="s">
        <v>66</v>
      </c>
      <c r="O628" s="35" t="s">
        <v>67</v>
      </c>
      <c r="P628" s="35" t="s">
        <v>9402</v>
      </c>
      <c r="Q628" s="35"/>
      <c r="R628" s="35"/>
      <c r="S628" s="35"/>
      <c r="T628" s="64"/>
      <c r="U628" s="35">
        <v>20.0</v>
      </c>
      <c r="V628" s="35" t="s">
        <v>61</v>
      </c>
      <c r="W628" s="35" t="s">
        <v>93</v>
      </c>
      <c r="X628" s="35" t="s">
        <v>9403</v>
      </c>
      <c r="Y628" s="35">
        <v>9.486334368E9</v>
      </c>
      <c r="Z628" s="35" t="s">
        <v>9404</v>
      </c>
      <c r="AA628" s="46">
        <v>46048.0</v>
      </c>
      <c r="AB628" s="46">
        <v>46387.0</v>
      </c>
      <c r="AC628" s="35" t="s">
        <v>9405</v>
      </c>
      <c r="AD628" s="35" t="s">
        <v>79</v>
      </c>
      <c r="AE628" s="35" t="s">
        <v>61</v>
      </c>
      <c r="AF628" s="35"/>
      <c r="AG628" s="46"/>
    </row>
    <row r="629" ht="44.25" customHeight="1">
      <c r="A629" s="35">
        <v>628.0</v>
      </c>
      <c r="B629" s="35">
        <v>2156.0</v>
      </c>
      <c r="C629" s="35" t="s">
        <v>949</v>
      </c>
      <c r="D629" s="35" t="s">
        <v>2457</v>
      </c>
      <c r="E629" s="35" t="s">
        <v>2461</v>
      </c>
      <c r="F629" s="35" t="s">
        <v>9406</v>
      </c>
      <c r="G629" s="41" t="s">
        <v>9407</v>
      </c>
      <c r="H629" s="35" t="s">
        <v>59</v>
      </c>
      <c r="I629" s="35" t="s">
        <v>61</v>
      </c>
      <c r="J629" s="35" t="s">
        <v>62</v>
      </c>
      <c r="K629" s="35" t="s">
        <v>63</v>
      </c>
      <c r="L629" s="35">
        <v>36.0</v>
      </c>
      <c r="M629" s="35" t="s">
        <v>9408</v>
      </c>
      <c r="N629" s="35" t="s">
        <v>66</v>
      </c>
      <c r="O629" s="35" t="s">
        <v>67</v>
      </c>
      <c r="P629" s="35" t="s">
        <v>9409</v>
      </c>
      <c r="Q629" s="52"/>
      <c r="R629" s="35"/>
      <c r="S629" s="52"/>
      <c r="T629" s="64"/>
      <c r="U629" s="35">
        <v>16.0</v>
      </c>
      <c r="V629" s="35" t="s">
        <v>61</v>
      </c>
      <c r="W629" s="35" t="s">
        <v>74</v>
      </c>
      <c r="X629" s="35" t="s">
        <v>9410</v>
      </c>
      <c r="Y629" s="35" t="s">
        <v>9411</v>
      </c>
      <c r="Z629" s="35" t="s">
        <v>9412</v>
      </c>
      <c r="AA629" s="46">
        <v>46048.0</v>
      </c>
      <c r="AB629" s="46">
        <v>46387.0</v>
      </c>
      <c r="AC629" s="35" t="s">
        <v>9413</v>
      </c>
      <c r="AD629" s="35" t="s">
        <v>79</v>
      </c>
      <c r="AE629" s="35" t="s">
        <v>61</v>
      </c>
      <c r="AF629" s="35"/>
      <c r="AG629" s="46"/>
    </row>
    <row r="630" ht="44.25" customHeight="1">
      <c r="A630" s="35">
        <v>629.0</v>
      </c>
      <c r="B630" s="35">
        <v>3751.0</v>
      </c>
      <c r="C630" s="35" t="s">
        <v>949</v>
      </c>
      <c r="D630" s="35" t="s">
        <v>2457</v>
      </c>
      <c r="E630" s="35" t="s">
        <v>2461</v>
      </c>
      <c r="F630" s="35" t="s">
        <v>9414</v>
      </c>
      <c r="G630" s="41" t="s">
        <v>9415</v>
      </c>
      <c r="H630" s="35" t="s">
        <v>59</v>
      </c>
      <c r="I630" s="35" t="s">
        <v>61</v>
      </c>
      <c r="J630" s="35" t="s">
        <v>62</v>
      </c>
      <c r="K630" s="35" t="s">
        <v>111</v>
      </c>
      <c r="L630" s="35">
        <v>45.0</v>
      </c>
      <c r="M630" s="35" t="s">
        <v>734</v>
      </c>
      <c r="N630" s="35" t="s">
        <v>66</v>
      </c>
      <c r="O630" s="35" t="s">
        <v>67</v>
      </c>
      <c r="P630" s="35" t="s">
        <v>9416</v>
      </c>
      <c r="Q630" s="35"/>
      <c r="R630" s="35"/>
      <c r="S630" s="35" t="s">
        <v>61</v>
      </c>
      <c r="T630" s="64"/>
      <c r="U630" s="35">
        <v>7.0</v>
      </c>
      <c r="V630" s="35" t="s">
        <v>61</v>
      </c>
      <c r="W630" s="35" t="s">
        <v>93</v>
      </c>
      <c r="X630" s="35" t="s">
        <v>9417</v>
      </c>
      <c r="Y630" s="35" t="s">
        <v>9418</v>
      </c>
      <c r="Z630" s="35" t="s">
        <v>9419</v>
      </c>
      <c r="AA630" s="46">
        <v>46048.0</v>
      </c>
      <c r="AB630" s="46">
        <v>46387.0</v>
      </c>
      <c r="AC630" s="35" t="s">
        <v>9420</v>
      </c>
      <c r="AD630" s="35" t="s">
        <v>79</v>
      </c>
      <c r="AE630" s="35" t="s">
        <v>61</v>
      </c>
      <c r="AF630" s="35"/>
      <c r="AG630" s="46"/>
    </row>
    <row r="631" ht="44.25" customHeight="1">
      <c r="A631" s="35">
        <v>630.0</v>
      </c>
      <c r="B631" s="35">
        <v>27955.0</v>
      </c>
      <c r="C631" s="35" t="s">
        <v>949</v>
      </c>
      <c r="D631" s="35" t="s">
        <v>2457</v>
      </c>
      <c r="E631" s="35" t="s">
        <v>2461</v>
      </c>
      <c r="F631" s="35" t="s">
        <v>9421</v>
      </c>
      <c r="G631" s="41" t="s">
        <v>9422</v>
      </c>
      <c r="H631" s="35" t="s">
        <v>59</v>
      </c>
      <c r="I631" s="35" t="s">
        <v>61</v>
      </c>
      <c r="J631" s="35" t="s">
        <v>62</v>
      </c>
      <c r="K631" s="35" t="s">
        <v>111</v>
      </c>
      <c r="L631" s="35">
        <v>135.0</v>
      </c>
      <c r="M631" s="35" t="s">
        <v>9423</v>
      </c>
      <c r="N631" s="35" t="s">
        <v>66</v>
      </c>
      <c r="O631" s="35" t="s">
        <v>67</v>
      </c>
      <c r="P631" s="35" t="s">
        <v>9424</v>
      </c>
      <c r="Q631" s="35"/>
      <c r="R631" s="35"/>
      <c r="S631" s="35"/>
      <c r="T631" s="64"/>
      <c r="U631" s="35" t="s">
        <v>1752</v>
      </c>
      <c r="V631" s="35" t="s">
        <v>533</v>
      </c>
      <c r="W631" s="35" t="s">
        <v>93</v>
      </c>
      <c r="X631" s="112" t="s">
        <v>9425</v>
      </c>
      <c r="Y631" s="35" t="s">
        <v>9426</v>
      </c>
      <c r="Z631" s="35" t="s">
        <v>9427</v>
      </c>
      <c r="AA631" s="46">
        <v>46048.0</v>
      </c>
      <c r="AB631" s="46">
        <v>46387.0</v>
      </c>
      <c r="AC631" s="35" t="s">
        <v>9428</v>
      </c>
      <c r="AD631" s="35" t="s">
        <v>79</v>
      </c>
      <c r="AE631" s="35" t="s">
        <v>61</v>
      </c>
      <c r="AF631" s="35"/>
      <c r="AG631" s="46"/>
    </row>
    <row r="632" ht="44.25" customHeight="1">
      <c r="A632" s="35">
        <v>631.0</v>
      </c>
      <c r="B632" s="35">
        <v>5811.0</v>
      </c>
      <c r="C632" s="35" t="s">
        <v>949</v>
      </c>
      <c r="D632" s="35" t="s">
        <v>2457</v>
      </c>
      <c r="E632" s="35" t="s">
        <v>2461</v>
      </c>
      <c r="F632" s="35" t="s">
        <v>9429</v>
      </c>
      <c r="G632" s="41" t="s">
        <v>9430</v>
      </c>
      <c r="H632" s="35" t="s">
        <v>59</v>
      </c>
      <c r="I632" s="35" t="s">
        <v>61</v>
      </c>
      <c r="J632" s="35" t="s">
        <v>62</v>
      </c>
      <c r="K632" s="35" t="s">
        <v>111</v>
      </c>
      <c r="L632" s="35">
        <v>85.0</v>
      </c>
      <c r="M632" s="35" t="s">
        <v>734</v>
      </c>
      <c r="N632" s="35" t="s">
        <v>66</v>
      </c>
      <c r="O632" s="35" t="s">
        <v>67</v>
      </c>
      <c r="P632" s="35" t="s">
        <v>9431</v>
      </c>
      <c r="Q632" s="52"/>
      <c r="R632" s="35"/>
      <c r="S632" s="52"/>
      <c r="T632" s="64"/>
      <c r="U632" s="35">
        <v>3.0</v>
      </c>
      <c r="V632" s="35" t="s">
        <v>61</v>
      </c>
      <c r="W632" s="35" t="s">
        <v>93</v>
      </c>
      <c r="X632" s="35" t="s">
        <v>9432</v>
      </c>
      <c r="Y632" s="35" t="s">
        <v>9433</v>
      </c>
      <c r="Z632" s="35" t="s">
        <v>9434</v>
      </c>
      <c r="AA632" s="46">
        <v>46048.0</v>
      </c>
      <c r="AB632" s="46">
        <v>46387.0</v>
      </c>
      <c r="AC632" s="35" t="s">
        <v>9435</v>
      </c>
      <c r="AD632" s="35" t="s">
        <v>79</v>
      </c>
      <c r="AE632" s="35" t="s">
        <v>61</v>
      </c>
      <c r="AF632" s="35"/>
      <c r="AG632" s="46"/>
    </row>
    <row r="633" ht="44.25" customHeight="1">
      <c r="A633" s="35">
        <v>632.0</v>
      </c>
      <c r="B633" s="35">
        <v>1989.0</v>
      </c>
      <c r="C633" s="35" t="s">
        <v>949</v>
      </c>
      <c r="D633" s="35" t="s">
        <v>2457</v>
      </c>
      <c r="E633" s="35" t="s">
        <v>2461</v>
      </c>
      <c r="F633" s="35" t="s">
        <v>9436</v>
      </c>
      <c r="G633" s="41" t="s">
        <v>9437</v>
      </c>
      <c r="H633" s="35" t="s">
        <v>59</v>
      </c>
      <c r="I633" s="35" t="s">
        <v>61</v>
      </c>
      <c r="J633" s="35" t="s">
        <v>62</v>
      </c>
      <c r="K633" s="35" t="s">
        <v>68</v>
      </c>
      <c r="L633" s="35">
        <v>250.0</v>
      </c>
      <c r="M633" s="35" t="s">
        <v>9438</v>
      </c>
      <c r="N633" s="35" t="s">
        <v>221</v>
      </c>
      <c r="O633" s="35"/>
      <c r="P633" s="35">
        <v>1.0</v>
      </c>
      <c r="Q633" s="35"/>
      <c r="R633" s="35"/>
      <c r="S633" s="35">
        <v>1.0</v>
      </c>
      <c r="T633" s="64"/>
      <c r="U633" s="35">
        <v>18.0</v>
      </c>
      <c r="V633" s="35"/>
      <c r="W633" s="35" t="s">
        <v>93</v>
      </c>
      <c r="X633" s="35" t="s">
        <v>9439</v>
      </c>
      <c r="Y633" s="35" t="s">
        <v>9440</v>
      </c>
      <c r="Z633" s="35" t="s">
        <v>9441</v>
      </c>
      <c r="AA633" s="46">
        <v>46023.0</v>
      </c>
      <c r="AB633" s="46">
        <v>46387.0</v>
      </c>
      <c r="AC633" s="35" t="s">
        <v>9442</v>
      </c>
      <c r="AD633" s="35" t="s">
        <v>79</v>
      </c>
      <c r="AE633" s="35" t="s">
        <v>61</v>
      </c>
      <c r="AF633" s="35"/>
      <c r="AG633" s="46"/>
    </row>
    <row r="634" ht="44.25" customHeight="1">
      <c r="A634" s="35">
        <v>633.0</v>
      </c>
      <c r="B634" s="35">
        <v>45826.0</v>
      </c>
      <c r="C634" s="35" t="s">
        <v>949</v>
      </c>
      <c r="D634" s="35" t="s">
        <v>2457</v>
      </c>
      <c r="E634" s="35" t="s">
        <v>2461</v>
      </c>
      <c r="F634" s="35" t="s">
        <v>9443</v>
      </c>
      <c r="G634" s="41" t="s">
        <v>9444</v>
      </c>
      <c r="H634" s="35" t="s">
        <v>59</v>
      </c>
      <c r="I634" s="35" t="s">
        <v>61</v>
      </c>
      <c r="J634" s="35" t="s">
        <v>62</v>
      </c>
      <c r="K634" s="35" t="s">
        <v>111</v>
      </c>
      <c r="L634" s="35">
        <v>50.0</v>
      </c>
      <c r="M634" s="35" t="s">
        <v>9445</v>
      </c>
      <c r="N634" s="35" t="s">
        <v>66</v>
      </c>
      <c r="O634" s="35" t="s">
        <v>67</v>
      </c>
      <c r="P634" s="35" t="s">
        <v>9446</v>
      </c>
      <c r="Q634" s="52"/>
      <c r="R634" s="35"/>
      <c r="S634" s="35"/>
      <c r="T634" s="52"/>
      <c r="U634" s="35">
        <v>4.0</v>
      </c>
      <c r="V634" s="35" t="s">
        <v>533</v>
      </c>
      <c r="W634" s="35" t="s">
        <v>93</v>
      </c>
      <c r="X634" s="35" t="s">
        <v>9447</v>
      </c>
      <c r="Y634" s="35" t="s">
        <v>9448</v>
      </c>
      <c r="Z634" s="35" t="s">
        <v>2486</v>
      </c>
      <c r="AA634" s="46">
        <v>46048.0</v>
      </c>
      <c r="AB634" s="46">
        <v>46387.0</v>
      </c>
      <c r="AC634" s="35" t="s">
        <v>9449</v>
      </c>
      <c r="AD634" s="35" t="s">
        <v>79</v>
      </c>
      <c r="AE634" s="35" t="s">
        <v>61</v>
      </c>
      <c r="AF634" s="35"/>
      <c r="AG634" s="46"/>
    </row>
    <row r="635" ht="44.25" customHeight="1">
      <c r="A635" s="35">
        <v>634.0</v>
      </c>
      <c r="B635" s="35">
        <v>2479.0</v>
      </c>
      <c r="C635" s="35" t="s">
        <v>949</v>
      </c>
      <c r="D635" s="35" t="s">
        <v>2457</v>
      </c>
      <c r="E635" s="35" t="s">
        <v>6645</v>
      </c>
      <c r="F635" s="35" t="s">
        <v>9450</v>
      </c>
      <c r="G635" s="41" t="s">
        <v>9451</v>
      </c>
      <c r="H635" s="35" t="s">
        <v>59</v>
      </c>
      <c r="I635" s="35" t="s">
        <v>61</v>
      </c>
      <c r="J635" s="35" t="s">
        <v>62</v>
      </c>
      <c r="K635" s="35" t="s">
        <v>111</v>
      </c>
      <c r="L635" s="35">
        <v>114.0</v>
      </c>
      <c r="M635" s="35" t="s">
        <v>9452</v>
      </c>
      <c r="N635" s="35" t="s">
        <v>66</v>
      </c>
      <c r="O635" s="35" t="s">
        <v>67</v>
      </c>
      <c r="P635" s="35">
        <v>1.0</v>
      </c>
      <c r="Q635" s="52"/>
      <c r="R635" s="35"/>
      <c r="S635" s="35"/>
      <c r="T635" s="52"/>
      <c r="U635" s="35">
        <v>15.0</v>
      </c>
      <c r="V635" s="35" t="s">
        <v>61</v>
      </c>
      <c r="W635" s="35" t="s">
        <v>93</v>
      </c>
      <c r="X635" s="35" t="s">
        <v>9453</v>
      </c>
      <c r="Y635" s="35" t="s">
        <v>9454</v>
      </c>
      <c r="Z635" s="35" t="s">
        <v>9455</v>
      </c>
      <c r="AA635" s="46">
        <v>46048.0</v>
      </c>
      <c r="AB635" s="46">
        <v>46387.0</v>
      </c>
      <c r="AC635" s="35" t="s">
        <v>9456</v>
      </c>
      <c r="AD635" s="35" t="s">
        <v>79</v>
      </c>
      <c r="AE635" s="35" t="s">
        <v>61</v>
      </c>
      <c r="AF635" s="35"/>
      <c r="AG635" s="46"/>
    </row>
    <row r="636" ht="44.25" customHeight="1">
      <c r="A636" s="35">
        <v>635.0</v>
      </c>
      <c r="B636" s="35"/>
      <c r="C636" s="35" t="s">
        <v>949</v>
      </c>
      <c r="D636" s="35" t="s">
        <v>2457</v>
      </c>
      <c r="E636" s="35" t="s">
        <v>6645</v>
      </c>
      <c r="F636" s="35" t="s">
        <v>9457</v>
      </c>
      <c r="G636" s="41" t="s">
        <v>9458</v>
      </c>
      <c r="H636" s="35" t="s">
        <v>59</v>
      </c>
      <c r="I636" s="35" t="s">
        <v>61</v>
      </c>
      <c r="J636" s="35" t="s">
        <v>62</v>
      </c>
      <c r="K636" s="35" t="s">
        <v>111</v>
      </c>
      <c r="L636" s="35">
        <v>100.0</v>
      </c>
      <c r="M636" s="35" t="s">
        <v>9459</v>
      </c>
      <c r="N636" s="35" t="s">
        <v>66</v>
      </c>
      <c r="O636" s="35" t="s">
        <v>67</v>
      </c>
      <c r="P636" s="35" t="s">
        <v>9460</v>
      </c>
      <c r="Q636" s="52"/>
      <c r="R636" s="35"/>
      <c r="S636" s="35"/>
      <c r="T636" s="52"/>
      <c r="U636" s="35">
        <v>15.0</v>
      </c>
      <c r="V636" s="35" t="s">
        <v>61</v>
      </c>
      <c r="W636" s="35" t="s">
        <v>93</v>
      </c>
      <c r="X636" s="35" t="s">
        <v>9461</v>
      </c>
      <c r="Y636" s="35">
        <v>9.177017303E9</v>
      </c>
      <c r="Z636" s="35" t="s">
        <v>9462</v>
      </c>
      <c r="AA636" s="46">
        <v>46048.0</v>
      </c>
      <c r="AB636" s="46">
        <v>46387.0</v>
      </c>
      <c r="AC636" s="35" t="s">
        <v>9463</v>
      </c>
      <c r="AD636" s="35" t="s">
        <v>79</v>
      </c>
      <c r="AE636" s="35" t="s">
        <v>61</v>
      </c>
      <c r="AF636" s="35"/>
      <c r="AG636" s="46"/>
    </row>
    <row r="637" ht="44.25" customHeight="1">
      <c r="A637" s="35">
        <v>636.0</v>
      </c>
      <c r="B637" s="35">
        <v>5333.0</v>
      </c>
      <c r="C637" s="35" t="s">
        <v>949</v>
      </c>
      <c r="D637" s="35" t="s">
        <v>2457</v>
      </c>
      <c r="E637" s="35" t="s">
        <v>6645</v>
      </c>
      <c r="F637" s="35" t="s">
        <v>9464</v>
      </c>
      <c r="G637" s="41" t="s">
        <v>9465</v>
      </c>
      <c r="H637" s="35" t="s">
        <v>59</v>
      </c>
      <c r="I637" s="35" t="s">
        <v>61</v>
      </c>
      <c r="J637" s="35" t="s">
        <v>62</v>
      </c>
      <c r="K637" s="35" t="s">
        <v>111</v>
      </c>
      <c r="L637" s="35">
        <v>147.0</v>
      </c>
      <c r="M637" s="35" t="s">
        <v>9466</v>
      </c>
      <c r="N637" s="35"/>
      <c r="O637" s="35" t="s">
        <v>67</v>
      </c>
      <c r="P637" s="35" t="s">
        <v>9467</v>
      </c>
      <c r="Q637" s="52"/>
      <c r="R637" s="35"/>
      <c r="S637" s="35"/>
      <c r="T637" s="52"/>
      <c r="U637" s="35">
        <v>12.0</v>
      </c>
      <c r="V637" s="35" t="s">
        <v>61</v>
      </c>
      <c r="W637" s="35" t="s">
        <v>93</v>
      </c>
      <c r="X637" s="35" t="s">
        <v>9468</v>
      </c>
      <c r="Y637" s="35" t="s">
        <v>9469</v>
      </c>
      <c r="Z637" s="35" t="s">
        <v>9470</v>
      </c>
      <c r="AA637" s="46">
        <v>46048.0</v>
      </c>
      <c r="AB637" s="46">
        <v>46387.0</v>
      </c>
      <c r="AC637" s="35" t="s">
        <v>9471</v>
      </c>
      <c r="AD637" s="35" t="s">
        <v>79</v>
      </c>
      <c r="AE637" s="35" t="s">
        <v>61</v>
      </c>
      <c r="AF637" s="35"/>
      <c r="AG637" s="46"/>
    </row>
    <row r="638" ht="44.25" customHeight="1">
      <c r="A638" s="35">
        <v>637.0</v>
      </c>
      <c r="B638" s="35">
        <v>47914.0</v>
      </c>
      <c r="C638" s="35" t="s">
        <v>949</v>
      </c>
      <c r="D638" s="35" t="s">
        <v>2457</v>
      </c>
      <c r="E638" s="35" t="s">
        <v>6645</v>
      </c>
      <c r="F638" s="35" t="s">
        <v>9472</v>
      </c>
      <c r="G638" s="41" t="s">
        <v>9473</v>
      </c>
      <c r="H638" s="35" t="s">
        <v>59</v>
      </c>
      <c r="I638" s="35" t="s">
        <v>61</v>
      </c>
      <c r="J638" s="35" t="s">
        <v>62</v>
      </c>
      <c r="K638" s="35" t="s">
        <v>63</v>
      </c>
      <c r="L638" s="35">
        <v>35.0</v>
      </c>
      <c r="M638" s="35" t="s">
        <v>9474</v>
      </c>
      <c r="N638" s="35" t="s">
        <v>66</v>
      </c>
      <c r="O638" s="35" t="s">
        <v>67</v>
      </c>
      <c r="P638" s="35" t="s">
        <v>9475</v>
      </c>
      <c r="Q638" s="52"/>
      <c r="R638" s="35"/>
      <c r="S638" s="35"/>
      <c r="T638" s="52"/>
      <c r="U638" s="35" t="s">
        <v>1752</v>
      </c>
      <c r="V638" s="35" t="s">
        <v>61</v>
      </c>
      <c r="W638" s="35" t="s">
        <v>74</v>
      </c>
      <c r="X638" s="35" t="s">
        <v>9476</v>
      </c>
      <c r="Y638" s="35" t="s">
        <v>9477</v>
      </c>
      <c r="Z638" s="35"/>
      <c r="AA638" s="46">
        <v>46048.0</v>
      </c>
      <c r="AB638" s="46">
        <v>46387.0</v>
      </c>
      <c r="AC638" s="35" t="s">
        <v>9478</v>
      </c>
      <c r="AD638" s="35" t="s">
        <v>79</v>
      </c>
      <c r="AE638" s="35" t="s">
        <v>61</v>
      </c>
      <c r="AF638" s="35"/>
      <c r="AG638" s="46"/>
    </row>
    <row r="639" ht="44.25" customHeight="1">
      <c r="A639" s="35">
        <v>638.0</v>
      </c>
      <c r="B639" s="35">
        <v>387.0</v>
      </c>
      <c r="C639" s="35" t="s">
        <v>949</v>
      </c>
      <c r="D639" s="35" t="s">
        <v>2457</v>
      </c>
      <c r="E639" s="35" t="s">
        <v>6645</v>
      </c>
      <c r="F639" s="35" t="s">
        <v>9479</v>
      </c>
      <c r="G639" s="41" t="s">
        <v>9480</v>
      </c>
      <c r="H639" s="35" t="s">
        <v>59</v>
      </c>
      <c r="I639" s="35" t="s">
        <v>61</v>
      </c>
      <c r="J639" s="35" t="s">
        <v>62</v>
      </c>
      <c r="K639" s="35" t="s">
        <v>63</v>
      </c>
      <c r="L639" s="35">
        <v>70.0</v>
      </c>
      <c r="M639" s="35" t="s">
        <v>956</v>
      </c>
      <c r="N639" s="35" t="s">
        <v>66</v>
      </c>
      <c r="O639" s="35" t="s">
        <v>67</v>
      </c>
      <c r="P639" s="35" t="s">
        <v>9482</v>
      </c>
      <c r="Q639" s="52"/>
      <c r="R639" s="35"/>
      <c r="S639" s="35"/>
      <c r="T639" s="52"/>
      <c r="U639" s="35" t="s">
        <v>1752</v>
      </c>
      <c r="V639" s="35" t="s">
        <v>61</v>
      </c>
      <c r="W639" s="35" t="s">
        <v>74</v>
      </c>
      <c r="X639" s="35" t="s">
        <v>9483</v>
      </c>
      <c r="Y639" s="35" t="s">
        <v>9484</v>
      </c>
      <c r="Z639" s="35" t="s">
        <v>9485</v>
      </c>
      <c r="AA639" s="46">
        <v>46048.0</v>
      </c>
      <c r="AB639" s="46">
        <v>46387.0</v>
      </c>
      <c r="AC639" s="35" t="s">
        <v>9486</v>
      </c>
      <c r="AD639" s="35" t="s">
        <v>79</v>
      </c>
      <c r="AE639" s="35" t="s">
        <v>61</v>
      </c>
      <c r="AF639" s="35"/>
      <c r="AG639" s="46"/>
    </row>
    <row r="640" ht="44.25" customHeight="1">
      <c r="A640" s="35">
        <v>639.0</v>
      </c>
      <c r="B640" s="35">
        <v>27957.0</v>
      </c>
      <c r="C640" s="35" t="s">
        <v>949</v>
      </c>
      <c r="D640" s="35" t="s">
        <v>2457</v>
      </c>
      <c r="E640" s="35" t="s">
        <v>1971</v>
      </c>
      <c r="F640" s="35" t="s">
        <v>9487</v>
      </c>
      <c r="G640" s="41" t="s">
        <v>9488</v>
      </c>
      <c r="H640" s="35" t="s">
        <v>59</v>
      </c>
      <c r="I640" s="35" t="s">
        <v>61</v>
      </c>
      <c r="J640" s="35" t="s">
        <v>62</v>
      </c>
      <c r="K640" s="35" t="s">
        <v>63</v>
      </c>
      <c r="L640" s="35">
        <v>30.0</v>
      </c>
      <c r="M640" s="35"/>
      <c r="N640" s="35" t="s">
        <v>66</v>
      </c>
      <c r="O640" s="35" t="s">
        <v>67</v>
      </c>
      <c r="P640" s="35" t="s">
        <v>9489</v>
      </c>
      <c r="Q640" s="52"/>
      <c r="R640" s="35"/>
      <c r="S640" s="35"/>
      <c r="T640" s="52"/>
      <c r="U640" s="35" t="s">
        <v>1752</v>
      </c>
      <c r="V640" s="35" t="s">
        <v>61</v>
      </c>
      <c r="W640" s="35" t="s">
        <v>74</v>
      </c>
      <c r="X640" s="35" t="s">
        <v>9490</v>
      </c>
      <c r="Y640" s="35" t="s">
        <v>9491</v>
      </c>
      <c r="Z640" s="35" t="s">
        <v>9492</v>
      </c>
      <c r="AA640" s="46">
        <v>46048.0</v>
      </c>
      <c r="AB640" s="46">
        <v>46387.0</v>
      </c>
      <c r="AC640" s="35" t="s">
        <v>9493</v>
      </c>
      <c r="AD640" s="35" t="s">
        <v>79</v>
      </c>
      <c r="AE640" s="35" t="s">
        <v>61</v>
      </c>
      <c r="AF640" s="35"/>
      <c r="AG640" s="46"/>
    </row>
    <row r="641" ht="44.25" customHeight="1">
      <c r="A641" s="35">
        <v>640.0</v>
      </c>
      <c r="B641" s="35">
        <v>2604.0</v>
      </c>
      <c r="C641" s="35" t="s">
        <v>949</v>
      </c>
      <c r="D641" s="35" t="s">
        <v>2457</v>
      </c>
      <c r="E641" s="35" t="s">
        <v>9494</v>
      </c>
      <c r="F641" s="35" t="s">
        <v>9495</v>
      </c>
      <c r="G641" s="41" t="s">
        <v>9496</v>
      </c>
      <c r="H641" s="35" t="s">
        <v>59</v>
      </c>
      <c r="I641" s="35" t="s">
        <v>61</v>
      </c>
      <c r="J641" s="35" t="s">
        <v>62</v>
      </c>
      <c r="K641" s="35" t="s">
        <v>63</v>
      </c>
      <c r="L641" s="35">
        <v>49.0</v>
      </c>
      <c r="M641" s="35" t="s">
        <v>9497</v>
      </c>
      <c r="N641" s="35" t="s">
        <v>66</v>
      </c>
      <c r="O641" s="35" t="s">
        <v>67</v>
      </c>
      <c r="P641" s="35" t="s">
        <v>9498</v>
      </c>
      <c r="Q641" s="52"/>
      <c r="R641" s="35"/>
      <c r="S641" s="35"/>
      <c r="T641" s="52"/>
      <c r="U641" s="35" t="s">
        <v>1752</v>
      </c>
      <c r="V641" s="35" t="s">
        <v>61</v>
      </c>
      <c r="W641" s="35" t="s">
        <v>74</v>
      </c>
      <c r="X641" s="112" t="s">
        <v>9499</v>
      </c>
      <c r="Y641" s="35">
        <v>9.085475844E9</v>
      </c>
      <c r="Z641" s="35" t="s">
        <v>9500</v>
      </c>
      <c r="AA641" s="46">
        <v>46048.0</v>
      </c>
      <c r="AB641" s="46">
        <v>46387.0</v>
      </c>
      <c r="AC641" s="35" t="s">
        <v>9501</v>
      </c>
      <c r="AD641" s="35" t="s">
        <v>79</v>
      </c>
      <c r="AE641" s="35" t="s">
        <v>61</v>
      </c>
      <c r="AF641" s="35"/>
      <c r="AG641" s="46"/>
    </row>
    <row r="642" ht="44.25" customHeight="1">
      <c r="A642" s="35">
        <v>641.0</v>
      </c>
      <c r="B642" s="35">
        <v>2337.0</v>
      </c>
      <c r="C642" s="35" t="s">
        <v>949</v>
      </c>
      <c r="D642" s="35" t="s">
        <v>2457</v>
      </c>
      <c r="E642" s="35" t="s">
        <v>9494</v>
      </c>
      <c r="F642" s="35" t="s">
        <v>9502</v>
      </c>
      <c r="G642" s="41" t="s">
        <v>9503</v>
      </c>
      <c r="H642" s="35" t="s">
        <v>59</v>
      </c>
      <c r="I642" s="35" t="s">
        <v>61</v>
      </c>
      <c r="J642" s="35" t="s">
        <v>62</v>
      </c>
      <c r="K642" s="35" t="s">
        <v>63</v>
      </c>
      <c r="L642" s="35">
        <v>78.0</v>
      </c>
      <c r="M642" s="35"/>
      <c r="N642" s="35" t="s">
        <v>66</v>
      </c>
      <c r="O642" s="35" t="s">
        <v>67</v>
      </c>
      <c r="P642" s="35" t="s">
        <v>9504</v>
      </c>
      <c r="Q642" s="52"/>
      <c r="R642" s="35"/>
      <c r="S642" s="35"/>
      <c r="T642" s="52"/>
      <c r="U642" s="35" t="s">
        <v>1752</v>
      </c>
      <c r="V642" s="35" t="s">
        <v>61</v>
      </c>
      <c r="W642" s="35" t="s">
        <v>74</v>
      </c>
      <c r="X642" s="35" t="s">
        <v>9505</v>
      </c>
      <c r="Y642" s="35" t="s">
        <v>9506</v>
      </c>
      <c r="Z642" s="35" t="s">
        <v>9507</v>
      </c>
      <c r="AA642" s="46">
        <v>46048.0</v>
      </c>
      <c r="AB642" s="46">
        <v>46387.0</v>
      </c>
      <c r="AC642" s="35" t="s">
        <v>9508</v>
      </c>
      <c r="AD642" s="35" t="s">
        <v>79</v>
      </c>
      <c r="AE642" s="35" t="s">
        <v>61</v>
      </c>
      <c r="AF642" s="35"/>
      <c r="AG642" s="46"/>
    </row>
    <row r="643" ht="44.25" customHeight="1">
      <c r="A643" s="35">
        <v>642.0</v>
      </c>
      <c r="B643" s="35">
        <v>37031.0</v>
      </c>
      <c r="C643" s="35" t="s">
        <v>949</v>
      </c>
      <c r="D643" s="35" t="s">
        <v>2457</v>
      </c>
      <c r="E643" s="35" t="s">
        <v>2945</v>
      </c>
      <c r="F643" s="35" t="s">
        <v>9509</v>
      </c>
      <c r="G643" s="41" t="s">
        <v>9510</v>
      </c>
      <c r="H643" s="35" t="s">
        <v>59</v>
      </c>
      <c r="I643" s="35" t="s">
        <v>61</v>
      </c>
      <c r="J643" s="35" t="s">
        <v>62</v>
      </c>
      <c r="K643" s="35" t="s">
        <v>63</v>
      </c>
      <c r="L643" s="35">
        <v>30.0</v>
      </c>
      <c r="M643" s="35" t="s">
        <v>9511</v>
      </c>
      <c r="N643" s="35" t="s">
        <v>66</v>
      </c>
      <c r="O643" s="35" t="s">
        <v>67</v>
      </c>
      <c r="P643" s="35" t="s">
        <v>2517</v>
      </c>
      <c r="Q643" s="52"/>
      <c r="R643" s="35"/>
      <c r="S643" s="35"/>
      <c r="T643" s="52"/>
      <c r="U643" s="35" t="s">
        <v>1752</v>
      </c>
      <c r="V643" s="35" t="s">
        <v>61</v>
      </c>
      <c r="W643" s="35" t="s">
        <v>74</v>
      </c>
      <c r="X643" s="112" t="s">
        <v>9512</v>
      </c>
      <c r="Y643" s="35" t="s">
        <v>9513</v>
      </c>
      <c r="Z643" s="35" t="s">
        <v>9514</v>
      </c>
      <c r="AA643" s="46">
        <v>46048.0</v>
      </c>
      <c r="AB643" s="46">
        <v>46387.0</v>
      </c>
      <c r="AC643" s="35" t="s">
        <v>9515</v>
      </c>
      <c r="AD643" s="35" t="s">
        <v>79</v>
      </c>
      <c r="AE643" s="35" t="s">
        <v>61</v>
      </c>
      <c r="AF643" s="35"/>
      <c r="AG643" s="46"/>
    </row>
    <row r="644" ht="44.25" customHeight="1">
      <c r="A644" s="35">
        <v>643.0</v>
      </c>
      <c r="B644" s="35">
        <v>34424.0</v>
      </c>
      <c r="C644" s="35" t="s">
        <v>949</v>
      </c>
      <c r="D644" s="35" t="s">
        <v>2457</v>
      </c>
      <c r="E644" s="35" t="s">
        <v>2945</v>
      </c>
      <c r="F644" s="35" t="s">
        <v>9516</v>
      </c>
      <c r="G644" s="41" t="s">
        <v>9517</v>
      </c>
      <c r="H644" s="35" t="s">
        <v>59</v>
      </c>
      <c r="I644" s="35" t="s">
        <v>61</v>
      </c>
      <c r="J644" s="35" t="s">
        <v>62</v>
      </c>
      <c r="K644" s="35" t="s">
        <v>63</v>
      </c>
      <c r="L644" s="35">
        <v>30.0</v>
      </c>
      <c r="M644" s="35" t="s">
        <v>9474</v>
      </c>
      <c r="N644" s="35" t="s">
        <v>66</v>
      </c>
      <c r="O644" s="35" t="s">
        <v>67</v>
      </c>
      <c r="P644" s="35" t="s">
        <v>2517</v>
      </c>
      <c r="Q644" s="35"/>
      <c r="R644" s="35"/>
      <c r="S644" s="35"/>
      <c r="T644" s="35" t="s">
        <v>9518</v>
      </c>
      <c r="U644" s="35" t="s">
        <v>1752</v>
      </c>
      <c r="V644" s="35" t="s">
        <v>61</v>
      </c>
      <c r="W644" s="35" t="s">
        <v>74</v>
      </c>
      <c r="X644" s="35" t="s">
        <v>9519</v>
      </c>
      <c r="Y644" s="35">
        <v>9.237499093E9</v>
      </c>
      <c r="Z644" s="35" t="s">
        <v>9520</v>
      </c>
      <c r="AA644" s="46">
        <v>46048.0</v>
      </c>
      <c r="AB644" s="46">
        <v>46387.0</v>
      </c>
      <c r="AC644" s="35" t="s">
        <v>9515</v>
      </c>
      <c r="AD644" s="35" t="s">
        <v>79</v>
      </c>
      <c r="AE644" s="35" t="s">
        <v>61</v>
      </c>
      <c r="AF644" s="35"/>
      <c r="AG644" s="46"/>
    </row>
    <row r="645" ht="44.25" customHeight="1">
      <c r="A645" s="35">
        <v>644.0</v>
      </c>
      <c r="B645" s="35">
        <v>5564.0</v>
      </c>
      <c r="C645" s="35" t="s">
        <v>949</v>
      </c>
      <c r="D645" s="35" t="s">
        <v>6691</v>
      </c>
      <c r="E645" s="35" t="s">
        <v>6692</v>
      </c>
      <c r="F645" s="35" t="s">
        <v>9521</v>
      </c>
      <c r="G645" s="41" t="s">
        <v>9522</v>
      </c>
      <c r="H645" s="35" t="s">
        <v>59</v>
      </c>
      <c r="I645" s="35" t="s">
        <v>61</v>
      </c>
      <c r="J645" s="35" t="s">
        <v>62</v>
      </c>
      <c r="K645" s="35" t="s">
        <v>63</v>
      </c>
      <c r="L645" s="35">
        <v>36.0</v>
      </c>
      <c r="M645" s="35" t="s">
        <v>9523</v>
      </c>
      <c r="N645" s="35" t="s">
        <v>66</v>
      </c>
      <c r="O645" s="35" t="s">
        <v>67</v>
      </c>
      <c r="P645" s="35" t="s">
        <v>9524</v>
      </c>
      <c r="Q645" s="35"/>
      <c r="R645" s="35"/>
      <c r="S645" s="35"/>
      <c r="T645" s="35"/>
      <c r="U645" s="35" t="s">
        <v>1752</v>
      </c>
      <c r="V645" s="35" t="s">
        <v>61</v>
      </c>
      <c r="W645" s="35" t="s">
        <v>93</v>
      </c>
      <c r="X645" s="35" t="s">
        <v>9525</v>
      </c>
      <c r="Y645" s="35" t="s">
        <v>9526</v>
      </c>
      <c r="Z645" s="35" t="s">
        <v>9527</v>
      </c>
      <c r="AA645" s="46">
        <v>46048.0</v>
      </c>
      <c r="AB645" s="46">
        <v>46387.0</v>
      </c>
      <c r="AC645" s="35" t="s">
        <v>9528</v>
      </c>
      <c r="AD645" s="35" t="s">
        <v>79</v>
      </c>
      <c r="AE645" s="35" t="s">
        <v>61</v>
      </c>
      <c r="AF645" s="35"/>
      <c r="AG645" s="46"/>
    </row>
    <row r="646" ht="44.25" customHeight="1">
      <c r="A646" s="35">
        <v>645.0</v>
      </c>
      <c r="B646" s="35">
        <v>4994.0</v>
      </c>
      <c r="C646" s="35" t="s">
        <v>949</v>
      </c>
      <c r="D646" s="35" t="s">
        <v>2420</v>
      </c>
      <c r="E646" s="35" t="s">
        <v>2421</v>
      </c>
      <c r="F646" s="35" t="s">
        <v>9529</v>
      </c>
      <c r="G646" s="41" t="s">
        <v>9530</v>
      </c>
      <c r="H646" s="35" t="s">
        <v>59</v>
      </c>
      <c r="I646" s="35" t="s">
        <v>59</v>
      </c>
      <c r="J646" s="35" t="s">
        <v>62</v>
      </c>
      <c r="K646" s="35" t="s">
        <v>111</v>
      </c>
      <c r="L646" s="35">
        <v>100.0</v>
      </c>
      <c r="M646" s="35" t="s">
        <v>9531</v>
      </c>
      <c r="N646" s="35" t="s">
        <v>66</v>
      </c>
      <c r="O646" s="35" t="s">
        <v>67</v>
      </c>
      <c r="P646" s="35" t="s">
        <v>9532</v>
      </c>
      <c r="Q646" s="52"/>
      <c r="R646" s="35"/>
      <c r="S646" s="35"/>
      <c r="T646" s="52"/>
      <c r="U646" s="35">
        <v>12.0</v>
      </c>
      <c r="V646" s="35" t="s">
        <v>61</v>
      </c>
      <c r="W646" s="35" t="s">
        <v>93</v>
      </c>
      <c r="X646" s="35" t="s">
        <v>9533</v>
      </c>
      <c r="Y646" s="35">
        <v>9.29611466E9</v>
      </c>
      <c r="Z646" s="35" t="s">
        <v>9534</v>
      </c>
      <c r="AA646" s="46">
        <v>46048.0</v>
      </c>
      <c r="AB646" s="46">
        <v>46387.0</v>
      </c>
      <c r="AC646" s="35" t="s">
        <v>9535</v>
      </c>
      <c r="AD646" s="35" t="s">
        <v>79</v>
      </c>
      <c r="AE646" s="35" t="s">
        <v>61</v>
      </c>
      <c r="AF646" s="35"/>
      <c r="AG646" s="46"/>
    </row>
    <row r="647" ht="44.25" customHeight="1">
      <c r="A647" s="35">
        <v>646.0</v>
      </c>
      <c r="B647" s="35">
        <v>684.0</v>
      </c>
      <c r="C647" s="35" t="s">
        <v>1026</v>
      </c>
      <c r="D647" s="35" t="s">
        <v>6709</v>
      </c>
      <c r="E647" s="35" t="s">
        <v>2595</v>
      </c>
      <c r="F647" s="35" t="s">
        <v>9536</v>
      </c>
      <c r="G647" s="41" t="s">
        <v>9537</v>
      </c>
      <c r="H647" s="35" t="s">
        <v>59</v>
      </c>
      <c r="I647" s="35" t="s">
        <v>61</v>
      </c>
      <c r="J647" s="35" t="s">
        <v>62</v>
      </c>
      <c r="K647" s="35" t="s">
        <v>111</v>
      </c>
      <c r="L647" s="35">
        <v>75.0</v>
      </c>
      <c r="M647" s="35" t="s">
        <v>9538</v>
      </c>
      <c r="N647" s="35"/>
      <c r="O647" s="35"/>
      <c r="P647" s="35" t="s">
        <v>9539</v>
      </c>
      <c r="Q647" s="35"/>
      <c r="R647" s="35"/>
      <c r="S647" s="208"/>
      <c r="T647" s="35"/>
      <c r="U647" s="35">
        <v>11.0</v>
      </c>
      <c r="V647" s="208"/>
      <c r="W647" s="35"/>
      <c r="X647" s="35" t="s">
        <v>9540</v>
      </c>
      <c r="Y647" s="35" t="s">
        <v>9541</v>
      </c>
      <c r="Z647" s="35" t="s">
        <v>9542</v>
      </c>
      <c r="AA647" s="46">
        <v>46023.0</v>
      </c>
      <c r="AB647" s="46">
        <v>46387.0</v>
      </c>
      <c r="AC647" s="35" t="s">
        <v>9543</v>
      </c>
      <c r="AD647" s="35" t="s">
        <v>79</v>
      </c>
      <c r="AE647" s="210"/>
      <c r="AF647" s="166"/>
      <c r="AG647" s="46"/>
    </row>
    <row r="648" ht="44.25" customHeight="1">
      <c r="A648" s="35">
        <v>647.0</v>
      </c>
      <c r="B648" s="35" t="s">
        <v>9544</v>
      </c>
      <c r="C648" s="35" t="s">
        <v>1026</v>
      </c>
      <c r="D648" s="35" t="s">
        <v>2594</v>
      </c>
      <c r="E648" s="35" t="s">
        <v>9545</v>
      </c>
      <c r="F648" s="35" t="s">
        <v>9546</v>
      </c>
      <c r="G648" s="41" t="s">
        <v>9547</v>
      </c>
      <c r="H648" s="35" t="s">
        <v>59</v>
      </c>
      <c r="I648" s="35" t="s">
        <v>61</v>
      </c>
      <c r="J648" s="35" t="s">
        <v>62</v>
      </c>
      <c r="K648" s="35" t="s">
        <v>63</v>
      </c>
      <c r="L648" s="35">
        <v>36.0</v>
      </c>
      <c r="M648" s="35" t="s">
        <v>9548</v>
      </c>
      <c r="N648" s="35" t="s">
        <v>66</v>
      </c>
      <c r="O648" s="35" t="s">
        <v>67</v>
      </c>
      <c r="P648" s="35" t="s">
        <v>9549</v>
      </c>
      <c r="Q648" s="35"/>
      <c r="R648" s="52"/>
      <c r="S648" s="35"/>
      <c r="T648" s="35" t="s">
        <v>61</v>
      </c>
      <c r="U648" s="52"/>
      <c r="V648" s="35" t="s">
        <v>61</v>
      </c>
      <c r="W648" s="35" t="s">
        <v>74</v>
      </c>
      <c r="X648" s="35" t="s">
        <v>9550</v>
      </c>
      <c r="Y648" s="35" t="s">
        <v>9551</v>
      </c>
      <c r="Z648" s="35" t="s">
        <v>9552</v>
      </c>
      <c r="AA648" s="46">
        <v>46023.0</v>
      </c>
      <c r="AB648" s="46">
        <v>46387.0</v>
      </c>
      <c r="AC648" s="35" t="s">
        <v>9553</v>
      </c>
      <c r="AD648" s="35" t="s">
        <v>79</v>
      </c>
      <c r="AE648" s="166"/>
      <c r="AF648" s="35"/>
      <c r="AG648" s="46"/>
    </row>
    <row r="649" ht="44.25" customHeight="1">
      <c r="A649" s="35">
        <v>648.0</v>
      </c>
      <c r="B649" s="35" t="s">
        <v>9554</v>
      </c>
      <c r="C649" s="35" t="s">
        <v>1026</v>
      </c>
      <c r="D649" s="35" t="s">
        <v>2594</v>
      </c>
      <c r="E649" s="35" t="s">
        <v>6790</v>
      </c>
      <c r="F649" s="35" t="s">
        <v>9555</v>
      </c>
      <c r="G649" s="41" t="s">
        <v>9556</v>
      </c>
      <c r="H649" s="35" t="s">
        <v>59</v>
      </c>
      <c r="I649" s="35" t="s">
        <v>61</v>
      </c>
      <c r="J649" s="35" t="s">
        <v>62</v>
      </c>
      <c r="K649" s="35" t="s">
        <v>63</v>
      </c>
      <c r="L649" s="35">
        <v>75.0</v>
      </c>
      <c r="M649" s="35" t="s">
        <v>9557</v>
      </c>
      <c r="N649" s="35" t="s">
        <v>66</v>
      </c>
      <c r="O649" s="35" t="s">
        <v>67</v>
      </c>
      <c r="P649" s="35" t="s">
        <v>9558</v>
      </c>
      <c r="Q649" s="35"/>
      <c r="R649" s="52"/>
      <c r="S649" s="35"/>
      <c r="T649" s="35"/>
      <c r="U649" s="52"/>
      <c r="V649" s="35"/>
      <c r="W649" s="35" t="s">
        <v>74</v>
      </c>
      <c r="X649" s="35" t="s">
        <v>9559</v>
      </c>
      <c r="Y649" s="35">
        <v>9.385031121E9</v>
      </c>
      <c r="Z649" s="35" t="s">
        <v>9560</v>
      </c>
      <c r="AA649" s="46">
        <v>46023.0</v>
      </c>
      <c r="AB649" s="46">
        <v>46387.0</v>
      </c>
      <c r="AC649" s="35" t="s">
        <v>9561</v>
      </c>
      <c r="AD649" s="35" t="s">
        <v>79</v>
      </c>
      <c r="AE649" s="166"/>
      <c r="AF649" s="35"/>
      <c r="AG649" s="46"/>
    </row>
    <row r="650" ht="44.25" customHeight="1">
      <c r="A650" s="35">
        <v>649.0</v>
      </c>
      <c r="B650" s="35" t="s">
        <v>9562</v>
      </c>
      <c r="C650" s="35" t="s">
        <v>1026</v>
      </c>
      <c r="D650" s="35" t="s">
        <v>2594</v>
      </c>
      <c r="E650" s="35" t="s">
        <v>6790</v>
      </c>
      <c r="F650" s="35" t="s">
        <v>9563</v>
      </c>
      <c r="G650" s="41" t="s">
        <v>9564</v>
      </c>
      <c r="H650" s="35" t="s">
        <v>59</v>
      </c>
      <c r="I650" s="35" t="s">
        <v>61</v>
      </c>
      <c r="J650" s="35" t="s">
        <v>62</v>
      </c>
      <c r="K650" s="35" t="s">
        <v>63</v>
      </c>
      <c r="L650" s="35">
        <v>45.0</v>
      </c>
      <c r="M650" s="35" t="s">
        <v>6922</v>
      </c>
      <c r="N650" s="35" t="s">
        <v>66</v>
      </c>
      <c r="O650" s="35" t="s">
        <v>67</v>
      </c>
      <c r="P650" s="35" t="s">
        <v>9565</v>
      </c>
      <c r="Q650" s="35"/>
      <c r="R650" s="35"/>
      <c r="S650" s="35"/>
      <c r="T650" s="35" t="s">
        <v>61</v>
      </c>
      <c r="U650" s="35"/>
      <c r="V650" s="35" t="s">
        <v>61</v>
      </c>
      <c r="W650" s="35" t="s">
        <v>74</v>
      </c>
      <c r="X650" s="35" t="s">
        <v>9566</v>
      </c>
      <c r="Y650" s="35">
        <v>9.199949398E9</v>
      </c>
      <c r="Z650" s="35" t="s">
        <v>9567</v>
      </c>
      <c r="AA650" s="46">
        <v>46023.0</v>
      </c>
      <c r="AB650" s="46">
        <v>46387.0</v>
      </c>
      <c r="AC650" s="35" t="s">
        <v>9568</v>
      </c>
      <c r="AD650" s="35" t="s">
        <v>79</v>
      </c>
      <c r="AE650" s="35" t="s">
        <v>643</v>
      </c>
      <c r="AF650" s="35"/>
      <c r="AG650" s="46"/>
    </row>
    <row r="651" ht="44.25" customHeight="1">
      <c r="A651" s="35">
        <v>650.0</v>
      </c>
      <c r="B651" s="35" t="s">
        <v>9569</v>
      </c>
      <c r="C651" s="35" t="s">
        <v>1026</v>
      </c>
      <c r="D651" s="35" t="s">
        <v>2594</v>
      </c>
      <c r="E651" s="35" t="s">
        <v>6790</v>
      </c>
      <c r="F651" s="35" t="s">
        <v>9570</v>
      </c>
      <c r="G651" s="41" t="s">
        <v>9571</v>
      </c>
      <c r="H651" s="35" t="s">
        <v>59</v>
      </c>
      <c r="I651" s="35" t="s">
        <v>61</v>
      </c>
      <c r="J651" s="35" t="s">
        <v>62</v>
      </c>
      <c r="K651" s="35" t="s">
        <v>111</v>
      </c>
      <c r="L651" s="35">
        <v>54.0</v>
      </c>
      <c r="M651" s="35" t="s">
        <v>9572</v>
      </c>
      <c r="N651" s="35" t="s">
        <v>66</v>
      </c>
      <c r="O651" s="35" t="s">
        <v>67</v>
      </c>
      <c r="P651" s="35" t="s">
        <v>9573</v>
      </c>
      <c r="Q651" s="35"/>
      <c r="R651" s="35"/>
      <c r="S651" s="35"/>
      <c r="T651" s="35" t="s">
        <v>61</v>
      </c>
      <c r="U651" s="35">
        <v>8.0</v>
      </c>
      <c r="V651" s="35" t="s">
        <v>61</v>
      </c>
      <c r="W651" s="35" t="s">
        <v>93</v>
      </c>
      <c r="X651" s="35" t="s">
        <v>9574</v>
      </c>
      <c r="Y651" s="112">
        <v>9.301585096E9</v>
      </c>
      <c r="Z651" s="35" t="s">
        <v>9575</v>
      </c>
      <c r="AA651" s="46">
        <v>46023.0</v>
      </c>
      <c r="AB651" s="46">
        <v>46387.0</v>
      </c>
      <c r="AC651" s="35" t="s">
        <v>9576</v>
      </c>
      <c r="AD651" s="35" t="s">
        <v>79</v>
      </c>
      <c r="AE651" s="166"/>
      <c r="AF651" s="35"/>
      <c r="AG651" s="46"/>
    </row>
    <row r="652" ht="44.25" customHeight="1">
      <c r="A652" s="35">
        <v>651.0</v>
      </c>
      <c r="B652" s="35" t="s">
        <v>9577</v>
      </c>
      <c r="C652" s="35" t="s">
        <v>1026</v>
      </c>
      <c r="D652" s="35" t="s">
        <v>2594</v>
      </c>
      <c r="E652" s="35" t="s">
        <v>6811</v>
      </c>
      <c r="F652" s="35" t="s">
        <v>9578</v>
      </c>
      <c r="G652" s="41" t="s">
        <v>9579</v>
      </c>
      <c r="H652" s="35" t="s">
        <v>59</v>
      </c>
      <c r="I652" s="35" t="s">
        <v>61</v>
      </c>
      <c r="J652" s="35" t="s">
        <v>62</v>
      </c>
      <c r="K652" s="35" t="s">
        <v>111</v>
      </c>
      <c r="L652" s="35">
        <v>107.0</v>
      </c>
      <c r="M652" s="35" t="s">
        <v>9580</v>
      </c>
      <c r="N652" s="35" t="s">
        <v>66</v>
      </c>
      <c r="O652" s="35" t="s">
        <v>67</v>
      </c>
      <c r="P652" s="35" t="s">
        <v>9581</v>
      </c>
      <c r="Q652" s="35"/>
      <c r="R652" s="35"/>
      <c r="S652" s="35"/>
      <c r="T652" s="35" t="s">
        <v>61</v>
      </c>
      <c r="U652" s="35">
        <v>40.0</v>
      </c>
      <c r="V652" s="35" t="s">
        <v>61</v>
      </c>
      <c r="W652" s="35" t="s">
        <v>93</v>
      </c>
      <c r="X652" s="35" t="s">
        <v>9582</v>
      </c>
      <c r="Y652" s="35" t="s">
        <v>9583</v>
      </c>
      <c r="Z652" s="35" t="s">
        <v>9584</v>
      </c>
      <c r="AA652" s="46">
        <v>46023.0</v>
      </c>
      <c r="AB652" s="46">
        <v>46387.0</v>
      </c>
      <c r="AC652" s="35" t="s">
        <v>9585</v>
      </c>
      <c r="AD652" s="35" t="s">
        <v>79</v>
      </c>
      <c r="AE652" s="166"/>
      <c r="AF652" s="35"/>
      <c r="AG652" s="46"/>
    </row>
    <row r="653" ht="44.25" customHeight="1">
      <c r="A653" s="35">
        <v>652.0</v>
      </c>
      <c r="B653" s="35" t="s">
        <v>9586</v>
      </c>
      <c r="C653" s="35" t="s">
        <v>1026</v>
      </c>
      <c r="D653" s="35" t="s">
        <v>2594</v>
      </c>
      <c r="E653" s="35" t="s">
        <v>6811</v>
      </c>
      <c r="F653" s="35" t="s">
        <v>9587</v>
      </c>
      <c r="G653" s="41" t="s">
        <v>9588</v>
      </c>
      <c r="H653" s="35" t="s">
        <v>59</v>
      </c>
      <c r="I653" s="35" t="s">
        <v>61</v>
      </c>
      <c r="J653" s="35" t="s">
        <v>62</v>
      </c>
      <c r="K653" s="35" t="s">
        <v>111</v>
      </c>
      <c r="L653" s="35">
        <v>148.0</v>
      </c>
      <c r="M653" s="35" t="s">
        <v>9589</v>
      </c>
      <c r="N653" s="35" t="s">
        <v>66</v>
      </c>
      <c r="O653" s="35" t="s">
        <v>67</v>
      </c>
      <c r="P653" s="35" t="s">
        <v>9590</v>
      </c>
      <c r="Q653" s="35"/>
      <c r="R653" s="35"/>
      <c r="S653" s="35"/>
      <c r="T653" s="35" t="s">
        <v>61</v>
      </c>
      <c r="U653" s="35">
        <v>17.0</v>
      </c>
      <c r="V653" s="35" t="s">
        <v>61</v>
      </c>
      <c r="W653" s="35" t="s">
        <v>93</v>
      </c>
      <c r="X653" s="35" t="s">
        <v>9591</v>
      </c>
      <c r="Y653" s="35" t="s">
        <v>9592</v>
      </c>
      <c r="Z653" s="35" t="s">
        <v>9593</v>
      </c>
      <c r="AA653" s="46">
        <v>46023.0</v>
      </c>
      <c r="AB653" s="46">
        <v>46387.0</v>
      </c>
      <c r="AC653" s="35" t="s">
        <v>9594</v>
      </c>
      <c r="AD653" s="35" t="s">
        <v>79</v>
      </c>
      <c r="AE653" s="166"/>
      <c r="AF653" s="35"/>
      <c r="AG653" s="46"/>
    </row>
    <row r="654" ht="44.25" customHeight="1">
      <c r="A654" s="35">
        <v>653.0</v>
      </c>
      <c r="B654" s="35" t="s">
        <v>9595</v>
      </c>
      <c r="C654" s="35" t="s">
        <v>1026</v>
      </c>
      <c r="D654" s="35" t="s">
        <v>2594</v>
      </c>
      <c r="E654" s="35" t="s">
        <v>6811</v>
      </c>
      <c r="F654" s="35" t="s">
        <v>9596</v>
      </c>
      <c r="G654" s="41" t="s">
        <v>9597</v>
      </c>
      <c r="H654" s="35" t="s">
        <v>59</v>
      </c>
      <c r="I654" s="35" t="s">
        <v>61</v>
      </c>
      <c r="J654" s="35" t="s">
        <v>62</v>
      </c>
      <c r="K654" s="35" t="s">
        <v>63</v>
      </c>
      <c r="L654" s="35">
        <v>50.0</v>
      </c>
      <c r="M654" s="35" t="s">
        <v>9598</v>
      </c>
      <c r="N654" s="35" t="s">
        <v>66</v>
      </c>
      <c r="O654" s="35" t="s">
        <v>67</v>
      </c>
      <c r="P654" s="35" t="s">
        <v>9599</v>
      </c>
      <c r="Q654" s="35"/>
      <c r="R654" s="35"/>
      <c r="S654" s="35"/>
      <c r="T654" s="35"/>
      <c r="U654" s="35">
        <v>12.0</v>
      </c>
      <c r="V654" s="35" t="s">
        <v>61</v>
      </c>
      <c r="W654" s="35" t="s">
        <v>93</v>
      </c>
      <c r="X654" s="35" t="s">
        <v>9600</v>
      </c>
      <c r="Y654" s="35" t="s">
        <v>9601</v>
      </c>
      <c r="Z654" s="35" t="s">
        <v>9602</v>
      </c>
      <c r="AA654" s="46">
        <v>46023.0</v>
      </c>
      <c r="AB654" s="46">
        <v>46387.0</v>
      </c>
      <c r="AC654" s="35" t="s">
        <v>9603</v>
      </c>
      <c r="AD654" s="35" t="s">
        <v>79</v>
      </c>
      <c r="AE654" s="166"/>
      <c r="AF654" s="35"/>
      <c r="AG654" s="46"/>
    </row>
    <row r="655" ht="44.25" customHeight="1">
      <c r="A655" s="35">
        <v>654.0</v>
      </c>
      <c r="B655" s="35" t="s">
        <v>9604</v>
      </c>
      <c r="C655" s="35" t="s">
        <v>1026</v>
      </c>
      <c r="D655" s="35" t="s">
        <v>2594</v>
      </c>
      <c r="E655" s="35" t="s">
        <v>6811</v>
      </c>
      <c r="F655" s="35" t="s">
        <v>9605</v>
      </c>
      <c r="G655" s="41" t="s">
        <v>9606</v>
      </c>
      <c r="H655" s="35" t="s">
        <v>59</v>
      </c>
      <c r="I655" s="35" t="s">
        <v>61</v>
      </c>
      <c r="J655" s="35" t="s">
        <v>62</v>
      </c>
      <c r="K655" s="35" t="s">
        <v>63</v>
      </c>
      <c r="L655" s="35">
        <v>72.0</v>
      </c>
      <c r="M655" s="35" t="s">
        <v>9598</v>
      </c>
      <c r="N655" s="35" t="s">
        <v>66</v>
      </c>
      <c r="O655" s="35" t="s">
        <v>67</v>
      </c>
      <c r="P655" s="35" t="s">
        <v>9608</v>
      </c>
      <c r="Q655" s="35"/>
      <c r="R655" s="35"/>
      <c r="S655" s="35"/>
      <c r="T655" s="35" t="s">
        <v>61</v>
      </c>
      <c r="U655" s="35"/>
      <c r="V655" s="35" t="s">
        <v>61</v>
      </c>
      <c r="W655" s="35" t="s">
        <v>74</v>
      </c>
      <c r="X655" s="35" t="s">
        <v>9609</v>
      </c>
      <c r="Y655" s="35" t="s">
        <v>9610</v>
      </c>
      <c r="Z655" s="35" t="s">
        <v>9611</v>
      </c>
      <c r="AA655" s="46">
        <v>46023.0</v>
      </c>
      <c r="AB655" s="46">
        <v>46387.0</v>
      </c>
      <c r="AC655" s="35" t="s">
        <v>9612</v>
      </c>
      <c r="AD655" s="35" t="s">
        <v>79</v>
      </c>
      <c r="AE655" s="166"/>
      <c r="AF655" s="35"/>
      <c r="AG655" s="46"/>
    </row>
    <row r="656" ht="44.25" customHeight="1">
      <c r="A656" s="35">
        <v>655.0</v>
      </c>
      <c r="B656" s="35" t="s">
        <v>9613</v>
      </c>
      <c r="C656" s="35" t="s">
        <v>1026</v>
      </c>
      <c r="D656" s="35" t="s">
        <v>2594</v>
      </c>
      <c r="E656" s="35" t="s">
        <v>6811</v>
      </c>
      <c r="F656" s="35" t="s">
        <v>9614</v>
      </c>
      <c r="G656" s="41" t="s">
        <v>9615</v>
      </c>
      <c r="H656" s="35" t="s">
        <v>59</v>
      </c>
      <c r="I656" s="35" t="s">
        <v>61</v>
      </c>
      <c r="J656" s="35" t="s">
        <v>62</v>
      </c>
      <c r="K656" s="35" t="s">
        <v>63</v>
      </c>
      <c r="L656" s="35">
        <v>36.0</v>
      </c>
      <c r="M656" s="35" t="s">
        <v>9616</v>
      </c>
      <c r="N656" s="35" t="s">
        <v>66</v>
      </c>
      <c r="O656" s="35" t="s">
        <v>67</v>
      </c>
      <c r="P656" s="35" t="s">
        <v>9617</v>
      </c>
      <c r="Q656" s="35"/>
      <c r="R656" s="35"/>
      <c r="S656" s="35"/>
      <c r="T656" s="35"/>
      <c r="U656" s="35">
        <v>8.0</v>
      </c>
      <c r="V656" s="35" t="s">
        <v>61</v>
      </c>
      <c r="W656" s="35" t="s">
        <v>93</v>
      </c>
      <c r="X656" s="35" t="s">
        <v>9618</v>
      </c>
      <c r="Y656" s="35" t="s">
        <v>9619</v>
      </c>
      <c r="Z656" s="35" t="s">
        <v>9620</v>
      </c>
      <c r="AA656" s="46">
        <v>46023.0</v>
      </c>
      <c r="AB656" s="46">
        <v>46387.0</v>
      </c>
      <c r="AC656" s="35" t="s">
        <v>9621</v>
      </c>
      <c r="AD656" s="35" t="s">
        <v>79</v>
      </c>
      <c r="AE656" s="166"/>
      <c r="AF656" s="35"/>
      <c r="AG656" s="46"/>
    </row>
    <row r="657" ht="44.25" customHeight="1">
      <c r="A657" s="35">
        <v>656.0</v>
      </c>
      <c r="B657" s="35" t="s">
        <v>9622</v>
      </c>
      <c r="C657" s="35" t="s">
        <v>1026</v>
      </c>
      <c r="D657" s="35" t="s">
        <v>2594</v>
      </c>
      <c r="E657" s="35" t="s">
        <v>9623</v>
      </c>
      <c r="F657" s="35" t="s">
        <v>9624</v>
      </c>
      <c r="G657" s="41" t="s">
        <v>9625</v>
      </c>
      <c r="H657" s="35" t="s">
        <v>59</v>
      </c>
      <c r="I657" s="35" t="s">
        <v>61</v>
      </c>
      <c r="J657" s="35" t="s">
        <v>62</v>
      </c>
      <c r="K657" s="35" t="s">
        <v>111</v>
      </c>
      <c r="L657" s="35">
        <v>150.0</v>
      </c>
      <c r="M657" s="35" t="s">
        <v>6861</v>
      </c>
      <c r="N657" s="35" t="s">
        <v>66</v>
      </c>
      <c r="O657" s="35" t="s">
        <v>67</v>
      </c>
      <c r="P657" s="35" t="s">
        <v>9626</v>
      </c>
      <c r="Q657" s="35"/>
      <c r="R657" s="35"/>
      <c r="S657" s="35"/>
      <c r="T657" s="35"/>
      <c r="U657" s="35"/>
      <c r="V657" s="35" t="s">
        <v>61</v>
      </c>
      <c r="W657" s="35" t="s">
        <v>93</v>
      </c>
      <c r="X657" s="35" t="s">
        <v>9627</v>
      </c>
      <c r="Y657" s="35">
        <v>9.682300456E9</v>
      </c>
      <c r="Z657" s="35" t="s">
        <v>9628</v>
      </c>
      <c r="AA657" s="46">
        <v>46139.0</v>
      </c>
      <c r="AB657" s="46">
        <v>46387.0</v>
      </c>
      <c r="AC657" s="35" t="s">
        <v>9629</v>
      </c>
      <c r="AD657" s="35" t="s">
        <v>164</v>
      </c>
      <c r="AE657" s="35" t="s">
        <v>1462</v>
      </c>
      <c r="AF657" s="35" t="s">
        <v>9630</v>
      </c>
      <c r="AG657" s="46"/>
    </row>
    <row r="658" ht="44.25" customHeight="1">
      <c r="A658" s="35">
        <v>657.0</v>
      </c>
      <c r="B658" s="35" t="s">
        <v>9631</v>
      </c>
      <c r="C658" s="35" t="s">
        <v>1026</v>
      </c>
      <c r="D658" s="35" t="s">
        <v>2594</v>
      </c>
      <c r="E658" s="35" t="s">
        <v>6832</v>
      </c>
      <c r="F658" s="35" t="s">
        <v>9632</v>
      </c>
      <c r="G658" s="41" t="s">
        <v>9633</v>
      </c>
      <c r="H658" s="35" t="s">
        <v>59</v>
      </c>
      <c r="I658" s="35" t="s">
        <v>61</v>
      </c>
      <c r="J658" s="35" t="s">
        <v>62</v>
      </c>
      <c r="K658" s="35" t="s">
        <v>63</v>
      </c>
      <c r="L658" s="35">
        <v>36.0</v>
      </c>
      <c r="M658" s="35" t="s">
        <v>6861</v>
      </c>
      <c r="N658" s="35" t="s">
        <v>66</v>
      </c>
      <c r="O658" s="35" t="s">
        <v>67</v>
      </c>
      <c r="P658" s="35" t="s">
        <v>9634</v>
      </c>
      <c r="Q658" s="35"/>
      <c r="R658" s="35"/>
      <c r="S658" s="35"/>
      <c r="T658" s="35"/>
      <c r="U658" s="35"/>
      <c r="V658" s="35" t="s">
        <v>61</v>
      </c>
      <c r="W658" s="35" t="s">
        <v>74</v>
      </c>
      <c r="X658" s="35" t="s">
        <v>9635</v>
      </c>
      <c r="Y658" s="35" t="s">
        <v>9636</v>
      </c>
      <c r="Z658" s="35" t="s">
        <v>9637</v>
      </c>
      <c r="AA658" s="46">
        <v>46023.0</v>
      </c>
      <c r="AB658" s="46">
        <v>46387.0</v>
      </c>
      <c r="AC658" s="35" t="s">
        <v>9638</v>
      </c>
      <c r="AD658" s="35" t="s">
        <v>79</v>
      </c>
      <c r="AE658" s="166"/>
      <c r="AF658" s="35"/>
      <c r="AG658" s="46"/>
    </row>
    <row r="659" ht="44.25" customHeight="1">
      <c r="A659" s="35">
        <v>658.0</v>
      </c>
      <c r="B659" s="35" t="s">
        <v>9639</v>
      </c>
      <c r="C659" s="35" t="s">
        <v>1026</v>
      </c>
      <c r="D659" s="35" t="s">
        <v>2594</v>
      </c>
      <c r="E659" s="35" t="s">
        <v>6832</v>
      </c>
      <c r="F659" s="35" t="s">
        <v>9640</v>
      </c>
      <c r="G659" s="41" t="s">
        <v>9641</v>
      </c>
      <c r="H659" s="35" t="s">
        <v>59</v>
      </c>
      <c r="I659" s="35" t="s">
        <v>61</v>
      </c>
      <c r="J659" s="35" t="s">
        <v>62</v>
      </c>
      <c r="K659" s="35" t="s">
        <v>111</v>
      </c>
      <c r="L659" s="35">
        <v>70.0</v>
      </c>
      <c r="M659" s="35" t="s">
        <v>9642</v>
      </c>
      <c r="N659" s="35" t="s">
        <v>66</v>
      </c>
      <c r="O659" s="35" t="s">
        <v>67</v>
      </c>
      <c r="P659" s="35" t="s">
        <v>9643</v>
      </c>
      <c r="Q659" s="35"/>
      <c r="R659" s="35"/>
      <c r="S659" s="35"/>
      <c r="T659" s="35" t="s">
        <v>61</v>
      </c>
      <c r="U659" s="35">
        <v>27.0</v>
      </c>
      <c r="V659" s="35" t="s">
        <v>61</v>
      </c>
      <c r="W659" s="35" t="s">
        <v>93</v>
      </c>
      <c r="X659" s="35" t="s">
        <v>9644</v>
      </c>
      <c r="Y659" s="35" t="s">
        <v>9645</v>
      </c>
      <c r="Z659" s="35" t="s">
        <v>9646</v>
      </c>
      <c r="AA659" s="46">
        <v>46023.0</v>
      </c>
      <c r="AB659" s="46">
        <v>46387.0</v>
      </c>
      <c r="AC659" s="35" t="s">
        <v>9647</v>
      </c>
      <c r="AD659" s="35" t="s">
        <v>79</v>
      </c>
      <c r="AE659" s="166"/>
      <c r="AF659" s="35"/>
      <c r="AG659" s="46"/>
    </row>
    <row r="660" ht="44.25" customHeight="1">
      <c r="A660" s="35">
        <v>659.0</v>
      </c>
      <c r="B660" s="35" t="s">
        <v>9648</v>
      </c>
      <c r="C660" s="35" t="s">
        <v>1026</v>
      </c>
      <c r="D660" s="35" t="s">
        <v>2594</v>
      </c>
      <c r="E660" s="35" t="s">
        <v>6832</v>
      </c>
      <c r="F660" s="35" t="s">
        <v>9649</v>
      </c>
      <c r="G660" s="41" t="s">
        <v>9650</v>
      </c>
      <c r="H660" s="35" t="s">
        <v>59</v>
      </c>
      <c r="I660" s="35" t="s">
        <v>61</v>
      </c>
      <c r="J660" s="35" t="s">
        <v>62</v>
      </c>
      <c r="K660" s="35" t="s">
        <v>63</v>
      </c>
      <c r="L660" s="35">
        <v>33.0</v>
      </c>
      <c r="M660" s="35" t="s">
        <v>6797</v>
      </c>
      <c r="N660" s="35" t="s">
        <v>66</v>
      </c>
      <c r="O660" s="35" t="s">
        <v>67</v>
      </c>
      <c r="P660" s="35" t="s">
        <v>9651</v>
      </c>
      <c r="Q660" s="35"/>
      <c r="R660" s="35"/>
      <c r="S660" s="35"/>
      <c r="T660" s="35"/>
      <c r="U660" s="35"/>
      <c r="V660" s="35" t="s">
        <v>61</v>
      </c>
      <c r="W660" s="35" t="s">
        <v>74</v>
      </c>
      <c r="X660" s="35" t="s">
        <v>9652</v>
      </c>
      <c r="Y660" s="35" t="s">
        <v>9653</v>
      </c>
      <c r="Z660" s="35" t="s">
        <v>9654</v>
      </c>
      <c r="AA660" s="46">
        <v>46027.0</v>
      </c>
      <c r="AB660" s="46">
        <v>46387.0</v>
      </c>
      <c r="AC660" s="35" t="s">
        <v>9655</v>
      </c>
      <c r="AD660" s="35" t="s">
        <v>79</v>
      </c>
      <c r="AE660" s="166"/>
      <c r="AF660" s="35"/>
      <c r="AG660" s="46"/>
    </row>
    <row r="661" ht="44.25" customHeight="1">
      <c r="A661" s="35">
        <v>660.0</v>
      </c>
      <c r="B661" s="35" t="s">
        <v>9656</v>
      </c>
      <c r="C661" s="35" t="s">
        <v>1026</v>
      </c>
      <c r="D661" s="35" t="s">
        <v>2594</v>
      </c>
      <c r="E661" s="35" t="s">
        <v>9657</v>
      </c>
      <c r="F661" s="35" t="s">
        <v>596</v>
      </c>
      <c r="G661" s="41" t="s">
        <v>9658</v>
      </c>
      <c r="H661" s="35" t="s">
        <v>59</v>
      </c>
      <c r="I661" s="35" t="s">
        <v>61</v>
      </c>
      <c r="J661" s="35" t="s">
        <v>62</v>
      </c>
      <c r="K661" s="35" t="s">
        <v>63</v>
      </c>
      <c r="L661" s="35">
        <v>48.0</v>
      </c>
      <c r="M661" s="35" t="s">
        <v>6861</v>
      </c>
      <c r="N661" s="35" t="s">
        <v>66</v>
      </c>
      <c r="O661" s="35" t="s">
        <v>67</v>
      </c>
      <c r="P661" s="35" t="s">
        <v>9659</v>
      </c>
      <c r="Q661" s="35"/>
      <c r="R661" s="35"/>
      <c r="S661" s="35"/>
      <c r="T661" s="35" t="s">
        <v>61</v>
      </c>
      <c r="U661" s="35"/>
      <c r="V661" s="35" t="s">
        <v>61</v>
      </c>
      <c r="W661" s="35" t="s">
        <v>74</v>
      </c>
      <c r="X661" s="35" t="s">
        <v>9660</v>
      </c>
      <c r="Y661" s="35" t="s">
        <v>9661</v>
      </c>
      <c r="Z661" s="35" t="s">
        <v>9662</v>
      </c>
      <c r="AA661" s="46">
        <v>46023.0</v>
      </c>
      <c r="AB661" s="46">
        <v>46387.0</v>
      </c>
      <c r="AC661" s="35" t="s">
        <v>9663</v>
      </c>
      <c r="AD661" s="35" t="s">
        <v>79</v>
      </c>
      <c r="AE661" s="166"/>
      <c r="AF661" s="35"/>
      <c r="AG661" s="46"/>
    </row>
    <row r="662" ht="44.25" customHeight="1">
      <c r="A662" s="35">
        <v>661.0</v>
      </c>
      <c r="B662" s="35" t="s">
        <v>9664</v>
      </c>
      <c r="C662" s="35" t="s">
        <v>1026</v>
      </c>
      <c r="D662" s="35" t="s">
        <v>2594</v>
      </c>
      <c r="E662" s="35" t="s">
        <v>9657</v>
      </c>
      <c r="F662" s="35" t="s">
        <v>9665</v>
      </c>
      <c r="G662" s="41" t="s">
        <v>9666</v>
      </c>
      <c r="H662" s="35" t="s">
        <v>59</v>
      </c>
      <c r="I662" s="35" t="s">
        <v>61</v>
      </c>
      <c r="J662" s="35" t="s">
        <v>62</v>
      </c>
      <c r="K662" s="35" t="s">
        <v>63</v>
      </c>
      <c r="L662" s="35">
        <v>48.0</v>
      </c>
      <c r="M662" s="35" t="s">
        <v>6861</v>
      </c>
      <c r="N662" s="35" t="s">
        <v>66</v>
      </c>
      <c r="O662" s="35" t="s">
        <v>67</v>
      </c>
      <c r="P662" s="35" t="s">
        <v>9667</v>
      </c>
      <c r="Q662" s="35"/>
      <c r="R662" s="35"/>
      <c r="S662" s="35"/>
      <c r="T662" s="35" t="s">
        <v>61</v>
      </c>
      <c r="U662" s="35"/>
      <c r="V662" s="35" t="s">
        <v>61</v>
      </c>
      <c r="W662" s="35" t="s">
        <v>74</v>
      </c>
      <c r="X662" s="35" t="s">
        <v>9668</v>
      </c>
      <c r="Y662" s="35" t="s">
        <v>9669</v>
      </c>
      <c r="Z662" s="35" t="s">
        <v>9670</v>
      </c>
      <c r="AA662" s="46">
        <v>46023.0</v>
      </c>
      <c r="AB662" s="46">
        <v>46387.0</v>
      </c>
      <c r="AC662" s="35" t="s">
        <v>9671</v>
      </c>
      <c r="AD662" s="35" t="s">
        <v>79</v>
      </c>
      <c r="AE662" s="166"/>
      <c r="AF662" s="35"/>
      <c r="AG662" s="46"/>
    </row>
    <row r="663" ht="44.25" customHeight="1">
      <c r="A663" s="35">
        <v>662.0</v>
      </c>
      <c r="B663" s="35"/>
      <c r="C663" s="35" t="s">
        <v>1026</v>
      </c>
      <c r="D663" s="35" t="s">
        <v>2594</v>
      </c>
      <c r="E663" s="35" t="s">
        <v>6854</v>
      </c>
      <c r="F663" s="35" t="s">
        <v>9672</v>
      </c>
      <c r="G663" s="41" t="s">
        <v>9673</v>
      </c>
      <c r="H663" s="35" t="s">
        <v>59</v>
      </c>
      <c r="I663" s="35" t="s">
        <v>61</v>
      </c>
      <c r="J663" s="35" t="s">
        <v>62</v>
      </c>
      <c r="K663" s="35" t="s">
        <v>111</v>
      </c>
      <c r="L663" s="35">
        <v>75.0</v>
      </c>
      <c r="M663" s="35" t="s">
        <v>9642</v>
      </c>
      <c r="N663" s="35" t="s">
        <v>66</v>
      </c>
      <c r="O663" s="35" t="s">
        <v>67</v>
      </c>
      <c r="P663" s="35" t="s">
        <v>9674</v>
      </c>
      <c r="Q663" s="35"/>
      <c r="R663" s="35"/>
      <c r="S663" s="35"/>
      <c r="T663" s="35" t="s">
        <v>61</v>
      </c>
      <c r="U663" s="35"/>
      <c r="V663" s="35" t="s">
        <v>61</v>
      </c>
      <c r="W663" s="35" t="s">
        <v>93</v>
      </c>
      <c r="X663" s="35" t="s">
        <v>9675</v>
      </c>
      <c r="Y663" s="35" t="s">
        <v>9676</v>
      </c>
      <c r="Z663" s="35" t="s">
        <v>9677</v>
      </c>
      <c r="AA663" s="46">
        <v>46023.0</v>
      </c>
      <c r="AB663" s="46">
        <v>46387.0</v>
      </c>
      <c r="AC663" s="35" t="s">
        <v>9678</v>
      </c>
      <c r="AD663" s="35" t="s">
        <v>79</v>
      </c>
      <c r="AE663" s="166"/>
      <c r="AF663" s="35"/>
      <c r="AG663" s="46"/>
    </row>
    <row r="664" ht="44.25" customHeight="1">
      <c r="A664" s="35">
        <v>663.0</v>
      </c>
      <c r="B664" s="35" t="s">
        <v>9679</v>
      </c>
      <c r="C664" s="35" t="s">
        <v>1026</v>
      </c>
      <c r="D664" s="35" t="s">
        <v>2594</v>
      </c>
      <c r="E664" s="35" t="s">
        <v>6854</v>
      </c>
      <c r="F664" s="35" t="s">
        <v>9680</v>
      </c>
      <c r="G664" s="41" t="s">
        <v>9681</v>
      </c>
      <c r="H664" s="35" t="s">
        <v>59</v>
      </c>
      <c r="I664" s="35" t="s">
        <v>61</v>
      </c>
      <c r="J664" s="35" t="s">
        <v>62</v>
      </c>
      <c r="K664" s="35" t="s">
        <v>63</v>
      </c>
      <c r="L664" s="35">
        <v>52.0</v>
      </c>
      <c r="M664" s="35" t="s">
        <v>9682</v>
      </c>
      <c r="N664" s="35" t="s">
        <v>66</v>
      </c>
      <c r="O664" s="35" t="s">
        <v>67</v>
      </c>
      <c r="P664" s="35" t="s">
        <v>9683</v>
      </c>
      <c r="Q664" s="35"/>
      <c r="R664" s="35"/>
      <c r="S664" s="35"/>
      <c r="T664" s="35" t="s">
        <v>61</v>
      </c>
      <c r="U664" s="35"/>
      <c r="V664" s="35" t="s">
        <v>61</v>
      </c>
      <c r="W664" s="35" t="s">
        <v>74</v>
      </c>
      <c r="X664" s="35" t="s">
        <v>9684</v>
      </c>
      <c r="Y664" s="35" t="s">
        <v>9685</v>
      </c>
      <c r="Z664" s="35" t="s">
        <v>9686</v>
      </c>
      <c r="AA664" s="46">
        <v>46023.0</v>
      </c>
      <c r="AB664" s="46">
        <v>46387.0</v>
      </c>
      <c r="AC664" s="35" t="s">
        <v>9687</v>
      </c>
      <c r="AD664" s="35" t="s">
        <v>79</v>
      </c>
      <c r="AE664" s="166"/>
      <c r="AF664" s="35"/>
      <c r="AG664" s="46"/>
    </row>
    <row r="665" ht="44.25" customHeight="1">
      <c r="A665" s="35">
        <v>664.0</v>
      </c>
      <c r="B665" s="35" t="s">
        <v>9688</v>
      </c>
      <c r="C665" s="35" t="s">
        <v>1026</v>
      </c>
      <c r="D665" s="35" t="s">
        <v>2594</v>
      </c>
      <c r="E665" s="35" t="s">
        <v>6854</v>
      </c>
      <c r="F665" s="35" t="s">
        <v>9689</v>
      </c>
      <c r="G665" s="41" t="s">
        <v>9690</v>
      </c>
      <c r="H665" s="35" t="s">
        <v>59</v>
      </c>
      <c r="I665" s="35" t="s">
        <v>61</v>
      </c>
      <c r="J665" s="35" t="s">
        <v>62</v>
      </c>
      <c r="K665" s="35" t="s">
        <v>63</v>
      </c>
      <c r="L665" s="35">
        <v>70.0</v>
      </c>
      <c r="M665" s="35" t="s">
        <v>6775</v>
      </c>
      <c r="N665" s="35" t="s">
        <v>66</v>
      </c>
      <c r="O665" s="35" t="s">
        <v>67</v>
      </c>
      <c r="P665" s="35" t="s">
        <v>9691</v>
      </c>
      <c r="Q665" s="35"/>
      <c r="R665" s="35"/>
      <c r="S665" s="35"/>
      <c r="T665" s="35" t="s">
        <v>61</v>
      </c>
      <c r="U665" s="35"/>
      <c r="V665" s="35" t="s">
        <v>61</v>
      </c>
      <c r="W665" s="35" t="s">
        <v>74</v>
      </c>
      <c r="X665" s="35" t="s">
        <v>9692</v>
      </c>
      <c r="Y665" s="35">
        <v>9.206463798E9</v>
      </c>
      <c r="Z665" s="35" t="s">
        <v>9693</v>
      </c>
      <c r="AA665" s="46">
        <v>46023.0</v>
      </c>
      <c r="AB665" s="46">
        <v>46387.0</v>
      </c>
      <c r="AC665" s="35" t="s">
        <v>9694</v>
      </c>
      <c r="AD665" s="35" t="s">
        <v>79</v>
      </c>
      <c r="AE665" s="166"/>
      <c r="AF665" s="35"/>
      <c r="AG665" s="46"/>
    </row>
    <row r="666" ht="44.25" customHeight="1">
      <c r="A666" s="35">
        <v>665.0</v>
      </c>
      <c r="B666" s="35" t="s">
        <v>9695</v>
      </c>
      <c r="C666" s="35" t="s">
        <v>1026</v>
      </c>
      <c r="D666" s="35" t="s">
        <v>2594</v>
      </c>
      <c r="E666" s="35" t="s">
        <v>6854</v>
      </c>
      <c r="F666" s="35" t="s">
        <v>9696</v>
      </c>
      <c r="G666" s="41" t="s">
        <v>9697</v>
      </c>
      <c r="H666" s="35" t="s">
        <v>59</v>
      </c>
      <c r="I666" s="35" t="s">
        <v>61</v>
      </c>
      <c r="J666" s="35" t="s">
        <v>62</v>
      </c>
      <c r="K666" s="35" t="s">
        <v>63</v>
      </c>
      <c r="L666" s="35">
        <v>31.0</v>
      </c>
      <c r="M666" s="35" t="s">
        <v>6922</v>
      </c>
      <c r="N666" s="35" t="s">
        <v>66</v>
      </c>
      <c r="O666" s="35" t="s">
        <v>67</v>
      </c>
      <c r="P666" s="35" t="s">
        <v>9698</v>
      </c>
      <c r="Q666" s="35"/>
      <c r="R666" s="52"/>
      <c r="S666" s="35"/>
      <c r="T666" s="35"/>
      <c r="U666" s="52"/>
      <c r="V666" s="35" t="s">
        <v>61</v>
      </c>
      <c r="W666" s="35" t="s">
        <v>74</v>
      </c>
      <c r="X666" s="35" t="s">
        <v>9699</v>
      </c>
      <c r="Y666" s="35" t="s">
        <v>9700</v>
      </c>
      <c r="Z666" s="35" t="s">
        <v>9701</v>
      </c>
      <c r="AA666" s="46">
        <v>46023.0</v>
      </c>
      <c r="AB666" s="46">
        <v>46387.0</v>
      </c>
      <c r="AC666" s="35" t="s">
        <v>9702</v>
      </c>
      <c r="AD666" s="35" t="s">
        <v>79</v>
      </c>
      <c r="AE666" s="166"/>
      <c r="AF666" s="35"/>
      <c r="AG666" s="46"/>
    </row>
    <row r="667" ht="44.25" customHeight="1">
      <c r="A667" s="35">
        <v>666.0</v>
      </c>
      <c r="B667" s="35" t="s">
        <v>9703</v>
      </c>
      <c r="C667" s="35" t="s">
        <v>1026</v>
      </c>
      <c r="D667" s="35" t="s">
        <v>2594</v>
      </c>
      <c r="E667" s="35" t="s">
        <v>6854</v>
      </c>
      <c r="F667" s="35" t="s">
        <v>9704</v>
      </c>
      <c r="G667" s="41" t="s">
        <v>9705</v>
      </c>
      <c r="H667" s="35" t="s">
        <v>59</v>
      </c>
      <c r="I667" s="35" t="s">
        <v>61</v>
      </c>
      <c r="J667" s="35" t="s">
        <v>62</v>
      </c>
      <c r="K667" s="35" t="s">
        <v>63</v>
      </c>
      <c r="L667" s="35">
        <v>30.0</v>
      </c>
      <c r="M667" s="35" t="s">
        <v>6922</v>
      </c>
      <c r="N667" s="35" t="s">
        <v>66</v>
      </c>
      <c r="O667" s="35" t="s">
        <v>67</v>
      </c>
      <c r="P667" s="35"/>
      <c r="Q667" s="35"/>
      <c r="R667" s="35"/>
      <c r="S667" s="35"/>
      <c r="T667" s="35" t="s">
        <v>9706</v>
      </c>
      <c r="U667" s="35"/>
      <c r="V667" s="35" t="s">
        <v>61</v>
      </c>
      <c r="W667" s="35" t="s">
        <v>74</v>
      </c>
      <c r="X667" s="35" t="s">
        <v>9707</v>
      </c>
      <c r="Y667" s="35" t="s">
        <v>9708</v>
      </c>
      <c r="Z667" s="35" t="s">
        <v>9709</v>
      </c>
      <c r="AA667" s="46">
        <v>46023.0</v>
      </c>
      <c r="AB667" s="46">
        <v>46387.0</v>
      </c>
      <c r="AC667" s="35" t="s">
        <v>9710</v>
      </c>
      <c r="AD667" s="35" t="s">
        <v>79</v>
      </c>
      <c r="AE667" s="166"/>
      <c r="AF667" s="35"/>
      <c r="AG667" s="46"/>
    </row>
    <row r="668" ht="44.25" customHeight="1">
      <c r="A668" s="35">
        <v>667.0</v>
      </c>
      <c r="B668" s="35" t="s">
        <v>9711</v>
      </c>
      <c r="C668" s="35" t="s">
        <v>1026</v>
      </c>
      <c r="D668" s="35" t="s">
        <v>2594</v>
      </c>
      <c r="E668" s="35" t="s">
        <v>9712</v>
      </c>
      <c r="F668" s="35" t="s">
        <v>9713</v>
      </c>
      <c r="G668" s="41" t="s">
        <v>9714</v>
      </c>
      <c r="H668" s="35" t="s">
        <v>59</v>
      </c>
      <c r="I668" s="35" t="s">
        <v>61</v>
      </c>
      <c r="J668" s="35" t="s">
        <v>62</v>
      </c>
      <c r="K668" s="35" t="s">
        <v>63</v>
      </c>
      <c r="L668" s="35">
        <v>48.0</v>
      </c>
      <c r="M668" s="35" t="s">
        <v>6861</v>
      </c>
      <c r="N668" s="35" t="s">
        <v>66</v>
      </c>
      <c r="O668" s="35" t="s">
        <v>67</v>
      </c>
      <c r="P668" s="35" t="s">
        <v>9715</v>
      </c>
      <c r="Q668" s="35"/>
      <c r="R668" s="35"/>
      <c r="S668" s="35"/>
      <c r="T668" s="35"/>
      <c r="U668" s="35"/>
      <c r="V668" s="35" t="s">
        <v>61</v>
      </c>
      <c r="W668" s="35" t="s">
        <v>74</v>
      </c>
      <c r="X668" s="35" t="s">
        <v>9716</v>
      </c>
      <c r="Y668" s="112">
        <v>9.177268011E9</v>
      </c>
      <c r="Z668" s="35" t="s">
        <v>9717</v>
      </c>
      <c r="AA668" s="46">
        <v>46023.0</v>
      </c>
      <c r="AB668" s="46">
        <v>46387.0</v>
      </c>
      <c r="AC668" s="35" t="s">
        <v>9718</v>
      </c>
      <c r="AD668" s="35" t="s">
        <v>79</v>
      </c>
      <c r="AE668" s="166"/>
      <c r="AF668" s="35"/>
      <c r="AG668" s="46"/>
    </row>
    <row r="669" ht="44.25" customHeight="1">
      <c r="A669" s="35">
        <v>668.0</v>
      </c>
      <c r="B669" s="35" t="s">
        <v>9719</v>
      </c>
      <c r="C669" s="35" t="s">
        <v>1026</v>
      </c>
      <c r="D669" s="35" t="s">
        <v>2594</v>
      </c>
      <c r="E669" s="35" t="s">
        <v>9720</v>
      </c>
      <c r="F669" s="35" t="s">
        <v>9721</v>
      </c>
      <c r="G669" s="41" t="s">
        <v>9722</v>
      </c>
      <c r="H669" s="35" t="s">
        <v>59</v>
      </c>
      <c r="I669" s="35" t="s">
        <v>61</v>
      </c>
      <c r="J669" s="35" t="s">
        <v>62</v>
      </c>
      <c r="K669" s="35" t="s">
        <v>63</v>
      </c>
      <c r="L669" s="35">
        <v>31.0</v>
      </c>
      <c r="M669" s="35"/>
      <c r="N669" s="35" t="s">
        <v>66</v>
      </c>
      <c r="O669" s="35" t="s">
        <v>67</v>
      </c>
      <c r="P669" s="35" t="s">
        <v>9723</v>
      </c>
      <c r="Q669" s="35"/>
      <c r="R669" s="35"/>
      <c r="S669" s="35"/>
      <c r="T669" s="35" t="s">
        <v>61</v>
      </c>
      <c r="U669" s="35"/>
      <c r="V669" s="35" t="s">
        <v>61</v>
      </c>
      <c r="W669" s="35" t="s">
        <v>74</v>
      </c>
      <c r="X669" s="35" t="s">
        <v>9724</v>
      </c>
      <c r="Y669" s="35">
        <v>9.537793433E9</v>
      </c>
      <c r="Z669" s="35" t="s">
        <v>9725</v>
      </c>
      <c r="AA669" s="46">
        <v>46023.0</v>
      </c>
      <c r="AB669" s="46">
        <v>46387.0</v>
      </c>
      <c r="AC669" s="35" t="s">
        <v>9726</v>
      </c>
      <c r="AD669" s="35" t="s">
        <v>79</v>
      </c>
      <c r="AE669" s="166"/>
      <c r="AF669" s="35"/>
      <c r="AG669" s="46"/>
    </row>
    <row r="670" ht="44.25" customHeight="1">
      <c r="A670" s="35">
        <v>669.0</v>
      </c>
      <c r="B670" s="35" t="s">
        <v>9727</v>
      </c>
      <c r="C670" s="35" t="s">
        <v>1026</v>
      </c>
      <c r="D670" s="35" t="s">
        <v>2594</v>
      </c>
      <c r="E670" s="35" t="s">
        <v>9720</v>
      </c>
      <c r="F670" s="35" t="s">
        <v>9728</v>
      </c>
      <c r="G670" s="41" t="s">
        <v>9729</v>
      </c>
      <c r="H670" s="35" t="s">
        <v>59</v>
      </c>
      <c r="I670" s="35" t="s">
        <v>61</v>
      </c>
      <c r="J670" s="35" t="s">
        <v>62</v>
      </c>
      <c r="K670" s="35" t="s">
        <v>63</v>
      </c>
      <c r="L670" s="35">
        <v>119.0</v>
      </c>
      <c r="M670" s="35" t="s">
        <v>6922</v>
      </c>
      <c r="N670" s="35" t="s">
        <v>66</v>
      </c>
      <c r="O670" s="35" t="s">
        <v>67</v>
      </c>
      <c r="P670" s="35" t="s">
        <v>9731</v>
      </c>
      <c r="Q670" s="35"/>
      <c r="R670" s="35"/>
      <c r="S670" s="35"/>
      <c r="T670" s="35"/>
      <c r="U670" s="35">
        <v>10.0</v>
      </c>
      <c r="V670" s="35" t="s">
        <v>61</v>
      </c>
      <c r="W670" s="35" t="s">
        <v>74</v>
      </c>
      <c r="X670" s="35" t="s">
        <v>9732</v>
      </c>
      <c r="Y670" s="112">
        <v>9.206138703E9</v>
      </c>
      <c r="Z670" s="35" t="s">
        <v>9733</v>
      </c>
      <c r="AA670" s="46">
        <v>46023.0</v>
      </c>
      <c r="AB670" s="46">
        <v>46387.0</v>
      </c>
      <c r="AC670" s="35" t="s">
        <v>9734</v>
      </c>
      <c r="AD670" s="35" t="s">
        <v>79</v>
      </c>
      <c r="AE670" s="35" t="s">
        <v>643</v>
      </c>
      <c r="AF670" s="35"/>
      <c r="AG670" s="46"/>
    </row>
    <row r="671" ht="44.25" customHeight="1">
      <c r="A671" s="35">
        <v>670.0</v>
      </c>
      <c r="B671" s="35" t="s">
        <v>9735</v>
      </c>
      <c r="C671" s="35" t="s">
        <v>1026</v>
      </c>
      <c r="D671" s="35" t="s">
        <v>2615</v>
      </c>
      <c r="E671" s="35" t="s">
        <v>9736</v>
      </c>
      <c r="F671" s="35" t="s">
        <v>9737</v>
      </c>
      <c r="G671" s="41" t="s">
        <v>9738</v>
      </c>
      <c r="H671" s="35" t="s">
        <v>59</v>
      </c>
      <c r="I671" s="35" t="s">
        <v>61</v>
      </c>
      <c r="J671" s="35" t="s">
        <v>62</v>
      </c>
      <c r="K671" s="35" t="s">
        <v>63</v>
      </c>
      <c r="L671" s="35">
        <v>25.0</v>
      </c>
      <c r="M671" s="35" t="s">
        <v>6797</v>
      </c>
      <c r="N671" s="35" t="s">
        <v>66</v>
      </c>
      <c r="O671" s="35" t="s">
        <v>67</v>
      </c>
      <c r="P671" s="35"/>
      <c r="Q671" s="35"/>
      <c r="R671" s="52"/>
      <c r="S671" s="35"/>
      <c r="T671" s="35" t="s">
        <v>9739</v>
      </c>
      <c r="U671" s="52"/>
      <c r="V671" s="35" t="s">
        <v>61</v>
      </c>
      <c r="W671" s="35" t="s">
        <v>74</v>
      </c>
      <c r="X671" s="35" t="s">
        <v>9740</v>
      </c>
      <c r="Y671" s="35" t="s">
        <v>9741</v>
      </c>
      <c r="Z671" s="35" t="s">
        <v>9742</v>
      </c>
      <c r="AA671" s="46">
        <v>46023.0</v>
      </c>
      <c r="AB671" s="46">
        <v>46387.0</v>
      </c>
      <c r="AC671" s="35" t="s">
        <v>9743</v>
      </c>
      <c r="AD671" s="35" t="s">
        <v>79</v>
      </c>
      <c r="AE671" s="166"/>
      <c r="AF671" s="35"/>
      <c r="AG671" s="46"/>
    </row>
    <row r="672" ht="44.25" customHeight="1">
      <c r="A672" s="35">
        <v>671.0</v>
      </c>
      <c r="B672" s="35" t="s">
        <v>9744</v>
      </c>
      <c r="C672" s="35" t="s">
        <v>1026</v>
      </c>
      <c r="D672" s="35" t="s">
        <v>6724</v>
      </c>
      <c r="E672" s="35" t="s">
        <v>6725</v>
      </c>
      <c r="F672" s="35" t="s">
        <v>9745</v>
      </c>
      <c r="G672" s="41" t="s">
        <v>9746</v>
      </c>
      <c r="H672" s="35" t="s">
        <v>59</v>
      </c>
      <c r="I672" s="35" t="s">
        <v>61</v>
      </c>
      <c r="J672" s="35" t="s">
        <v>62</v>
      </c>
      <c r="K672" s="35" t="s">
        <v>111</v>
      </c>
      <c r="L672" s="35">
        <v>75.0</v>
      </c>
      <c r="M672" s="35" t="s">
        <v>9747</v>
      </c>
      <c r="N672" s="35" t="s">
        <v>66</v>
      </c>
      <c r="O672" s="35" t="s">
        <v>67</v>
      </c>
      <c r="P672" s="35" t="s">
        <v>9748</v>
      </c>
      <c r="Q672" s="35"/>
      <c r="R672" s="35"/>
      <c r="S672" s="35"/>
      <c r="T672" s="35"/>
      <c r="U672" s="35">
        <v>15.0</v>
      </c>
      <c r="V672" s="35" t="s">
        <v>61</v>
      </c>
      <c r="W672" s="35" t="s">
        <v>93</v>
      </c>
      <c r="X672" s="35" t="s">
        <v>9749</v>
      </c>
      <c r="Y672" s="35" t="s">
        <v>9750</v>
      </c>
      <c r="Z672" s="35" t="s">
        <v>9751</v>
      </c>
      <c r="AA672" s="46">
        <v>46023.0</v>
      </c>
      <c r="AB672" s="46">
        <v>46387.0</v>
      </c>
      <c r="AC672" s="35" t="s">
        <v>9752</v>
      </c>
      <c r="AD672" s="35" t="s">
        <v>79</v>
      </c>
      <c r="AE672" s="166"/>
      <c r="AF672" s="35"/>
      <c r="AG672" s="46"/>
    </row>
    <row r="673" ht="44.25" customHeight="1">
      <c r="A673" s="35">
        <v>672.0</v>
      </c>
      <c r="B673" s="35" t="s">
        <v>9753</v>
      </c>
      <c r="C673" s="35" t="s">
        <v>1026</v>
      </c>
      <c r="D673" s="35" t="s">
        <v>6724</v>
      </c>
      <c r="E673" s="35" t="s">
        <v>6725</v>
      </c>
      <c r="F673" s="35" t="s">
        <v>9754</v>
      </c>
      <c r="G673" s="41" t="s">
        <v>9755</v>
      </c>
      <c r="H673" s="35" t="s">
        <v>59</v>
      </c>
      <c r="I673" s="35" t="s">
        <v>61</v>
      </c>
      <c r="J673" s="35" t="s">
        <v>62</v>
      </c>
      <c r="K673" s="35" t="s">
        <v>68</v>
      </c>
      <c r="L673" s="35">
        <v>280.0</v>
      </c>
      <c r="M673" s="35" t="s">
        <v>9756</v>
      </c>
      <c r="N673" s="35" t="s">
        <v>71</v>
      </c>
      <c r="O673" s="35"/>
      <c r="P673" s="35" t="s">
        <v>9757</v>
      </c>
      <c r="Q673" s="35"/>
      <c r="R673" s="35"/>
      <c r="S673" s="35"/>
      <c r="T673" s="35"/>
      <c r="U673" s="35">
        <v>22.0</v>
      </c>
      <c r="V673" s="35" t="s">
        <v>533</v>
      </c>
      <c r="W673" s="35" t="s">
        <v>93</v>
      </c>
      <c r="X673" s="35" t="s">
        <v>9758</v>
      </c>
      <c r="Y673" s="35" t="s">
        <v>9759</v>
      </c>
      <c r="Z673" s="35" t="s">
        <v>9760</v>
      </c>
      <c r="AA673" s="46">
        <v>46023.0</v>
      </c>
      <c r="AB673" s="46">
        <v>46387.0</v>
      </c>
      <c r="AC673" s="35" t="s">
        <v>9761</v>
      </c>
      <c r="AD673" s="35" t="s">
        <v>79</v>
      </c>
      <c r="AE673" s="166"/>
      <c r="AF673" s="35"/>
      <c r="AG673" s="46"/>
    </row>
    <row r="674" ht="44.25" customHeight="1">
      <c r="A674" s="35">
        <v>673.0</v>
      </c>
      <c r="B674" s="35" t="s">
        <v>9762</v>
      </c>
      <c r="C674" s="35" t="s">
        <v>1026</v>
      </c>
      <c r="D674" s="35" t="s">
        <v>6724</v>
      </c>
      <c r="E674" s="35" t="s">
        <v>6725</v>
      </c>
      <c r="F674" s="35" t="s">
        <v>9763</v>
      </c>
      <c r="G674" s="41" t="s">
        <v>9764</v>
      </c>
      <c r="H674" s="35" t="s">
        <v>59</v>
      </c>
      <c r="I674" s="35" t="s">
        <v>61</v>
      </c>
      <c r="J674" s="35" t="s">
        <v>62</v>
      </c>
      <c r="K674" s="35" t="s">
        <v>111</v>
      </c>
      <c r="L674" s="35">
        <v>75.0</v>
      </c>
      <c r="M674" s="35" t="s">
        <v>9765</v>
      </c>
      <c r="N674" s="35" t="s">
        <v>66</v>
      </c>
      <c r="O674" s="35" t="s">
        <v>67</v>
      </c>
      <c r="P674" s="35" t="s">
        <v>9766</v>
      </c>
      <c r="Q674" s="35"/>
      <c r="R674" s="35"/>
      <c r="S674" s="35"/>
      <c r="T674" s="35" t="s">
        <v>61</v>
      </c>
      <c r="U674" s="35">
        <v>12.0</v>
      </c>
      <c r="V674" s="35" t="s">
        <v>61</v>
      </c>
      <c r="W674" s="35" t="s">
        <v>93</v>
      </c>
      <c r="X674" s="35" t="s">
        <v>9767</v>
      </c>
      <c r="Y674" s="35" t="s">
        <v>9768</v>
      </c>
      <c r="Z674" s="35" t="s">
        <v>9769</v>
      </c>
      <c r="AA674" s="46">
        <v>46023.0</v>
      </c>
      <c r="AB674" s="46">
        <v>46387.0</v>
      </c>
      <c r="AC674" s="35" t="s">
        <v>9770</v>
      </c>
      <c r="AD674" s="35" t="s">
        <v>79</v>
      </c>
      <c r="AE674" s="166"/>
      <c r="AF674" s="35"/>
      <c r="AG674" s="46"/>
    </row>
    <row r="675" ht="44.25" customHeight="1">
      <c r="A675" s="35">
        <v>674.0</v>
      </c>
      <c r="B675" s="35" t="s">
        <v>9771</v>
      </c>
      <c r="C675" s="35" t="s">
        <v>1026</v>
      </c>
      <c r="D675" s="35" t="s">
        <v>6724</v>
      </c>
      <c r="E675" s="35" t="s">
        <v>6725</v>
      </c>
      <c r="F675" s="35" t="s">
        <v>9772</v>
      </c>
      <c r="G675" s="41" t="s">
        <v>9773</v>
      </c>
      <c r="H675" s="35" t="s">
        <v>59</v>
      </c>
      <c r="I675" s="35" t="s">
        <v>61</v>
      </c>
      <c r="J675" s="35" t="s">
        <v>62</v>
      </c>
      <c r="K675" s="35" t="s">
        <v>63</v>
      </c>
      <c r="L675" s="35">
        <v>31.0</v>
      </c>
      <c r="M675" s="35" t="s">
        <v>9774</v>
      </c>
      <c r="N675" s="35" t="s">
        <v>66</v>
      </c>
      <c r="O675" s="35" t="s">
        <v>67</v>
      </c>
      <c r="P675" s="35"/>
      <c r="Q675" s="35"/>
      <c r="R675" s="35"/>
      <c r="S675" s="35"/>
      <c r="T675" s="35" t="s">
        <v>9775</v>
      </c>
      <c r="U675" s="35"/>
      <c r="V675" s="35" t="s">
        <v>61</v>
      </c>
      <c r="W675" s="35" t="s">
        <v>74</v>
      </c>
      <c r="X675" s="35" t="s">
        <v>9776</v>
      </c>
      <c r="Y675" s="112" t="s">
        <v>9777</v>
      </c>
      <c r="Z675" s="35" t="s">
        <v>9778</v>
      </c>
      <c r="AA675" s="46">
        <v>46023.0</v>
      </c>
      <c r="AB675" s="46">
        <v>46387.0</v>
      </c>
      <c r="AC675" s="35" t="s">
        <v>9779</v>
      </c>
      <c r="AD675" s="35" t="s">
        <v>79</v>
      </c>
      <c r="AE675" s="166"/>
      <c r="AF675" s="35"/>
      <c r="AG675" s="46"/>
    </row>
    <row r="676" ht="44.25" customHeight="1">
      <c r="A676" s="35">
        <v>675.0</v>
      </c>
      <c r="B676" s="35" t="s">
        <v>9780</v>
      </c>
      <c r="C676" s="35" t="s">
        <v>1026</v>
      </c>
      <c r="D676" s="35" t="s">
        <v>6724</v>
      </c>
      <c r="E676" s="35" t="s">
        <v>6725</v>
      </c>
      <c r="F676" s="35" t="s">
        <v>9781</v>
      </c>
      <c r="G676" s="41" t="s">
        <v>9782</v>
      </c>
      <c r="H676" s="35" t="s">
        <v>59</v>
      </c>
      <c r="I676" s="35" t="s">
        <v>61</v>
      </c>
      <c r="J676" s="35" t="s">
        <v>62</v>
      </c>
      <c r="K676" s="35" t="s">
        <v>111</v>
      </c>
      <c r="L676" s="35">
        <v>100.0</v>
      </c>
      <c r="M676" s="35" t="s">
        <v>9783</v>
      </c>
      <c r="N676" s="35" t="s">
        <v>66</v>
      </c>
      <c r="O676" s="35" t="s">
        <v>67</v>
      </c>
      <c r="P676" s="35" t="s">
        <v>9784</v>
      </c>
      <c r="Q676" s="35"/>
      <c r="R676" s="35"/>
      <c r="S676" s="35"/>
      <c r="T676" s="35" t="s">
        <v>61</v>
      </c>
      <c r="U676" s="35">
        <v>16.0</v>
      </c>
      <c r="V676" s="35" t="s">
        <v>61</v>
      </c>
      <c r="W676" s="35" t="s">
        <v>93</v>
      </c>
      <c r="X676" s="35" t="s">
        <v>9785</v>
      </c>
      <c r="Y676" s="35" t="s">
        <v>9786</v>
      </c>
      <c r="Z676" s="35" t="s">
        <v>9787</v>
      </c>
      <c r="AA676" s="46">
        <v>46023.0</v>
      </c>
      <c r="AB676" s="46">
        <v>46387.0</v>
      </c>
      <c r="AC676" s="35" t="s">
        <v>9788</v>
      </c>
      <c r="AD676" s="35" t="s">
        <v>79</v>
      </c>
      <c r="AE676" s="166"/>
      <c r="AF676" s="35"/>
      <c r="AG676" s="46"/>
    </row>
    <row r="677" ht="44.25" customHeight="1">
      <c r="A677" s="35">
        <v>676.0</v>
      </c>
      <c r="B677" s="35" t="s">
        <v>9789</v>
      </c>
      <c r="C677" s="35" t="s">
        <v>1026</v>
      </c>
      <c r="D677" s="35" t="s">
        <v>6724</v>
      </c>
      <c r="E677" s="35" t="s">
        <v>6725</v>
      </c>
      <c r="F677" s="35" t="s">
        <v>9790</v>
      </c>
      <c r="G677" s="41" t="s">
        <v>9791</v>
      </c>
      <c r="H677" s="35" t="s">
        <v>59</v>
      </c>
      <c r="I677" s="35" t="s">
        <v>61</v>
      </c>
      <c r="J677" s="35" t="s">
        <v>62</v>
      </c>
      <c r="K677" s="35" t="s">
        <v>63</v>
      </c>
      <c r="L677" s="35">
        <v>50.0</v>
      </c>
      <c r="M677" s="35" t="s">
        <v>6861</v>
      </c>
      <c r="N677" s="35" t="s">
        <v>66</v>
      </c>
      <c r="O677" s="35" t="s">
        <v>67</v>
      </c>
      <c r="P677" s="35"/>
      <c r="Q677" s="35"/>
      <c r="R677" s="52"/>
      <c r="S677" s="35"/>
      <c r="T677" s="35" t="s">
        <v>9792</v>
      </c>
      <c r="U677" s="52"/>
      <c r="V677" s="35" t="s">
        <v>61</v>
      </c>
      <c r="W677" s="35" t="s">
        <v>74</v>
      </c>
      <c r="X677" s="35" t="s">
        <v>9793</v>
      </c>
      <c r="Y677" s="35">
        <v>9.5012928E9</v>
      </c>
      <c r="Z677" s="35" t="s">
        <v>9794</v>
      </c>
      <c r="AA677" s="46">
        <v>46023.0</v>
      </c>
      <c r="AB677" s="46">
        <v>46387.0</v>
      </c>
      <c r="AC677" s="35" t="s">
        <v>9795</v>
      </c>
      <c r="AD677" s="35" t="s">
        <v>79</v>
      </c>
      <c r="AE677" s="166"/>
      <c r="AF677" s="35"/>
      <c r="AG677" s="46"/>
    </row>
    <row r="678" ht="44.25" customHeight="1">
      <c r="A678" s="35">
        <v>677.0</v>
      </c>
      <c r="B678" s="35" t="s">
        <v>9796</v>
      </c>
      <c r="C678" s="35" t="s">
        <v>1026</v>
      </c>
      <c r="D678" s="35" t="s">
        <v>6724</v>
      </c>
      <c r="E678" s="35" t="s">
        <v>6725</v>
      </c>
      <c r="F678" s="35" t="s">
        <v>9797</v>
      </c>
      <c r="G678" s="41" t="s">
        <v>9798</v>
      </c>
      <c r="H678" s="35" t="s">
        <v>59</v>
      </c>
      <c r="I678" s="35" t="s">
        <v>61</v>
      </c>
      <c r="J678" s="35" t="s">
        <v>62</v>
      </c>
      <c r="K678" s="35" t="s">
        <v>111</v>
      </c>
      <c r="L678" s="35">
        <v>100.0</v>
      </c>
      <c r="M678" s="35" t="s">
        <v>9799</v>
      </c>
      <c r="N678" s="35" t="s">
        <v>66</v>
      </c>
      <c r="O678" s="35" t="s">
        <v>67</v>
      </c>
      <c r="P678" s="35" t="s">
        <v>9800</v>
      </c>
      <c r="Q678" s="35"/>
      <c r="R678" s="35"/>
      <c r="S678" s="35"/>
      <c r="T678" s="35" t="s">
        <v>61</v>
      </c>
      <c r="U678" s="35">
        <v>15.0</v>
      </c>
      <c r="V678" s="35" t="s">
        <v>61</v>
      </c>
      <c r="W678" s="35" t="s">
        <v>93</v>
      </c>
      <c r="X678" s="35" t="s">
        <v>9801</v>
      </c>
      <c r="Y678" s="35" t="s">
        <v>9802</v>
      </c>
      <c r="Z678" s="35" t="s">
        <v>9803</v>
      </c>
      <c r="AA678" s="46">
        <v>46023.0</v>
      </c>
      <c r="AB678" s="46">
        <v>46387.0</v>
      </c>
      <c r="AC678" s="35" t="s">
        <v>9804</v>
      </c>
      <c r="AD678" s="35" t="s">
        <v>79</v>
      </c>
      <c r="AE678" s="210"/>
      <c r="AF678" s="166"/>
      <c r="AG678" s="46"/>
    </row>
    <row r="679" ht="44.25" customHeight="1">
      <c r="A679" s="35">
        <v>678.0</v>
      </c>
      <c r="B679" s="35" t="s">
        <v>9805</v>
      </c>
      <c r="C679" s="35" t="s">
        <v>1026</v>
      </c>
      <c r="D679" s="35" t="s">
        <v>6724</v>
      </c>
      <c r="E679" s="35" t="s">
        <v>6725</v>
      </c>
      <c r="F679" s="35" t="s">
        <v>9806</v>
      </c>
      <c r="G679" s="41" t="s">
        <v>9807</v>
      </c>
      <c r="H679" s="35" t="s">
        <v>59</v>
      </c>
      <c r="I679" s="35" t="s">
        <v>61</v>
      </c>
      <c r="J679" s="35" t="s">
        <v>62</v>
      </c>
      <c r="K679" s="35" t="s">
        <v>111</v>
      </c>
      <c r="L679" s="35">
        <v>296.0</v>
      </c>
      <c r="M679" s="35" t="s">
        <v>9808</v>
      </c>
      <c r="N679" s="35" t="s">
        <v>66</v>
      </c>
      <c r="O679" s="35" t="s">
        <v>67</v>
      </c>
      <c r="P679" s="35" t="s">
        <v>9809</v>
      </c>
      <c r="Q679" s="35"/>
      <c r="R679" s="35"/>
      <c r="S679" s="35"/>
      <c r="T679" s="35" t="s">
        <v>61</v>
      </c>
      <c r="U679" s="35">
        <v>20.0</v>
      </c>
      <c r="V679" s="35" t="s">
        <v>61</v>
      </c>
      <c r="W679" s="35" t="s">
        <v>93</v>
      </c>
      <c r="X679" s="35" t="s">
        <v>9810</v>
      </c>
      <c r="Y679" s="35" t="s">
        <v>9811</v>
      </c>
      <c r="Z679" s="35" t="s">
        <v>9812</v>
      </c>
      <c r="AA679" s="46">
        <v>46023.0</v>
      </c>
      <c r="AB679" s="46">
        <v>46387.0</v>
      </c>
      <c r="AC679" s="35" t="s">
        <v>9813</v>
      </c>
      <c r="AD679" s="35" t="s">
        <v>79</v>
      </c>
      <c r="AE679" s="210"/>
      <c r="AF679" s="166"/>
      <c r="AG679" s="46"/>
    </row>
    <row r="680" ht="44.25" customHeight="1">
      <c r="A680" s="35">
        <v>679.0</v>
      </c>
      <c r="B680" s="35" t="s">
        <v>9814</v>
      </c>
      <c r="C680" s="35" t="s">
        <v>1026</v>
      </c>
      <c r="D680" s="35" t="s">
        <v>6724</v>
      </c>
      <c r="E680" s="35" t="s">
        <v>6725</v>
      </c>
      <c r="F680" s="35" t="s">
        <v>9815</v>
      </c>
      <c r="G680" s="41" t="s">
        <v>9816</v>
      </c>
      <c r="H680" s="35" t="s">
        <v>59</v>
      </c>
      <c r="I680" s="35" t="s">
        <v>61</v>
      </c>
      <c r="J680" s="35" t="s">
        <v>62</v>
      </c>
      <c r="K680" s="35" t="s">
        <v>68</v>
      </c>
      <c r="L680" s="35">
        <v>273.0</v>
      </c>
      <c r="M680" s="35" t="s">
        <v>9817</v>
      </c>
      <c r="N680" s="35" t="s">
        <v>71</v>
      </c>
      <c r="O680" s="35"/>
      <c r="P680" s="35" t="s">
        <v>9818</v>
      </c>
      <c r="Q680" s="35"/>
      <c r="R680" s="35"/>
      <c r="S680" s="208"/>
      <c r="T680" s="35"/>
      <c r="U680" s="35">
        <v>20.0</v>
      </c>
      <c r="V680" s="208"/>
      <c r="W680" s="35" t="s">
        <v>93</v>
      </c>
      <c r="X680" s="35" t="s">
        <v>9819</v>
      </c>
      <c r="Y680" s="35" t="s">
        <v>9820</v>
      </c>
      <c r="Z680" s="35" t="s">
        <v>9821</v>
      </c>
      <c r="AA680" s="46">
        <v>46023.0</v>
      </c>
      <c r="AB680" s="46">
        <v>46387.0</v>
      </c>
      <c r="AC680" s="35" t="s">
        <v>9822</v>
      </c>
      <c r="AD680" s="35" t="s">
        <v>79</v>
      </c>
      <c r="AE680" s="210"/>
      <c r="AF680" s="166"/>
      <c r="AG680" s="46"/>
    </row>
    <row r="681" ht="44.25" customHeight="1">
      <c r="A681" s="35">
        <v>680.0</v>
      </c>
      <c r="B681" s="35" t="s">
        <v>9823</v>
      </c>
      <c r="C681" s="35" t="s">
        <v>1026</v>
      </c>
      <c r="D681" s="35" t="s">
        <v>2615</v>
      </c>
      <c r="E681" s="35" t="s">
        <v>6954</v>
      </c>
      <c r="F681" s="35" t="s">
        <v>9824</v>
      </c>
      <c r="G681" s="41" t="s">
        <v>9825</v>
      </c>
      <c r="H681" s="35" t="s">
        <v>59</v>
      </c>
      <c r="I681" s="35" t="s">
        <v>61</v>
      </c>
      <c r="J681" s="35" t="s">
        <v>62</v>
      </c>
      <c r="K681" s="35" t="s">
        <v>111</v>
      </c>
      <c r="L681" s="35">
        <v>116.0</v>
      </c>
      <c r="M681" s="35" t="s">
        <v>9826</v>
      </c>
      <c r="N681" s="35" t="s">
        <v>66</v>
      </c>
      <c r="O681" s="35" t="s">
        <v>67</v>
      </c>
      <c r="P681" s="35" t="s">
        <v>9827</v>
      </c>
      <c r="Q681" s="35"/>
      <c r="R681" s="35"/>
      <c r="S681" s="208"/>
      <c r="T681" s="35" t="s">
        <v>61</v>
      </c>
      <c r="U681" s="35">
        <v>18.0</v>
      </c>
      <c r="V681" s="208"/>
      <c r="W681" s="35" t="s">
        <v>93</v>
      </c>
      <c r="X681" s="35" t="s">
        <v>9828</v>
      </c>
      <c r="Y681" s="35" t="s">
        <v>9829</v>
      </c>
      <c r="Z681" s="35" t="s">
        <v>9830</v>
      </c>
      <c r="AA681" s="46">
        <v>46023.0</v>
      </c>
      <c r="AB681" s="46">
        <v>46387.0</v>
      </c>
      <c r="AC681" s="35" t="s">
        <v>9831</v>
      </c>
      <c r="AD681" s="35" t="s">
        <v>79</v>
      </c>
      <c r="AE681" s="210"/>
      <c r="AF681" s="166"/>
      <c r="AG681" s="46"/>
    </row>
    <row r="682" ht="44.25" customHeight="1">
      <c r="A682" s="35">
        <v>681.0</v>
      </c>
      <c r="B682" s="35" t="s">
        <v>9832</v>
      </c>
      <c r="C682" s="35" t="s">
        <v>1026</v>
      </c>
      <c r="D682" s="35" t="s">
        <v>2615</v>
      </c>
      <c r="E682" s="35" t="s">
        <v>6954</v>
      </c>
      <c r="F682" s="35" t="s">
        <v>9833</v>
      </c>
      <c r="G682" s="41" t="s">
        <v>9834</v>
      </c>
      <c r="H682" s="35" t="s">
        <v>59</v>
      </c>
      <c r="I682" s="35" t="s">
        <v>61</v>
      </c>
      <c r="J682" s="35" t="s">
        <v>62</v>
      </c>
      <c r="K682" s="35" t="s">
        <v>111</v>
      </c>
      <c r="L682" s="35">
        <v>100.0</v>
      </c>
      <c r="M682" s="35" t="s">
        <v>9835</v>
      </c>
      <c r="N682" s="35" t="s">
        <v>66</v>
      </c>
      <c r="O682" s="35" t="s">
        <v>72</v>
      </c>
      <c r="P682" s="35" t="s">
        <v>9836</v>
      </c>
      <c r="Q682" s="35"/>
      <c r="R682" s="35"/>
      <c r="S682" s="208"/>
      <c r="T682" s="35" t="s">
        <v>61</v>
      </c>
      <c r="U682" s="35">
        <v>33.0</v>
      </c>
      <c r="V682" s="208"/>
      <c r="W682" s="35" t="s">
        <v>93</v>
      </c>
      <c r="X682" s="35" t="s">
        <v>9837</v>
      </c>
      <c r="Y682" s="35" t="s">
        <v>9838</v>
      </c>
      <c r="Z682" s="35" t="s">
        <v>9839</v>
      </c>
      <c r="AA682" s="46">
        <v>46023.0</v>
      </c>
      <c r="AB682" s="46">
        <v>46387.0</v>
      </c>
      <c r="AC682" s="35" t="s">
        <v>9840</v>
      </c>
      <c r="AD682" s="35" t="s">
        <v>79</v>
      </c>
      <c r="AE682" s="210"/>
      <c r="AF682" s="166"/>
      <c r="AG682" s="46"/>
    </row>
    <row r="683" ht="44.25" customHeight="1">
      <c r="A683" s="35">
        <v>682.0</v>
      </c>
      <c r="B683" s="35" t="s">
        <v>9841</v>
      </c>
      <c r="C683" s="35" t="s">
        <v>1026</v>
      </c>
      <c r="D683" s="35" t="s">
        <v>2615</v>
      </c>
      <c r="E683" s="35" t="s">
        <v>6954</v>
      </c>
      <c r="F683" s="35" t="s">
        <v>9842</v>
      </c>
      <c r="G683" s="41" t="s">
        <v>9843</v>
      </c>
      <c r="H683" s="35" t="s">
        <v>59</v>
      </c>
      <c r="I683" s="35" t="s">
        <v>61</v>
      </c>
      <c r="J683" s="35" t="s">
        <v>62</v>
      </c>
      <c r="K683" s="35" t="s">
        <v>63</v>
      </c>
      <c r="L683" s="35">
        <v>65.0</v>
      </c>
      <c r="M683" s="35" t="s">
        <v>9844</v>
      </c>
      <c r="N683" s="35" t="s">
        <v>66</v>
      </c>
      <c r="O683" s="35" t="s">
        <v>67</v>
      </c>
      <c r="P683" s="35" t="s">
        <v>9845</v>
      </c>
      <c r="Q683" s="35"/>
      <c r="R683" s="35"/>
      <c r="S683" s="35"/>
      <c r="T683" s="35"/>
      <c r="U683" s="35"/>
      <c r="V683" s="35" t="s">
        <v>61</v>
      </c>
      <c r="W683" s="35" t="s">
        <v>93</v>
      </c>
      <c r="X683" s="35" t="s">
        <v>9846</v>
      </c>
      <c r="Y683" s="35" t="s">
        <v>9847</v>
      </c>
      <c r="Z683" s="112" t="s">
        <v>9848</v>
      </c>
      <c r="AA683" s="46">
        <v>46023.0</v>
      </c>
      <c r="AB683" s="46">
        <v>46387.0</v>
      </c>
      <c r="AC683" s="35" t="s">
        <v>9849</v>
      </c>
      <c r="AD683" s="35" t="s">
        <v>79</v>
      </c>
      <c r="AE683" s="210"/>
      <c r="AF683" s="166"/>
      <c r="AG683" s="46"/>
    </row>
    <row r="684" ht="44.25" customHeight="1">
      <c r="A684" s="35">
        <v>683.0</v>
      </c>
      <c r="B684" s="35" t="s">
        <v>9850</v>
      </c>
      <c r="C684" s="35" t="s">
        <v>1026</v>
      </c>
      <c r="D684" s="35" t="s">
        <v>2615</v>
      </c>
      <c r="E684" s="35" t="s">
        <v>7003</v>
      </c>
      <c r="F684" s="35" t="s">
        <v>9851</v>
      </c>
      <c r="G684" s="41" t="s">
        <v>9852</v>
      </c>
      <c r="H684" s="35" t="s">
        <v>59</v>
      </c>
      <c r="I684" s="35" t="s">
        <v>61</v>
      </c>
      <c r="J684" s="35" t="s">
        <v>62</v>
      </c>
      <c r="K684" s="35" t="s">
        <v>63</v>
      </c>
      <c r="L684" s="35">
        <v>50.0</v>
      </c>
      <c r="M684" s="35" t="s">
        <v>6922</v>
      </c>
      <c r="N684" s="35" t="s">
        <v>66</v>
      </c>
      <c r="O684" s="35" t="s">
        <v>67</v>
      </c>
      <c r="P684" s="35" t="s">
        <v>9853</v>
      </c>
      <c r="Q684" s="35"/>
      <c r="R684" s="35"/>
      <c r="S684" s="35"/>
      <c r="T684" s="35"/>
      <c r="U684" s="35">
        <v>11.0</v>
      </c>
      <c r="V684" s="35" t="s">
        <v>61</v>
      </c>
      <c r="W684" s="35" t="s">
        <v>74</v>
      </c>
      <c r="X684" s="35" t="s">
        <v>9854</v>
      </c>
      <c r="Y684" s="35" t="s">
        <v>9855</v>
      </c>
      <c r="Z684" s="35" t="s">
        <v>9856</v>
      </c>
      <c r="AA684" s="46">
        <v>46023.0</v>
      </c>
      <c r="AB684" s="46">
        <v>46387.0</v>
      </c>
      <c r="AC684" s="35" t="s">
        <v>9857</v>
      </c>
      <c r="AD684" s="35" t="s">
        <v>79</v>
      </c>
      <c r="AE684" s="210"/>
      <c r="AF684" s="166"/>
      <c r="AG684" s="46"/>
    </row>
    <row r="685" ht="44.25" customHeight="1">
      <c r="A685" s="35">
        <v>684.0</v>
      </c>
      <c r="B685" s="35" t="s">
        <v>9858</v>
      </c>
      <c r="C685" s="35" t="s">
        <v>1026</v>
      </c>
      <c r="D685" s="35" t="s">
        <v>2615</v>
      </c>
      <c r="E685" s="35" t="s">
        <v>7003</v>
      </c>
      <c r="F685" s="35" t="s">
        <v>9859</v>
      </c>
      <c r="G685" s="41" t="s">
        <v>9860</v>
      </c>
      <c r="H685" s="35" t="s">
        <v>59</v>
      </c>
      <c r="I685" s="35" t="s">
        <v>61</v>
      </c>
      <c r="J685" s="35" t="s">
        <v>62</v>
      </c>
      <c r="K685" s="35" t="s">
        <v>63</v>
      </c>
      <c r="L685" s="35">
        <v>50.0</v>
      </c>
      <c r="M685" s="35" t="s">
        <v>9861</v>
      </c>
      <c r="N685" s="35" t="s">
        <v>66</v>
      </c>
      <c r="O685" s="35" t="s">
        <v>67</v>
      </c>
      <c r="P685" s="35" t="s">
        <v>9862</v>
      </c>
      <c r="Q685" s="35"/>
      <c r="R685" s="35"/>
      <c r="S685" s="35"/>
      <c r="T685" s="35"/>
      <c r="U685" s="35">
        <v>12.0</v>
      </c>
      <c r="V685" s="35" t="s">
        <v>61</v>
      </c>
      <c r="W685" s="35" t="s">
        <v>74</v>
      </c>
      <c r="X685" s="35" t="s">
        <v>9863</v>
      </c>
      <c r="Y685" s="35" t="s">
        <v>9864</v>
      </c>
      <c r="Z685" s="112" t="s">
        <v>9865</v>
      </c>
      <c r="AA685" s="46">
        <v>46023.0</v>
      </c>
      <c r="AB685" s="46">
        <v>46387.0</v>
      </c>
      <c r="AC685" s="35" t="s">
        <v>9866</v>
      </c>
      <c r="AD685" s="35" t="s">
        <v>79</v>
      </c>
      <c r="AE685" s="210"/>
      <c r="AF685" s="166"/>
      <c r="AG685" s="46"/>
    </row>
    <row r="686" ht="44.25" customHeight="1">
      <c r="A686" s="35">
        <v>685.0</v>
      </c>
      <c r="B686" s="35" t="s">
        <v>9867</v>
      </c>
      <c r="C686" s="35" t="s">
        <v>1026</v>
      </c>
      <c r="D686" s="35" t="s">
        <v>2615</v>
      </c>
      <c r="E686" s="35" t="s">
        <v>7003</v>
      </c>
      <c r="F686" s="35" t="s">
        <v>9868</v>
      </c>
      <c r="G686" s="41" t="s">
        <v>9869</v>
      </c>
      <c r="H686" s="35" t="s">
        <v>59</v>
      </c>
      <c r="I686" s="35" t="s">
        <v>61</v>
      </c>
      <c r="J686" s="35" t="s">
        <v>62</v>
      </c>
      <c r="K686" s="35" t="s">
        <v>111</v>
      </c>
      <c r="L686" s="35">
        <v>80.0</v>
      </c>
      <c r="M686" s="35" t="s">
        <v>9870</v>
      </c>
      <c r="N686" s="35" t="s">
        <v>66</v>
      </c>
      <c r="O686" s="35" t="s">
        <v>67</v>
      </c>
      <c r="P686" s="35" t="s">
        <v>9871</v>
      </c>
      <c r="Q686" s="35"/>
      <c r="R686" s="35"/>
      <c r="S686" s="35"/>
      <c r="T686" s="35" t="s">
        <v>61</v>
      </c>
      <c r="U686" s="35">
        <v>16.0</v>
      </c>
      <c r="V686" s="35" t="s">
        <v>61</v>
      </c>
      <c r="W686" s="35" t="s">
        <v>93</v>
      </c>
      <c r="X686" s="35" t="s">
        <v>9872</v>
      </c>
      <c r="Y686" s="35" t="s">
        <v>9873</v>
      </c>
      <c r="Z686" s="35" t="s">
        <v>9874</v>
      </c>
      <c r="AA686" s="46">
        <v>46023.0</v>
      </c>
      <c r="AB686" s="46">
        <v>46387.0</v>
      </c>
      <c r="AC686" s="35" t="s">
        <v>9875</v>
      </c>
      <c r="AD686" s="35" t="s">
        <v>79</v>
      </c>
      <c r="AE686" s="210"/>
      <c r="AF686" s="166"/>
      <c r="AG686" s="46"/>
    </row>
    <row r="687" ht="44.25" customHeight="1">
      <c r="A687" s="35">
        <v>686.0</v>
      </c>
      <c r="B687" s="35" t="s">
        <v>9876</v>
      </c>
      <c r="C687" s="35" t="s">
        <v>1026</v>
      </c>
      <c r="D687" s="35" t="s">
        <v>2615</v>
      </c>
      <c r="E687" s="35" t="s">
        <v>2616</v>
      </c>
      <c r="F687" s="35" t="s">
        <v>9877</v>
      </c>
      <c r="G687" s="41" t="s">
        <v>9878</v>
      </c>
      <c r="H687" s="35" t="s">
        <v>59</v>
      </c>
      <c r="I687" s="35" t="s">
        <v>61</v>
      </c>
      <c r="J687" s="35" t="s">
        <v>62</v>
      </c>
      <c r="K687" s="35" t="s">
        <v>63</v>
      </c>
      <c r="L687" s="35">
        <v>48.0</v>
      </c>
      <c r="M687" s="35" t="s">
        <v>9879</v>
      </c>
      <c r="N687" s="35" t="s">
        <v>66</v>
      </c>
      <c r="O687" s="35" t="s">
        <v>67</v>
      </c>
      <c r="P687" s="35" t="s">
        <v>9880</v>
      </c>
      <c r="Q687" s="208"/>
      <c r="R687" s="35"/>
      <c r="S687" s="35"/>
      <c r="T687" s="208"/>
      <c r="U687" s="35">
        <v>6.0</v>
      </c>
      <c r="V687" s="35" t="s">
        <v>61</v>
      </c>
      <c r="W687" s="35" t="s">
        <v>74</v>
      </c>
      <c r="X687" s="35" t="s">
        <v>9881</v>
      </c>
      <c r="Y687" s="35" t="s">
        <v>9882</v>
      </c>
      <c r="Z687" s="112" t="s">
        <v>9883</v>
      </c>
      <c r="AA687" s="46">
        <v>46023.0</v>
      </c>
      <c r="AB687" s="46">
        <v>46387.0</v>
      </c>
      <c r="AC687" s="35" t="s">
        <v>9884</v>
      </c>
      <c r="AD687" s="35" t="s">
        <v>79</v>
      </c>
      <c r="AE687" s="210"/>
      <c r="AF687" s="166"/>
      <c r="AG687" s="46"/>
    </row>
    <row r="688" ht="44.25" customHeight="1">
      <c r="A688" s="35">
        <v>687.0</v>
      </c>
      <c r="B688" s="35" t="s">
        <v>9885</v>
      </c>
      <c r="C688" s="35" t="s">
        <v>1026</v>
      </c>
      <c r="D688" s="35" t="s">
        <v>2615</v>
      </c>
      <c r="E688" s="35" t="s">
        <v>2616</v>
      </c>
      <c r="F688" s="35" t="s">
        <v>9886</v>
      </c>
      <c r="G688" s="41" t="s">
        <v>9887</v>
      </c>
      <c r="H688" s="35" t="s">
        <v>59</v>
      </c>
      <c r="I688" s="35" t="s">
        <v>61</v>
      </c>
      <c r="J688" s="35" t="s">
        <v>62</v>
      </c>
      <c r="K688" s="35" t="s">
        <v>63</v>
      </c>
      <c r="L688" s="35">
        <v>47.0</v>
      </c>
      <c r="M688" s="35" t="s">
        <v>6922</v>
      </c>
      <c r="N688" s="35" t="s">
        <v>66</v>
      </c>
      <c r="O688" s="35" t="s">
        <v>67</v>
      </c>
      <c r="P688" s="35" t="s">
        <v>9888</v>
      </c>
      <c r="Q688" s="35"/>
      <c r="R688" s="35"/>
      <c r="S688" s="35"/>
      <c r="T688" s="35"/>
      <c r="U688" s="35">
        <v>10.0</v>
      </c>
      <c r="V688" s="35" t="s">
        <v>61</v>
      </c>
      <c r="W688" s="35" t="s">
        <v>74</v>
      </c>
      <c r="X688" s="35" t="s">
        <v>9889</v>
      </c>
      <c r="Y688" s="35" t="s">
        <v>9890</v>
      </c>
      <c r="Z688" s="35" t="s">
        <v>9891</v>
      </c>
      <c r="AA688" s="46">
        <v>46023.0</v>
      </c>
      <c r="AB688" s="46">
        <v>46387.0</v>
      </c>
      <c r="AC688" s="35" t="s">
        <v>9892</v>
      </c>
      <c r="AD688" s="35" t="s">
        <v>79</v>
      </c>
      <c r="AE688" s="210"/>
      <c r="AF688" s="166"/>
      <c r="AG688" s="46"/>
    </row>
    <row r="689" ht="44.25" customHeight="1">
      <c r="A689" s="35">
        <v>688.0</v>
      </c>
      <c r="B689" s="35" t="s">
        <v>9893</v>
      </c>
      <c r="C689" s="35" t="s">
        <v>1026</v>
      </c>
      <c r="D689" s="35" t="s">
        <v>2615</v>
      </c>
      <c r="E689" s="35" t="s">
        <v>2616</v>
      </c>
      <c r="F689" s="35" t="s">
        <v>9894</v>
      </c>
      <c r="G689" s="41" t="s">
        <v>9895</v>
      </c>
      <c r="H689" s="35" t="s">
        <v>59</v>
      </c>
      <c r="I689" s="35" t="s">
        <v>61</v>
      </c>
      <c r="J689" s="35" t="s">
        <v>62</v>
      </c>
      <c r="K689" s="35" t="s">
        <v>63</v>
      </c>
      <c r="L689" s="35">
        <v>36.0</v>
      </c>
      <c r="M689" s="35" t="s">
        <v>6922</v>
      </c>
      <c r="N689" s="35" t="s">
        <v>66</v>
      </c>
      <c r="O689" s="35" t="s">
        <v>67</v>
      </c>
      <c r="P689" s="35" t="s">
        <v>9896</v>
      </c>
      <c r="Q689" s="35"/>
      <c r="R689" s="35"/>
      <c r="S689" s="35"/>
      <c r="T689" s="35"/>
      <c r="U689" s="35"/>
      <c r="V689" s="35" t="s">
        <v>61</v>
      </c>
      <c r="W689" s="35" t="s">
        <v>74</v>
      </c>
      <c r="X689" s="35" t="s">
        <v>9897</v>
      </c>
      <c r="Y689" s="35" t="s">
        <v>9898</v>
      </c>
      <c r="Z689" s="35" t="s">
        <v>9899</v>
      </c>
      <c r="AA689" s="46">
        <v>46023.0</v>
      </c>
      <c r="AB689" s="46">
        <v>46387.0</v>
      </c>
      <c r="AC689" s="35" t="s">
        <v>9900</v>
      </c>
      <c r="AD689" s="35" t="s">
        <v>79</v>
      </c>
      <c r="AE689" s="210"/>
      <c r="AF689" s="166"/>
      <c r="AG689" s="46"/>
    </row>
    <row r="690" ht="44.25" customHeight="1">
      <c r="A690" s="35">
        <v>689.0</v>
      </c>
      <c r="B690" s="35" t="s">
        <v>9901</v>
      </c>
      <c r="C690" s="35" t="s">
        <v>1026</v>
      </c>
      <c r="D690" s="35" t="s">
        <v>2539</v>
      </c>
      <c r="E690" s="35" t="s">
        <v>9902</v>
      </c>
      <c r="F690" s="35" t="s">
        <v>9903</v>
      </c>
      <c r="G690" s="41" t="s">
        <v>9904</v>
      </c>
      <c r="H690" s="35" t="s">
        <v>59</v>
      </c>
      <c r="I690" s="35" t="s">
        <v>61</v>
      </c>
      <c r="J690" s="35" t="s">
        <v>62</v>
      </c>
      <c r="K690" s="35" t="s">
        <v>111</v>
      </c>
      <c r="L690" s="35">
        <v>100.0</v>
      </c>
      <c r="M690" s="35" t="s">
        <v>9905</v>
      </c>
      <c r="N690" s="35" t="s">
        <v>66</v>
      </c>
      <c r="O690" s="35" t="s">
        <v>67</v>
      </c>
      <c r="P690" s="35" t="s">
        <v>9906</v>
      </c>
      <c r="Q690" s="35"/>
      <c r="R690" s="35"/>
      <c r="S690" s="35"/>
      <c r="T690" s="35" t="s">
        <v>61</v>
      </c>
      <c r="U690" s="35">
        <v>4.0</v>
      </c>
      <c r="V690" s="35" t="s">
        <v>61</v>
      </c>
      <c r="W690" s="35" t="s">
        <v>93</v>
      </c>
      <c r="X690" s="35" t="s">
        <v>9907</v>
      </c>
      <c r="Y690" s="35" t="s">
        <v>9908</v>
      </c>
      <c r="Z690" s="112" t="s">
        <v>9909</v>
      </c>
      <c r="AA690" s="46">
        <v>46023.0</v>
      </c>
      <c r="AB690" s="46">
        <v>46387.0</v>
      </c>
      <c r="AC690" s="35" t="s">
        <v>9910</v>
      </c>
      <c r="AD690" s="35" t="s">
        <v>79</v>
      </c>
      <c r="AE690" s="210"/>
      <c r="AF690" s="166"/>
      <c r="AG690" s="46"/>
    </row>
    <row r="691" ht="44.25" customHeight="1">
      <c r="A691" s="35">
        <v>690.0</v>
      </c>
      <c r="B691" s="35" t="s">
        <v>9911</v>
      </c>
      <c r="C691" s="35" t="s">
        <v>1026</v>
      </c>
      <c r="D691" s="35" t="s">
        <v>2539</v>
      </c>
      <c r="E691" s="35" t="s">
        <v>9912</v>
      </c>
      <c r="F691" s="35" t="s">
        <v>9913</v>
      </c>
      <c r="G691" s="41" t="s">
        <v>9914</v>
      </c>
      <c r="H691" s="35" t="s">
        <v>59</v>
      </c>
      <c r="I691" s="35" t="s">
        <v>61</v>
      </c>
      <c r="J691" s="35" t="s">
        <v>62</v>
      </c>
      <c r="K691" s="35" t="s">
        <v>63</v>
      </c>
      <c r="L691" s="35">
        <v>36.0</v>
      </c>
      <c r="M691" s="35" t="s">
        <v>6922</v>
      </c>
      <c r="N691" s="35" t="s">
        <v>66</v>
      </c>
      <c r="O691" s="35" t="s">
        <v>67</v>
      </c>
      <c r="P691" s="35" t="s">
        <v>9915</v>
      </c>
      <c r="Q691" s="208"/>
      <c r="R691" s="35"/>
      <c r="S691" s="35"/>
      <c r="T691" s="208"/>
      <c r="U691" s="35">
        <v>5.0</v>
      </c>
      <c r="V691" s="35" t="s">
        <v>61</v>
      </c>
      <c r="W691" s="35" t="s">
        <v>74</v>
      </c>
      <c r="X691" s="35" t="s">
        <v>9916</v>
      </c>
      <c r="Y691" s="35" t="s">
        <v>9917</v>
      </c>
      <c r="Z691" s="112" t="s">
        <v>9918</v>
      </c>
      <c r="AA691" s="46">
        <v>46023.0</v>
      </c>
      <c r="AB691" s="46">
        <v>46387.0</v>
      </c>
      <c r="AC691" s="35" t="s">
        <v>9919</v>
      </c>
      <c r="AD691" s="35" t="s">
        <v>79</v>
      </c>
      <c r="AE691" s="210"/>
      <c r="AF691" s="166"/>
      <c r="AG691" s="46"/>
    </row>
    <row r="692" ht="44.25" customHeight="1">
      <c r="A692" s="35">
        <v>691.0</v>
      </c>
      <c r="B692" s="35" t="s">
        <v>9920</v>
      </c>
      <c r="C692" s="35" t="s">
        <v>1026</v>
      </c>
      <c r="D692" s="35" t="s">
        <v>2539</v>
      </c>
      <c r="E692" s="35" t="s">
        <v>9912</v>
      </c>
      <c r="F692" s="35" t="s">
        <v>9921</v>
      </c>
      <c r="G692" s="41" t="s">
        <v>9922</v>
      </c>
      <c r="H692" s="35" t="s">
        <v>59</v>
      </c>
      <c r="I692" s="35" t="s">
        <v>61</v>
      </c>
      <c r="J692" s="35" t="s">
        <v>62</v>
      </c>
      <c r="K692" s="35" t="s">
        <v>63</v>
      </c>
      <c r="L692" s="35">
        <v>39.0</v>
      </c>
      <c r="M692" s="35" t="s">
        <v>6922</v>
      </c>
      <c r="N692" s="35" t="s">
        <v>66</v>
      </c>
      <c r="O692" s="35" t="s">
        <v>67</v>
      </c>
      <c r="P692" s="35" t="s">
        <v>9923</v>
      </c>
      <c r="Q692" s="35"/>
      <c r="R692" s="35"/>
      <c r="S692" s="35"/>
      <c r="T692" s="35" t="s">
        <v>61</v>
      </c>
      <c r="U692" s="35"/>
      <c r="V692" s="35" t="s">
        <v>61</v>
      </c>
      <c r="W692" s="35" t="s">
        <v>74</v>
      </c>
      <c r="X692" s="35" t="s">
        <v>9924</v>
      </c>
      <c r="Y692" s="35">
        <v>9.559759152E9</v>
      </c>
      <c r="Z692" s="112" t="s">
        <v>9925</v>
      </c>
      <c r="AA692" s="46">
        <v>46023.0</v>
      </c>
      <c r="AB692" s="46">
        <v>46387.0</v>
      </c>
      <c r="AC692" s="35" t="s">
        <v>9926</v>
      </c>
      <c r="AD692" s="35" t="s">
        <v>79</v>
      </c>
      <c r="AE692" s="210"/>
      <c r="AF692" s="166"/>
      <c r="AG692" s="46"/>
    </row>
    <row r="693" ht="44.25" customHeight="1">
      <c r="A693" s="35">
        <v>692.0</v>
      </c>
      <c r="B693" s="35" t="s">
        <v>9927</v>
      </c>
      <c r="C693" s="35" t="s">
        <v>1026</v>
      </c>
      <c r="D693" s="35" t="s">
        <v>2539</v>
      </c>
      <c r="E693" s="35" t="s">
        <v>9912</v>
      </c>
      <c r="F693" s="35" t="s">
        <v>9928</v>
      </c>
      <c r="G693" s="41" t="s">
        <v>9929</v>
      </c>
      <c r="H693" s="35" t="s">
        <v>59</v>
      </c>
      <c r="I693" s="35" t="s">
        <v>61</v>
      </c>
      <c r="J693" s="35" t="s">
        <v>62</v>
      </c>
      <c r="K693" s="35" t="s">
        <v>63</v>
      </c>
      <c r="L693" s="35">
        <v>30.0</v>
      </c>
      <c r="M693" s="35" t="s">
        <v>9930</v>
      </c>
      <c r="N693" s="35" t="s">
        <v>66</v>
      </c>
      <c r="O693" s="35" t="s">
        <v>67</v>
      </c>
      <c r="P693" s="35" t="s">
        <v>9931</v>
      </c>
      <c r="Q693" s="35"/>
      <c r="R693" s="35"/>
      <c r="S693" s="35"/>
      <c r="T693" s="35"/>
      <c r="U693" s="35"/>
      <c r="V693" s="35" t="s">
        <v>61</v>
      </c>
      <c r="W693" s="35" t="s">
        <v>74</v>
      </c>
      <c r="X693" s="35" t="s">
        <v>9932</v>
      </c>
      <c r="Y693" s="35">
        <v>9.756822094E9</v>
      </c>
      <c r="Z693" s="35" t="s">
        <v>9933</v>
      </c>
      <c r="AA693" s="46">
        <v>46023.0</v>
      </c>
      <c r="AB693" s="46">
        <v>46387.0</v>
      </c>
      <c r="AC693" s="35" t="s">
        <v>9934</v>
      </c>
      <c r="AD693" s="35" t="s">
        <v>79</v>
      </c>
      <c r="AE693" s="210"/>
      <c r="AF693" s="166"/>
      <c r="AG693" s="46"/>
    </row>
    <row r="694" ht="44.25" customHeight="1">
      <c r="A694" s="35">
        <v>693.0</v>
      </c>
      <c r="B694" s="35" t="s">
        <v>9935</v>
      </c>
      <c r="C694" s="35" t="s">
        <v>1026</v>
      </c>
      <c r="D694" s="35" t="s">
        <v>2539</v>
      </c>
      <c r="E694" s="35" t="s">
        <v>7044</v>
      </c>
      <c r="F694" s="35" t="s">
        <v>9936</v>
      </c>
      <c r="G694" s="41" t="s">
        <v>9937</v>
      </c>
      <c r="H694" s="35" t="s">
        <v>59</v>
      </c>
      <c r="I694" s="35" t="s">
        <v>61</v>
      </c>
      <c r="J694" s="35" t="s">
        <v>62</v>
      </c>
      <c r="K694" s="35" t="s">
        <v>63</v>
      </c>
      <c r="L694" s="35">
        <v>48.0</v>
      </c>
      <c r="M694" s="35" t="s">
        <v>6775</v>
      </c>
      <c r="N694" s="35" t="s">
        <v>66</v>
      </c>
      <c r="O694" s="35" t="s">
        <v>67</v>
      </c>
      <c r="P694" s="35" t="s">
        <v>9938</v>
      </c>
      <c r="Q694" s="35"/>
      <c r="R694" s="52"/>
      <c r="S694" s="35"/>
      <c r="T694" s="35"/>
      <c r="U694" s="52"/>
      <c r="V694" s="35" t="s">
        <v>61</v>
      </c>
      <c r="W694" s="35" t="s">
        <v>74</v>
      </c>
      <c r="X694" s="35" t="s">
        <v>9939</v>
      </c>
      <c r="Y694" s="35" t="s">
        <v>9940</v>
      </c>
      <c r="Z694" s="35" t="s">
        <v>9941</v>
      </c>
      <c r="AA694" s="46">
        <v>46023.0</v>
      </c>
      <c r="AB694" s="46">
        <v>46387.0</v>
      </c>
      <c r="AC694" s="35" t="s">
        <v>9942</v>
      </c>
      <c r="AD694" s="35" t="s">
        <v>79</v>
      </c>
      <c r="AE694" s="210"/>
      <c r="AF694" s="166"/>
      <c r="AG694" s="46"/>
    </row>
    <row r="695" ht="44.25" customHeight="1">
      <c r="A695" s="35">
        <v>694.0</v>
      </c>
      <c r="B695" s="35" t="s">
        <v>9943</v>
      </c>
      <c r="C695" s="35" t="s">
        <v>1026</v>
      </c>
      <c r="D695" s="35" t="s">
        <v>2539</v>
      </c>
      <c r="E695" s="35" t="s">
        <v>7044</v>
      </c>
      <c r="F695" s="35" t="s">
        <v>9944</v>
      </c>
      <c r="G695" s="41" t="s">
        <v>9945</v>
      </c>
      <c r="H695" s="35" t="s">
        <v>59</v>
      </c>
      <c r="I695" s="35" t="s">
        <v>61</v>
      </c>
      <c r="J695" s="35" t="s">
        <v>62</v>
      </c>
      <c r="K695" s="35" t="s">
        <v>63</v>
      </c>
      <c r="L695" s="35">
        <v>44.0</v>
      </c>
      <c r="M695" s="35" t="s">
        <v>6922</v>
      </c>
      <c r="N695" s="35" t="s">
        <v>66</v>
      </c>
      <c r="O695" s="35" t="s">
        <v>67</v>
      </c>
      <c r="P695" s="35" t="s">
        <v>9946</v>
      </c>
      <c r="Q695" s="35"/>
      <c r="R695" s="52"/>
      <c r="S695" s="35"/>
      <c r="T695" s="35"/>
      <c r="U695" s="52"/>
      <c r="V695" s="35" t="s">
        <v>61</v>
      </c>
      <c r="W695" s="35" t="s">
        <v>74</v>
      </c>
      <c r="X695" s="35" t="s">
        <v>9947</v>
      </c>
      <c r="Y695" s="35" t="s">
        <v>9948</v>
      </c>
      <c r="Z695" s="112" t="s">
        <v>9949</v>
      </c>
      <c r="AA695" s="46">
        <v>46023.0</v>
      </c>
      <c r="AB695" s="46">
        <v>46387.0</v>
      </c>
      <c r="AC695" s="35" t="s">
        <v>9950</v>
      </c>
      <c r="AD695" s="35" t="s">
        <v>79</v>
      </c>
      <c r="AE695" s="210"/>
      <c r="AF695" s="166"/>
      <c r="AG695" s="46"/>
    </row>
    <row r="696" ht="44.25" customHeight="1">
      <c r="A696" s="35">
        <v>695.0</v>
      </c>
      <c r="B696" s="35" t="s">
        <v>9951</v>
      </c>
      <c r="C696" s="35" t="s">
        <v>1026</v>
      </c>
      <c r="D696" s="35" t="s">
        <v>2539</v>
      </c>
      <c r="E696" s="35" t="s">
        <v>7044</v>
      </c>
      <c r="F696" s="35" t="s">
        <v>9952</v>
      </c>
      <c r="G696" s="41" t="s">
        <v>9953</v>
      </c>
      <c r="H696" s="35" t="s">
        <v>59</v>
      </c>
      <c r="I696" s="35" t="s">
        <v>61</v>
      </c>
      <c r="J696" s="35" t="s">
        <v>62</v>
      </c>
      <c r="K696" s="35" t="s">
        <v>63</v>
      </c>
      <c r="L696" s="35">
        <v>39.0</v>
      </c>
      <c r="M696" s="35" t="s">
        <v>6775</v>
      </c>
      <c r="N696" s="35" t="s">
        <v>66</v>
      </c>
      <c r="O696" s="35" t="s">
        <v>67</v>
      </c>
      <c r="P696" s="35" t="s">
        <v>9954</v>
      </c>
      <c r="Q696" s="35"/>
      <c r="R696" s="52"/>
      <c r="S696" s="35"/>
      <c r="T696" s="35" t="s">
        <v>61</v>
      </c>
      <c r="U696" s="52"/>
      <c r="V696" s="35" t="s">
        <v>61</v>
      </c>
      <c r="W696" s="35" t="s">
        <v>74</v>
      </c>
      <c r="X696" s="35" t="s">
        <v>9955</v>
      </c>
      <c r="Y696" s="35" t="s">
        <v>9956</v>
      </c>
      <c r="Z696" s="35" t="s">
        <v>9957</v>
      </c>
      <c r="AA696" s="46">
        <v>46023.0</v>
      </c>
      <c r="AB696" s="46">
        <v>46387.0</v>
      </c>
      <c r="AC696" s="35" t="s">
        <v>9958</v>
      </c>
      <c r="AD696" s="35" t="s">
        <v>79</v>
      </c>
      <c r="AE696" s="210"/>
      <c r="AF696" s="166"/>
      <c r="AG696" s="46"/>
    </row>
    <row r="697" ht="44.25" customHeight="1">
      <c r="A697" s="35">
        <v>696.0</v>
      </c>
      <c r="B697" s="35" t="s">
        <v>9959</v>
      </c>
      <c r="C697" s="35" t="s">
        <v>1026</v>
      </c>
      <c r="D697" s="35" t="s">
        <v>2539</v>
      </c>
      <c r="E697" s="35" t="s">
        <v>9960</v>
      </c>
      <c r="F697" s="35" t="s">
        <v>9961</v>
      </c>
      <c r="G697" s="41" t="s">
        <v>9962</v>
      </c>
      <c r="H697" s="35" t="s">
        <v>59</v>
      </c>
      <c r="I697" s="35" t="s">
        <v>61</v>
      </c>
      <c r="J697" s="35" t="s">
        <v>62</v>
      </c>
      <c r="K697" s="35" t="s">
        <v>63</v>
      </c>
      <c r="L697" s="35">
        <v>24.0</v>
      </c>
      <c r="M697" s="35" t="s">
        <v>9963</v>
      </c>
      <c r="N697" s="35" t="s">
        <v>66</v>
      </c>
      <c r="O697" s="35" t="s">
        <v>67</v>
      </c>
      <c r="P697" s="35"/>
      <c r="Q697" s="35"/>
      <c r="R697" s="35"/>
      <c r="S697" s="35"/>
      <c r="T697" s="35" t="s">
        <v>9964</v>
      </c>
      <c r="U697" s="35"/>
      <c r="V697" s="35" t="s">
        <v>61</v>
      </c>
      <c r="W697" s="35" t="s">
        <v>74</v>
      </c>
      <c r="X697" s="35" t="s">
        <v>9965</v>
      </c>
      <c r="Y697" s="35" t="s">
        <v>9966</v>
      </c>
      <c r="Z697" s="35" t="s">
        <v>9967</v>
      </c>
      <c r="AA697" s="46">
        <v>46023.0</v>
      </c>
      <c r="AB697" s="46">
        <v>46387.0</v>
      </c>
      <c r="AC697" s="35" t="s">
        <v>9968</v>
      </c>
      <c r="AD697" s="35" t="s">
        <v>79</v>
      </c>
      <c r="AE697" s="210"/>
      <c r="AF697" s="166"/>
      <c r="AG697" s="46"/>
    </row>
    <row r="698" ht="44.25" customHeight="1">
      <c r="A698" s="35">
        <v>697.0</v>
      </c>
      <c r="B698" s="35" t="s">
        <v>9969</v>
      </c>
      <c r="C698" s="35" t="s">
        <v>1026</v>
      </c>
      <c r="D698" s="35" t="s">
        <v>2539</v>
      </c>
      <c r="E698" s="35" t="s">
        <v>9970</v>
      </c>
      <c r="F698" s="35" t="s">
        <v>9971</v>
      </c>
      <c r="G698" s="41" t="s">
        <v>9972</v>
      </c>
      <c r="H698" s="35" t="s">
        <v>59</v>
      </c>
      <c r="I698" s="35" t="s">
        <v>61</v>
      </c>
      <c r="J698" s="35" t="s">
        <v>62</v>
      </c>
      <c r="K698" s="35" t="s">
        <v>63</v>
      </c>
      <c r="L698" s="35">
        <v>20.0</v>
      </c>
      <c r="M698" s="35" t="s">
        <v>6922</v>
      </c>
      <c r="N698" s="35" t="s">
        <v>66</v>
      </c>
      <c r="O698" s="35" t="s">
        <v>67</v>
      </c>
      <c r="P698" s="35"/>
      <c r="Q698" s="35"/>
      <c r="R698" s="52"/>
      <c r="S698" s="35"/>
      <c r="T698" s="35" t="s">
        <v>9973</v>
      </c>
      <c r="U698" s="52"/>
      <c r="V698" s="35" t="s">
        <v>61</v>
      </c>
      <c r="W698" s="35" t="s">
        <v>74</v>
      </c>
      <c r="X698" s="35" t="s">
        <v>9974</v>
      </c>
      <c r="Y698" s="35">
        <v>9.338131697E9</v>
      </c>
      <c r="Z698" s="35" t="s">
        <v>9975</v>
      </c>
      <c r="AA698" s="46">
        <v>46023.0</v>
      </c>
      <c r="AB698" s="46">
        <v>46387.0</v>
      </c>
      <c r="AC698" s="35" t="s">
        <v>9976</v>
      </c>
      <c r="AD698" s="35" t="s">
        <v>79</v>
      </c>
      <c r="AE698" s="210"/>
      <c r="AF698" s="166"/>
      <c r="AG698" s="46"/>
    </row>
    <row r="699" ht="44.25" customHeight="1">
      <c r="A699" s="35">
        <v>698.0</v>
      </c>
      <c r="B699" s="35" t="s">
        <v>9977</v>
      </c>
      <c r="C699" s="35" t="s">
        <v>1026</v>
      </c>
      <c r="D699" s="35" t="s">
        <v>2539</v>
      </c>
      <c r="E699" s="35" t="s">
        <v>9970</v>
      </c>
      <c r="F699" s="35" t="s">
        <v>9978</v>
      </c>
      <c r="G699" s="41" t="s">
        <v>9979</v>
      </c>
      <c r="H699" s="35" t="s">
        <v>59</v>
      </c>
      <c r="I699" s="35" t="s">
        <v>61</v>
      </c>
      <c r="J699" s="35" t="s">
        <v>62</v>
      </c>
      <c r="K699" s="35" t="s">
        <v>63</v>
      </c>
      <c r="L699" s="35">
        <v>36.0</v>
      </c>
      <c r="M699" s="35" t="s">
        <v>9980</v>
      </c>
      <c r="N699" s="35" t="s">
        <v>66</v>
      </c>
      <c r="O699" s="35" t="s">
        <v>67</v>
      </c>
      <c r="P699" s="35" t="s">
        <v>9981</v>
      </c>
      <c r="Q699" s="35"/>
      <c r="R699" s="52"/>
      <c r="S699" s="35"/>
      <c r="T699" s="35"/>
      <c r="U699" s="52"/>
      <c r="V699" s="35" t="s">
        <v>61</v>
      </c>
      <c r="W699" s="35" t="s">
        <v>74</v>
      </c>
      <c r="X699" s="35" t="s">
        <v>9982</v>
      </c>
      <c r="Y699" s="35" t="s">
        <v>9983</v>
      </c>
      <c r="Z699" s="35" t="s">
        <v>9984</v>
      </c>
      <c r="AA699" s="46">
        <v>46023.0</v>
      </c>
      <c r="AB699" s="46">
        <v>46387.0</v>
      </c>
      <c r="AC699" s="35" t="s">
        <v>9985</v>
      </c>
      <c r="AD699" s="35" t="s">
        <v>79</v>
      </c>
      <c r="AE699" s="210"/>
      <c r="AF699" s="166"/>
      <c r="AG699" s="46"/>
    </row>
    <row r="700" ht="44.25" customHeight="1">
      <c r="A700" s="35">
        <v>699.0</v>
      </c>
      <c r="B700" s="35" t="s">
        <v>9986</v>
      </c>
      <c r="C700" s="35" t="s">
        <v>1026</v>
      </c>
      <c r="D700" s="35" t="s">
        <v>2539</v>
      </c>
      <c r="E700" s="35" t="s">
        <v>9970</v>
      </c>
      <c r="F700" s="35" t="s">
        <v>9987</v>
      </c>
      <c r="G700" s="41" t="s">
        <v>9988</v>
      </c>
      <c r="H700" s="35" t="s">
        <v>59</v>
      </c>
      <c r="I700" s="35" t="s">
        <v>61</v>
      </c>
      <c r="J700" s="35" t="s">
        <v>62</v>
      </c>
      <c r="K700" s="35" t="s">
        <v>63</v>
      </c>
      <c r="L700" s="35">
        <v>50.0</v>
      </c>
      <c r="M700" s="35" t="s">
        <v>6922</v>
      </c>
      <c r="N700" s="35" t="s">
        <v>66</v>
      </c>
      <c r="O700" s="35" t="s">
        <v>67</v>
      </c>
      <c r="P700" s="35" t="s">
        <v>9989</v>
      </c>
      <c r="Q700" s="35"/>
      <c r="R700" s="52"/>
      <c r="S700" s="35"/>
      <c r="T700" s="35"/>
      <c r="U700" s="52"/>
      <c r="V700" s="35" t="s">
        <v>61</v>
      </c>
      <c r="W700" s="35" t="s">
        <v>74</v>
      </c>
      <c r="X700" s="35" t="s">
        <v>9990</v>
      </c>
      <c r="Y700" s="35" t="s">
        <v>9991</v>
      </c>
      <c r="Z700" s="35" t="s">
        <v>9992</v>
      </c>
      <c r="AA700" s="46">
        <v>46023.0</v>
      </c>
      <c r="AB700" s="46">
        <v>46387.0</v>
      </c>
      <c r="AC700" s="35" t="s">
        <v>9993</v>
      </c>
      <c r="AD700" s="35" t="s">
        <v>79</v>
      </c>
      <c r="AE700" s="210"/>
      <c r="AF700" s="166"/>
      <c r="AG700" s="46"/>
    </row>
    <row r="701" ht="44.25" customHeight="1">
      <c r="A701" s="35">
        <v>700.0</v>
      </c>
      <c r="B701" s="35" t="s">
        <v>9994</v>
      </c>
      <c r="C701" s="35" t="s">
        <v>1026</v>
      </c>
      <c r="D701" s="35" t="s">
        <v>2539</v>
      </c>
      <c r="E701" s="35" t="s">
        <v>9970</v>
      </c>
      <c r="F701" s="35" t="s">
        <v>9995</v>
      </c>
      <c r="G701" s="41" t="s">
        <v>9996</v>
      </c>
      <c r="H701" s="35" t="s">
        <v>59</v>
      </c>
      <c r="I701" s="35" t="s">
        <v>61</v>
      </c>
      <c r="J701" s="35" t="s">
        <v>62</v>
      </c>
      <c r="K701" s="35" t="s">
        <v>111</v>
      </c>
      <c r="L701" s="35">
        <v>124.0</v>
      </c>
      <c r="M701" s="35" t="s">
        <v>9997</v>
      </c>
      <c r="N701" s="35" t="s">
        <v>66</v>
      </c>
      <c r="O701" s="35" t="s">
        <v>67</v>
      </c>
      <c r="P701" s="35" t="s">
        <v>9998</v>
      </c>
      <c r="Q701" s="35"/>
      <c r="R701" s="35"/>
      <c r="S701" s="35"/>
      <c r="T701" s="35"/>
      <c r="U701" s="35">
        <v>36.0</v>
      </c>
      <c r="V701" s="35" t="s">
        <v>61</v>
      </c>
      <c r="W701" s="35" t="s">
        <v>93</v>
      </c>
      <c r="X701" s="35" t="s">
        <v>9999</v>
      </c>
      <c r="Y701" s="35" t="s">
        <v>10000</v>
      </c>
      <c r="Z701" s="35" t="s">
        <v>10001</v>
      </c>
      <c r="AA701" s="46">
        <v>46023.0</v>
      </c>
      <c r="AB701" s="46">
        <v>46387.0</v>
      </c>
      <c r="AC701" s="35" t="s">
        <v>10002</v>
      </c>
      <c r="AD701" s="35" t="s">
        <v>79</v>
      </c>
      <c r="AE701" s="210"/>
      <c r="AF701" s="166"/>
      <c r="AG701" s="46"/>
    </row>
    <row r="702" ht="44.25" customHeight="1">
      <c r="A702" s="35">
        <v>701.0</v>
      </c>
      <c r="B702" s="35" t="s">
        <v>10003</v>
      </c>
      <c r="C702" s="35" t="s">
        <v>1026</v>
      </c>
      <c r="D702" s="35" t="s">
        <v>2539</v>
      </c>
      <c r="E702" s="35" t="s">
        <v>9970</v>
      </c>
      <c r="F702" s="35" t="s">
        <v>10004</v>
      </c>
      <c r="G702" s="41" t="s">
        <v>10005</v>
      </c>
      <c r="H702" s="35" t="s">
        <v>59</v>
      </c>
      <c r="I702" s="35" t="s">
        <v>61</v>
      </c>
      <c r="J702" s="35" t="s">
        <v>62</v>
      </c>
      <c r="K702" s="35" t="s">
        <v>63</v>
      </c>
      <c r="L702" s="35">
        <v>17.0</v>
      </c>
      <c r="M702" s="35" t="s">
        <v>6861</v>
      </c>
      <c r="N702" s="35" t="s">
        <v>66</v>
      </c>
      <c r="O702" s="35" t="s">
        <v>67</v>
      </c>
      <c r="P702" s="35"/>
      <c r="Q702" s="35"/>
      <c r="R702" s="52"/>
      <c r="S702" s="35"/>
      <c r="T702" s="35" t="s">
        <v>9996</v>
      </c>
      <c r="U702" s="52"/>
      <c r="V702" s="35" t="s">
        <v>61</v>
      </c>
      <c r="W702" s="35" t="s">
        <v>74</v>
      </c>
      <c r="X702" s="35" t="s">
        <v>10006</v>
      </c>
      <c r="Y702" s="35" t="s">
        <v>10007</v>
      </c>
      <c r="Z702" s="35" t="s">
        <v>10008</v>
      </c>
      <c r="AA702" s="46">
        <v>46023.0</v>
      </c>
      <c r="AB702" s="46">
        <v>46387.0</v>
      </c>
      <c r="AC702" s="35" t="s">
        <v>10009</v>
      </c>
      <c r="AD702" s="35" t="s">
        <v>79</v>
      </c>
      <c r="AE702" s="210"/>
      <c r="AF702" s="166"/>
      <c r="AG702" s="46"/>
    </row>
    <row r="703" ht="44.25" customHeight="1">
      <c r="A703" s="35">
        <v>702.0</v>
      </c>
      <c r="B703" s="35" t="s">
        <v>10010</v>
      </c>
      <c r="C703" s="35" t="s">
        <v>1026</v>
      </c>
      <c r="D703" s="35" t="s">
        <v>2539</v>
      </c>
      <c r="E703" s="35" t="s">
        <v>9970</v>
      </c>
      <c r="F703" s="35" t="s">
        <v>10011</v>
      </c>
      <c r="G703" s="41" t="s">
        <v>10012</v>
      </c>
      <c r="H703" s="35" t="s">
        <v>59</v>
      </c>
      <c r="I703" s="35" t="s">
        <v>61</v>
      </c>
      <c r="J703" s="35" t="s">
        <v>62</v>
      </c>
      <c r="K703" s="35" t="s">
        <v>63</v>
      </c>
      <c r="L703" s="35">
        <v>18.0</v>
      </c>
      <c r="M703" s="35" t="s">
        <v>6797</v>
      </c>
      <c r="N703" s="35" t="s">
        <v>66</v>
      </c>
      <c r="O703" s="35" t="s">
        <v>67</v>
      </c>
      <c r="P703" s="35"/>
      <c r="Q703" s="35"/>
      <c r="R703" s="35"/>
      <c r="S703" s="208"/>
      <c r="T703" s="35" t="s">
        <v>9964</v>
      </c>
      <c r="U703" s="35"/>
      <c r="V703" s="208"/>
      <c r="W703" s="35" t="s">
        <v>74</v>
      </c>
      <c r="X703" s="35" t="s">
        <v>10013</v>
      </c>
      <c r="Y703" s="35" t="s">
        <v>10014</v>
      </c>
      <c r="Z703" s="35" t="s">
        <v>10015</v>
      </c>
      <c r="AA703" s="46">
        <v>46023.0</v>
      </c>
      <c r="AB703" s="46">
        <v>46387.0</v>
      </c>
      <c r="AC703" s="35" t="s">
        <v>10016</v>
      </c>
      <c r="AD703" s="35" t="s">
        <v>79</v>
      </c>
      <c r="AE703" s="210"/>
      <c r="AF703" s="166"/>
      <c r="AG703" s="46"/>
    </row>
    <row r="704" ht="44.25" customHeight="1">
      <c r="A704" s="35">
        <v>703.0</v>
      </c>
      <c r="B704" s="35" t="s">
        <v>10017</v>
      </c>
      <c r="C704" s="35" t="s">
        <v>1026</v>
      </c>
      <c r="D704" s="35" t="s">
        <v>2539</v>
      </c>
      <c r="E704" s="35" t="s">
        <v>9970</v>
      </c>
      <c r="F704" s="35" t="s">
        <v>10018</v>
      </c>
      <c r="G704" s="41" t="s">
        <v>10019</v>
      </c>
      <c r="H704" s="35" t="s">
        <v>59</v>
      </c>
      <c r="I704" s="35" t="s">
        <v>61</v>
      </c>
      <c r="J704" s="35" t="s">
        <v>62</v>
      </c>
      <c r="K704" s="35" t="s">
        <v>111</v>
      </c>
      <c r="L704" s="35">
        <v>50.0</v>
      </c>
      <c r="M704" s="35" t="s">
        <v>10020</v>
      </c>
      <c r="N704" s="35" t="s">
        <v>66</v>
      </c>
      <c r="O704" s="35" t="s">
        <v>67</v>
      </c>
      <c r="P704" s="35" t="s">
        <v>10021</v>
      </c>
      <c r="Q704" s="35"/>
      <c r="R704" s="35"/>
      <c r="S704" s="35"/>
      <c r="T704" s="35"/>
      <c r="U704" s="35">
        <v>10.0</v>
      </c>
      <c r="V704" s="35" t="s">
        <v>61</v>
      </c>
      <c r="W704" s="35" t="s">
        <v>93</v>
      </c>
      <c r="X704" s="35" t="s">
        <v>10022</v>
      </c>
      <c r="Y704" s="35" t="s">
        <v>10023</v>
      </c>
      <c r="Z704" s="35" t="s">
        <v>10024</v>
      </c>
      <c r="AA704" s="46">
        <v>46023.0</v>
      </c>
      <c r="AB704" s="46">
        <v>46387.0</v>
      </c>
      <c r="AC704" s="35" t="s">
        <v>10025</v>
      </c>
      <c r="AD704" s="35" t="s">
        <v>79</v>
      </c>
      <c r="AE704" s="210"/>
      <c r="AF704" s="166"/>
      <c r="AG704" s="46"/>
    </row>
    <row r="705" ht="44.25" customHeight="1">
      <c r="A705" s="35">
        <v>704.0</v>
      </c>
      <c r="B705" s="35" t="s">
        <v>10026</v>
      </c>
      <c r="C705" s="35" t="s">
        <v>1026</v>
      </c>
      <c r="D705" s="35" t="s">
        <v>2539</v>
      </c>
      <c r="E705" s="35" t="s">
        <v>10027</v>
      </c>
      <c r="F705" s="35" t="s">
        <v>10028</v>
      </c>
      <c r="G705" s="41" t="s">
        <v>10029</v>
      </c>
      <c r="H705" s="35" t="s">
        <v>59</v>
      </c>
      <c r="I705" s="35" t="s">
        <v>61</v>
      </c>
      <c r="J705" s="35" t="s">
        <v>62</v>
      </c>
      <c r="K705" s="35" t="s">
        <v>63</v>
      </c>
      <c r="L705" s="35">
        <v>34.0</v>
      </c>
      <c r="M705" s="35" t="s">
        <v>6922</v>
      </c>
      <c r="N705" s="35" t="s">
        <v>66</v>
      </c>
      <c r="O705" s="35" t="s">
        <v>67</v>
      </c>
      <c r="P705" s="35"/>
      <c r="Q705" s="35"/>
      <c r="R705" s="52"/>
      <c r="S705" s="35"/>
      <c r="T705" s="35" t="s">
        <v>9988</v>
      </c>
      <c r="U705" s="52"/>
      <c r="V705" s="35" t="s">
        <v>61</v>
      </c>
      <c r="W705" s="35" t="s">
        <v>74</v>
      </c>
      <c r="X705" s="35" t="s">
        <v>10030</v>
      </c>
      <c r="Y705" s="35">
        <v>9.176752214E9</v>
      </c>
      <c r="Z705" s="35" t="s">
        <v>10031</v>
      </c>
      <c r="AA705" s="46">
        <v>46023.0</v>
      </c>
      <c r="AB705" s="46">
        <v>46387.0</v>
      </c>
      <c r="AC705" s="35" t="s">
        <v>10032</v>
      </c>
      <c r="AD705" s="35" t="s">
        <v>79</v>
      </c>
      <c r="AE705" s="210"/>
      <c r="AF705" s="166"/>
      <c r="AG705" s="46"/>
    </row>
    <row r="706" ht="44.25" customHeight="1">
      <c r="A706" s="35">
        <v>705.0</v>
      </c>
      <c r="B706" s="35" t="s">
        <v>10033</v>
      </c>
      <c r="C706" s="35" t="s">
        <v>1026</v>
      </c>
      <c r="D706" s="35" t="s">
        <v>6709</v>
      </c>
      <c r="E706" s="35" t="s">
        <v>6832</v>
      </c>
      <c r="F706" s="35" t="s">
        <v>10034</v>
      </c>
      <c r="G706" s="41" t="s">
        <v>10035</v>
      </c>
      <c r="H706" s="35" t="s">
        <v>59</v>
      </c>
      <c r="I706" s="35" t="s">
        <v>61</v>
      </c>
      <c r="J706" s="35" t="s">
        <v>62</v>
      </c>
      <c r="K706" s="35" t="s">
        <v>63</v>
      </c>
      <c r="L706" s="35">
        <v>29.0</v>
      </c>
      <c r="M706" s="35" t="s">
        <v>6922</v>
      </c>
      <c r="N706" s="35" t="s">
        <v>66</v>
      </c>
      <c r="O706" s="35"/>
      <c r="P706" s="35"/>
      <c r="Q706" s="35"/>
      <c r="R706" s="35"/>
      <c r="S706" s="35"/>
      <c r="T706" s="35" t="s">
        <v>10036</v>
      </c>
      <c r="U706" s="35">
        <v>12.0</v>
      </c>
      <c r="V706" s="35" t="s">
        <v>61</v>
      </c>
      <c r="W706" s="35" t="s">
        <v>93</v>
      </c>
      <c r="X706" s="35" t="s">
        <v>10037</v>
      </c>
      <c r="Y706" s="35" t="s">
        <v>10038</v>
      </c>
      <c r="Z706" s="35" t="s">
        <v>10039</v>
      </c>
      <c r="AA706" s="46">
        <v>46023.0</v>
      </c>
      <c r="AB706" s="46">
        <v>46387.0</v>
      </c>
      <c r="AC706" s="35" t="s">
        <v>10040</v>
      </c>
      <c r="AD706" s="35" t="s">
        <v>79</v>
      </c>
      <c r="AE706" s="210"/>
      <c r="AF706" s="166"/>
      <c r="AG706" s="46"/>
    </row>
    <row r="707" ht="44.25" customHeight="1">
      <c r="A707" s="35">
        <v>706.0</v>
      </c>
      <c r="B707" s="35" t="s">
        <v>10041</v>
      </c>
      <c r="C707" s="35" t="s">
        <v>1026</v>
      </c>
      <c r="D707" s="35" t="s">
        <v>2539</v>
      </c>
      <c r="E707" s="35" t="s">
        <v>9970</v>
      </c>
      <c r="F707" s="35" t="s">
        <v>10042</v>
      </c>
      <c r="G707" s="41" t="s">
        <v>10043</v>
      </c>
      <c r="H707" s="35" t="s">
        <v>59</v>
      </c>
      <c r="I707" s="35" t="s">
        <v>61</v>
      </c>
      <c r="J707" s="35" t="s">
        <v>62</v>
      </c>
      <c r="K707" s="35" t="s">
        <v>63</v>
      </c>
      <c r="L707" s="35">
        <v>30.0</v>
      </c>
      <c r="M707" s="35" t="s">
        <v>10044</v>
      </c>
      <c r="N707" s="35" t="s">
        <v>66</v>
      </c>
      <c r="O707" s="35" t="s">
        <v>67</v>
      </c>
      <c r="P707" s="35" t="s">
        <v>10045</v>
      </c>
      <c r="Q707" s="35"/>
      <c r="R707" s="35"/>
      <c r="S707" s="35"/>
      <c r="T707" s="35"/>
      <c r="U707" s="35">
        <v>11.0</v>
      </c>
      <c r="V707" s="35" t="s">
        <v>61</v>
      </c>
      <c r="W707" s="35" t="s">
        <v>74</v>
      </c>
      <c r="X707" s="35" t="s">
        <v>10046</v>
      </c>
      <c r="Y707" s="35" t="s">
        <v>10047</v>
      </c>
      <c r="Z707" s="35" t="s">
        <v>10048</v>
      </c>
      <c r="AA707" s="46">
        <v>46023.0</v>
      </c>
      <c r="AB707" s="46">
        <v>46387.0</v>
      </c>
      <c r="AC707" s="35" t="s">
        <v>10049</v>
      </c>
      <c r="AD707" s="35" t="s">
        <v>79</v>
      </c>
      <c r="AE707" s="210"/>
      <c r="AF707" s="166"/>
      <c r="AG707" s="46"/>
    </row>
    <row r="708" ht="44.25" customHeight="1">
      <c r="A708" s="35">
        <v>707.0</v>
      </c>
      <c r="B708" s="35" t="s">
        <v>10050</v>
      </c>
      <c r="C708" s="35" t="s">
        <v>1026</v>
      </c>
      <c r="D708" s="35" t="s">
        <v>6709</v>
      </c>
      <c r="E708" s="35" t="s">
        <v>9623</v>
      </c>
      <c r="F708" s="35" t="s">
        <v>10051</v>
      </c>
      <c r="G708" s="41" t="s">
        <v>10052</v>
      </c>
      <c r="H708" s="35" t="s">
        <v>59</v>
      </c>
      <c r="I708" s="35" t="s">
        <v>61</v>
      </c>
      <c r="J708" s="35" t="s">
        <v>62</v>
      </c>
      <c r="K708" s="35" t="s">
        <v>63</v>
      </c>
      <c r="L708" s="35">
        <v>25.0</v>
      </c>
      <c r="M708" s="35" t="s">
        <v>10044</v>
      </c>
      <c r="N708" s="35" t="s">
        <v>66</v>
      </c>
      <c r="O708" s="35" t="s">
        <v>67</v>
      </c>
      <c r="P708" s="35"/>
      <c r="Q708" s="35"/>
      <c r="R708" s="35"/>
      <c r="S708" s="35"/>
      <c r="T708" s="35" t="s">
        <v>10053</v>
      </c>
      <c r="U708" s="35"/>
      <c r="V708" s="35" t="s">
        <v>61</v>
      </c>
      <c r="W708" s="35" t="s">
        <v>74</v>
      </c>
      <c r="X708" s="35" t="s">
        <v>10054</v>
      </c>
      <c r="Y708" s="35" t="s">
        <v>10055</v>
      </c>
      <c r="Z708" s="35" t="s">
        <v>10056</v>
      </c>
      <c r="AA708" s="46">
        <v>46023.0</v>
      </c>
      <c r="AB708" s="46">
        <v>46387.0</v>
      </c>
      <c r="AC708" s="35" t="s">
        <v>10057</v>
      </c>
      <c r="AD708" s="35" t="s">
        <v>79</v>
      </c>
      <c r="AE708" s="210"/>
      <c r="AF708" s="166"/>
      <c r="AG708" s="46"/>
    </row>
    <row r="709" ht="44.25" customHeight="1">
      <c r="A709" s="35">
        <v>708.0</v>
      </c>
      <c r="B709" s="35"/>
      <c r="C709" s="35" t="s">
        <v>1026</v>
      </c>
      <c r="D709" s="35" t="s">
        <v>6709</v>
      </c>
      <c r="E709" s="35" t="s">
        <v>6832</v>
      </c>
      <c r="F709" s="35" t="s">
        <v>10058</v>
      </c>
      <c r="G709" s="41" t="s">
        <v>10059</v>
      </c>
      <c r="H709" s="35" t="s">
        <v>59</v>
      </c>
      <c r="I709" s="35" t="s">
        <v>61</v>
      </c>
      <c r="J709" s="35" t="s">
        <v>62</v>
      </c>
      <c r="K709" s="35" t="s">
        <v>63</v>
      </c>
      <c r="L709" s="35">
        <v>36.0</v>
      </c>
      <c r="M709" s="35" t="s">
        <v>6861</v>
      </c>
      <c r="N709" s="35" t="s">
        <v>66</v>
      </c>
      <c r="O709" s="35" t="s">
        <v>67</v>
      </c>
      <c r="P709" s="35" t="s">
        <v>10060</v>
      </c>
      <c r="Q709" s="208"/>
      <c r="R709" s="35"/>
      <c r="S709" s="35"/>
      <c r="T709" s="208"/>
      <c r="U709" s="35"/>
      <c r="V709" s="35" t="s">
        <v>61</v>
      </c>
      <c r="W709" s="35" t="s">
        <v>74</v>
      </c>
      <c r="X709" s="35" t="s">
        <v>10061</v>
      </c>
      <c r="Y709" s="35">
        <v>9.515046258E9</v>
      </c>
      <c r="Z709" s="35" t="s">
        <v>10062</v>
      </c>
      <c r="AA709" s="46">
        <v>46106.0</v>
      </c>
      <c r="AB709" s="46">
        <v>46387.0</v>
      </c>
      <c r="AC709" s="35" t="s">
        <v>10063</v>
      </c>
      <c r="AD709" s="35" t="s">
        <v>2346</v>
      </c>
      <c r="AE709" s="35" t="s">
        <v>1462</v>
      </c>
      <c r="AF709" s="35" t="s">
        <v>10064</v>
      </c>
      <c r="AG709" s="46"/>
    </row>
    <row r="710" ht="44.25" customHeight="1">
      <c r="A710" s="35">
        <v>709.0</v>
      </c>
      <c r="B710" s="35">
        <v>47655.0</v>
      </c>
      <c r="C710" s="35" t="s">
        <v>1098</v>
      </c>
      <c r="D710" s="35" t="s">
        <v>7082</v>
      </c>
      <c r="E710" s="35" t="s">
        <v>7083</v>
      </c>
      <c r="F710" s="35" t="s">
        <v>10065</v>
      </c>
      <c r="G710" s="41" t="s">
        <v>10066</v>
      </c>
      <c r="H710" s="35" t="s">
        <v>59</v>
      </c>
      <c r="I710" s="35" t="s">
        <v>61</v>
      </c>
      <c r="J710" s="35" t="s">
        <v>62</v>
      </c>
      <c r="K710" s="35" t="s">
        <v>111</v>
      </c>
      <c r="L710" s="35">
        <v>56.0</v>
      </c>
      <c r="M710" s="52"/>
      <c r="N710" s="52"/>
      <c r="O710" s="52"/>
      <c r="P710" s="35" t="s">
        <v>10067</v>
      </c>
      <c r="Q710" s="52"/>
      <c r="R710" s="35"/>
      <c r="S710" s="52"/>
      <c r="T710" s="52"/>
      <c r="U710" s="35">
        <v>8.0</v>
      </c>
      <c r="V710" s="52"/>
      <c r="W710" s="35" t="s">
        <v>93</v>
      </c>
      <c r="X710" s="35" t="s">
        <v>10068</v>
      </c>
      <c r="Y710" s="35">
        <v>9.635733509E9</v>
      </c>
      <c r="Z710" s="35" t="s">
        <v>10069</v>
      </c>
      <c r="AA710" s="46">
        <v>46023.0</v>
      </c>
      <c r="AB710" s="46">
        <v>46387.0</v>
      </c>
      <c r="AC710" s="35" t="s">
        <v>10070</v>
      </c>
      <c r="AD710" s="35" t="s">
        <v>79</v>
      </c>
      <c r="AE710" s="219"/>
      <c r="AF710" s="52"/>
      <c r="AG710" s="46"/>
    </row>
    <row r="711" ht="44.25" customHeight="1">
      <c r="A711" s="35">
        <v>710.0</v>
      </c>
      <c r="B711" s="35">
        <v>3769.0</v>
      </c>
      <c r="C711" s="35" t="s">
        <v>1098</v>
      </c>
      <c r="D711" s="35" t="s">
        <v>7082</v>
      </c>
      <c r="E711" s="35" t="s">
        <v>7083</v>
      </c>
      <c r="F711" s="35" t="s">
        <v>10071</v>
      </c>
      <c r="G711" s="41" t="s">
        <v>10072</v>
      </c>
      <c r="H711" s="35" t="s">
        <v>59</v>
      </c>
      <c r="I711" s="52"/>
      <c r="J711" s="35" t="s">
        <v>62</v>
      </c>
      <c r="K711" s="35" t="s">
        <v>111</v>
      </c>
      <c r="L711" s="35">
        <v>150.0</v>
      </c>
      <c r="M711" s="35" t="s">
        <v>10073</v>
      </c>
      <c r="N711" s="35" t="s">
        <v>66</v>
      </c>
      <c r="O711" s="35" t="s">
        <v>67</v>
      </c>
      <c r="P711" s="35" t="s">
        <v>10074</v>
      </c>
      <c r="Q711" s="35"/>
      <c r="R711" s="35"/>
      <c r="S711" s="35"/>
      <c r="T711" s="35"/>
      <c r="U711" s="35">
        <v>13.0</v>
      </c>
      <c r="V711" s="35" t="s">
        <v>61</v>
      </c>
      <c r="W711" s="35" t="s">
        <v>93</v>
      </c>
      <c r="X711" s="35" t="s">
        <v>10075</v>
      </c>
      <c r="Y711" s="35">
        <v>9.514112808E9</v>
      </c>
      <c r="Z711" s="35" t="s">
        <v>10077</v>
      </c>
      <c r="AA711" s="46">
        <v>46023.0</v>
      </c>
      <c r="AB711" s="46">
        <v>46387.0</v>
      </c>
      <c r="AC711" s="35" t="s">
        <v>10078</v>
      </c>
      <c r="AD711" s="35" t="s">
        <v>79</v>
      </c>
      <c r="AE711" s="219"/>
      <c r="AF711" s="52"/>
      <c r="AG711" s="46"/>
    </row>
    <row r="712" ht="44.25" customHeight="1">
      <c r="A712" s="35">
        <v>711.0</v>
      </c>
      <c r="B712" s="35">
        <v>3385.0</v>
      </c>
      <c r="C712" s="35" t="s">
        <v>1098</v>
      </c>
      <c r="D712" s="35" t="s">
        <v>7082</v>
      </c>
      <c r="E712" s="35" t="s">
        <v>7083</v>
      </c>
      <c r="F712" s="35" t="s">
        <v>10079</v>
      </c>
      <c r="G712" s="41" t="s">
        <v>10080</v>
      </c>
      <c r="H712" s="35" t="s">
        <v>59</v>
      </c>
      <c r="I712" s="35" t="s">
        <v>61</v>
      </c>
      <c r="J712" s="35" t="s">
        <v>62</v>
      </c>
      <c r="K712" s="35" t="s">
        <v>111</v>
      </c>
      <c r="L712" s="35">
        <v>50.0</v>
      </c>
      <c r="M712" s="35" t="s">
        <v>10081</v>
      </c>
      <c r="N712" s="52"/>
      <c r="O712" s="52"/>
      <c r="P712" s="35" t="s">
        <v>10082</v>
      </c>
      <c r="Q712" s="35"/>
      <c r="R712" s="52"/>
      <c r="S712" s="52"/>
      <c r="T712" s="35"/>
      <c r="U712" s="52"/>
      <c r="V712" s="52"/>
      <c r="W712" s="35" t="s">
        <v>93</v>
      </c>
      <c r="X712" s="35" t="s">
        <v>10083</v>
      </c>
      <c r="Y712" s="35" t="s">
        <v>10084</v>
      </c>
      <c r="Z712" s="35" t="s">
        <v>10085</v>
      </c>
      <c r="AA712" s="46">
        <v>46023.0</v>
      </c>
      <c r="AB712" s="46">
        <v>46387.0</v>
      </c>
      <c r="AC712" s="35" t="s">
        <v>10086</v>
      </c>
      <c r="AD712" s="35" t="s">
        <v>79</v>
      </c>
      <c r="AE712" s="219"/>
      <c r="AF712" s="52"/>
      <c r="AG712" s="46"/>
    </row>
    <row r="713" ht="44.25" customHeight="1">
      <c r="A713" s="35">
        <v>712.0</v>
      </c>
      <c r="B713" s="35">
        <v>3769.0</v>
      </c>
      <c r="C713" s="35" t="s">
        <v>1098</v>
      </c>
      <c r="D713" s="35" t="s">
        <v>7082</v>
      </c>
      <c r="E713" s="35" t="s">
        <v>7083</v>
      </c>
      <c r="F713" s="35" t="s">
        <v>10087</v>
      </c>
      <c r="G713" s="41" t="s">
        <v>10088</v>
      </c>
      <c r="H713" s="35" t="s">
        <v>59</v>
      </c>
      <c r="I713" s="52"/>
      <c r="J713" s="35" t="s">
        <v>62</v>
      </c>
      <c r="K713" s="35" t="s">
        <v>63</v>
      </c>
      <c r="L713" s="35">
        <v>24.0</v>
      </c>
      <c r="M713" s="35" t="s">
        <v>10089</v>
      </c>
      <c r="N713" s="52"/>
      <c r="O713" s="52"/>
      <c r="P713" s="35" t="s">
        <v>10091</v>
      </c>
      <c r="Q713" s="52"/>
      <c r="R713" s="35"/>
      <c r="S713" s="52"/>
      <c r="T713" s="52"/>
      <c r="U713" s="35" t="s">
        <v>61</v>
      </c>
      <c r="V713" s="52"/>
      <c r="W713" s="35" t="s">
        <v>74</v>
      </c>
      <c r="X713" s="35" t="s">
        <v>10093</v>
      </c>
      <c r="Y713" s="35" t="s">
        <v>10094</v>
      </c>
      <c r="Z713" s="35" t="s">
        <v>10095</v>
      </c>
      <c r="AA713" s="46">
        <v>46031.0</v>
      </c>
      <c r="AB713" s="46">
        <v>46387.0</v>
      </c>
      <c r="AC713" s="35" t="s">
        <v>10096</v>
      </c>
      <c r="AD713" s="219"/>
      <c r="AE713" s="219"/>
      <c r="AF713" s="52"/>
      <c r="AG713" s="46"/>
    </row>
    <row r="714" ht="44.25" customHeight="1">
      <c r="A714" s="35">
        <v>713.0</v>
      </c>
      <c r="B714" s="35">
        <v>3561.0</v>
      </c>
      <c r="C714" s="35" t="s">
        <v>1098</v>
      </c>
      <c r="D714" s="35" t="s">
        <v>7082</v>
      </c>
      <c r="E714" s="35" t="s">
        <v>7083</v>
      </c>
      <c r="F714" s="35" t="s">
        <v>10097</v>
      </c>
      <c r="G714" s="41" t="s">
        <v>10098</v>
      </c>
      <c r="H714" s="35" t="s">
        <v>59</v>
      </c>
      <c r="I714" s="52"/>
      <c r="J714" s="35" t="s">
        <v>62</v>
      </c>
      <c r="K714" s="35" t="s">
        <v>111</v>
      </c>
      <c r="L714" s="35">
        <v>134.0</v>
      </c>
      <c r="M714" s="35" t="s">
        <v>10099</v>
      </c>
      <c r="N714" s="35" t="s">
        <v>221</v>
      </c>
      <c r="O714" s="35" t="s">
        <v>72</v>
      </c>
      <c r="P714" s="35" t="s">
        <v>10100</v>
      </c>
      <c r="Q714" s="52"/>
      <c r="R714" s="35"/>
      <c r="S714" s="52"/>
      <c r="T714" s="52"/>
      <c r="U714" s="35">
        <v>20.0</v>
      </c>
      <c r="V714" s="52"/>
      <c r="W714" s="35" t="s">
        <v>93</v>
      </c>
      <c r="X714" s="35" t="s">
        <v>10101</v>
      </c>
      <c r="Y714" s="35" t="s">
        <v>10102</v>
      </c>
      <c r="Z714" s="35" t="s">
        <v>10103</v>
      </c>
      <c r="AA714" s="46">
        <v>46023.0</v>
      </c>
      <c r="AB714" s="46">
        <v>46387.0</v>
      </c>
      <c r="AC714" s="35" t="s">
        <v>10104</v>
      </c>
      <c r="AD714" s="35" t="s">
        <v>79</v>
      </c>
      <c r="AE714" s="219"/>
      <c r="AF714" s="52"/>
      <c r="AG714" s="46"/>
    </row>
    <row r="715" ht="44.25" customHeight="1">
      <c r="A715" s="35">
        <v>714.0</v>
      </c>
      <c r="B715" s="35">
        <v>31935.0</v>
      </c>
      <c r="C715" s="35" t="s">
        <v>1098</v>
      </c>
      <c r="D715" s="35" t="s">
        <v>7127</v>
      </c>
      <c r="E715" s="35" t="s">
        <v>10105</v>
      </c>
      <c r="F715" s="35" t="s">
        <v>10106</v>
      </c>
      <c r="G715" s="41" t="s">
        <v>10107</v>
      </c>
      <c r="H715" s="35" t="s">
        <v>59</v>
      </c>
      <c r="I715" s="52"/>
      <c r="J715" s="35" t="s">
        <v>62</v>
      </c>
      <c r="K715" s="35" t="s">
        <v>63</v>
      </c>
      <c r="L715" s="35">
        <v>25.0</v>
      </c>
      <c r="M715" s="35" t="s">
        <v>10108</v>
      </c>
      <c r="N715" s="52"/>
      <c r="O715" s="52"/>
      <c r="P715" s="35" t="s">
        <v>10109</v>
      </c>
      <c r="Q715" s="52"/>
      <c r="R715" s="35"/>
      <c r="S715" s="52"/>
      <c r="T715" s="52"/>
      <c r="U715" s="35">
        <v>10.0</v>
      </c>
      <c r="V715" s="52"/>
      <c r="W715" s="35" t="s">
        <v>74</v>
      </c>
      <c r="X715" s="35" t="s">
        <v>10110</v>
      </c>
      <c r="Y715" s="35" t="s">
        <v>10111</v>
      </c>
      <c r="Z715" s="35" t="s">
        <v>10112</v>
      </c>
      <c r="AA715" s="46">
        <v>46029.0</v>
      </c>
      <c r="AB715" s="46">
        <v>46387.0</v>
      </c>
      <c r="AC715" s="35" t="s">
        <v>10113</v>
      </c>
      <c r="AD715" s="35" t="s">
        <v>79</v>
      </c>
      <c r="AE715" s="219"/>
      <c r="AF715" s="52"/>
      <c r="AG715" s="46"/>
    </row>
    <row r="716" ht="44.25" customHeight="1">
      <c r="A716" s="35">
        <v>715.0</v>
      </c>
      <c r="B716" s="35">
        <v>2821.0</v>
      </c>
      <c r="C716" s="35" t="s">
        <v>1098</v>
      </c>
      <c r="D716" s="35" t="s">
        <v>7127</v>
      </c>
      <c r="E716" s="35" t="s">
        <v>3760</v>
      </c>
      <c r="F716" s="35" t="s">
        <v>10114</v>
      </c>
      <c r="G716" s="41" t="s">
        <v>10115</v>
      </c>
      <c r="H716" s="35" t="s">
        <v>59</v>
      </c>
      <c r="I716" s="52"/>
      <c r="J716" s="35" t="s">
        <v>62</v>
      </c>
      <c r="K716" s="35" t="s">
        <v>111</v>
      </c>
      <c r="L716" s="35">
        <v>50.0</v>
      </c>
      <c r="M716" s="35" t="s">
        <v>10116</v>
      </c>
      <c r="N716" s="52"/>
      <c r="O716" s="52"/>
      <c r="P716" s="35" t="s">
        <v>1180</v>
      </c>
      <c r="Q716" s="52"/>
      <c r="R716" s="35"/>
      <c r="S716" s="52"/>
      <c r="T716" s="52"/>
      <c r="U716" s="35">
        <v>12.0</v>
      </c>
      <c r="V716" s="52"/>
      <c r="W716" s="35" t="s">
        <v>93</v>
      </c>
      <c r="X716" s="35" t="s">
        <v>10117</v>
      </c>
      <c r="Y716" s="35" t="s">
        <v>10118</v>
      </c>
      <c r="Z716" s="35" t="s">
        <v>10119</v>
      </c>
      <c r="AA716" s="46">
        <v>46023.0</v>
      </c>
      <c r="AB716" s="46">
        <v>46387.0</v>
      </c>
      <c r="AC716" s="35" t="s">
        <v>10120</v>
      </c>
      <c r="AD716" s="35" t="s">
        <v>79</v>
      </c>
      <c r="AE716" s="219"/>
      <c r="AF716" s="52"/>
      <c r="AG716" s="46"/>
    </row>
    <row r="717" ht="44.25" customHeight="1">
      <c r="A717" s="35">
        <v>716.0</v>
      </c>
      <c r="B717" s="35">
        <v>38480.0</v>
      </c>
      <c r="C717" s="35" t="s">
        <v>1098</v>
      </c>
      <c r="D717" s="35" t="s">
        <v>2640</v>
      </c>
      <c r="E717" s="35" t="s">
        <v>2663</v>
      </c>
      <c r="F717" s="35" t="s">
        <v>10121</v>
      </c>
      <c r="G717" s="41" t="s">
        <v>10122</v>
      </c>
      <c r="H717" s="35" t="s">
        <v>59</v>
      </c>
      <c r="I717" s="52"/>
      <c r="J717" s="35" t="s">
        <v>62</v>
      </c>
      <c r="K717" s="35" t="s">
        <v>111</v>
      </c>
      <c r="L717" s="35">
        <v>60.0</v>
      </c>
      <c r="M717" s="35" t="s">
        <v>10123</v>
      </c>
      <c r="N717" s="52"/>
      <c r="O717" s="35" t="s">
        <v>67</v>
      </c>
      <c r="P717" s="35" t="s">
        <v>1180</v>
      </c>
      <c r="Q717" s="52"/>
      <c r="R717" s="35"/>
      <c r="S717" s="35"/>
      <c r="T717" s="52"/>
      <c r="U717" s="35">
        <v>15.0</v>
      </c>
      <c r="V717" s="35" t="s">
        <v>533</v>
      </c>
      <c r="W717" s="35" t="s">
        <v>93</v>
      </c>
      <c r="X717" s="35" t="s">
        <v>10124</v>
      </c>
      <c r="Y717" s="35" t="s">
        <v>10125</v>
      </c>
      <c r="Z717" s="35" t="s">
        <v>10126</v>
      </c>
      <c r="AA717" s="46">
        <v>46023.0</v>
      </c>
      <c r="AB717" s="46">
        <v>46387.0</v>
      </c>
      <c r="AC717" s="35" t="s">
        <v>10127</v>
      </c>
      <c r="AD717" s="35" t="s">
        <v>79</v>
      </c>
      <c r="AE717" s="219"/>
      <c r="AF717" s="35" t="s">
        <v>10128</v>
      </c>
      <c r="AG717" s="46"/>
    </row>
    <row r="718" ht="44.25" customHeight="1">
      <c r="A718" s="35">
        <v>717.0</v>
      </c>
      <c r="B718" s="35">
        <v>7513.0</v>
      </c>
      <c r="C718" s="35" t="s">
        <v>1098</v>
      </c>
      <c r="D718" s="35" t="s">
        <v>2640</v>
      </c>
      <c r="E718" s="35" t="s">
        <v>2663</v>
      </c>
      <c r="F718" s="35" t="s">
        <v>10129</v>
      </c>
      <c r="G718" s="41" t="s">
        <v>10130</v>
      </c>
      <c r="H718" s="35" t="s">
        <v>59</v>
      </c>
      <c r="I718" s="52"/>
      <c r="J718" s="35" t="s">
        <v>62</v>
      </c>
      <c r="K718" s="35" t="s">
        <v>63</v>
      </c>
      <c r="L718" s="35">
        <v>50.0</v>
      </c>
      <c r="M718" s="35" t="s">
        <v>10131</v>
      </c>
      <c r="N718" s="52"/>
      <c r="O718" s="52"/>
      <c r="P718" s="35" t="s">
        <v>2647</v>
      </c>
      <c r="Q718" s="52"/>
      <c r="R718" s="35"/>
      <c r="S718" s="52"/>
      <c r="T718" s="52"/>
      <c r="U718" s="35">
        <v>15.0</v>
      </c>
      <c r="V718" s="52"/>
      <c r="W718" s="35" t="s">
        <v>93</v>
      </c>
      <c r="X718" s="35" t="s">
        <v>10132</v>
      </c>
      <c r="Y718" s="35">
        <v>8.68275177E8</v>
      </c>
      <c r="Z718" s="112" t="s">
        <v>10133</v>
      </c>
      <c r="AA718" s="46">
        <v>46027.0</v>
      </c>
      <c r="AB718" s="46">
        <v>46387.0</v>
      </c>
      <c r="AC718" s="35" t="s">
        <v>10134</v>
      </c>
      <c r="AD718" s="35" t="s">
        <v>79</v>
      </c>
      <c r="AE718" s="219"/>
      <c r="AF718" s="52"/>
      <c r="AG718" s="46"/>
    </row>
    <row r="719" ht="44.25" customHeight="1">
      <c r="A719" s="35">
        <v>718.0</v>
      </c>
      <c r="B719" s="35">
        <v>34296.0</v>
      </c>
      <c r="C719" s="35" t="s">
        <v>1098</v>
      </c>
      <c r="D719" s="35" t="s">
        <v>2640</v>
      </c>
      <c r="E719" s="35" t="s">
        <v>2663</v>
      </c>
      <c r="F719" s="35" t="s">
        <v>10135</v>
      </c>
      <c r="G719" s="41" t="s">
        <v>10136</v>
      </c>
      <c r="H719" s="35" t="s">
        <v>59</v>
      </c>
      <c r="I719" s="52"/>
      <c r="J719" s="35" t="s">
        <v>62</v>
      </c>
      <c r="K719" s="35" t="s">
        <v>63</v>
      </c>
      <c r="L719" s="35">
        <v>70.0</v>
      </c>
      <c r="M719" s="35" t="s">
        <v>10137</v>
      </c>
      <c r="N719" s="35" t="s">
        <v>66</v>
      </c>
      <c r="O719" s="35" t="s">
        <v>67</v>
      </c>
      <c r="P719" s="35" t="s">
        <v>10138</v>
      </c>
      <c r="Q719" s="52"/>
      <c r="R719" s="35"/>
      <c r="S719" s="35"/>
      <c r="T719" s="52"/>
      <c r="U719" s="35">
        <v>6.0</v>
      </c>
      <c r="V719" s="35" t="s">
        <v>61</v>
      </c>
      <c r="W719" s="35" t="s">
        <v>74</v>
      </c>
      <c r="X719" s="35" t="s">
        <v>10139</v>
      </c>
      <c r="Y719" s="35" t="s">
        <v>10140</v>
      </c>
      <c r="Z719" s="35" t="s">
        <v>10141</v>
      </c>
      <c r="AA719" s="46">
        <v>46023.0</v>
      </c>
      <c r="AB719" s="46">
        <v>46387.0</v>
      </c>
      <c r="AC719" s="35" t="s">
        <v>10142</v>
      </c>
      <c r="AD719" s="35" t="s">
        <v>79</v>
      </c>
      <c r="AE719" s="219"/>
      <c r="AF719" s="52"/>
      <c r="AG719" s="46"/>
    </row>
    <row r="720" ht="44.25" customHeight="1">
      <c r="A720" s="35">
        <v>719.0</v>
      </c>
      <c r="B720" s="35">
        <v>37944.0</v>
      </c>
      <c r="C720" s="35" t="s">
        <v>1098</v>
      </c>
      <c r="D720" s="35" t="s">
        <v>2681</v>
      </c>
      <c r="E720" s="35" t="s">
        <v>10143</v>
      </c>
      <c r="F720" s="35" t="s">
        <v>10144</v>
      </c>
      <c r="G720" s="41" t="s">
        <v>10145</v>
      </c>
      <c r="H720" s="35" t="s">
        <v>59</v>
      </c>
      <c r="I720" s="52"/>
      <c r="J720" s="35" t="s">
        <v>62</v>
      </c>
      <c r="K720" s="35" t="s">
        <v>63</v>
      </c>
      <c r="L720" s="35">
        <v>15.0</v>
      </c>
      <c r="M720" s="35" t="s">
        <v>10146</v>
      </c>
      <c r="N720" s="35" t="s">
        <v>66</v>
      </c>
      <c r="O720" s="35" t="s">
        <v>67</v>
      </c>
      <c r="P720" s="35" t="s">
        <v>10147</v>
      </c>
      <c r="Q720" s="52"/>
      <c r="R720" s="52"/>
      <c r="S720" s="52"/>
      <c r="T720" s="52"/>
      <c r="U720" s="52"/>
      <c r="V720" s="52"/>
      <c r="W720" s="35" t="s">
        <v>74</v>
      </c>
      <c r="X720" s="35" t="s">
        <v>10148</v>
      </c>
      <c r="Y720" s="35">
        <v>9.9399249238E10</v>
      </c>
      <c r="Z720" s="35" t="s">
        <v>10149</v>
      </c>
      <c r="AA720" s="46">
        <v>46023.0</v>
      </c>
      <c r="AB720" s="46">
        <v>46387.0</v>
      </c>
      <c r="AC720" s="35" t="s">
        <v>10142</v>
      </c>
      <c r="AD720" s="35" t="s">
        <v>79</v>
      </c>
      <c r="AE720" s="219"/>
      <c r="AF720" s="52"/>
      <c r="AG720" s="46"/>
    </row>
    <row r="721" ht="44.25" customHeight="1">
      <c r="A721" s="35">
        <v>720.0</v>
      </c>
      <c r="B721" s="35">
        <v>2821.0</v>
      </c>
      <c r="C721" s="35" t="s">
        <v>1098</v>
      </c>
      <c r="D721" s="35" t="s">
        <v>2681</v>
      </c>
      <c r="E721" s="35" t="s">
        <v>7237</v>
      </c>
      <c r="F721" s="35" t="s">
        <v>10150</v>
      </c>
      <c r="G721" s="41" t="s">
        <v>10151</v>
      </c>
      <c r="H721" s="35" t="s">
        <v>59</v>
      </c>
      <c r="I721" s="52"/>
      <c r="J721" s="35" t="s">
        <v>62</v>
      </c>
      <c r="K721" s="35" t="s">
        <v>111</v>
      </c>
      <c r="L721" s="35">
        <v>75.0</v>
      </c>
      <c r="M721" s="35" t="s">
        <v>10152</v>
      </c>
      <c r="N721" s="35" t="s">
        <v>5219</v>
      </c>
      <c r="O721" s="52"/>
      <c r="P721" s="35" t="s">
        <v>1180</v>
      </c>
      <c r="Q721" s="52"/>
      <c r="R721" s="35"/>
      <c r="S721" s="52"/>
      <c r="T721" s="52"/>
      <c r="U721" s="35">
        <v>11.0</v>
      </c>
      <c r="V721" s="52"/>
      <c r="W721" s="35" t="s">
        <v>93</v>
      </c>
      <c r="X721" s="35" t="s">
        <v>10153</v>
      </c>
      <c r="Y721" s="35" t="s">
        <v>10154</v>
      </c>
      <c r="Z721" s="35" t="s">
        <v>10155</v>
      </c>
      <c r="AA721" s="46">
        <v>46023.0</v>
      </c>
      <c r="AB721" s="46">
        <v>46387.0</v>
      </c>
      <c r="AC721" s="35" t="s">
        <v>10156</v>
      </c>
      <c r="AD721" s="35" t="s">
        <v>79</v>
      </c>
      <c r="AE721" s="219"/>
      <c r="AF721" s="52"/>
      <c r="AG721" s="46"/>
    </row>
    <row r="722" ht="44.25" customHeight="1">
      <c r="A722" s="35">
        <v>721.0</v>
      </c>
      <c r="B722" s="35" t="s">
        <v>10157</v>
      </c>
      <c r="C722" s="35" t="s">
        <v>11</v>
      </c>
      <c r="D722" s="35" t="s">
        <v>2707</v>
      </c>
      <c r="E722" s="35" t="s">
        <v>2708</v>
      </c>
      <c r="F722" s="35" t="s">
        <v>10158</v>
      </c>
      <c r="G722" s="41" t="s">
        <v>10159</v>
      </c>
      <c r="H722" s="35" t="s">
        <v>59</v>
      </c>
      <c r="I722" s="52"/>
      <c r="J722" s="35" t="s">
        <v>62</v>
      </c>
      <c r="K722" s="35" t="s">
        <v>63</v>
      </c>
      <c r="L722" s="35">
        <v>16.0</v>
      </c>
      <c r="M722" s="52"/>
      <c r="N722" s="35" t="s">
        <v>66</v>
      </c>
      <c r="O722" s="35" t="s">
        <v>67</v>
      </c>
      <c r="P722" s="35" t="s">
        <v>10160</v>
      </c>
      <c r="Q722" s="52"/>
      <c r="R722" s="35"/>
      <c r="S722" s="52"/>
      <c r="T722" s="52"/>
      <c r="U722" s="35">
        <v>0.0</v>
      </c>
      <c r="V722" s="52"/>
      <c r="W722" s="35" t="s">
        <v>74</v>
      </c>
      <c r="X722" s="35" t="s">
        <v>10161</v>
      </c>
      <c r="Y722" s="35">
        <v>8935363.0</v>
      </c>
      <c r="Z722" s="35" t="s">
        <v>10162</v>
      </c>
      <c r="AA722" s="46">
        <v>46023.0</v>
      </c>
      <c r="AB722" s="46">
        <v>46387.0</v>
      </c>
      <c r="AC722" s="35" t="s">
        <v>10163</v>
      </c>
      <c r="AD722" s="35" t="s">
        <v>79</v>
      </c>
      <c r="AE722" s="219"/>
      <c r="AF722" s="187"/>
      <c r="AG722" s="46"/>
    </row>
    <row r="723" ht="44.25" customHeight="1">
      <c r="A723" s="35">
        <v>722.0</v>
      </c>
      <c r="B723" s="35" t="s">
        <v>10164</v>
      </c>
      <c r="C723" s="35" t="s">
        <v>11</v>
      </c>
      <c r="D723" s="35" t="s">
        <v>2707</v>
      </c>
      <c r="E723" s="35" t="s">
        <v>2708</v>
      </c>
      <c r="F723" s="35" t="s">
        <v>10165</v>
      </c>
      <c r="G723" s="41" t="s">
        <v>10166</v>
      </c>
      <c r="H723" s="35" t="s">
        <v>59</v>
      </c>
      <c r="I723" s="52"/>
      <c r="J723" s="35" t="s">
        <v>62</v>
      </c>
      <c r="K723" s="35" t="s">
        <v>63</v>
      </c>
      <c r="L723" s="35">
        <v>20.0</v>
      </c>
      <c r="M723" s="52"/>
      <c r="N723" s="35" t="s">
        <v>66</v>
      </c>
      <c r="O723" s="35" t="s">
        <v>67</v>
      </c>
      <c r="P723" s="35" t="s">
        <v>10167</v>
      </c>
      <c r="Q723" s="52"/>
      <c r="R723" s="35"/>
      <c r="S723" s="52"/>
      <c r="T723" s="52"/>
      <c r="U723" s="35">
        <v>0.0</v>
      </c>
      <c r="V723" s="52"/>
      <c r="W723" s="35" t="s">
        <v>74</v>
      </c>
      <c r="X723" s="35" t="s">
        <v>10168</v>
      </c>
      <c r="Y723" s="35" t="s">
        <v>10169</v>
      </c>
      <c r="Z723" s="35" t="s">
        <v>10170</v>
      </c>
      <c r="AA723" s="46">
        <v>46023.0</v>
      </c>
      <c r="AB723" s="46">
        <v>46387.0</v>
      </c>
      <c r="AC723" s="35" t="s">
        <v>10171</v>
      </c>
      <c r="AD723" s="35" t="s">
        <v>79</v>
      </c>
      <c r="AE723" s="219"/>
      <c r="AF723" s="52"/>
      <c r="AG723" s="46"/>
    </row>
    <row r="724" ht="44.25" customHeight="1">
      <c r="A724" s="35">
        <v>723.0</v>
      </c>
      <c r="B724" s="35" t="s">
        <v>10172</v>
      </c>
      <c r="C724" s="35" t="s">
        <v>11</v>
      </c>
      <c r="D724" s="35" t="s">
        <v>2707</v>
      </c>
      <c r="E724" s="35" t="s">
        <v>2708</v>
      </c>
      <c r="F724" s="35" t="s">
        <v>10173</v>
      </c>
      <c r="G724" s="41" t="s">
        <v>10174</v>
      </c>
      <c r="H724" s="35" t="s">
        <v>59</v>
      </c>
      <c r="I724" s="52"/>
      <c r="J724" s="35" t="s">
        <v>62</v>
      </c>
      <c r="K724" s="35" t="s">
        <v>111</v>
      </c>
      <c r="L724" s="35">
        <v>105.0</v>
      </c>
      <c r="M724" s="35" t="s">
        <v>10175</v>
      </c>
      <c r="N724" s="35" t="s">
        <v>66</v>
      </c>
      <c r="O724" s="35" t="s">
        <v>67</v>
      </c>
      <c r="P724" s="35" t="s">
        <v>10176</v>
      </c>
      <c r="Q724" s="52"/>
      <c r="R724" s="35"/>
      <c r="S724" s="52"/>
      <c r="T724" s="52"/>
      <c r="U724" s="35">
        <v>19.0</v>
      </c>
      <c r="V724" s="52"/>
      <c r="W724" s="35" t="s">
        <v>93</v>
      </c>
      <c r="X724" s="35" t="s">
        <v>10177</v>
      </c>
      <c r="Y724" s="35" t="s">
        <v>10178</v>
      </c>
      <c r="Z724" s="35" t="s">
        <v>10179</v>
      </c>
      <c r="AA724" s="46">
        <v>46023.0</v>
      </c>
      <c r="AB724" s="46">
        <v>46387.0</v>
      </c>
      <c r="AC724" s="35" t="s">
        <v>10180</v>
      </c>
      <c r="AD724" s="35" t="s">
        <v>79</v>
      </c>
      <c r="AE724" s="219"/>
      <c r="AF724" s="187"/>
      <c r="AG724" s="46"/>
    </row>
    <row r="725" ht="44.25" customHeight="1">
      <c r="A725" s="35">
        <v>724.0</v>
      </c>
      <c r="B725" s="35">
        <v>5738.0</v>
      </c>
      <c r="C725" s="35" t="s">
        <v>11</v>
      </c>
      <c r="D725" s="35" t="s">
        <v>2707</v>
      </c>
      <c r="E725" s="35" t="s">
        <v>2708</v>
      </c>
      <c r="F725" s="35" t="s">
        <v>10181</v>
      </c>
      <c r="G725" s="41" t="s">
        <v>10182</v>
      </c>
      <c r="H725" s="35" t="s">
        <v>59</v>
      </c>
      <c r="I725" s="35" t="s">
        <v>61</v>
      </c>
      <c r="J725" s="35" t="s">
        <v>62</v>
      </c>
      <c r="K725" s="35" t="s">
        <v>68</v>
      </c>
      <c r="L725" s="35">
        <v>81.0</v>
      </c>
      <c r="M725" s="35" t="s">
        <v>10183</v>
      </c>
      <c r="N725" s="35" t="s">
        <v>71</v>
      </c>
      <c r="O725" s="35" t="s">
        <v>72</v>
      </c>
      <c r="P725" s="35" t="s">
        <v>1180</v>
      </c>
      <c r="Q725" s="52"/>
      <c r="R725" s="35"/>
      <c r="S725" s="52"/>
      <c r="T725" s="52"/>
      <c r="U725" s="35">
        <v>13.0</v>
      </c>
      <c r="V725" s="52"/>
      <c r="W725" s="35" t="s">
        <v>93</v>
      </c>
      <c r="X725" s="35" t="s">
        <v>10184</v>
      </c>
      <c r="Y725" s="35" t="s">
        <v>10185</v>
      </c>
      <c r="Z725" s="35" t="s">
        <v>10186</v>
      </c>
      <c r="AA725" s="46">
        <v>46023.0</v>
      </c>
      <c r="AB725" s="46">
        <v>46387.0</v>
      </c>
      <c r="AC725" s="35" t="s">
        <v>10187</v>
      </c>
      <c r="AD725" s="35" t="s">
        <v>79</v>
      </c>
      <c r="AE725" s="219"/>
      <c r="AF725" s="52"/>
      <c r="AG725" s="46"/>
    </row>
    <row r="726" ht="44.25" customHeight="1">
      <c r="A726" s="35">
        <v>725.0</v>
      </c>
      <c r="B726" s="35" t="s">
        <v>10188</v>
      </c>
      <c r="C726" s="35" t="s">
        <v>11</v>
      </c>
      <c r="D726" s="35" t="s">
        <v>2707</v>
      </c>
      <c r="E726" s="35" t="s">
        <v>2708</v>
      </c>
      <c r="F726" s="35" t="s">
        <v>10189</v>
      </c>
      <c r="G726" s="41" t="s">
        <v>10190</v>
      </c>
      <c r="H726" s="35" t="s">
        <v>59</v>
      </c>
      <c r="I726" s="52"/>
      <c r="J726" s="35" t="s">
        <v>62</v>
      </c>
      <c r="K726" s="35" t="s">
        <v>63</v>
      </c>
      <c r="L726" s="35">
        <v>12.0</v>
      </c>
      <c r="M726" s="35" t="s">
        <v>10191</v>
      </c>
      <c r="N726" s="35" t="s">
        <v>66</v>
      </c>
      <c r="O726" s="35" t="s">
        <v>67</v>
      </c>
      <c r="P726" s="35" t="s">
        <v>10167</v>
      </c>
      <c r="Q726" s="52"/>
      <c r="R726" s="35"/>
      <c r="S726" s="52"/>
      <c r="T726" s="52"/>
      <c r="U726" s="35">
        <v>5.0</v>
      </c>
      <c r="V726" s="52"/>
      <c r="W726" s="35" t="s">
        <v>74</v>
      </c>
      <c r="X726" s="35" t="s">
        <v>10192</v>
      </c>
      <c r="Y726" s="35" t="s">
        <v>10193</v>
      </c>
      <c r="Z726" s="112" t="s">
        <v>10194</v>
      </c>
      <c r="AA726" s="46">
        <v>46023.0</v>
      </c>
      <c r="AB726" s="46">
        <v>46387.0</v>
      </c>
      <c r="AC726" s="35" t="s">
        <v>10195</v>
      </c>
      <c r="AD726" s="35" t="s">
        <v>79</v>
      </c>
      <c r="AE726" s="219"/>
      <c r="AF726" s="52"/>
      <c r="AG726" s="46"/>
    </row>
    <row r="727" ht="44.25" customHeight="1">
      <c r="A727" s="35">
        <v>726.0</v>
      </c>
      <c r="B727" s="35" t="s">
        <v>10196</v>
      </c>
      <c r="C727" s="35" t="s">
        <v>11</v>
      </c>
      <c r="D727" s="35" t="s">
        <v>2707</v>
      </c>
      <c r="E727" s="35" t="s">
        <v>2708</v>
      </c>
      <c r="F727" s="35" t="s">
        <v>10197</v>
      </c>
      <c r="G727" s="41" t="s">
        <v>10198</v>
      </c>
      <c r="H727" s="35" t="s">
        <v>59</v>
      </c>
      <c r="I727" s="52"/>
      <c r="J727" s="35" t="s">
        <v>62</v>
      </c>
      <c r="K727" s="35" t="s">
        <v>63</v>
      </c>
      <c r="L727" s="35">
        <v>40.0</v>
      </c>
      <c r="M727" s="52"/>
      <c r="N727" s="35" t="s">
        <v>66</v>
      </c>
      <c r="O727" s="35" t="s">
        <v>67</v>
      </c>
      <c r="P727" s="35" t="s">
        <v>10199</v>
      </c>
      <c r="Q727" s="52"/>
      <c r="R727" s="35"/>
      <c r="S727" s="52"/>
      <c r="T727" s="52"/>
      <c r="U727" s="35">
        <v>0.0</v>
      </c>
      <c r="V727" s="52"/>
      <c r="W727" s="35" t="s">
        <v>74</v>
      </c>
      <c r="X727" s="35" t="s">
        <v>10200</v>
      </c>
      <c r="Y727" s="35" t="s">
        <v>10201</v>
      </c>
      <c r="Z727" s="35" t="s">
        <v>10202</v>
      </c>
      <c r="AA727" s="46">
        <v>46023.0</v>
      </c>
      <c r="AB727" s="46">
        <v>46387.0</v>
      </c>
      <c r="AC727" s="35" t="s">
        <v>10203</v>
      </c>
      <c r="AD727" s="35" t="s">
        <v>79</v>
      </c>
      <c r="AE727" s="219"/>
      <c r="AF727" s="187"/>
      <c r="AG727" s="46"/>
    </row>
    <row r="728" ht="44.25" customHeight="1">
      <c r="A728" s="35">
        <v>727.0</v>
      </c>
      <c r="B728" s="35" t="s">
        <v>10204</v>
      </c>
      <c r="C728" s="35" t="s">
        <v>11</v>
      </c>
      <c r="D728" s="35" t="s">
        <v>2707</v>
      </c>
      <c r="E728" s="35" t="s">
        <v>2708</v>
      </c>
      <c r="F728" s="35" t="s">
        <v>10205</v>
      </c>
      <c r="G728" s="41" t="s">
        <v>10206</v>
      </c>
      <c r="H728" s="35" t="s">
        <v>59</v>
      </c>
      <c r="I728" s="52"/>
      <c r="J728" s="35" t="s">
        <v>62</v>
      </c>
      <c r="K728" s="35" t="s">
        <v>63</v>
      </c>
      <c r="L728" s="35">
        <v>29.0</v>
      </c>
      <c r="M728" s="52"/>
      <c r="N728" s="35" t="s">
        <v>66</v>
      </c>
      <c r="O728" s="35" t="s">
        <v>67</v>
      </c>
      <c r="P728" s="35" t="s">
        <v>10207</v>
      </c>
      <c r="Q728" s="52"/>
      <c r="R728" s="35"/>
      <c r="S728" s="52"/>
      <c r="T728" s="52"/>
      <c r="U728" s="35">
        <v>0.0</v>
      </c>
      <c r="V728" s="52"/>
      <c r="W728" s="35" t="s">
        <v>74</v>
      </c>
      <c r="X728" s="35" t="s">
        <v>10208</v>
      </c>
      <c r="Y728" s="35" t="s">
        <v>10209</v>
      </c>
      <c r="Z728" s="35" t="s">
        <v>10210</v>
      </c>
      <c r="AA728" s="46">
        <v>46023.0</v>
      </c>
      <c r="AB728" s="46">
        <v>46387.0</v>
      </c>
      <c r="AC728" s="35" t="s">
        <v>10211</v>
      </c>
      <c r="AD728" s="35" t="s">
        <v>79</v>
      </c>
      <c r="AE728" s="219"/>
      <c r="AF728" s="187"/>
      <c r="AG728" s="46"/>
    </row>
    <row r="729" ht="44.25" customHeight="1">
      <c r="A729" s="35">
        <v>728.0</v>
      </c>
      <c r="B729" s="35" t="s">
        <v>10212</v>
      </c>
      <c r="C729" s="35" t="s">
        <v>11</v>
      </c>
      <c r="D729" s="35" t="s">
        <v>2707</v>
      </c>
      <c r="E729" s="35" t="s">
        <v>2708</v>
      </c>
      <c r="F729" s="35" t="s">
        <v>10213</v>
      </c>
      <c r="G729" s="41" t="s">
        <v>10214</v>
      </c>
      <c r="H729" s="35" t="s">
        <v>59</v>
      </c>
      <c r="I729" s="52"/>
      <c r="J729" s="35" t="s">
        <v>62</v>
      </c>
      <c r="K729" s="35" t="s">
        <v>63</v>
      </c>
      <c r="L729" s="35">
        <v>28.0</v>
      </c>
      <c r="M729" s="52"/>
      <c r="N729" s="35" t="s">
        <v>66</v>
      </c>
      <c r="O729" s="35" t="s">
        <v>67</v>
      </c>
      <c r="P729" s="35" t="s">
        <v>10160</v>
      </c>
      <c r="Q729" s="52"/>
      <c r="R729" s="35"/>
      <c r="S729" s="52"/>
      <c r="T729" s="52"/>
      <c r="U729" s="35">
        <v>0.0</v>
      </c>
      <c r="V729" s="52"/>
      <c r="W729" s="35" t="s">
        <v>74</v>
      </c>
      <c r="X729" s="35" t="s">
        <v>10215</v>
      </c>
      <c r="Y729" s="35" t="s">
        <v>10216</v>
      </c>
      <c r="Z729" s="35" t="s">
        <v>10217</v>
      </c>
      <c r="AA729" s="46">
        <v>46023.0</v>
      </c>
      <c r="AB729" s="46">
        <v>46387.0</v>
      </c>
      <c r="AC729" s="35" t="s">
        <v>10218</v>
      </c>
      <c r="AD729" s="35" t="s">
        <v>79</v>
      </c>
      <c r="AE729" s="219"/>
      <c r="AF729" s="187"/>
      <c r="AG729" s="46"/>
    </row>
    <row r="730" ht="44.25" customHeight="1">
      <c r="A730" s="35">
        <v>729.0</v>
      </c>
      <c r="B730" s="35" t="s">
        <v>10219</v>
      </c>
      <c r="C730" s="35" t="s">
        <v>11</v>
      </c>
      <c r="D730" s="35" t="s">
        <v>2707</v>
      </c>
      <c r="E730" s="35" t="s">
        <v>2746</v>
      </c>
      <c r="F730" s="35" t="s">
        <v>10220</v>
      </c>
      <c r="G730" s="41" t="s">
        <v>10221</v>
      </c>
      <c r="H730" s="35" t="s">
        <v>59</v>
      </c>
      <c r="I730" s="52"/>
      <c r="J730" s="35" t="s">
        <v>62</v>
      </c>
      <c r="K730" s="35" t="s">
        <v>63</v>
      </c>
      <c r="L730" s="35">
        <v>17.0</v>
      </c>
      <c r="M730" s="52"/>
      <c r="N730" s="35" t="s">
        <v>66</v>
      </c>
      <c r="O730" s="35" t="s">
        <v>67</v>
      </c>
      <c r="P730" s="35" t="s">
        <v>10199</v>
      </c>
      <c r="Q730" s="52"/>
      <c r="R730" s="35"/>
      <c r="S730" s="52"/>
      <c r="T730" s="52"/>
      <c r="U730" s="35">
        <v>0.0</v>
      </c>
      <c r="V730" s="52"/>
      <c r="W730" s="35" t="s">
        <v>74</v>
      </c>
      <c r="X730" s="35" t="s">
        <v>10222</v>
      </c>
      <c r="Y730" s="35">
        <v>8.8746903E7</v>
      </c>
      <c r="Z730" s="112" t="s">
        <v>10223</v>
      </c>
      <c r="AA730" s="46">
        <v>46029.0</v>
      </c>
      <c r="AB730" s="46">
        <v>46387.0</v>
      </c>
      <c r="AC730" s="35" t="s">
        <v>10224</v>
      </c>
      <c r="AD730" s="35" t="s">
        <v>79</v>
      </c>
      <c r="AE730" s="219"/>
      <c r="AF730" s="52"/>
      <c r="AG730" s="46"/>
    </row>
    <row r="731" ht="44.25" customHeight="1">
      <c r="A731" s="35">
        <v>730.0</v>
      </c>
      <c r="B731" s="35" t="s">
        <v>10225</v>
      </c>
      <c r="C731" s="35" t="s">
        <v>11</v>
      </c>
      <c r="D731" s="35" t="s">
        <v>2707</v>
      </c>
      <c r="E731" s="35" t="s">
        <v>2746</v>
      </c>
      <c r="F731" s="35" t="s">
        <v>10226</v>
      </c>
      <c r="G731" s="41" t="s">
        <v>10227</v>
      </c>
      <c r="H731" s="35" t="s">
        <v>59</v>
      </c>
      <c r="I731" s="52"/>
      <c r="J731" s="35" t="s">
        <v>62</v>
      </c>
      <c r="K731" s="35" t="s">
        <v>111</v>
      </c>
      <c r="L731" s="35">
        <v>60.0</v>
      </c>
      <c r="M731" s="35" t="s">
        <v>10228</v>
      </c>
      <c r="N731" s="35" t="s">
        <v>66</v>
      </c>
      <c r="O731" s="35" t="s">
        <v>67</v>
      </c>
      <c r="P731" s="35" t="s">
        <v>10229</v>
      </c>
      <c r="Q731" s="52"/>
      <c r="R731" s="35"/>
      <c r="S731" s="52"/>
      <c r="T731" s="52"/>
      <c r="U731" s="35">
        <v>10.0</v>
      </c>
      <c r="V731" s="52"/>
      <c r="W731" s="35" t="s">
        <v>93</v>
      </c>
      <c r="X731" s="35" t="s">
        <v>10230</v>
      </c>
      <c r="Y731" s="35">
        <v>8.8731119E7</v>
      </c>
      <c r="Z731" s="35" t="s">
        <v>10231</v>
      </c>
      <c r="AA731" s="46">
        <v>46023.0</v>
      </c>
      <c r="AB731" s="46">
        <v>46387.0</v>
      </c>
      <c r="AC731" s="35" t="s">
        <v>10232</v>
      </c>
      <c r="AD731" s="35" t="s">
        <v>79</v>
      </c>
      <c r="AE731" s="219"/>
      <c r="AF731" s="52"/>
      <c r="AG731" s="46"/>
    </row>
    <row r="732" ht="44.25" customHeight="1">
      <c r="A732" s="35">
        <v>731.0</v>
      </c>
      <c r="B732" s="35" t="s">
        <v>10233</v>
      </c>
      <c r="C732" s="35" t="s">
        <v>11</v>
      </c>
      <c r="D732" s="35" t="s">
        <v>2707</v>
      </c>
      <c r="E732" s="35" t="s">
        <v>2746</v>
      </c>
      <c r="F732" s="35" t="s">
        <v>10234</v>
      </c>
      <c r="G732" s="41" t="s">
        <v>10235</v>
      </c>
      <c r="H732" s="35" t="s">
        <v>59</v>
      </c>
      <c r="I732" s="52"/>
      <c r="J732" s="35" t="s">
        <v>62</v>
      </c>
      <c r="K732" s="35" t="s">
        <v>63</v>
      </c>
      <c r="L732" s="35">
        <v>15.0</v>
      </c>
      <c r="M732" s="52"/>
      <c r="N732" s="35" t="s">
        <v>66</v>
      </c>
      <c r="O732" s="35" t="s">
        <v>67</v>
      </c>
      <c r="P732" s="35" t="s">
        <v>10236</v>
      </c>
      <c r="Q732" s="52"/>
      <c r="R732" s="35"/>
      <c r="S732" s="52"/>
      <c r="T732" s="52"/>
      <c r="U732" s="35">
        <v>0.0</v>
      </c>
      <c r="V732" s="52"/>
      <c r="W732" s="35" t="s">
        <v>74</v>
      </c>
      <c r="X732" s="35" t="s">
        <v>10237</v>
      </c>
      <c r="Y732" s="35" t="s">
        <v>10238</v>
      </c>
      <c r="Z732" s="112" t="s">
        <v>10239</v>
      </c>
      <c r="AA732" s="46">
        <v>46023.0</v>
      </c>
      <c r="AB732" s="46">
        <v>46387.0</v>
      </c>
      <c r="AC732" s="35" t="s">
        <v>10240</v>
      </c>
      <c r="AD732" s="35" t="s">
        <v>79</v>
      </c>
      <c r="AE732" s="219"/>
      <c r="AF732" s="52"/>
      <c r="AG732" s="46"/>
    </row>
    <row r="733" ht="44.25" customHeight="1">
      <c r="A733" s="35">
        <v>732.0</v>
      </c>
      <c r="B733" s="35" t="s">
        <v>10241</v>
      </c>
      <c r="C733" s="35" t="s">
        <v>11</v>
      </c>
      <c r="D733" s="35" t="s">
        <v>2707</v>
      </c>
      <c r="E733" s="35" t="s">
        <v>2746</v>
      </c>
      <c r="F733" s="35" t="s">
        <v>10242</v>
      </c>
      <c r="G733" s="41" t="s">
        <v>10243</v>
      </c>
      <c r="H733" s="35" t="s">
        <v>59</v>
      </c>
      <c r="I733" s="52"/>
      <c r="J733" s="35" t="s">
        <v>62</v>
      </c>
      <c r="K733" s="35" t="s">
        <v>111</v>
      </c>
      <c r="L733" s="35">
        <v>53.0</v>
      </c>
      <c r="M733" s="35" t="s">
        <v>10244</v>
      </c>
      <c r="N733" s="35" t="s">
        <v>66</v>
      </c>
      <c r="O733" s="35" t="s">
        <v>67</v>
      </c>
      <c r="P733" s="35" t="s">
        <v>10245</v>
      </c>
      <c r="Q733" s="52"/>
      <c r="R733" s="35"/>
      <c r="S733" s="52"/>
      <c r="T733" s="52"/>
      <c r="U733" s="35">
        <v>9.0</v>
      </c>
      <c r="V733" s="52"/>
      <c r="W733" s="35" t="s">
        <v>93</v>
      </c>
      <c r="X733" s="35" t="s">
        <v>10246</v>
      </c>
      <c r="Y733" s="35" t="s">
        <v>10247</v>
      </c>
      <c r="Z733" s="35" t="s">
        <v>10248</v>
      </c>
      <c r="AA733" s="46">
        <v>46023.0</v>
      </c>
      <c r="AB733" s="46">
        <v>46387.0</v>
      </c>
      <c r="AC733" s="35" t="s">
        <v>10249</v>
      </c>
      <c r="AD733" s="35" t="s">
        <v>79</v>
      </c>
      <c r="AE733" s="219"/>
      <c r="AF733" s="52"/>
      <c r="AG733" s="46"/>
    </row>
    <row r="734" ht="44.25" customHeight="1">
      <c r="A734" s="35">
        <v>733.0</v>
      </c>
      <c r="B734" s="35">
        <v>614.0</v>
      </c>
      <c r="C734" s="35" t="s">
        <v>11</v>
      </c>
      <c r="D734" s="35" t="s">
        <v>2707</v>
      </c>
      <c r="E734" s="35" t="s">
        <v>2746</v>
      </c>
      <c r="F734" s="35" t="s">
        <v>10250</v>
      </c>
      <c r="G734" s="41" t="s">
        <v>10251</v>
      </c>
      <c r="H734" s="35" t="s">
        <v>59</v>
      </c>
      <c r="I734" s="35" t="s">
        <v>61</v>
      </c>
      <c r="J734" s="35" t="s">
        <v>62</v>
      </c>
      <c r="K734" s="35" t="s">
        <v>68</v>
      </c>
      <c r="L734" s="35">
        <v>130.0</v>
      </c>
      <c r="M734" s="35" t="s">
        <v>10252</v>
      </c>
      <c r="N734" s="35" t="s">
        <v>71</v>
      </c>
      <c r="O734" s="35" t="s">
        <v>72</v>
      </c>
      <c r="P734" s="35" t="s">
        <v>10253</v>
      </c>
      <c r="Q734" s="35"/>
      <c r="R734" s="35"/>
      <c r="S734" s="52"/>
      <c r="T734" s="35" t="s">
        <v>10254</v>
      </c>
      <c r="U734" s="35">
        <v>14.0</v>
      </c>
      <c r="V734" s="52"/>
      <c r="W734" s="35" t="s">
        <v>93</v>
      </c>
      <c r="X734" s="35" t="s">
        <v>10255</v>
      </c>
      <c r="Y734" s="35">
        <v>8.8255236E7</v>
      </c>
      <c r="Z734" s="112" t="s">
        <v>10256</v>
      </c>
      <c r="AA734" s="46">
        <v>46023.0</v>
      </c>
      <c r="AB734" s="46">
        <v>46387.0</v>
      </c>
      <c r="AC734" s="35" t="s">
        <v>10257</v>
      </c>
      <c r="AD734" s="35" t="s">
        <v>79</v>
      </c>
      <c r="AE734" s="219"/>
      <c r="AF734" s="52"/>
      <c r="AG734" s="46"/>
    </row>
    <row r="735" ht="44.25" customHeight="1">
      <c r="A735" s="35">
        <v>734.0</v>
      </c>
      <c r="B735" s="35" t="s">
        <v>10258</v>
      </c>
      <c r="C735" s="35" t="s">
        <v>11</v>
      </c>
      <c r="D735" s="35" t="s">
        <v>2707</v>
      </c>
      <c r="E735" s="35" t="s">
        <v>2746</v>
      </c>
      <c r="F735" s="35" t="s">
        <v>10259</v>
      </c>
      <c r="G735" s="41" t="s">
        <v>10260</v>
      </c>
      <c r="H735" s="35" t="s">
        <v>59</v>
      </c>
      <c r="I735" s="52"/>
      <c r="J735" s="35" t="s">
        <v>62</v>
      </c>
      <c r="K735" s="35" t="s">
        <v>111</v>
      </c>
      <c r="L735" s="35">
        <v>48.0</v>
      </c>
      <c r="M735" s="35" t="s">
        <v>956</v>
      </c>
      <c r="N735" s="35" t="s">
        <v>66</v>
      </c>
      <c r="O735" s="35" t="s">
        <v>67</v>
      </c>
      <c r="P735" s="35" t="s">
        <v>10261</v>
      </c>
      <c r="Q735" s="52"/>
      <c r="R735" s="35"/>
      <c r="S735" s="52"/>
      <c r="T735" s="52"/>
      <c r="U735" s="35">
        <v>5.0</v>
      </c>
      <c r="V735" s="52"/>
      <c r="W735" s="35" t="s">
        <v>93</v>
      </c>
      <c r="X735" s="35" t="s">
        <v>10262</v>
      </c>
      <c r="Y735" s="35" t="s">
        <v>10263</v>
      </c>
      <c r="Z735" s="35" t="s">
        <v>10264</v>
      </c>
      <c r="AA735" s="46">
        <v>46023.0</v>
      </c>
      <c r="AB735" s="46">
        <v>46387.0</v>
      </c>
      <c r="AC735" s="35" t="s">
        <v>10265</v>
      </c>
      <c r="AD735" s="35" t="s">
        <v>79</v>
      </c>
      <c r="AE735" s="219"/>
      <c r="AF735" s="187"/>
      <c r="AG735" s="46"/>
    </row>
    <row r="736" ht="44.25" customHeight="1">
      <c r="A736" s="35">
        <v>735.0</v>
      </c>
      <c r="B736" s="35" t="s">
        <v>10266</v>
      </c>
      <c r="C736" s="35" t="s">
        <v>11</v>
      </c>
      <c r="D736" s="35" t="s">
        <v>2707</v>
      </c>
      <c r="E736" s="35" t="s">
        <v>2746</v>
      </c>
      <c r="F736" s="35" t="s">
        <v>10267</v>
      </c>
      <c r="G736" s="41" t="s">
        <v>10268</v>
      </c>
      <c r="H736" s="35" t="s">
        <v>59</v>
      </c>
      <c r="I736" s="52"/>
      <c r="J736" s="35" t="s">
        <v>62</v>
      </c>
      <c r="K736" s="35" t="s">
        <v>111</v>
      </c>
      <c r="L736" s="35">
        <v>54.0</v>
      </c>
      <c r="M736" s="35" t="s">
        <v>956</v>
      </c>
      <c r="N736" s="35" t="s">
        <v>66</v>
      </c>
      <c r="O736" s="35" t="s">
        <v>67</v>
      </c>
      <c r="P736" s="35" t="s">
        <v>10269</v>
      </c>
      <c r="Q736" s="52"/>
      <c r="R736" s="35"/>
      <c r="S736" s="52"/>
      <c r="T736" s="52"/>
      <c r="U736" s="35">
        <v>6.0</v>
      </c>
      <c r="V736" s="52"/>
      <c r="W736" s="35" t="s">
        <v>93</v>
      </c>
      <c r="X736" s="35" t="s">
        <v>10270</v>
      </c>
      <c r="Y736" s="35" t="s">
        <v>10271</v>
      </c>
      <c r="Z736" s="35" t="s">
        <v>10272</v>
      </c>
      <c r="AA736" s="46">
        <v>46023.0</v>
      </c>
      <c r="AB736" s="46">
        <v>46387.0</v>
      </c>
      <c r="AC736" s="35" t="s">
        <v>10273</v>
      </c>
      <c r="AD736" s="35" t="s">
        <v>79</v>
      </c>
      <c r="AE736" s="219"/>
      <c r="AF736" s="52"/>
      <c r="AG736" s="46"/>
    </row>
    <row r="737" ht="44.25" customHeight="1">
      <c r="A737" s="35">
        <v>736.0</v>
      </c>
      <c r="B737" s="35">
        <v>798.0</v>
      </c>
      <c r="C737" s="35" t="s">
        <v>11</v>
      </c>
      <c r="D737" s="35" t="s">
        <v>2707</v>
      </c>
      <c r="E737" s="35" t="s">
        <v>2746</v>
      </c>
      <c r="F737" s="35" t="s">
        <v>10274</v>
      </c>
      <c r="G737" s="41" t="s">
        <v>10275</v>
      </c>
      <c r="H737" s="35" t="s">
        <v>59</v>
      </c>
      <c r="I737" s="35" t="s">
        <v>61</v>
      </c>
      <c r="J737" s="35" t="s">
        <v>62</v>
      </c>
      <c r="K737" s="35" t="s">
        <v>68</v>
      </c>
      <c r="L737" s="35">
        <v>285.0</v>
      </c>
      <c r="M737" s="35" t="s">
        <v>10276</v>
      </c>
      <c r="N737" s="35" t="s">
        <v>71</v>
      </c>
      <c r="O737" s="35" t="s">
        <v>72</v>
      </c>
      <c r="P737" s="35" t="s">
        <v>10277</v>
      </c>
      <c r="Q737" s="52"/>
      <c r="R737" s="35"/>
      <c r="S737" s="52"/>
      <c r="T737" s="52"/>
      <c r="U737" s="35">
        <v>20.0</v>
      </c>
      <c r="V737" s="52"/>
      <c r="W737" s="35" t="s">
        <v>93</v>
      </c>
      <c r="X737" s="35" t="s">
        <v>10278</v>
      </c>
      <c r="Y737" s="35" t="s">
        <v>10279</v>
      </c>
      <c r="Z737" s="35" t="s">
        <v>10280</v>
      </c>
      <c r="AA737" s="46">
        <v>46023.0</v>
      </c>
      <c r="AB737" s="46">
        <v>46387.0</v>
      </c>
      <c r="AC737" s="35" t="s">
        <v>10281</v>
      </c>
      <c r="AD737" s="35" t="s">
        <v>79</v>
      </c>
      <c r="AE737" s="219"/>
      <c r="AF737" s="52"/>
      <c r="AG737" s="46"/>
    </row>
    <row r="738" ht="44.25" customHeight="1">
      <c r="A738" s="35">
        <v>737.0</v>
      </c>
      <c r="B738" s="35" t="s">
        <v>10282</v>
      </c>
      <c r="C738" s="35" t="s">
        <v>11</v>
      </c>
      <c r="D738" s="35" t="s">
        <v>2707</v>
      </c>
      <c r="E738" s="35" t="s">
        <v>7438</v>
      </c>
      <c r="F738" s="35" t="s">
        <v>10283</v>
      </c>
      <c r="G738" s="41" t="s">
        <v>10284</v>
      </c>
      <c r="H738" s="35" t="s">
        <v>59</v>
      </c>
      <c r="I738" s="52"/>
      <c r="J738" s="35" t="s">
        <v>62</v>
      </c>
      <c r="K738" s="35" t="s">
        <v>111</v>
      </c>
      <c r="L738" s="35">
        <v>106.0</v>
      </c>
      <c r="M738" s="35" t="s">
        <v>10285</v>
      </c>
      <c r="N738" s="35" t="s">
        <v>66</v>
      </c>
      <c r="O738" s="35" t="s">
        <v>67</v>
      </c>
      <c r="P738" s="35" t="s">
        <v>10286</v>
      </c>
      <c r="Q738" s="52"/>
      <c r="R738" s="35"/>
      <c r="S738" s="52"/>
      <c r="T738" s="52"/>
      <c r="U738" s="35">
        <v>0.0</v>
      </c>
      <c r="V738" s="52"/>
      <c r="W738" s="35" t="s">
        <v>93</v>
      </c>
      <c r="X738" s="35" t="s">
        <v>10287</v>
      </c>
      <c r="Y738" s="35">
        <v>9.190999436E9</v>
      </c>
      <c r="Z738" s="35" t="s">
        <v>10288</v>
      </c>
      <c r="AA738" s="46">
        <v>46023.0</v>
      </c>
      <c r="AB738" s="46">
        <v>46387.0</v>
      </c>
      <c r="AC738" s="35" t="s">
        <v>10289</v>
      </c>
      <c r="AD738" s="35" t="s">
        <v>79</v>
      </c>
      <c r="AE738" s="35" t="s">
        <v>79</v>
      </c>
      <c r="AF738" s="52"/>
      <c r="AG738" s="46"/>
    </row>
    <row r="739" ht="44.25" customHeight="1">
      <c r="A739" s="35">
        <v>738.0</v>
      </c>
      <c r="B739" s="35">
        <v>637.0</v>
      </c>
      <c r="C739" s="35" t="s">
        <v>11</v>
      </c>
      <c r="D739" s="35" t="s">
        <v>2707</v>
      </c>
      <c r="E739" s="35" t="s">
        <v>7438</v>
      </c>
      <c r="F739" s="35" t="s">
        <v>10290</v>
      </c>
      <c r="G739" s="41" t="s">
        <v>10291</v>
      </c>
      <c r="H739" s="35" t="s">
        <v>59</v>
      </c>
      <c r="I739" s="35" t="s">
        <v>61</v>
      </c>
      <c r="J739" s="35" t="s">
        <v>62</v>
      </c>
      <c r="K739" s="35" t="s">
        <v>68</v>
      </c>
      <c r="L739" s="35">
        <v>600.0</v>
      </c>
      <c r="M739" s="35" t="s">
        <v>10292</v>
      </c>
      <c r="N739" s="35" t="s">
        <v>71</v>
      </c>
      <c r="O739" s="35" t="s">
        <v>72</v>
      </c>
      <c r="P739" s="35" t="s">
        <v>10293</v>
      </c>
      <c r="Q739" s="35"/>
      <c r="R739" s="35"/>
      <c r="S739" s="35"/>
      <c r="T739" s="35" t="s">
        <v>10294</v>
      </c>
      <c r="U739" s="35">
        <v>39.0</v>
      </c>
      <c r="V739" s="35" t="s">
        <v>6751</v>
      </c>
      <c r="W739" s="35" t="s">
        <v>93</v>
      </c>
      <c r="X739" s="35" t="s">
        <v>10295</v>
      </c>
      <c r="Y739" s="35" t="s">
        <v>10296</v>
      </c>
      <c r="Z739" s="112" t="s">
        <v>10297</v>
      </c>
      <c r="AA739" s="46">
        <v>46023.0</v>
      </c>
      <c r="AB739" s="46">
        <v>46387.0</v>
      </c>
      <c r="AC739" s="35" t="s">
        <v>10298</v>
      </c>
      <c r="AD739" s="35" t="s">
        <v>79</v>
      </c>
      <c r="AE739" s="219"/>
      <c r="AF739" s="52"/>
      <c r="AG739" s="46"/>
    </row>
    <row r="740" ht="44.25" customHeight="1">
      <c r="A740" s="35">
        <v>739.0</v>
      </c>
      <c r="B740" s="35" t="s">
        <v>10241</v>
      </c>
      <c r="C740" s="35" t="s">
        <v>11</v>
      </c>
      <c r="D740" s="35" t="s">
        <v>2707</v>
      </c>
      <c r="E740" s="35" t="s">
        <v>7438</v>
      </c>
      <c r="F740" s="35" t="s">
        <v>10299</v>
      </c>
      <c r="G740" s="41" t="s">
        <v>10300</v>
      </c>
      <c r="H740" s="35" t="s">
        <v>59</v>
      </c>
      <c r="I740" s="52"/>
      <c r="J740" s="35" t="s">
        <v>62</v>
      </c>
      <c r="K740" s="35" t="s">
        <v>111</v>
      </c>
      <c r="L740" s="35">
        <v>27.0</v>
      </c>
      <c r="M740" s="35" t="s">
        <v>10301</v>
      </c>
      <c r="N740" s="35" t="s">
        <v>66</v>
      </c>
      <c r="O740" s="35" t="s">
        <v>67</v>
      </c>
      <c r="P740" s="35" t="s">
        <v>10302</v>
      </c>
      <c r="Q740" s="52"/>
      <c r="R740" s="35"/>
      <c r="S740" s="52"/>
      <c r="T740" s="52"/>
      <c r="U740" s="35">
        <v>4.0</v>
      </c>
      <c r="V740" s="52"/>
      <c r="W740" s="35" t="s">
        <v>93</v>
      </c>
      <c r="X740" s="35" t="s">
        <v>10303</v>
      </c>
      <c r="Y740" s="35" t="s">
        <v>10304</v>
      </c>
      <c r="Z740" s="112" t="s">
        <v>10305</v>
      </c>
      <c r="AA740" s="46">
        <v>46023.0</v>
      </c>
      <c r="AB740" s="46">
        <v>46387.0</v>
      </c>
      <c r="AC740" s="35" t="s">
        <v>10306</v>
      </c>
      <c r="AD740" s="35" t="s">
        <v>79</v>
      </c>
      <c r="AE740" s="219"/>
      <c r="AF740" s="52"/>
      <c r="AG740" s="46"/>
    </row>
    <row r="741" ht="44.25" customHeight="1">
      <c r="A741" s="35">
        <v>740.0</v>
      </c>
      <c r="B741" s="35" t="s">
        <v>10307</v>
      </c>
      <c r="C741" s="35" t="s">
        <v>11</v>
      </c>
      <c r="D741" s="35" t="s">
        <v>2707</v>
      </c>
      <c r="E741" s="35" t="s">
        <v>2788</v>
      </c>
      <c r="F741" s="35" t="s">
        <v>10308</v>
      </c>
      <c r="G741" s="41" t="s">
        <v>10309</v>
      </c>
      <c r="H741" s="35" t="s">
        <v>59</v>
      </c>
      <c r="I741" s="52"/>
      <c r="J741" s="35" t="s">
        <v>62</v>
      </c>
      <c r="K741" s="35" t="s">
        <v>111</v>
      </c>
      <c r="L741" s="35">
        <v>42.0</v>
      </c>
      <c r="M741" s="35" t="s">
        <v>10310</v>
      </c>
      <c r="N741" s="35" t="s">
        <v>66</v>
      </c>
      <c r="O741" s="35" t="s">
        <v>67</v>
      </c>
      <c r="P741" s="35" t="s">
        <v>10311</v>
      </c>
      <c r="Q741" s="52"/>
      <c r="R741" s="35"/>
      <c r="S741" s="52"/>
      <c r="T741" s="52"/>
      <c r="U741" s="35">
        <v>8.0</v>
      </c>
      <c r="V741" s="52"/>
      <c r="W741" s="35" t="s">
        <v>93</v>
      </c>
      <c r="X741" s="35" t="s">
        <v>10312</v>
      </c>
      <c r="Y741" s="35">
        <v>6.39952258992E11</v>
      </c>
      <c r="Z741" s="35" t="s">
        <v>10313</v>
      </c>
      <c r="AA741" s="46">
        <v>46023.0</v>
      </c>
      <c r="AB741" s="46">
        <v>46387.0</v>
      </c>
      <c r="AC741" s="35" t="s">
        <v>10314</v>
      </c>
      <c r="AD741" s="35" t="s">
        <v>79</v>
      </c>
      <c r="AE741" s="219"/>
      <c r="AF741" s="187"/>
      <c r="AG741" s="46"/>
    </row>
    <row r="742" ht="44.25" customHeight="1">
      <c r="A742" s="35">
        <v>741.0</v>
      </c>
      <c r="B742" s="35" t="s">
        <v>10315</v>
      </c>
      <c r="C742" s="35" t="s">
        <v>11</v>
      </c>
      <c r="D742" s="35" t="s">
        <v>2707</v>
      </c>
      <c r="E742" s="35" t="s">
        <v>2844</v>
      </c>
      <c r="F742" s="35" t="s">
        <v>10316</v>
      </c>
      <c r="G742" s="41" t="s">
        <v>10317</v>
      </c>
      <c r="H742" s="35" t="s">
        <v>59</v>
      </c>
      <c r="I742" s="52"/>
      <c r="J742" s="35" t="s">
        <v>62</v>
      </c>
      <c r="K742" s="35" t="s">
        <v>111</v>
      </c>
      <c r="L742" s="35">
        <v>45.0</v>
      </c>
      <c r="M742" s="35" t="s">
        <v>10318</v>
      </c>
      <c r="N742" s="35" t="s">
        <v>66</v>
      </c>
      <c r="O742" s="35" t="s">
        <v>67</v>
      </c>
      <c r="P742" s="35" t="s">
        <v>10319</v>
      </c>
      <c r="Q742" s="52"/>
      <c r="R742" s="35"/>
      <c r="S742" s="52"/>
      <c r="T742" s="52"/>
      <c r="U742" s="35">
        <v>8.0</v>
      </c>
      <c r="V742" s="52"/>
      <c r="W742" s="35" t="s">
        <v>93</v>
      </c>
      <c r="X742" s="35" t="s">
        <v>10320</v>
      </c>
      <c r="Y742" s="35" t="s">
        <v>10321</v>
      </c>
      <c r="Z742" s="35" t="s">
        <v>10322</v>
      </c>
      <c r="AA742" s="46">
        <v>46023.0</v>
      </c>
      <c r="AB742" s="46">
        <v>46387.0</v>
      </c>
      <c r="AC742" s="35" t="s">
        <v>10323</v>
      </c>
      <c r="AD742" s="35" t="s">
        <v>79</v>
      </c>
      <c r="AE742" s="219"/>
      <c r="AF742" s="52"/>
      <c r="AG742" s="46"/>
    </row>
    <row r="743" ht="44.25" customHeight="1">
      <c r="A743" s="35">
        <v>742.0</v>
      </c>
      <c r="B743" s="35">
        <v>523.0</v>
      </c>
      <c r="C743" s="35" t="s">
        <v>11</v>
      </c>
      <c r="D743" s="35" t="s">
        <v>2707</v>
      </c>
      <c r="E743" s="35" t="s">
        <v>2844</v>
      </c>
      <c r="F743" s="35" t="s">
        <v>10324</v>
      </c>
      <c r="G743" s="41" t="s">
        <v>10325</v>
      </c>
      <c r="H743" s="35" t="s">
        <v>59</v>
      </c>
      <c r="I743" s="35" t="s">
        <v>61</v>
      </c>
      <c r="J743" s="35" t="s">
        <v>62</v>
      </c>
      <c r="K743" s="35" t="s">
        <v>68</v>
      </c>
      <c r="L743" s="35">
        <v>157.0</v>
      </c>
      <c r="M743" s="35" t="s">
        <v>10326</v>
      </c>
      <c r="N743" s="35" t="s">
        <v>71</v>
      </c>
      <c r="O743" s="35" t="s">
        <v>72</v>
      </c>
      <c r="P743" s="35" t="s">
        <v>10327</v>
      </c>
      <c r="Q743" s="35"/>
      <c r="R743" s="35"/>
      <c r="S743" s="52"/>
      <c r="T743" s="35" t="s">
        <v>10328</v>
      </c>
      <c r="U743" s="35">
        <v>9.0</v>
      </c>
      <c r="V743" s="52"/>
      <c r="W743" s="35" t="s">
        <v>93</v>
      </c>
      <c r="X743" s="35" t="s">
        <v>10329</v>
      </c>
      <c r="Y743" s="35" t="s">
        <v>10330</v>
      </c>
      <c r="Z743" s="112" t="s">
        <v>10331</v>
      </c>
      <c r="AA743" s="46">
        <v>46023.0</v>
      </c>
      <c r="AB743" s="46">
        <v>46387.0</v>
      </c>
      <c r="AC743" s="35" t="s">
        <v>10332</v>
      </c>
      <c r="AD743" s="35" t="s">
        <v>79</v>
      </c>
      <c r="AE743" s="219"/>
      <c r="AF743" s="52"/>
      <c r="AG743" s="46"/>
    </row>
    <row r="744" ht="44.25" customHeight="1">
      <c r="A744" s="35">
        <v>743.0</v>
      </c>
      <c r="B744" s="35">
        <v>5687.0</v>
      </c>
      <c r="C744" s="35" t="s">
        <v>11</v>
      </c>
      <c r="D744" s="35" t="s">
        <v>2707</v>
      </c>
      <c r="E744" s="35" t="s">
        <v>2914</v>
      </c>
      <c r="F744" s="35" t="s">
        <v>10333</v>
      </c>
      <c r="G744" s="41" t="s">
        <v>10334</v>
      </c>
      <c r="H744" s="35" t="s">
        <v>59</v>
      </c>
      <c r="I744" s="35" t="s">
        <v>61</v>
      </c>
      <c r="J744" s="35" t="s">
        <v>62</v>
      </c>
      <c r="K744" s="35" t="s">
        <v>68</v>
      </c>
      <c r="L744" s="35">
        <v>100.0</v>
      </c>
      <c r="M744" s="35" t="s">
        <v>10335</v>
      </c>
      <c r="N744" s="35" t="s">
        <v>66</v>
      </c>
      <c r="O744" s="35" t="s">
        <v>72</v>
      </c>
      <c r="P744" s="35" t="s">
        <v>10336</v>
      </c>
      <c r="Q744" s="52"/>
      <c r="R744" s="35"/>
      <c r="S744" s="52"/>
      <c r="T744" s="52"/>
      <c r="U744" s="35">
        <v>10.0</v>
      </c>
      <c r="V744" s="52"/>
      <c r="W744" s="35" t="s">
        <v>93</v>
      </c>
      <c r="X744" s="35" t="s">
        <v>10337</v>
      </c>
      <c r="Y744" s="35" t="s">
        <v>10338</v>
      </c>
      <c r="Z744" s="112" t="s">
        <v>10339</v>
      </c>
      <c r="AA744" s="46">
        <v>46023.0</v>
      </c>
      <c r="AB744" s="46">
        <v>46387.0</v>
      </c>
      <c r="AC744" s="35" t="s">
        <v>10340</v>
      </c>
      <c r="AD744" s="35" t="s">
        <v>79</v>
      </c>
      <c r="AE744" s="219"/>
      <c r="AF744" s="35" t="s">
        <v>10341</v>
      </c>
      <c r="AG744" s="46"/>
    </row>
    <row r="745" ht="44.25" customHeight="1">
      <c r="A745" s="35">
        <v>744.0</v>
      </c>
      <c r="B745" s="35">
        <v>446.0</v>
      </c>
      <c r="C745" s="35" t="s">
        <v>11</v>
      </c>
      <c r="D745" s="35" t="s">
        <v>2707</v>
      </c>
      <c r="E745" s="35" t="s">
        <v>2914</v>
      </c>
      <c r="F745" s="35" t="s">
        <v>10342</v>
      </c>
      <c r="G745" s="41" t="s">
        <v>10343</v>
      </c>
      <c r="H745" s="35" t="s">
        <v>59</v>
      </c>
      <c r="I745" s="35" t="s">
        <v>61</v>
      </c>
      <c r="J745" s="35" t="s">
        <v>62</v>
      </c>
      <c r="K745" s="35" t="s">
        <v>68</v>
      </c>
      <c r="L745" s="35">
        <v>592.0</v>
      </c>
      <c r="M745" s="35" t="s">
        <v>10344</v>
      </c>
      <c r="N745" s="35" t="s">
        <v>71</v>
      </c>
      <c r="O745" s="35" t="s">
        <v>72</v>
      </c>
      <c r="P745" s="35">
        <v>4.0</v>
      </c>
      <c r="Q745" s="52"/>
      <c r="R745" s="35"/>
      <c r="S745" s="52"/>
      <c r="T745" s="52"/>
      <c r="U745" s="35">
        <v>27.0</v>
      </c>
      <c r="V745" s="52"/>
      <c r="W745" s="35" t="s">
        <v>93</v>
      </c>
      <c r="X745" s="35" t="s">
        <v>10345</v>
      </c>
      <c r="Y745" s="35" t="s">
        <v>10346</v>
      </c>
      <c r="Z745" s="35" t="s">
        <v>10347</v>
      </c>
      <c r="AA745" s="46">
        <v>46023.0</v>
      </c>
      <c r="AB745" s="46">
        <v>46387.0</v>
      </c>
      <c r="AC745" s="35" t="s">
        <v>10348</v>
      </c>
      <c r="AD745" s="35" t="s">
        <v>79</v>
      </c>
      <c r="AE745" s="219"/>
      <c r="AF745" s="52"/>
      <c r="AG745" s="46"/>
    </row>
    <row r="746" ht="44.25" customHeight="1">
      <c r="A746" s="35">
        <v>745.0</v>
      </c>
      <c r="B746" s="35" t="s">
        <v>10349</v>
      </c>
      <c r="C746" s="35" t="s">
        <v>11</v>
      </c>
      <c r="D746" s="35" t="s">
        <v>2707</v>
      </c>
      <c r="E746" s="35" t="s">
        <v>2914</v>
      </c>
      <c r="F746" s="35" t="s">
        <v>10350</v>
      </c>
      <c r="G746" s="41" t="s">
        <v>10351</v>
      </c>
      <c r="H746" s="35" t="s">
        <v>59</v>
      </c>
      <c r="I746" s="52"/>
      <c r="J746" s="35" t="s">
        <v>663</v>
      </c>
      <c r="K746" s="35" t="s">
        <v>63</v>
      </c>
      <c r="L746" s="35">
        <v>18.0</v>
      </c>
      <c r="M746" s="52"/>
      <c r="N746" s="35" t="s">
        <v>66</v>
      </c>
      <c r="O746" s="35" t="s">
        <v>67</v>
      </c>
      <c r="P746" s="35" t="s">
        <v>10160</v>
      </c>
      <c r="Q746" s="52"/>
      <c r="R746" s="35"/>
      <c r="S746" s="52"/>
      <c r="T746" s="52"/>
      <c r="U746" s="35">
        <v>0.0</v>
      </c>
      <c r="V746" s="52"/>
      <c r="W746" s="35" t="s">
        <v>74</v>
      </c>
      <c r="X746" s="35" t="s">
        <v>10352</v>
      </c>
      <c r="Y746" s="35" t="s">
        <v>10353</v>
      </c>
      <c r="Z746" s="35" t="s">
        <v>10354</v>
      </c>
      <c r="AA746" s="46">
        <v>46023.0</v>
      </c>
      <c r="AB746" s="46">
        <v>46387.0</v>
      </c>
      <c r="AC746" s="35" t="s">
        <v>10355</v>
      </c>
      <c r="AD746" s="35" t="s">
        <v>79</v>
      </c>
      <c r="AE746" s="219"/>
      <c r="AF746" s="187"/>
      <c r="AG746" s="46"/>
    </row>
    <row r="747" ht="44.25" customHeight="1">
      <c r="A747" s="35">
        <v>746.0</v>
      </c>
      <c r="B747" s="35" t="s">
        <v>10356</v>
      </c>
      <c r="C747" s="35" t="s">
        <v>11</v>
      </c>
      <c r="D747" s="35" t="s">
        <v>2707</v>
      </c>
      <c r="E747" s="35" t="s">
        <v>2914</v>
      </c>
      <c r="F747" s="35" t="s">
        <v>10357</v>
      </c>
      <c r="G747" s="41" t="s">
        <v>10358</v>
      </c>
      <c r="H747" s="35" t="s">
        <v>59</v>
      </c>
      <c r="I747" s="52"/>
      <c r="J747" s="35" t="s">
        <v>62</v>
      </c>
      <c r="K747" s="35" t="s">
        <v>63</v>
      </c>
      <c r="L747" s="35">
        <v>20.0</v>
      </c>
      <c r="M747" s="52"/>
      <c r="N747" s="35" t="s">
        <v>66</v>
      </c>
      <c r="O747" s="35" t="s">
        <v>67</v>
      </c>
      <c r="P747" s="35" t="s">
        <v>10160</v>
      </c>
      <c r="Q747" s="52"/>
      <c r="R747" s="35"/>
      <c r="S747" s="52"/>
      <c r="T747" s="52"/>
      <c r="U747" s="35">
        <v>0.0</v>
      </c>
      <c r="V747" s="52"/>
      <c r="W747" s="35" t="s">
        <v>74</v>
      </c>
      <c r="X747" s="35" t="s">
        <v>10359</v>
      </c>
      <c r="Y747" s="35" t="s">
        <v>10360</v>
      </c>
      <c r="Z747" s="35" t="s">
        <v>10361</v>
      </c>
      <c r="AA747" s="46">
        <v>46023.0</v>
      </c>
      <c r="AB747" s="46">
        <v>46387.0</v>
      </c>
      <c r="AC747" s="35" t="s">
        <v>10362</v>
      </c>
      <c r="AD747" s="35" t="s">
        <v>79</v>
      </c>
      <c r="AE747" s="219"/>
      <c r="AF747" s="187"/>
      <c r="AG747" s="46"/>
    </row>
    <row r="748" ht="44.25" customHeight="1">
      <c r="A748" s="35">
        <v>747.0</v>
      </c>
      <c r="B748" s="35">
        <v>572.0</v>
      </c>
      <c r="C748" s="35" t="s">
        <v>11</v>
      </c>
      <c r="D748" s="35" t="s">
        <v>2707</v>
      </c>
      <c r="E748" s="35" t="s">
        <v>2914</v>
      </c>
      <c r="F748" s="35" t="s">
        <v>10363</v>
      </c>
      <c r="G748" s="41" t="s">
        <v>10364</v>
      </c>
      <c r="H748" s="35" t="s">
        <v>59</v>
      </c>
      <c r="I748" s="35" t="s">
        <v>61</v>
      </c>
      <c r="J748" s="35" t="s">
        <v>62</v>
      </c>
      <c r="K748" s="35" t="s">
        <v>68</v>
      </c>
      <c r="L748" s="35">
        <v>140.0</v>
      </c>
      <c r="M748" s="35" t="s">
        <v>7501</v>
      </c>
      <c r="N748" s="35" t="s">
        <v>221</v>
      </c>
      <c r="O748" s="35" t="s">
        <v>72</v>
      </c>
      <c r="P748" s="35">
        <v>2.0</v>
      </c>
      <c r="Q748" s="52"/>
      <c r="R748" s="35"/>
      <c r="S748" s="52"/>
      <c r="T748" s="52"/>
      <c r="U748" s="35">
        <v>16.0</v>
      </c>
      <c r="V748" s="52"/>
      <c r="W748" s="35" t="s">
        <v>93</v>
      </c>
      <c r="X748" s="35" t="s">
        <v>10365</v>
      </c>
      <c r="Y748" s="35" t="s">
        <v>10366</v>
      </c>
      <c r="Z748" s="35" t="s">
        <v>10367</v>
      </c>
      <c r="AA748" s="46">
        <v>46023.0</v>
      </c>
      <c r="AB748" s="46">
        <v>46387.0</v>
      </c>
      <c r="AC748" s="35" t="s">
        <v>10368</v>
      </c>
      <c r="AD748" s="35" t="s">
        <v>79</v>
      </c>
      <c r="AE748" s="219"/>
      <c r="AF748" s="52"/>
      <c r="AG748" s="46"/>
    </row>
    <row r="749" ht="44.25" customHeight="1">
      <c r="A749" s="35">
        <v>748.0</v>
      </c>
      <c r="B749" s="35">
        <v>3999.0</v>
      </c>
      <c r="C749" s="35" t="s">
        <v>11</v>
      </c>
      <c r="D749" s="35" t="s">
        <v>2707</v>
      </c>
      <c r="E749" s="35" t="s">
        <v>2914</v>
      </c>
      <c r="F749" s="35" t="s">
        <v>10369</v>
      </c>
      <c r="G749" s="41" t="s">
        <v>10370</v>
      </c>
      <c r="H749" s="35" t="s">
        <v>59</v>
      </c>
      <c r="I749" s="35" t="s">
        <v>61</v>
      </c>
      <c r="J749" s="35" t="s">
        <v>62</v>
      </c>
      <c r="K749" s="35" t="s">
        <v>68</v>
      </c>
      <c r="L749" s="35">
        <v>300.0</v>
      </c>
      <c r="M749" s="35" t="s">
        <v>10371</v>
      </c>
      <c r="N749" s="35" t="s">
        <v>71</v>
      </c>
      <c r="O749" s="35" t="s">
        <v>72</v>
      </c>
      <c r="P749" s="35">
        <v>1.0</v>
      </c>
      <c r="Q749" s="35"/>
      <c r="R749" s="35"/>
      <c r="S749" s="52"/>
      <c r="T749" s="35" t="s">
        <v>10294</v>
      </c>
      <c r="U749" s="35">
        <v>32.0</v>
      </c>
      <c r="V749" s="52"/>
      <c r="W749" s="35" t="s">
        <v>93</v>
      </c>
      <c r="X749" s="35" t="s">
        <v>10372</v>
      </c>
      <c r="Y749" s="35" t="s">
        <v>10373</v>
      </c>
      <c r="Z749" s="35" t="s">
        <v>10374</v>
      </c>
      <c r="AA749" s="46">
        <v>46023.0</v>
      </c>
      <c r="AB749" s="46">
        <v>46387.0</v>
      </c>
      <c r="AC749" s="35" t="s">
        <v>10375</v>
      </c>
      <c r="AD749" s="35" t="s">
        <v>79</v>
      </c>
      <c r="AE749" s="219"/>
      <c r="AF749" s="52"/>
      <c r="AG749" s="46"/>
    </row>
    <row r="750" ht="44.25" customHeight="1">
      <c r="A750" s="35">
        <v>749.0</v>
      </c>
      <c r="B750" s="35">
        <v>650.0</v>
      </c>
      <c r="C750" s="35" t="s">
        <v>11</v>
      </c>
      <c r="D750" s="35" t="s">
        <v>2707</v>
      </c>
      <c r="E750" s="35" t="s">
        <v>2914</v>
      </c>
      <c r="F750" s="35" t="s">
        <v>10376</v>
      </c>
      <c r="G750" s="41" t="s">
        <v>10377</v>
      </c>
      <c r="H750" s="35" t="s">
        <v>59</v>
      </c>
      <c r="I750" s="35" t="s">
        <v>61</v>
      </c>
      <c r="J750" s="35" t="s">
        <v>62</v>
      </c>
      <c r="K750" s="35" t="s">
        <v>68</v>
      </c>
      <c r="L750" s="35">
        <v>100.0</v>
      </c>
      <c r="M750" s="35" t="s">
        <v>7501</v>
      </c>
      <c r="N750" s="35" t="s">
        <v>221</v>
      </c>
      <c r="O750" s="35" t="s">
        <v>72</v>
      </c>
      <c r="P750" s="35">
        <v>1.0</v>
      </c>
      <c r="Q750" s="52"/>
      <c r="R750" s="35"/>
      <c r="S750" s="52"/>
      <c r="T750" s="52"/>
      <c r="U750" s="35">
        <v>4.0</v>
      </c>
      <c r="V750" s="52"/>
      <c r="W750" s="35" t="s">
        <v>93</v>
      </c>
      <c r="X750" s="35" t="s">
        <v>10378</v>
      </c>
      <c r="Y750" s="35" t="s">
        <v>10379</v>
      </c>
      <c r="Z750" s="35" t="s">
        <v>10380</v>
      </c>
      <c r="AA750" s="46">
        <v>46023.0</v>
      </c>
      <c r="AB750" s="46">
        <v>46387.0</v>
      </c>
      <c r="AC750" s="35" t="s">
        <v>10381</v>
      </c>
      <c r="AD750" s="35" t="s">
        <v>79</v>
      </c>
      <c r="AE750" s="219"/>
      <c r="AF750" s="52"/>
      <c r="AG750" s="46"/>
    </row>
    <row r="751" ht="44.25" customHeight="1">
      <c r="A751" s="35">
        <v>750.0</v>
      </c>
      <c r="B751" s="35">
        <v>6037.0</v>
      </c>
      <c r="C751" s="35" t="s">
        <v>11</v>
      </c>
      <c r="D751" s="35" t="s">
        <v>2707</v>
      </c>
      <c r="E751" s="35" t="s">
        <v>2914</v>
      </c>
      <c r="F751" s="35" t="s">
        <v>10382</v>
      </c>
      <c r="G751" s="41" t="s">
        <v>10383</v>
      </c>
      <c r="H751" s="35" t="s">
        <v>59</v>
      </c>
      <c r="I751" s="35" t="s">
        <v>61</v>
      </c>
      <c r="J751" s="35" t="s">
        <v>62</v>
      </c>
      <c r="K751" s="35" t="s">
        <v>68</v>
      </c>
      <c r="L751" s="35">
        <v>120.0</v>
      </c>
      <c r="M751" s="35" t="s">
        <v>7501</v>
      </c>
      <c r="N751" s="35" t="s">
        <v>221</v>
      </c>
      <c r="O751" s="35" t="s">
        <v>72</v>
      </c>
      <c r="P751" s="35" t="s">
        <v>10384</v>
      </c>
      <c r="Q751" s="52"/>
      <c r="R751" s="35"/>
      <c r="S751" s="52"/>
      <c r="T751" s="52"/>
      <c r="U751" s="35">
        <v>4.0</v>
      </c>
      <c r="V751" s="52"/>
      <c r="W751" s="35" t="s">
        <v>93</v>
      </c>
      <c r="X751" s="35" t="s">
        <v>10385</v>
      </c>
      <c r="Y751" s="35" t="s">
        <v>10386</v>
      </c>
      <c r="Z751" s="35" t="s">
        <v>10387</v>
      </c>
      <c r="AA751" s="46">
        <v>46023.0</v>
      </c>
      <c r="AB751" s="46">
        <v>46387.0</v>
      </c>
      <c r="AC751" s="35" t="s">
        <v>10388</v>
      </c>
      <c r="AD751" s="35" t="s">
        <v>79</v>
      </c>
      <c r="AE751" s="219"/>
      <c r="AF751" s="52"/>
      <c r="AG751" s="46"/>
    </row>
    <row r="752" ht="44.25" customHeight="1">
      <c r="A752" s="35">
        <v>751.0</v>
      </c>
      <c r="B752" s="35">
        <v>655.0</v>
      </c>
      <c r="C752" s="35" t="s">
        <v>11</v>
      </c>
      <c r="D752" s="35" t="s">
        <v>2707</v>
      </c>
      <c r="E752" s="35" t="s">
        <v>2914</v>
      </c>
      <c r="F752" s="35" t="s">
        <v>10389</v>
      </c>
      <c r="G752" s="41" t="s">
        <v>10390</v>
      </c>
      <c r="H752" s="35" t="s">
        <v>59</v>
      </c>
      <c r="I752" s="35" t="s">
        <v>61</v>
      </c>
      <c r="J752" s="35" t="s">
        <v>62</v>
      </c>
      <c r="K752" s="35" t="s">
        <v>68</v>
      </c>
      <c r="L752" s="35">
        <v>200.0</v>
      </c>
      <c r="M752" s="35" t="s">
        <v>10391</v>
      </c>
      <c r="N752" s="35" t="s">
        <v>71</v>
      </c>
      <c r="O752" s="35" t="s">
        <v>72</v>
      </c>
      <c r="P752" s="35" t="s">
        <v>10392</v>
      </c>
      <c r="Q752" s="52"/>
      <c r="R752" s="35"/>
      <c r="S752" s="52"/>
      <c r="T752" s="52"/>
      <c r="U752" s="35">
        <v>19.0</v>
      </c>
      <c r="V752" s="52"/>
      <c r="W752" s="35" t="s">
        <v>93</v>
      </c>
      <c r="X752" s="35" t="s">
        <v>10393</v>
      </c>
      <c r="Y752" s="35" t="s">
        <v>10394</v>
      </c>
      <c r="Z752" s="112" t="s">
        <v>10395</v>
      </c>
      <c r="AA752" s="46">
        <v>46023.0</v>
      </c>
      <c r="AB752" s="46">
        <v>46387.0</v>
      </c>
      <c r="AC752" s="35" t="s">
        <v>10396</v>
      </c>
      <c r="AD752" s="35" t="s">
        <v>79</v>
      </c>
      <c r="AE752" s="219"/>
      <c r="AF752" s="52"/>
      <c r="AG752" s="46"/>
    </row>
    <row r="753" ht="44.25" customHeight="1">
      <c r="A753" s="35">
        <v>752.0</v>
      </c>
      <c r="B753" s="35">
        <v>3281.0</v>
      </c>
      <c r="C753" s="35" t="s">
        <v>11</v>
      </c>
      <c r="D753" s="35" t="s">
        <v>2707</v>
      </c>
      <c r="E753" s="35" t="s">
        <v>2914</v>
      </c>
      <c r="F753" s="35" t="s">
        <v>10397</v>
      </c>
      <c r="G753" s="41" t="s">
        <v>10398</v>
      </c>
      <c r="H753" s="35" t="s">
        <v>59</v>
      </c>
      <c r="I753" s="35" t="s">
        <v>61</v>
      </c>
      <c r="J753" s="35" t="s">
        <v>62</v>
      </c>
      <c r="K753" s="35" t="s">
        <v>68</v>
      </c>
      <c r="L753" s="35">
        <v>500.0</v>
      </c>
      <c r="M753" s="35" t="s">
        <v>10399</v>
      </c>
      <c r="N753" s="35" t="s">
        <v>71</v>
      </c>
      <c r="O753" s="35" t="s">
        <v>72</v>
      </c>
      <c r="P753" s="35" t="s">
        <v>1180</v>
      </c>
      <c r="Q753" s="52"/>
      <c r="R753" s="35"/>
      <c r="S753" s="52"/>
      <c r="T753" s="52"/>
      <c r="U753" s="35">
        <v>25.0</v>
      </c>
      <c r="V753" s="52"/>
      <c r="W753" s="35" t="s">
        <v>93</v>
      </c>
      <c r="X753" s="35" t="s">
        <v>10400</v>
      </c>
      <c r="Y753" s="35" t="s">
        <v>10401</v>
      </c>
      <c r="Z753" s="35" t="s">
        <v>10402</v>
      </c>
      <c r="AA753" s="46">
        <v>46023.0</v>
      </c>
      <c r="AB753" s="46">
        <v>46387.0</v>
      </c>
      <c r="AC753" s="35" t="s">
        <v>10403</v>
      </c>
      <c r="AD753" s="35" t="s">
        <v>79</v>
      </c>
      <c r="AE753" s="219"/>
      <c r="AF753" s="35" t="s">
        <v>10404</v>
      </c>
      <c r="AG753" s="46"/>
    </row>
    <row r="754" ht="44.25" customHeight="1">
      <c r="A754" s="35">
        <v>753.0</v>
      </c>
      <c r="B754" s="35">
        <v>12505.0</v>
      </c>
      <c r="C754" s="35" t="s">
        <v>11</v>
      </c>
      <c r="D754" s="35" t="s">
        <v>2707</v>
      </c>
      <c r="E754" s="35" t="s">
        <v>2914</v>
      </c>
      <c r="F754" s="35" t="s">
        <v>10405</v>
      </c>
      <c r="G754" s="41" t="s">
        <v>6952</v>
      </c>
      <c r="H754" s="35" t="s">
        <v>59</v>
      </c>
      <c r="I754" s="35" t="s">
        <v>61</v>
      </c>
      <c r="J754" s="35" t="s">
        <v>62</v>
      </c>
      <c r="K754" s="35" t="s">
        <v>68</v>
      </c>
      <c r="L754" s="35">
        <v>230.0</v>
      </c>
      <c r="M754" s="35" t="s">
        <v>10183</v>
      </c>
      <c r="N754" s="35" t="s">
        <v>71</v>
      </c>
      <c r="O754" s="35" t="s">
        <v>72</v>
      </c>
      <c r="P754" s="35" t="s">
        <v>10406</v>
      </c>
      <c r="Q754" s="35"/>
      <c r="R754" s="35"/>
      <c r="S754" s="52"/>
      <c r="T754" s="35" t="s">
        <v>10407</v>
      </c>
      <c r="U754" s="35">
        <v>15.0</v>
      </c>
      <c r="V754" s="52"/>
      <c r="W754" s="35" t="s">
        <v>93</v>
      </c>
      <c r="X754" s="35" t="s">
        <v>10408</v>
      </c>
      <c r="Y754" s="35" t="s">
        <v>10409</v>
      </c>
      <c r="Z754" s="112" t="s">
        <v>10410</v>
      </c>
      <c r="AA754" s="46">
        <v>46023.0</v>
      </c>
      <c r="AB754" s="46">
        <v>46387.0</v>
      </c>
      <c r="AC754" s="35" t="s">
        <v>10411</v>
      </c>
      <c r="AD754" s="35" t="s">
        <v>79</v>
      </c>
      <c r="AE754" s="219"/>
      <c r="AF754" s="35" t="s">
        <v>10412</v>
      </c>
      <c r="AG754" s="46"/>
    </row>
    <row r="755" ht="44.25" customHeight="1">
      <c r="A755" s="35">
        <v>754.0</v>
      </c>
      <c r="B755" s="35" t="s">
        <v>10413</v>
      </c>
      <c r="C755" s="35" t="s">
        <v>11</v>
      </c>
      <c r="D755" s="35" t="s">
        <v>2707</v>
      </c>
      <c r="E755" s="35" t="s">
        <v>2914</v>
      </c>
      <c r="F755" s="35" t="s">
        <v>10414</v>
      </c>
      <c r="G755" s="41" t="s">
        <v>10415</v>
      </c>
      <c r="H755" s="35" t="s">
        <v>59</v>
      </c>
      <c r="I755" s="52"/>
      <c r="J755" s="35" t="s">
        <v>62</v>
      </c>
      <c r="K755" s="35" t="s">
        <v>63</v>
      </c>
      <c r="L755" s="35">
        <v>65.0</v>
      </c>
      <c r="M755" s="52"/>
      <c r="N755" s="35" t="s">
        <v>66</v>
      </c>
      <c r="O755" s="35" t="s">
        <v>67</v>
      </c>
      <c r="P755" s="35" t="s">
        <v>10416</v>
      </c>
      <c r="Q755" s="52"/>
      <c r="R755" s="35"/>
      <c r="S755" s="52"/>
      <c r="T755" s="52"/>
      <c r="U755" s="35">
        <v>0.0</v>
      </c>
      <c r="V755" s="52"/>
      <c r="W755" s="35" t="s">
        <v>74</v>
      </c>
      <c r="X755" s="35" t="s">
        <v>10417</v>
      </c>
      <c r="Y755" s="35" t="s">
        <v>10418</v>
      </c>
      <c r="Z755" s="35" t="s">
        <v>10419</v>
      </c>
      <c r="AA755" s="46">
        <v>46023.0</v>
      </c>
      <c r="AB755" s="46">
        <v>46387.0</v>
      </c>
      <c r="AC755" s="35" t="s">
        <v>10420</v>
      </c>
      <c r="AD755" s="35" t="s">
        <v>79</v>
      </c>
      <c r="AE755" s="219"/>
      <c r="AF755" s="52"/>
      <c r="AG755" s="46"/>
    </row>
    <row r="756" ht="44.25" customHeight="1">
      <c r="A756" s="35">
        <v>755.0</v>
      </c>
      <c r="B756" s="35" t="s">
        <v>10421</v>
      </c>
      <c r="C756" s="35" t="s">
        <v>11</v>
      </c>
      <c r="D756" s="35" t="s">
        <v>2707</v>
      </c>
      <c r="E756" s="35" t="s">
        <v>2914</v>
      </c>
      <c r="F756" s="35" t="s">
        <v>10422</v>
      </c>
      <c r="G756" s="41" t="s">
        <v>10423</v>
      </c>
      <c r="H756" s="35" t="s">
        <v>59</v>
      </c>
      <c r="I756" s="52"/>
      <c r="J756" s="35" t="s">
        <v>62</v>
      </c>
      <c r="K756" s="35" t="s">
        <v>63</v>
      </c>
      <c r="L756" s="35">
        <v>18.0</v>
      </c>
      <c r="M756" s="52"/>
      <c r="N756" s="35" t="s">
        <v>66</v>
      </c>
      <c r="O756" s="35" t="s">
        <v>67</v>
      </c>
      <c r="P756" s="35" t="s">
        <v>10160</v>
      </c>
      <c r="Q756" s="52"/>
      <c r="R756" s="35"/>
      <c r="S756" s="52"/>
      <c r="T756" s="52"/>
      <c r="U756" s="35">
        <v>0.0</v>
      </c>
      <c r="V756" s="52"/>
      <c r="W756" s="35" t="s">
        <v>74</v>
      </c>
      <c r="X756" s="35" t="s">
        <v>10424</v>
      </c>
      <c r="Y756" s="35">
        <v>8.5641512E7</v>
      </c>
      <c r="Z756" s="35" t="s">
        <v>10425</v>
      </c>
      <c r="AA756" s="46">
        <v>46023.0</v>
      </c>
      <c r="AB756" s="46">
        <v>46387.0</v>
      </c>
      <c r="AC756" s="35" t="s">
        <v>10426</v>
      </c>
      <c r="AD756" s="35" t="s">
        <v>79</v>
      </c>
      <c r="AE756" s="219"/>
      <c r="AF756" s="187"/>
      <c r="AG756" s="46"/>
    </row>
    <row r="757" ht="44.25" customHeight="1">
      <c r="A757" s="35">
        <v>756.0</v>
      </c>
      <c r="B757" s="35">
        <v>2997.0</v>
      </c>
      <c r="C757" s="35" t="s">
        <v>11</v>
      </c>
      <c r="D757" s="35" t="s">
        <v>2707</v>
      </c>
      <c r="E757" s="35" t="s">
        <v>2914</v>
      </c>
      <c r="F757" s="35" t="s">
        <v>10427</v>
      </c>
      <c r="G757" s="41" t="s">
        <v>10428</v>
      </c>
      <c r="H757" s="35" t="s">
        <v>59</v>
      </c>
      <c r="I757" s="35" t="s">
        <v>61</v>
      </c>
      <c r="J757" s="35" t="s">
        <v>62</v>
      </c>
      <c r="K757" s="35" t="s">
        <v>68</v>
      </c>
      <c r="L757" s="35">
        <v>700.0</v>
      </c>
      <c r="M757" s="35" t="s">
        <v>10429</v>
      </c>
      <c r="N757" s="35" t="s">
        <v>71</v>
      </c>
      <c r="O757" s="35" t="s">
        <v>72</v>
      </c>
      <c r="P757" s="35" t="s">
        <v>10430</v>
      </c>
      <c r="Q757" s="52"/>
      <c r="R757" s="35"/>
      <c r="S757" s="52"/>
      <c r="T757" s="52"/>
      <c r="U757" s="35">
        <v>28.0</v>
      </c>
      <c r="V757" s="52"/>
      <c r="W757" s="35" t="s">
        <v>93</v>
      </c>
      <c r="X757" s="35" t="s">
        <v>10431</v>
      </c>
      <c r="Y757" s="35" t="s">
        <v>10432</v>
      </c>
      <c r="Z757" s="35" t="s">
        <v>10433</v>
      </c>
      <c r="AA757" s="46">
        <v>46023.0</v>
      </c>
      <c r="AB757" s="46">
        <v>46387.0</v>
      </c>
      <c r="AC757" s="35" t="s">
        <v>10434</v>
      </c>
      <c r="AD757" s="35" t="s">
        <v>79</v>
      </c>
      <c r="AE757" s="219"/>
      <c r="AF757" s="52"/>
      <c r="AG757" s="46"/>
    </row>
    <row r="758" ht="44.25" customHeight="1">
      <c r="A758" s="35">
        <v>757.0</v>
      </c>
      <c r="B758" s="35" t="s">
        <v>10435</v>
      </c>
      <c r="C758" s="35" t="s">
        <v>11</v>
      </c>
      <c r="D758" s="35" t="s">
        <v>2707</v>
      </c>
      <c r="E758" s="35" t="s">
        <v>3193</v>
      </c>
      <c r="F758" s="35" t="s">
        <v>10436</v>
      </c>
      <c r="G758" s="41" t="s">
        <v>10437</v>
      </c>
      <c r="H758" s="35" t="s">
        <v>59</v>
      </c>
      <c r="I758" s="52"/>
      <c r="J758" s="35" t="s">
        <v>62</v>
      </c>
      <c r="K758" s="35" t="s">
        <v>63</v>
      </c>
      <c r="L758" s="35">
        <v>12.0</v>
      </c>
      <c r="M758" s="52"/>
      <c r="N758" s="35" t="s">
        <v>66</v>
      </c>
      <c r="O758" s="35" t="s">
        <v>67</v>
      </c>
      <c r="P758" s="35" t="s">
        <v>10438</v>
      </c>
      <c r="Q758" s="52"/>
      <c r="R758" s="35"/>
      <c r="S758" s="52"/>
      <c r="T758" s="52"/>
      <c r="U758" s="35">
        <v>0.0</v>
      </c>
      <c r="V758" s="52"/>
      <c r="W758" s="35" t="s">
        <v>74</v>
      </c>
      <c r="X758" s="35" t="s">
        <v>10439</v>
      </c>
      <c r="Y758" s="35">
        <v>8.9484014E7</v>
      </c>
      <c r="Z758" s="35" t="s">
        <v>10440</v>
      </c>
      <c r="AA758" s="46">
        <v>46023.0</v>
      </c>
      <c r="AB758" s="46">
        <v>46387.0</v>
      </c>
      <c r="AC758" s="35" t="s">
        <v>10441</v>
      </c>
      <c r="AD758" s="35" t="s">
        <v>79</v>
      </c>
      <c r="AE758" s="219"/>
      <c r="AF758" s="52"/>
      <c r="AG758" s="46"/>
    </row>
    <row r="759" ht="44.25" customHeight="1">
      <c r="A759" s="35">
        <v>758.0</v>
      </c>
      <c r="B759" s="35" t="s">
        <v>10442</v>
      </c>
      <c r="C759" s="35" t="s">
        <v>11</v>
      </c>
      <c r="D759" s="35" t="s">
        <v>2707</v>
      </c>
      <c r="E759" s="35" t="s">
        <v>3193</v>
      </c>
      <c r="F759" s="35" t="s">
        <v>10443</v>
      </c>
      <c r="G759" s="41" t="s">
        <v>10444</v>
      </c>
      <c r="H759" s="35" t="s">
        <v>59</v>
      </c>
      <c r="I759" s="52"/>
      <c r="J759" s="35" t="s">
        <v>62</v>
      </c>
      <c r="K759" s="35" t="s">
        <v>111</v>
      </c>
      <c r="L759" s="35">
        <v>90.0</v>
      </c>
      <c r="M759" s="52"/>
      <c r="N759" s="35" t="s">
        <v>66</v>
      </c>
      <c r="O759" s="35" t="s">
        <v>67</v>
      </c>
      <c r="P759" s="35" t="s">
        <v>10167</v>
      </c>
      <c r="Q759" s="52"/>
      <c r="R759" s="35"/>
      <c r="S759" s="52"/>
      <c r="T759" s="52"/>
      <c r="U759" s="35">
        <v>4.0</v>
      </c>
      <c r="V759" s="52"/>
      <c r="W759" s="35" t="s">
        <v>93</v>
      </c>
      <c r="X759" s="35" t="s">
        <v>10445</v>
      </c>
      <c r="Y759" s="244">
        <v>8.95E7</v>
      </c>
      <c r="Z759" s="35" t="s">
        <v>10446</v>
      </c>
      <c r="AA759" s="46">
        <v>46023.0</v>
      </c>
      <c r="AB759" s="46">
        <v>46387.0</v>
      </c>
      <c r="AC759" s="35" t="s">
        <v>10447</v>
      </c>
      <c r="AD759" s="35" t="s">
        <v>79</v>
      </c>
      <c r="AE759" s="219"/>
      <c r="AF759" s="187"/>
      <c r="AG759" s="46"/>
    </row>
    <row r="760" ht="44.25" customHeight="1">
      <c r="A760" s="35">
        <v>759.0</v>
      </c>
      <c r="B760" s="35" t="s">
        <v>10448</v>
      </c>
      <c r="C760" s="35" t="s">
        <v>11</v>
      </c>
      <c r="D760" s="35" t="s">
        <v>2707</v>
      </c>
      <c r="E760" s="35" t="s">
        <v>3193</v>
      </c>
      <c r="F760" s="35" t="s">
        <v>10449</v>
      </c>
      <c r="G760" s="41" t="s">
        <v>10450</v>
      </c>
      <c r="H760" s="35" t="s">
        <v>59</v>
      </c>
      <c r="I760" s="52"/>
      <c r="J760" s="35" t="s">
        <v>62</v>
      </c>
      <c r="K760" s="35" t="s">
        <v>111</v>
      </c>
      <c r="L760" s="35">
        <v>165.0</v>
      </c>
      <c r="M760" s="35" t="s">
        <v>10451</v>
      </c>
      <c r="N760" s="35" t="s">
        <v>221</v>
      </c>
      <c r="O760" s="35" t="s">
        <v>67</v>
      </c>
      <c r="P760" s="35" t="s">
        <v>10452</v>
      </c>
      <c r="Q760" s="52"/>
      <c r="R760" s="35"/>
      <c r="S760" s="52"/>
      <c r="T760" s="52"/>
      <c r="U760" s="35">
        <v>13.0</v>
      </c>
      <c r="V760" s="52"/>
      <c r="W760" s="35" t="s">
        <v>93</v>
      </c>
      <c r="X760" s="35" t="s">
        <v>10453</v>
      </c>
      <c r="Y760" s="35" t="s">
        <v>10454</v>
      </c>
      <c r="Z760" s="112" t="s">
        <v>10455</v>
      </c>
      <c r="AA760" s="46">
        <v>46023.0</v>
      </c>
      <c r="AB760" s="46">
        <v>46387.0</v>
      </c>
      <c r="AC760" s="35" t="s">
        <v>10456</v>
      </c>
      <c r="AD760" s="35" t="s">
        <v>79</v>
      </c>
      <c r="AE760" s="219"/>
      <c r="AF760" s="35" t="s">
        <v>10457</v>
      </c>
      <c r="AG760" s="46"/>
    </row>
    <row r="761" ht="44.25" customHeight="1">
      <c r="A761" s="35">
        <v>760.0</v>
      </c>
      <c r="B761" s="35" t="s">
        <v>10458</v>
      </c>
      <c r="C761" s="35" t="s">
        <v>11</v>
      </c>
      <c r="D761" s="35" t="s">
        <v>2707</v>
      </c>
      <c r="E761" s="35" t="s">
        <v>3193</v>
      </c>
      <c r="F761" s="35" t="s">
        <v>10459</v>
      </c>
      <c r="G761" s="41" t="s">
        <v>10460</v>
      </c>
      <c r="H761" s="35" t="s">
        <v>59</v>
      </c>
      <c r="I761" s="52"/>
      <c r="J761" s="35" t="s">
        <v>62</v>
      </c>
      <c r="K761" s="35" t="s">
        <v>63</v>
      </c>
      <c r="L761" s="35">
        <v>22.0</v>
      </c>
      <c r="M761" s="35" t="s">
        <v>956</v>
      </c>
      <c r="N761" s="35" t="s">
        <v>66</v>
      </c>
      <c r="O761" s="35" t="s">
        <v>67</v>
      </c>
      <c r="P761" s="35" t="s">
        <v>10461</v>
      </c>
      <c r="Q761" s="52"/>
      <c r="R761" s="35"/>
      <c r="S761" s="52"/>
      <c r="T761" s="52"/>
      <c r="U761" s="35">
        <v>0.0</v>
      </c>
      <c r="V761" s="52"/>
      <c r="W761" s="35" t="s">
        <v>74</v>
      </c>
      <c r="X761" s="35" t="s">
        <v>10462</v>
      </c>
      <c r="Y761" s="35" t="s">
        <v>10463</v>
      </c>
      <c r="Z761" s="35" t="s">
        <v>10464</v>
      </c>
      <c r="AA761" s="46">
        <v>46023.0</v>
      </c>
      <c r="AB761" s="46">
        <v>46387.0</v>
      </c>
      <c r="AC761" s="35" t="s">
        <v>10465</v>
      </c>
      <c r="AD761" s="35" t="s">
        <v>79</v>
      </c>
      <c r="AE761" s="219"/>
      <c r="AF761" s="187"/>
      <c r="AG761" s="46"/>
    </row>
    <row r="762" ht="44.25" customHeight="1">
      <c r="A762" s="35">
        <v>761.0</v>
      </c>
      <c r="B762" s="35" t="s">
        <v>10466</v>
      </c>
      <c r="C762" s="35" t="s">
        <v>11</v>
      </c>
      <c r="D762" s="35" t="s">
        <v>2707</v>
      </c>
      <c r="E762" s="35" t="s">
        <v>3193</v>
      </c>
      <c r="F762" s="35" t="s">
        <v>10467</v>
      </c>
      <c r="G762" s="41" t="s">
        <v>10468</v>
      </c>
      <c r="H762" s="35" t="s">
        <v>59</v>
      </c>
      <c r="I762" s="52"/>
      <c r="J762" s="35" t="s">
        <v>62</v>
      </c>
      <c r="K762" s="35" t="s">
        <v>111</v>
      </c>
      <c r="L762" s="35">
        <v>34.0</v>
      </c>
      <c r="M762" s="35" t="s">
        <v>956</v>
      </c>
      <c r="N762" s="35" t="s">
        <v>66</v>
      </c>
      <c r="O762" s="35" t="s">
        <v>67</v>
      </c>
      <c r="P762" s="35" t="s">
        <v>10469</v>
      </c>
      <c r="Q762" s="52"/>
      <c r="R762" s="35"/>
      <c r="S762" s="52"/>
      <c r="T762" s="52"/>
      <c r="U762" s="35">
        <v>4.0</v>
      </c>
      <c r="V762" s="52"/>
      <c r="W762" s="35" t="s">
        <v>93</v>
      </c>
      <c r="X762" s="35" t="s">
        <v>10470</v>
      </c>
      <c r="Y762" s="35" t="s">
        <v>10471</v>
      </c>
      <c r="Z762" s="35" t="s">
        <v>10472</v>
      </c>
      <c r="AA762" s="46">
        <v>46023.0</v>
      </c>
      <c r="AB762" s="46">
        <v>46387.0</v>
      </c>
      <c r="AC762" s="35" t="s">
        <v>10473</v>
      </c>
      <c r="AD762" s="35" t="s">
        <v>79</v>
      </c>
      <c r="AE762" s="219"/>
      <c r="AF762" s="187"/>
      <c r="AG762" s="46"/>
    </row>
    <row r="763" ht="44.25" customHeight="1">
      <c r="A763" s="35">
        <v>762.0</v>
      </c>
      <c r="B763" s="35" t="s">
        <v>10474</v>
      </c>
      <c r="C763" s="35" t="s">
        <v>11</v>
      </c>
      <c r="D763" s="35" t="s">
        <v>2707</v>
      </c>
      <c r="E763" s="35" t="s">
        <v>3193</v>
      </c>
      <c r="F763" s="35" t="s">
        <v>10475</v>
      </c>
      <c r="G763" s="41" t="s">
        <v>10476</v>
      </c>
      <c r="H763" s="35" t="s">
        <v>59</v>
      </c>
      <c r="I763" s="52"/>
      <c r="J763" s="35" t="s">
        <v>62</v>
      </c>
      <c r="K763" s="35" t="s">
        <v>63</v>
      </c>
      <c r="L763" s="35">
        <v>30.0</v>
      </c>
      <c r="M763" s="35" t="s">
        <v>5232</v>
      </c>
      <c r="N763" s="35" t="s">
        <v>66</v>
      </c>
      <c r="O763" s="35" t="s">
        <v>67</v>
      </c>
      <c r="P763" s="35" t="s">
        <v>10477</v>
      </c>
      <c r="Q763" s="52"/>
      <c r="R763" s="35"/>
      <c r="S763" s="52"/>
      <c r="T763" s="52"/>
      <c r="U763" s="35">
        <v>0.0</v>
      </c>
      <c r="V763" s="52"/>
      <c r="W763" s="35" t="s">
        <v>74</v>
      </c>
      <c r="X763" s="35" t="s">
        <v>10478</v>
      </c>
      <c r="Y763" s="35" t="s">
        <v>10479</v>
      </c>
      <c r="Z763" s="112" t="s">
        <v>10480</v>
      </c>
      <c r="AA763" s="46">
        <v>46023.0</v>
      </c>
      <c r="AB763" s="46">
        <v>46387.0</v>
      </c>
      <c r="AC763" s="35" t="s">
        <v>10481</v>
      </c>
      <c r="AD763" s="35" t="s">
        <v>79</v>
      </c>
      <c r="AE763" s="219"/>
      <c r="AF763" s="52"/>
      <c r="AG763" s="46"/>
    </row>
    <row r="764" ht="44.25" customHeight="1">
      <c r="A764" s="35">
        <v>763.0</v>
      </c>
      <c r="B764" s="35" t="s">
        <v>10482</v>
      </c>
      <c r="C764" s="35" t="s">
        <v>11</v>
      </c>
      <c r="D764" s="35" t="s">
        <v>2707</v>
      </c>
      <c r="E764" s="35" t="s">
        <v>3193</v>
      </c>
      <c r="F764" s="35" t="s">
        <v>10483</v>
      </c>
      <c r="G764" s="41" t="s">
        <v>10484</v>
      </c>
      <c r="H764" s="35" t="s">
        <v>59</v>
      </c>
      <c r="I764" s="52"/>
      <c r="J764" s="35" t="s">
        <v>663</v>
      </c>
      <c r="K764" s="35" t="s">
        <v>63</v>
      </c>
      <c r="L764" s="35">
        <v>20.0</v>
      </c>
      <c r="M764" s="52"/>
      <c r="N764" s="35" t="s">
        <v>66</v>
      </c>
      <c r="O764" s="35" t="s">
        <v>67</v>
      </c>
      <c r="P764" s="35" t="s">
        <v>10485</v>
      </c>
      <c r="Q764" s="52"/>
      <c r="R764" s="35"/>
      <c r="S764" s="52"/>
      <c r="T764" s="52"/>
      <c r="U764" s="35">
        <v>0.0</v>
      </c>
      <c r="V764" s="52"/>
      <c r="W764" s="35" t="s">
        <v>74</v>
      </c>
      <c r="X764" s="35" t="s">
        <v>10486</v>
      </c>
      <c r="Y764" s="35" t="s">
        <v>10487</v>
      </c>
      <c r="Z764" s="35" t="s">
        <v>10488</v>
      </c>
      <c r="AA764" s="46">
        <v>46023.0</v>
      </c>
      <c r="AB764" s="46">
        <v>46387.0</v>
      </c>
      <c r="AC764" s="35" t="s">
        <v>10489</v>
      </c>
      <c r="AD764" s="35" t="s">
        <v>79</v>
      </c>
      <c r="AE764" s="219"/>
      <c r="AF764" s="187"/>
      <c r="AG764" s="46"/>
    </row>
    <row r="765" ht="44.25" customHeight="1">
      <c r="A765" s="35">
        <v>764.0</v>
      </c>
      <c r="B765" s="35" t="s">
        <v>10490</v>
      </c>
      <c r="C765" s="35" t="s">
        <v>11</v>
      </c>
      <c r="D765" s="35" t="s">
        <v>2707</v>
      </c>
      <c r="E765" s="35" t="s">
        <v>3265</v>
      </c>
      <c r="F765" s="35" t="s">
        <v>10491</v>
      </c>
      <c r="G765" s="41" t="s">
        <v>10492</v>
      </c>
      <c r="H765" s="35" t="s">
        <v>59</v>
      </c>
      <c r="I765" s="52"/>
      <c r="J765" s="35" t="s">
        <v>62</v>
      </c>
      <c r="K765" s="35" t="s">
        <v>63</v>
      </c>
      <c r="L765" s="35">
        <v>18.0</v>
      </c>
      <c r="M765" s="35" t="s">
        <v>10493</v>
      </c>
      <c r="N765" s="35" t="s">
        <v>66</v>
      </c>
      <c r="O765" s="35" t="s">
        <v>67</v>
      </c>
      <c r="P765" s="35" t="s">
        <v>10167</v>
      </c>
      <c r="Q765" s="52"/>
      <c r="R765" s="35"/>
      <c r="S765" s="52"/>
      <c r="T765" s="52"/>
      <c r="U765" s="35">
        <v>6.0</v>
      </c>
      <c r="V765" s="52"/>
      <c r="W765" s="35" t="s">
        <v>74</v>
      </c>
      <c r="X765" s="35" t="s">
        <v>10494</v>
      </c>
      <c r="Y765" s="35" t="s">
        <v>10495</v>
      </c>
      <c r="Z765" s="35" t="s">
        <v>10496</v>
      </c>
      <c r="AA765" s="46">
        <v>46023.0</v>
      </c>
      <c r="AB765" s="46">
        <v>46387.0</v>
      </c>
      <c r="AC765" s="35" t="s">
        <v>10497</v>
      </c>
      <c r="AD765" s="35" t="s">
        <v>79</v>
      </c>
      <c r="AE765" s="219"/>
      <c r="AF765" s="52"/>
      <c r="AG765" s="46"/>
    </row>
    <row r="766" ht="44.25" customHeight="1">
      <c r="A766" s="35">
        <v>765.0</v>
      </c>
      <c r="B766" s="35" t="s">
        <v>10498</v>
      </c>
      <c r="C766" s="35" t="s">
        <v>11</v>
      </c>
      <c r="D766" s="35" t="s">
        <v>2707</v>
      </c>
      <c r="E766" s="35" t="s">
        <v>3265</v>
      </c>
      <c r="F766" s="35" t="s">
        <v>10499</v>
      </c>
      <c r="G766" s="41" t="s">
        <v>10500</v>
      </c>
      <c r="H766" s="35" t="s">
        <v>59</v>
      </c>
      <c r="I766" s="52"/>
      <c r="J766" s="35" t="s">
        <v>62</v>
      </c>
      <c r="K766" s="35" t="s">
        <v>111</v>
      </c>
      <c r="L766" s="35">
        <v>30.0</v>
      </c>
      <c r="M766" s="35" t="s">
        <v>10501</v>
      </c>
      <c r="N766" s="35" t="s">
        <v>66</v>
      </c>
      <c r="O766" s="35" t="s">
        <v>67</v>
      </c>
      <c r="P766" s="35" t="s">
        <v>10502</v>
      </c>
      <c r="Q766" s="52"/>
      <c r="R766" s="35"/>
      <c r="S766" s="52"/>
      <c r="T766" s="52"/>
      <c r="U766" s="35">
        <v>0.0</v>
      </c>
      <c r="V766" s="52"/>
      <c r="W766" s="35" t="s">
        <v>93</v>
      </c>
      <c r="X766" s="35" t="s">
        <v>10503</v>
      </c>
      <c r="Y766" s="35" t="s">
        <v>10504</v>
      </c>
      <c r="Z766" s="35" t="s">
        <v>10505</v>
      </c>
      <c r="AA766" s="46">
        <v>46023.0</v>
      </c>
      <c r="AB766" s="46">
        <v>46387.0</v>
      </c>
      <c r="AC766" s="35" t="s">
        <v>10506</v>
      </c>
      <c r="AD766" s="35" t="s">
        <v>79</v>
      </c>
      <c r="AE766" s="219"/>
      <c r="AF766" s="187"/>
      <c r="AG766" s="46"/>
    </row>
    <row r="767" ht="44.25" customHeight="1">
      <c r="A767" s="35">
        <v>766.0</v>
      </c>
      <c r="B767" s="35">
        <v>410.0</v>
      </c>
      <c r="C767" s="35" t="s">
        <v>11</v>
      </c>
      <c r="D767" s="35" t="s">
        <v>2707</v>
      </c>
      <c r="E767" s="35" t="s">
        <v>3265</v>
      </c>
      <c r="F767" s="35" t="s">
        <v>10507</v>
      </c>
      <c r="G767" s="41" t="s">
        <v>10508</v>
      </c>
      <c r="H767" s="35" t="s">
        <v>59</v>
      </c>
      <c r="I767" s="35" t="s">
        <v>61</v>
      </c>
      <c r="J767" s="35" t="s">
        <v>62</v>
      </c>
      <c r="K767" s="35" t="s">
        <v>68</v>
      </c>
      <c r="L767" s="35">
        <v>325.0</v>
      </c>
      <c r="M767" s="35" t="s">
        <v>10509</v>
      </c>
      <c r="N767" s="35" t="s">
        <v>71</v>
      </c>
      <c r="O767" s="35" t="s">
        <v>72</v>
      </c>
      <c r="P767" s="35" t="s">
        <v>10510</v>
      </c>
      <c r="Q767" s="35"/>
      <c r="R767" s="35"/>
      <c r="S767" s="35"/>
      <c r="T767" s="35" t="s">
        <v>10294</v>
      </c>
      <c r="U767" s="35">
        <v>16.0</v>
      </c>
      <c r="V767" s="35" t="s">
        <v>533</v>
      </c>
      <c r="W767" s="35" t="s">
        <v>93</v>
      </c>
      <c r="X767" s="35" t="s">
        <v>10511</v>
      </c>
      <c r="Y767" s="35" t="s">
        <v>10512</v>
      </c>
      <c r="Z767" s="35" t="s">
        <v>10513</v>
      </c>
      <c r="AA767" s="46">
        <v>46023.0</v>
      </c>
      <c r="AB767" s="46">
        <v>46387.0</v>
      </c>
      <c r="AC767" s="35" t="s">
        <v>10514</v>
      </c>
      <c r="AD767" s="35" t="s">
        <v>79</v>
      </c>
      <c r="AE767" s="219"/>
      <c r="AF767" s="35" t="s">
        <v>10515</v>
      </c>
      <c r="AG767" s="46"/>
    </row>
    <row r="768" ht="44.25" customHeight="1">
      <c r="A768" s="35">
        <v>767.0</v>
      </c>
      <c r="B768" s="35" t="s">
        <v>10516</v>
      </c>
      <c r="C768" s="35" t="s">
        <v>11</v>
      </c>
      <c r="D768" s="35" t="s">
        <v>2707</v>
      </c>
      <c r="E768" s="35" t="s">
        <v>3265</v>
      </c>
      <c r="F768" s="35" t="s">
        <v>10517</v>
      </c>
      <c r="G768" s="41" t="s">
        <v>10518</v>
      </c>
      <c r="H768" s="35" t="s">
        <v>59</v>
      </c>
      <c r="I768" s="52"/>
      <c r="J768" s="35" t="s">
        <v>62</v>
      </c>
      <c r="K768" s="35" t="s">
        <v>111</v>
      </c>
      <c r="L768" s="35">
        <v>100.0</v>
      </c>
      <c r="M768" s="35" t="s">
        <v>10519</v>
      </c>
      <c r="N768" s="35" t="s">
        <v>66</v>
      </c>
      <c r="O768" s="35" t="s">
        <v>67</v>
      </c>
      <c r="P768" s="35" t="s">
        <v>10520</v>
      </c>
      <c r="Q768" s="52"/>
      <c r="R768" s="35"/>
      <c r="S768" s="52"/>
      <c r="T768" s="52"/>
      <c r="U768" s="35">
        <v>7.0</v>
      </c>
      <c r="V768" s="52"/>
      <c r="W768" s="35" t="s">
        <v>93</v>
      </c>
      <c r="X768" s="35" t="s">
        <v>10521</v>
      </c>
      <c r="Y768" s="35" t="s">
        <v>10522</v>
      </c>
      <c r="Z768" s="35" t="s">
        <v>10523</v>
      </c>
      <c r="AA768" s="46">
        <v>46023.0</v>
      </c>
      <c r="AB768" s="46">
        <v>46387.0</v>
      </c>
      <c r="AC768" s="35" t="s">
        <v>10524</v>
      </c>
      <c r="AD768" s="35" t="s">
        <v>79</v>
      </c>
      <c r="AE768" s="219"/>
      <c r="AF768" s="52"/>
      <c r="AG768" s="46"/>
    </row>
    <row r="769" ht="44.25" customHeight="1">
      <c r="A769" s="35">
        <v>768.0</v>
      </c>
      <c r="B769" s="35" t="s">
        <v>10525</v>
      </c>
      <c r="C769" s="35" t="s">
        <v>11</v>
      </c>
      <c r="D769" s="35" t="s">
        <v>2707</v>
      </c>
      <c r="E769" s="35" t="s">
        <v>7768</v>
      </c>
      <c r="F769" s="35" t="s">
        <v>10526</v>
      </c>
      <c r="G769" s="41" t="s">
        <v>10527</v>
      </c>
      <c r="H769" s="35" t="s">
        <v>59</v>
      </c>
      <c r="I769" s="52"/>
      <c r="J769" s="35" t="s">
        <v>62</v>
      </c>
      <c r="K769" s="35" t="s">
        <v>63</v>
      </c>
      <c r="L769" s="35">
        <v>90.0</v>
      </c>
      <c r="M769" s="52"/>
      <c r="N769" s="35" t="s">
        <v>66</v>
      </c>
      <c r="O769" s="35" t="s">
        <v>67</v>
      </c>
      <c r="P769" s="35" t="s">
        <v>10528</v>
      </c>
      <c r="Q769" s="52"/>
      <c r="R769" s="35"/>
      <c r="S769" s="52"/>
      <c r="T769" s="52"/>
      <c r="U769" s="35">
        <v>8.0</v>
      </c>
      <c r="V769" s="52"/>
      <c r="W769" s="35" t="s">
        <v>74</v>
      </c>
      <c r="X769" s="35" t="s">
        <v>10529</v>
      </c>
      <c r="Y769" s="35">
        <v>2.8896384E8</v>
      </c>
      <c r="Z769" s="35" t="s">
        <v>10530</v>
      </c>
      <c r="AA769" s="46">
        <v>46023.0</v>
      </c>
      <c r="AB769" s="46">
        <v>46387.0</v>
      </c>
      <c r="AC769" s="35" t="s">
        <v>10531</v>
      </c>
      <c r="AD769" s="35" t="s">
        <v>79</v>
      </c>
      <c r="AE769" s="219"/>
      <c r="AF769" s="35" t="s">
        <v>10532</v>
      </c>
      <c r="AG769" s="46"/>
    </row>
    <row r="770" ht="44.25" customHeight="1">
      <c r="A770" s="35">
        <v>769.0</v>
      </c>
      <c r="B770" s="35" t="s">
        <v>10533</v>
      </c>
      <c r="C770" s="35" t="s">
        <v>11</v>
      </c>
      <c r="D770" s="35" t="s">
        <v>2707</v>
      </c>
      <c r="E770" s="35" t="s">
        <v>7768</v>
      </c>
      <c r="F770" s="35" t="s">
        <v>10534</v>
      </c>
      <c r="G770" s="41" t="s">
        <v>10535</v>
      </c>
      <c r="H770" s="35" t="s">
        <v>59</v>
      </c>
      <c r="I770" s="52"/>
      <c r="J770" s="35" t="s">
        <v>62</v>
      </c>
      <c r="K770" s="35" t="s">
        <v>111</v>
      </c>
      <c r="L770" s="35">
        <v>56.0</v>
      </c>
      <c r="M770" s="35" t="s">
        <v>10536</v>
      </c>
      <c r="N770" s="35" t="s">
        <v>66</v>
      </c>
      <c r="O770" s="35" t="s">
        <v>67</v>
      </c>
      <c r="P770" s="35" t="s">
        <v>10537</v>
      </c>
      <c r="Q770" s="52"/>
      <c r="R770" s="35"/>
      <c r="S770" s="52"/>
      <c r="T770" s="52"/>
      <c r="U770" s="35">
        <v>18.0</v>
      </c>
      <c r="V770" s="52"/>
      <c r="W770" s="35" t="s">
        <v>93</v>
      </c>
      <c r="X770" s="35" t="s">
        <v>10538</v>
      </c>
      <c r="Y770" s="35" t="s">
        <v>10539</v>
      </c>
      <c r="Z770" s="35" t="s">
        <v>10540</v>
      </c>
      <c r="AA770" s="46">
        <v>46023.0</v>
      </c>
      <c r="AB770" s="46">
        <v>46387.0</v>
      </c>
      <c r="AC770" s="35" t="s">
        <v>10541</v>
      </c>
      <c r="AD770" s="35" t="s">
        <v>79</v>
      </c>
      <c r="AE770" s="219"/>
      <c r="AF770" s="52"/>
      <c r="AG770" s="46"/>
    </row>
    <row r="771" ht="44.25" customHeight="1">
      <c r="A771" s="35">
        <v>770.0</v>
      </c>
      <c r="B771" s="35" t="s">
        <v>10542</v>
      </c>
      <c r="C771" s="35" t="s">
        <v>11</v>
      </c>
      <c r="D771" s="35" t="s">
        <v>2707</v>
      </c>
      <c r="E771" s="35" t="s">
        <v>7768</v>
      </c>
      <c r="F771" s="35" t="s">
        <v>10543</v>
      </c>
      <c r="G771" s="41" t="s">
        <v>10544</v>
      </c>
      <c r="H771" s="35" t="s">
        <v>59</v>
      </c>
      <c r="I771" s="52"/>
      <c r="J771" s="35" t="s">
        <v>62</v>
      </c>
      <c r="K771" s="35" t="s">
        <v>63</v>
      </c>
      <c r="L771" s="35">
        <v>50.0</v>
      </c>
      <c r="M771" s="35" t="s">
        <v>10545</v>
      </c>
      <c r="N771" s="35" t="s">
        <v>66</v>
      </c>
      <c r="O771" s="35" t="s">
        <v>67</v>
      </c>
      <c r="P771" s="35" t="s">
        <v>10546</v>
      </c>
      <c r="Q771" s="52"/>
      <c r="R771" s="35"/>
      <c r="S771" s="52"/>
      <c r="T771" s="52"/>
      <c r="U771" s="35">
        <v>10.0</v>
      </c>
      <c r="V771" s="52"/>
      <c r="W771" s="35" t="s">
        <v>93</v>
      </c>
      <c r="X771" s="35" t="s">
        <v>10547</v>
      </c>
      <c r="Y771" s="35" t="s">
        <v>10548</v>
      </c>
      <c r="Z771" s="112" t="s">
        <v>10549</v>
      </c>
      <c r="AA771" s="46">
        <v>46023.0</v>
      </c>
      <c r="AB771" s="46">
        <v>46387.0</v>
      </c>
      <c r="AC771" s="35" t="s">
        <v>10550</v>
      </c>
      <c r="AD771" s="35" t="s">
        <v>79</v>
      </c>
      <c r="AE771" s="219"/>
      <c r="AF771" s="52"/>
      <c r="AG771" s="46"/>
    </row>
    <row r="772" ht="44.25" customHeight="1">
      <c r="A772" s="35">
        <v>771.0</v>
      </c>
      <c r="B772" s="35" t="s">
        <v>10551</v>
      </c>
      <c r="C772" s="35" t="s">
        <v>11</v>
      </c>
      <c r="D772" s="35" t="s">
        <v>2707</v>
      </c>
      <c r="E772" s="35" t="s">
        <v>7768</v>
      </c>
      <c r="F772" s="35" t="s">
        <v>10552</v>
      </c>
      <c r="G772" s="41" t="s">
        <v>10553</v>
      </c>
      <c r="H772" s="35" t="s">
        <v>59</v>
      </c>
      <c r="I772" s="52"/>
      <c r="J772" s="35" t="s">
        <v>62</v>
      </c>
      <c r="K772" s="35" t="s">
        <v>111</v>
      </c>
      <c r="L772" s="35">
        <v>50.0</v>
      </c>
      <c r="M772" s="52"/>
      <c r="N772" s="35" t="s">
        <v>66</v>
      </c>
      <c r="O772" s="35" t="s">
        <v>67</v>
      </c>
      <c r="P772" s="35" t="s">
        <v>10554</v>
      </c>
      <c r="Q772" s="52"/>
      <c r="R772" s="35"/>
      <c r="S772" s="52"/>
      <c r="T772" s="52"/>
      <c r="U772" s="35">
        <v>0.0</v>
      </c>
      <c r="V772" s="52"/>
      <c r="W772" s="35" t="s">
        <v>93</v>
      </c>
      <c r="X772" s="35" t="s">
        <v>10555</v>
      </c>
      <c r="Y772" s="35" t="s">
        <v>10556</v>
      </c>
      <c r="Z772" s="112" t="s">
        <v>10557</v>
      </c>
      <c r="AA772" s="46">
        <v>46023.0</v>
      </c>
      <c r="AB772" s="46">
        <v>46387.0</v>
      </c>
      <c r="AC772" s="35" t="s">
        <v>10558</v>
      </c>
      <c r="AD772" s="35" t="s">
        <v>79</v>
      </c>
      <c r="AE772" s="219"/>
      <c r="AF772" s="52"/>
      <c r="AG772" s="46"/>
    </row>
    <row r="773" ht="44.25" customHeight="1">
      <c r="A773" s="35">
        <v>772.0</v>
      </c>
      <c r="B773" s="35" t="s">
        <v>10559</v>
      </c>
      <c r="C773" s="35" t="s">
        <v>11</v>
      </c>
      <c r="D773" s="35" t="s">
        <v>2707</v>
      </c>
      <c r="E773" s="35" t="s">
        <v>7768</v>
      </c>
      <c r="F773" s="35" t="s">
        <v>10560</v>
      </c>
      <c r="G773" s="41" t="s">
        <v>10561</v>
      </c>
      <c r="H773" s="35" t="s">
        <v>59</v>
      </c>
      <c r="I773" s="52"/>
      <c r="J773" s="35" t="s">
        <v>62</v>
      </c>
      <c r="K773" s="35" t="s">
        <v>111</v>
      </c>
      <c r="L773" s="35">
        <v>40.0</v>
      </c>
      <c r="M773" s="35" t="s">
        <v>956</v>
      </c>
      <c r="N773" s="35" t="s">
        <v>66</v>
      </c>
      <c r="O773" s="35" t="s">
        <v>67</v>
      </c>
      <c r="P773" s="35" t="s">
        <v>10562</v>
      </c>
      <c r="Q773" s="52"/>
      <c r="R773" s="35"/>
      <c r="S773" s="52"/>
      <c r="T773" s="52"/>
      <c r="U773" s="35">
        <v>0.0</v>
      </c>
      <c r="V773" s="52"/>
      <c r="W773" s="35" t="s">
        <v>93</v>
      </c>
      <c r="X773" s="35" t="s">
        <v>10563</v>
      </c>
      <c r="Y773" s="35" t="s">
        <v>10564</v>
      </c>
      <c r="Z773" s="35" t="s">
        <v>10565</v>
      </c>
      <c r="AA773" s="46">
        <v>46023.0</v>
      </c>
      <c r="AB773" s="46">
        <v>46387.0</v>
      </c>
      <c r="AC773" s="35" t="s">
        <v>10566</v>
      </c>
      <c r="AD773" s="35" t="s">
        <v>79</v>
      </c>
      <c r="AE773" s="219"/>
      <c r="AF773" s="52"/>
      <c r="AG773" s="46"/>
    </row>
    <row r="774" ht="44.25" customHeight="1">
      <c r="A774" s="35">
        <v>773.0</v>
      </c>
      <c r="B774" s="35" t="s">
        <v>10567</v>
      </c>
      <c r="C774" s="35" t="s">
        <v>11</v>
      </c>
      <c r="D774" s="35" t="s">
        <v>2707</v>
      </c>
      <c r="E774" s="35" t="s">
        <v>7768</v>
      </c>
      <c r="F774" s="35" t="s">
        <v>10568</v>
      </c>
      <c r="G774" s="41" t="s">
        <v>10569</v>
      </c>
      <c r="H774" s="35" t="s">
        <v>59</v>
      </c>
      <c r="I774" s="52"/>
      <c r="J774" s="35" t="s">
        <v>62</v>
      </c>
      <c r="K774" s="35" t="s">
        <v>111</v>
      </c>
      <c r="L774" s="35">
        <v>94.0</v>
      </c>
      <c r="M774" s="35" t="s">
        <v>10570</v>
      </c>
      <c r="N774" s="35" t="s">
        <v>71</v>
      </c>
      <c r="O774" s="35" t="s">
        <v>67</v>
      </c>
      <c r="P774" s="35" t="s">
        <v>10571</v>
      </c>
      <c r="Q774" s="52"/>
      <c r="R774" s="35"/>
      <c r="S774" s="52"/>
      <c r="T774" s="52"/>
      <c r="U774" s="35">
        <v>24.0</v>
      </c>
      <c r="V774" s="52"/>
      <c r="W774" s="35" t="s">
        <v>93</v>
      </c>
      <c r="X774" s="35" t="s">
        <v>10572</v>
      </c>
      <c r="Y774" s="35" t="s">
        <v>10573</v>
      </c>
      <c r="Z774" s="112" t="s">
        <v>10574</v>
      </c>
      <c r="AA774" s="46">
        <v>46023.0</v>
      </c>
      <c r="AB774" s="46">
        <v>46387.0</v>
      </c>
      <c r="AC774" s="35" t="s">
        <v>10575</v>
      </c>
      <c r="AD774" s="35" t="s">
        <v>79</v>
      </c>
      <c r="AE774" s="219"/>
      <c r="AF774" s="35" t="s">
        <v>10576</v>
      </c>
      <c r="AG774" s="46"/>
    </row>
    <row r="775" ht="44.25" customHeight="1">
      <c r="A775" s="35">
        <v>774.0</v>
      </c>
      <c r="B775" s="35" t="s">
        <v>10577</v>
      </c>
      <c r="C775" s="35" t="s">
        <v>11</v>
      </c>
      <c r="D775" s="35" t="s">
        <v>2707</v>
      </c>
      <c r="E775" s="35" t="s">
        <v>7768</v>
      </c>
      <c r="F775" s="35" t="s">
        <v>10578</v>
      </c>
      <c r="G775" s="41" t="s">
        <v>10579</v>
      </c>
      <c r="H775" s="35" t="s">
        <v>59</v>
      </c>
      <c r="I775" s="52"/>
      <c r="J775" s="35" t="s">
        <v>62</v>
      </c>
      <c r="K775" s="35" t="s">
        <v>111</v>
      </c>
      <c r="L775" s="35">
        <v>100.0</v>
      </c>
      <c r="M775" s="35" t="s">
        <v>10580</v>
      </c>
      <c r="N775" s="35" t="s">
        <v>66</v>
      </c>
      <c r="O775" s="35" t="s">
        <v>67</v>
      </c>
      <c r="P775" s="35" t="s">
        <v>10581</v>
      </c>
      <c r="Q775" s="52"/>
      <c r="R775" s="35"/>
      <c r="S775" s="52"/>
      <c r="T775" s="52"/>
      <c r="U775" s="35">
        <v>9.0</v>
      </c>
      <c r="V775" s="52"/>
      <c r="W775" s="35" t="s">
        <v>93</v>
      </c>
      <c r="X775" s="35" t="s">
        <v>10582</v>
      </c>
      <c r="Y775" s="35" t="s">
        <v>10583</v>
      </c>
      <c r="Z775" s="35" t="s">
        <v>10584</v>
      </c>
      <c r="AA775" s="46">
        <v>46023.0</v>
      </c>
      <c r="AB775" s="46">
        <v>46387.0</v>
      </c>
      <c r="AC775" s="35" t="s">
        <v>10585</v>
      </c>
      <c r="AD775" s="35" t="s">
        <v>79</v>
      </c>
      <c r="AE775" s="219"/>
      <c r="AF775" s="52"/>
      <c r="AG775" s="46"/>
    </row>
    <row r="776" ht="44.25" customHeight="1">
      <c r="A776" s="35">
        <v>775.0</v>
      </c>
      <c r="B776" s="35">
        <v>6034.0</v>
      </c>
      <c r="C776" s="35" t="s">
        <v>11</v>
      </c>
      <c r="D776" s="35" t="s">
        <v>2707</v>
      </c>
      <c r="E776" s="35" t="s">
        <v>3313</v>
      </c>
      <c r="F776" s="35" t="s">
        <v>10586</v>
      </c>
      <c r="G776" s="41" t="s">
        <v>10587</v>
      </c>
      <c r="H776" s="35" t="s">
        <v>59</v>
      </c>
      <c r="I776" s="35" t="s">
        <v>61</v>
      </c>
      <c r="J776" s="35" t="s">
        <v>62</v>
      </c>
      <c r="K776" s="35" t="s">
        <v>68</v>
      </c>
      <c r="L776" s="35">
        <v>150.0</v>
      </c>
      <c r="M776" s="35" t="s">
        <v>10588</v>
      </c>
      <c r="N776" s="35" t="s">
        <v>71</v>
      </c>
      <c r="O776" s="35" t="s">
        <v>72</v>
      </c>
      <c r="P776" s="35" t="s">
        <v>1180</v>
      </c>
      <c r="Q776" s="52"/>
      <c r="R776" s="35"/>
      <c r="S776" s="52"/>
      <c r="T776" s="52"/>
      <c r="U776" s="35">
        <v>12.0</v>
      </c>
      <c r="V776" s="52"/>
      <c r="W776" s="35" t="s">
        <v>93</v>
      </c>
      <c r="X776" s="35" t="s">
        <v>10589</v>
      </c>
      <c r="Y776" s="35">
        <v>8.5259191E7</v>
      </c>
      <c r="Z776" s="35" t="s">
        <v>10590</v>
      </c>
      <c r="AA776" s="46">
        <v>46023.0</v>
      </c>
      <c r="AB776" s="46">
        <v>46387.0</v>
      </c>
      <c r="AC776" s="35" t="s">
        <v>10591</v>
      </c>
      <c r="AD776" s="35" t="s">
        <v>79</v>
      </c>
      <c r="AE776" s="219"/>
      <c r="AF776" s="52"/>
      <c r="AG776" s="46"/>
    </row>
    <row r="777" ht="44.25" customHeight="1">
      <c r="A777" s="35">
        <v>776.0</v>
      </c>
      <c r="B777" s="35" t="s">
        <v>10592</v>
      </c>
      <c r="C777" s="35" t="s">
        <v>11</v>
      </c>
      <c r="D777" s="35" t="s">
        <v>2707</v>
      </c>
      <c r="E777" s="35" t="s">
        <v>3313</v>
      </c>
      <c r="F777" s="35" t="s">
        <v>10593</v>
      </c>
      <c r="G777" s="41" t="s">
        <v>10594</v>
      </c>
      <c r="H777" s="35" t="s">
        <v>59</v>
      </c>
      <c r="I777" s="52"/>
      <c r="J777" s="35" t="s">
        <v>62</v>
      </c>
      <c r="K777" s="35" t="s">
        <v>111</v>
      </c>
      <c r="L777" s="35">
        <v>42.0</v>
      </c>
      <c r="M777" s="35" t="s">
        <v>10310</v>
      </c>
      <c r="N777" s="35" t="s">
        <v>66</v>
      </c>
      <c r="O777" s="35" t="s">
        <v>67</v>
      </c>
      <c r="P777" s="35" t="s">
        <v>10595</v>
      </c>
      <c r="Q777" s="52"/>
      <c r="R777" s="35"/>
      <c r="S777" s="52"/>
      <c r="T777" s="52"/>
      <c r="U777" s="35">
        <v>5.0</v>
      </c>
      <c r="V777" s="52"/>
      <c r="W777" s="35" t="s">
        <v>93</v>
      </c>
      <c r="X777" s="35" t="s">
        <v>10596</v>
      </c>
      <c r="Y777" s="35" t="s">
        <v>10597</v>
      </c>
      <c r="Z777" s="35" t="s">
        <v>10598</v>
      </c>
      <c r="AA777" s="46">
        <v>46023.0</v>
      </c>
      <c r="AB777" s="46">
        <v>46387.0</v>
      </c>
      <c r="AC777" s="35" t="s">
        <v>10599</v>
      </c>
      <c r="AD777" s="35" t="s">
        <v>79</v>
      </c>
      <c r="AE777" s="219"/>
      <c r="AF777" s="35" t="s">
        <v>10600</v>
      </c>
      <c r="AG777" s="46"/>
    </row>
    <row r="778" ht="44.25" customHeight="1">
      <c r="A778" s="35">
        <v>777.0</v>
      </c>
      <c r="B778" s="35">
        <v>5084.0</v>
      </c>
      <c r="C778" s="35" t="s">
        <v>11</v>
      </c>
      <c r="D778" s="35" t="s">
        <v>2707</v>
      </c>
      <c r="E778" s="35" t="s">
        <v>3313</v>
      </c>
      <c r="F778" s="35" t="s">
        <v>10601</v>
      </c>
      <c r="G778" s="41" t="s">
        <v>10602</v>
      </c>
      <c r="H778" s="35" t="s">
        <v>59</v>
      </c>
      <c r="I778" s="35" t="s">
        <v>61</v>
      </c>
      <c r="J778" s="35" t="s">
        <v>62</v>
      </c>
      <c r="K778" s="35" t="s">
        <v>68</v>
      </c>
      <c r="L778" s="35">
        <v>230.0</v>
      </c>
      <c r="M778" s="35" t="s">
        <v>10603</v>
      </c>
      <c r="N778" s="35" t="s">
        <v>71</v>
      </c>
      <c r="O778" s="35" t="s">
        <v>72</v>
      </c>
      <c r="P778" s="35" t="s">
        <v>10604</v>
      </c>
      <c r="Q778" s="52"/>
      <c r="R778" s="35"/>
      <c r="S778" s="52"/>
      <c r="T778" s="52"/>
      <c r="U778" s="35">
        <v>15.0</v>
      </c>
      <c r="V778" s="52"/>
      <c r="W778" s="35" t="s">
        <v>93</v>
      </c>
      <c r="X778" s="35" t="s">
        <v>10605</v>
      </c>
      <c r="Y778" s="35">
        <v>5512763.0</v>
      </c>
      <c r="Z778" s="35" t="s">
        <v>10606</v>
      </c>
      <c r="AA778" s="46">
        <v>46023.0</v>
      </c>
      <c r="AB778" s="46">
        <v>46387.0</v>
      </c>
      <c r="AC778" s="35" t="s">
        <v>10607</v>
      </c>
      <c r="AD778" s="35" t="s">
        <v>79</v>
      </c>
      <c r="AE778" s="219"/>
      <c r="AF778" s="35" t="s">
        <v>10608</v>
      </c>
      <c r="AG778" s="46"/>
    </row>
    <row r="779" ht="44.25" customHeight="1">
      <c r="A779" s="35">
        <v>778.0</v>
      </c>
      <c r="B779" s="35" t="s">
        <v>10609</v>
      </c>
      <c r="C779" s="35" t="s">
        <v>11</v>
      </c>
      <c r="D779" s="35" t="s">
        <v>2707</v>
      </c>
      <c r="E779" s="35" t="s">
        <v>7854</v>
      </c>
      <c r="F779" s="35" t="s">
        <v>10610</v>
      </c>
      <c r="G779" s="41" t="s">
        <v>10611</v>
      </c>
      <c r="H779" s="35" t="s">
        <v>59</v>
      </c>
      <c r="I779" s="52"/>
      <c r="J779" s="35" t="s">
        <v>62</v>
      </c>
      <c r="K779" s="35" t="s">
        <v>63</v>
      </c>
      <c r="L779" s="35">
        <v>22.0</v>
      </c>
      <c r="M779" s="52"/>
      <c r="N779" s="35" t="s">
        <v>66</v>
      </c>
      <c r="O779" s="35" t="s">
        <v>67</v>
      </c>
      <c r="P779" s="35" t="s">
        <v>10199</v>
      </c>
      <c r="Q779" s="52"/>
      <c r="R779" s="35"/>
      <c r="S779" s="52"/>
      <c r="T779" s="52"/>
      <c r="U779" s="35">
        <v>0.0</v>
      </c>
      <c r="V779" s="52"/>
      <c r="W779" s="35" t="s">
        <v>74</v>
      </c>
      <c r="X779" s="35" t="s">
        <v>10612</v>
      </c>
      <c r="Y779" s="35">
        <v>8.5711285E7</v>
      </c>
      <c r="Z779" s="35" t="s">
        <v>10613</v>
      </c>
      <c r="AA779" s="46">
        <v>46023.0</v>
      </c>
      <c r="AB779" s="46">
        <v>46387.0</v>
      </c>
      <c r="AC779" s="35" t="s">
        <v>10614</v>
      </c>
      <c r="AD779" s="35" t="s">
        <v>79</v>
      </c>
      <c r="AE779" s="219"/>
      <c r="AF779" s="187"/>
      <c r="AG779" s="46"/>
    </row>
    <row r="780" ht="44.25" customHeight="1">
      <c r="A780" s="35">
        <v>779.0</v>
      </c>
      <c r="B780" s="35" t="s">
        <v>10615</v>
      </c>
      <c r="C780" s="35" t="s">
        <v>11</v>
      </c>
      <c r="D780" s="35" t="s">
        <v>2707</v>
      </c>
      <c r="E780" s="35" t="s">
        <v>7854</v>
      </c>
      <c r="F780" s="35" t="s">
        <v>10616</v>
      </c>
      <c r="G780" s="41" t="s">
        <v>10617</v>
      </c>
      <c r="H780" s="35" t="s">
        <v>59</v>
      </c>
      <c r="I780" s="52"/>
      <c r="J780" s="35" t="s">
        <v>62</v>
      </c>
      <c r="K780" s="35" t="s">
        <v>63</v>
      </c>
      <c r="L780" s="35">
        <v>28.0</v>
      </c>
      <c r="M780" s="52"/>
      <c r="N780" s="35" t="s">
        <v>66</v>
      </c>
      <c r="O780" s="35" t="s">
        <v>67</v>
      </c>
      <c r="P780" s="35" t="s">
        <v>10167</v>
      </c>
      <c r="Q780" s="52"/>
      <c r="R780" s="35"/>
      <c r="S780" s="52"/>
      <c r="T780" s="52"/>
      <c r="U780" s="35">
        <v>0.0</v>
      </c>
      <c r="V780" s="52"/>
      <c r="W780" s="35" t="s">
        <v>74</v>
      </c>
      <c r="X780" s="35" t="s">
        <v>10618</v>
      </c>
      <c r="Y780" s="35" t="s">
        <v>10619</v>
      </c>
      <c r="Z780" s="35" t="s">
        <v>10620</v>
      </c>
      <c r="AA780" s="46">
        <v>46023.0</v>
      </c>
      <c r="AB780" s="46">
        <v>46387.0</v>
      </c>
      <c r="AC780" s="35" t="s">
        <v>10621</v>
      </c>
      <c r="AD780" s="35" t="s">
        <v>79</v>
      </c>
      <c r="AE780" s="219"/>
      <c r="AF780" s="52"/>
      <c r="AG780" s="46"/>
    </row>
    <row r="781" ht="44.25" customHeight="1">
      <c r="A781" s="35">
        <v>780.0</v>
      </c>
      <c r="B781" s="35" t="s">
        <v>10622</v>
      </c>
      <c r="C781" s="35" t="s">
        <v>11</v>
      </c>
      <c r="D781" s="35" t="s">
        <v>2707</v>
      </c>
      <c r="E781" s="35" t="s">
        <v>7854</v>
      </c>
      <c r="F781" s="35" t="s">
        <v>10623</v>
      </c>
      <c r="G781" s="41" t="s">
        <v>10624</v>
      </c>
      <c r="H781" s="35" t="s">
        <v>59</v>
      </c>
      <c r="I781" s="52"/>
      <c r="J781" s="35" t="s">
        <v>62</v>
      </c>
      <c r="K781" s="35" t="s">
        <v>63</v>
      </c>
      <c r="L781" s="35">
        <v>30.0</v>
      </c>
      <c r="M781" s="35" t="s">
        <v>956</v>
      </c>
      <c r="N781" s="35" t="s">
        <v>66</v>
      </c>
      <c r="O781" s="35" t="s">
        <v>67</v>
      </c>
      <c r="P781" s="35" t="s">
        <v>10625</v>
      </c>
      <c r="Q781" s="52"/>
      <c r="R781" s="35"/>
      <c r="S781" s="52"/>
      <c r="T781" s="52"/>
      <c r="U781" s="35">
        <v>0.0</v>
      </c>
      <c r="V781" s="52"/>
      <c r="W781" s="35" t="s">
        <v>74</v>
      </c>
      <c r="X781" s="35" t="s">
        <v>10626</v>
      </c>
      <c r="Y781" s="35" t="s">
        <v>10627</v>
      </c>
      <c r="Z781" s="35" t="s">
        <v>10628</v>
      </c>
      <c r="AA781" s="46">
        <v>46023.0</v>
      </c>
      <c r="AB781" s="46">
        <v>46387.0</v>
      </c>
      <c r="AC781" s="35" t="s">
        <v>10629</v>
      </c>
      <c r="AD781" s="35" t="s">
        <v>79</v>
      </c>
      <c r="AE781" s="219"/>
      <c r="AF781" s="187"/>
      <c r="AG781" s="46"/>
    </row>
    <row r="782" ht="44.25" customHeight="1">
      <c r="A782" s="35">
        <v>781.0</v>
      </c>
      <c r="B782" s="35" t="s">
        <v>10630</v>
      </c>
      <c r="C782" s="35" t="s">
        <v>11</v>
      </c>
      <c r="D782" s="35" t="s">
        <v>2707</v>
      </c>
      <c r="E782" s="35" t="s">
        <v>7854</v>
      </c>
      <c r="F782" s="35" t="s">
        <v>10631</v>
      </c>
      <c r="G782" s="41" t="s">
        <v>10632</v>
      </c>
      <c r="H782" s="35" t="s">
        <v>59</v>
      </c>
      <c r="I782" s="52"/>
      <c r="J782" s="35" t="s">
        <v>62</v>
      </c>
      <c r="K782" s="35" t="s">
        <v>111</v>
      </c>
      <c r="L782" s="35">
        <v>66.0</v>
      </c>
      <c r="M782" s="35" t="s">
        <v>10633</v>
      </c>
      <c r="N782" s="35" t="s">
        <v>66</v>
      </c>
      <c r="O782" s="35" t="s">
        <v>72</v>
      </c>
      <c r="P782" s="35" t="s">
        <v>10634</v>
      </c>
      <c r="Q782" s="52"/>
      <c r="R782" s="35"/>
      <c r="S782" s="52"/>
      <c r="T782" s="52"/>
      <c r="U782" s="35">
        <v>5.0</v>
      </c>
      <c r="V782" s="52"/>
      <c r="W782" s="35" t="s">
        <v>93</v>
      </c>
      <c r="X782" s="35" t="s">
        <v>10635</v>
      </c>
      <c r="Y782" s="35" t="s">
        <v>10636</v>
      </c>
      <c r="Z782" s="112" t="s">
        <v>10637</v>
      </c>
      <c r="AA782" s="46">
        <v>46023.0</v>
      </c>
      <c r="AB782" s="46">
        <v>46387.0</v>
      </c>
      <c r="AC782" s="35" t="s">
        <v>10638</v>
      </c>
      <c r="AD782" s="35" t="s">
        <v>79</v>
      </c>
      <c r="AE782" s="219"/>
      <c r="AF782" s="52"/>
      <c r="AG782" s="46"/>
    </row>
    <row r="783" ht="44.25" customHeight="1">
      <c r="A783" s="35">
        <v>782.0</v>
      </c>
      <c r="B783" s="35" t="s">
        <v>10639</v>
      </c>
      <c r="C783" s="35" t="s">
        <v>11</v>
      </c>
      <c r="D783" s="35" t="s">
        <v>2707</v>
      </c>
      <c r="E783" s="35" t="s">
        <v>7854</v>
      </c>
      <c r="F783" s="35" t="s">
        <v>10640</v>
      </c>
      <c r="G783" s="41" t="s">
        <v>10641</v>
      </c>
      <c r="H783" s="35" t="s">
        <v>59</v>
      </c>
      <c r="I783" s="52"/>
      <c r="J783" s="35" t="s">
        <v>62</v>
      </c>
      <c r="K783" s="35" t="s">
        <v>111</v>
      </c>
      <c r="L783" s="35">
        <v>50.0</v>
      </c>
      <c r="M783" s="35" t="s">
        <v>956</v>
      </c>
      <c r="N783" s="35" t="s">
        <v>66</v>
      </c>
      <c r="O783" s="35" t="s">
        <v>67</v>
      </c>
      <c r="P783" s="35" t="s">
        <v>10642</v>
      </c>
      <c r="Q783" s="52"/>
      <c r="R783" s="35"/>
      <c r="S783" s="52"/>
      <c r="T783" s="52"/>
      <c r="U783" s="35">
        <v>11.0</v>
      </c>
      <c r="V783" s="52"/>
      <c r="W783" s="35" t="s">
        <v>93</v>
      </c>
      <c r="X783" s="35" t="s">
        <v>10643</v>
      </c>
      <c r="Y783" s="35" t="s">
        <v>10644</v>
      </c>
      <c r="Z783" s="35" t="s">
        <v>10645</v>
      </c>
      <c r="AA783" s="46">
        <v>46023.0</v>
      </c>
      <c r="AB783" s="46">
        <v>46387.0</v>
      </c>
      <c r="AC783" s="35" t="s">
        <v>10646</v>
      </c>
      <c r="AD783" s="35" t="s">
        <v>79</v>
      </c>
      <c r="AE783" s="219"/>
      <c r="AF783" s="187"/>
      <c r="AG783" s="46"/>
    </row>
    <row r="784" ht="44.25" customHeight="1">
      <c r="A784" s="35">
        <v>783.0</v>
      </c>
      <c r="B784" s="35" t="s">
        <v>10647</v>
      </c>
      <c r="C784" s="35" t="s">
        <v>11</v>
      </c>
      <c r="D784" s="35" t="s">
        <v>2707</v>
      </c>
      <c r="E784" s="35" t="s">
        <v>7854</v>
      </c>
      <c r="F784" s="35" t="s">
        <v>10648</v>
      </c>
      <c r="G784" s="41" t="s">
        <v>10649</v>
      </c>
      <c r="H784" s="35" t="s">
        <v>59</v>
      </c>
      <c r="I784" s="52"/>
      <c r="J784" s="35" t="s">
        <v>62</v>
      </c>
      <c r="K784" s="35" t="s">
        <v>63</v>
      </c>
      <c r="L784" s="35">
        <v>50.0</v>
      </c>
      <c r="M784" s="52"/>
      <c r="N784" s="35" t="s">
        <v>66</v>
      </c>
      <c r="O784" s="35" t="s">
        <v>67</v>
      </c>
      <c r="P784" s="35" t="s">
        <v>10650</v>
      </c>
      <c r="Q784" s="52"/>
      <c r="R784" s="35"/>
      <c r="S784" s="52"/>
      <c r="T784" s="52"/>
      <c r="U784" s="35">
        <v>9.0</v>
      </c>
      <c r="V784" s="52"/>
      <c r="W784" s="35" t="s">
        <v>74</v>
      </c>
      <c r="X784" s="35" t="s">
        <v>10651</v>
      </c>
      <c r="Y784" s="35" t="s">
        <v>10652</v>
      </c>
      <c r="Z784" s="112" t="s">
        <v>10653</v>
      </c>
      <c r="AA784" s="46">
        <v>46023.0</v>
      </c>
      <c r="AB784" s="46">
        <v>46387.0</v>
      </c>
      <c r="AC784" s="35" t="s">
        <v>10654</v>
      </c>
      <c r="AD784" s="35" t="s">
        <v>79</v>
      </c>
      <c r="AE784" s="219"/>
      <c r="AF784" s="52"/>
      <c r="AG784" s="46"/>
    </row>
    <row r="785" ht="44.25" customHeight="1">
      <c r="A785" s="35">
        <v>784.0</v>
      </c>
      <c r="B785" s="35" t="s">
        <v>10655</v>
      </c>
      <c r="C785" s="35" t="s">
        <v>11</v>
      </c>
      <c r="D785" s="35" t="s">
        <v>2707</v>
      </c>
      <c r="E785" s="35" t="s">
        <v>7854</v>
      </c>
      <c r="F785" s="35" t="s">
        <v>10656</v>
      </c>
      <c r="G785" s="41" t="s">
        <v>10657</v>
      </c>
      <c r="H785" s="35" t="s">
        <v>59</v>
      </c>
      <c r="I785" s="52"/>
      <c r="J785" s="35" t="s">
        <v>62</v>
      </c>
      <c r="K785" s="35" t="s">
        <v>111</v>
      </c>
      <c r="L785" s="35">
        <v>24.0</v>
      </c>
      <c r="M785" s="35" t="s">
        <v>10658</v>
      </c>
      <c r="N785" s="35" t="s">
        <v>66</v>
      </c>
      <c r="O785" s="35" t="s">
        <v>67</v>
      </c>
      <c r="P785" s="35" t="s">
        <v>10659</v>
      </c>
      <c r="Q785" s="52"/>
      <c r="R785" s="35"/>
      <c r="S785" s="52"/>
      <c r="T785" s="52"/>
      <c r="U785" s="35">
        <v>8.0</v>
      </c>
      <c r="V785" s="52"/>
      <c r="W785" s="35" t="s">
        <v>93</v>
      </c>
      <c r="X785" s="35" t="s">
        <v>10660</v>
      </c>
      <c r="Y785" s="35" t="s">
        <v>10661</v>
      </c>
      <c r="Z785" s="35" t="s">
        <v>10662</v>
      </c>
      <c r="AA785" s="46">
        <v>46023.0</v>
      </c>
      <c r="AB785" s="46">
        <v>46387.0</v>
      </c>
      <c r="AC785" s="35" t="s">
        <v>10663</v>
      </c>
      <c r="AD785" s="35" t="s">
        <v>79</v>
      </c>
      <c r="AE785" s="219"/>
      <c r="AF785" s="187"/>
      <c r="AG785" s="46"/>
    </row>
    <row r="786" ht="44.25" customHeight="1">
      <c r="A786" s="35">
        <v>785.0</v>
      </c>
      <c r="B786" s="35" t="s">
        <v>10664</v>
      </c>
      <c r="C786" s="35" t="s">
        <v>11</v>
      </c>
      <c r="D786" s="35" t="s">
        <v>2707</v>
      </c>
      <c r="E786" s="35" t="s">
        <v>7854</v>
      </c>
      <c r="F786" s="35" t="s">
        <v>10665</v>
      </c>
      <c r="G786" s="41" t="s">
        <v>10666</v>
      </c>
      <c r="H786" s="35" t="s">
        <v>59</v>
      </c>
      <c r="I786" s="52"/>
      <c r="J786" s="35" t="s">
        <v>663</v>
      </c>
      <c r="K786" s="35" t="s">
        <v>63</v>
      </c>
      <c r="L786" s="35">
        <v>10.0</v>
      </c>
      <c r="M786" s="52"/>
      <c r="N786" s="35" t="s">
        <v>66</v>
      </c>
      <c r="O786" s="35" t="s">
        <v>67</v>
      </c>
      <c r="P786" s="35" t="s">
        <v>10461</v>
      </c>
      <c r="Q786" s="52"/>
      <c r="R786" s="35"/>
      <c r="S786" s="52"/>
      <c r="T786" s="52"/>
      <c r="U786" s="35">
        <v>0.0</v>
      </c>
      <c r="V786" s="52"/>
      <c r="W786" s="35" t="s">
        <v>74</v>
      </c>
      <c r="X786" s="35" t="s">
        <v>10667</v>
      </c>
      <c r="Y786" s="35">
        <v>2.86828751E8</v>
      </c>
      <c r="Z786" s="112" t="s">
        <v>10668</v>
      </c>
      <c r="AA786" s="46">
        <v>46023.0</v>
      </c>
      <c r="AB786" s="46">
        <v>46387.0</v>
      </c>
      <c r="AC786" s="35" t="s">
        <v>10669</v>
      </c>
      <c r="AD786" s="35" t="s">
        <v>79</v>
      </c>
      <c r="AE786" s="219"/>
      <c r="AF786" s="52"/>
      <c r="AG786" s="46"/>
    </row>
    <row r="787" ht="44.25" customHeight="1">
      <c r="A787" s="35">
        <v>786.0</v>
      </c>
      <c r="B787" s="35">
        <v>5104.0</v>
      </c>
      <c r="C787" s="35" t="s">
        <v>11</v>
      </c>
      <c r="D787" s="35" t="s">
        <v>2707</v>
      </c>
      <c r="E787" s="35" t="s">
        <v>7854</v>
      </c>
      <c r="F787" s="35" t="s">
        <v>10670</v>
      </c>
      <c r="G787" s="41" t="s">
        <v>10671</v>
      </c>
      <c r="H787" s="35" t="s">
        <v>59</v>
      </c>
      <c r="I787" s="35" t="s">
        <v>61</v>
      </c>
      <c r="J787" s="35" t="s">
        <v>62</v>
      </c>
      <c r="K787" s="35" t="s">
        <v>68</v>
      </c>
      <c r="L787" s="35">
        <v>522.0</v>
      </c>
      <c r="M787" s="35" t="s">
        <v>10672</v>
      </c>
      <c r="N787" s="35" t="s">
        <v>71</v>
      </c>
      <c r="O787" s="35" t="s">
        <v>72</v>
      </c>
      <c r="P787" s="35" t="s">
        <v>10293</v>
      </c>
      <c r="Q787" s="35"/>
      <c r="R787" s="35"/>
      <c r="S787" s="35"/>
      <c r="T787" s="35" t="s">
        <v>10294</v>
      </c>
      <c r="U787" s="35">
        <v>28.0</v>
      </c>
      <c r="V787" s="35" t="s">
        <v>6751</v>
      </c>
      <c r="W787" s="35" t="s">
        <v>93</v>
      </c>
      <c r="X787" s="35" t="s">
        <v>10673</v>
      </c>
      <c r="Y787" s="35" t="s">
        <v>10674</v>
      </c>
      <c r="Z787" s="112" t="s">
        <v>10675</v>
      </c>
      <c r="AA787" s="46">
        <v>46023.0</v>
      </c>
      <c r="AB787" s="46">
        <v>46387.0</v>
      </c>
      <c r="AC787" s="35" t="s">
        <v>10676</v>
      </c>
      <c r="AD787" s="35" t="s">
        <v>79</v>
      </c>
      <c r="AE787" s="219"/>
      <c r="AF787" s="35" t="s">
        <v>10677</v>
      </c>
      <c r="AG787" s="46"/>
    </row>
    <row r="788" ht="44.25" customHeight="1">
      <c r="A788" s="35">
        <v>787.0</v>
      </c>
      <c r="B788" s="35" t="s">
        <v>10678</v>
      </c>
      <c r="C788" s="35" t="s">
        <v>11</v>
      </c>
      <c r="D788" s="35" t="s">
        <v>2707</v>
      </c>
      <c r="E788" s="35" t="s">
        <v>7854</v>
      </c>
      <c r="F788" s="35" t="s">
        <v>10679</v>
      </c>
      <c r="G788" s="41" t="s">
        <v>10680</v>
      </c>
      <c r="H788" s="35" t="s">
        <v>59</v>
      </c>
      <c r="I788" s="52"/>
      <c r="J788" s="35" t="s">
        <v>62</v>
      </c>
      <c r="K788" s="35" t="s">
        <v>111</v>
      </c>
      <c r="L788" s="35">
        <v>100.0</v>
      </c>
      <c r="M788" s="35" t="s">
        <v>10681</v>
      </c>
      <c r="N788" s="35" t="s">
        <v>66</v>
      </c>
      <c r="O788" s="35" t="s">
        <v>67</v>
      </c>
      <c r="P788" s="35" t="s">
        <v>10682</v>
      </c>
      <c r="Q788" s="52"/>
      <c r="R788" s="35"/>
      <c r="S788" s="52"/>
      <c r="T788" s="52"/>
      <c r="U788" s="35">
        <v>0.0</v>
      </c>
      <c r="V788" s="52"/>
      <c r="W788" s="35" t="s">
        <v>93</v>
      </c>
      <c r="X788" s="35" t="s">
        <v>10683</v>
      </c>
      <c r="Y788" s="35" t="s">
        <v>10684</v>
      </c>
      <c r="Z788" s="35" t="s">
        <v>10685</v>
      </c>
      <c r="AA788" s="46">
        <v>46023.0</v>
      </c>
      <c r="AB788" s="46">
        <v>46387.0</v>
      </c>
      <c r="AC788" s="35" t="s">
        <v>10686</v>
      </c>
      <c r="AD788" s="35" t="s">
        <v>79</v>
      </c>
      <c r="AE788" s="219"/>
      <c r="AF788" s="187"/>
      <c r="AG788" s="46"/>
    </row>
    <row r="789" ht="44.25" customHeight="1">
      <c r="A789" s="35">
        <v>788.0</v>
      </c>
      <c r="B789" s="35" t="s">
        <v>10687</v>
      </c>
      <c r="C789" s="35" t="s">
        <v>11</v>
      </c>
      <c r="D789" s="35" t="s">
        <v>2707</v>
      </c>
      <c r="E789" s="35" t="s">
        <v>10688</v>
      </c>
      <c r="F789" s="35" t="s">
        <v>10689</v>
      </c>
      <c r="G789" s="41" t="s">
        <v>10690</v>
      </c>
      <c r="H789" s="35" t="s">
        <v>59</v>
      </c>
      <c r="I789" s="52"/>
      <c r="J789" s="35" t="s">
        <v>62</v>
      </c>
      <c r="K789" s="35" t="s">
        <v>111</v>
      </c>
      <c r="L789" s="35">
        <v>58.0</v>
      </c>
      <c r="M789" s="35" t="s">
        <v>10691</v>
      </c>
      <c r="N789" s="35" t="s">
        <v>71</v>
      </c>
      <c r="O789" s="35" t="s">
        <v>67</v>
      </c>
      <c r="P789" s="35" t="s">
        <v>10692</v>
      </c>
      <c r="Q789" s="52"/>
      <c r="R789" s="35"/>
      <c r="S789" s="52"/>
      <c r="T789" s="52"/>
      <c r="U789" s="35">
        <v>10.0</v>
      </c>
      <c r="V789" s="52"/>
      <c r="W789" s="35" t="s">
        <v>93</v>
      </c>
      <c r="X789" s="35" t="s">
        <v>10693</v>
      </c>
      <c r="Y789" s="35" t="s">
        <v>10694</v>
      </c>
      <c r="Z789" s="35" t="s">
        <v>10695</v>
      </c>
      <c r="AA789" s="46">
        <v>46023.0</v>
      </c>
      <c r="AB789" s="46">
        <v>46387.0</v>
      </c>
      <c r="AC789" s="35" t="s">
        <v>10696</v>
      </c>
      <c r="AD789" s="35" t="s">
        <v>79</v>
      </c>
      <c r="AE789" s="219"/>
      <c r="AF789" s="35" t="s">
        <v>10697</v>
      </c>
      <c r="AG789" s="46"/>
    </row>
    <row r="790" ht="44.25" customHeight="1">
      <c r="A790" s="35">
        <v>789.0</v>
      </c>
      <c r="B790" s="35" t="s">
        <v>10698</v>
      </c>
      <c r="C790" s="35" t="s">
        <v>11</v>
      </c>
      <c r="D790" s="35" t="s">
        <v>2707</v>
      </c>
      <c r="E790" s="35" t="s">
        <v>3419</v>
      </c>
      <c r="F790" s="35" t="s">
        <v>10699</v>
      </c>
      <c r="G790" s="41" t="s">
        <v>10700</v>
      </c>
      <c r="H790" s="35" t="s">
        <v>59</v>
      </c>
      <c r="I790" s="52"/>
      <c r="J790" s="35" t="s">
        <v>62</v>
      </c>
      <c r="K790" s="35" t="s">
        <v>111</v>
      </c>
      <c r="L790" s="35">
        <v>100.0</v>
      </c>
      <c r="M790" s="35" t="s">
        <v>10701</v>
      </c>
      <c r="N790" s="35" t="s">
        <v>66</v>
      </c>
      <c r="O790" s="35" t="s">
        <v>67</v>
      </c>
      <c r="P790" s="35" t="s">
        <v>10702</v>
      </c>
      <c r="Q790" s="52"/>
      <c r="R790" s="35"/>
      <c r="S790" s="52"/>
      <c r="T790" s="52"/>
      <c r="U790" s="35">
        <v>7.0</v>
      </c>
      <c r="V790" s="52"/>
      <c r="W790" s="35" t="s">
        <v>93</v>
      </c>
      <c r="X790" s="35" t="s">
        <v>10703</v>
      </c>
      <c r="Y790" s="35" t="s">
        <v>10704</v>
      </c>
      <c r="Z790" s="35" t="s">
        <v>10705</v>
      </c>
      <c r="AA790" s="46">
        <v>46023.0</v>
      </c>
      <c r="AB790" s="46">
        <v>46387.0</v>
      </c>
      <c r="AC790" s="35" t="s">
        <v>10706</v>
      </c>
      <c r="AD790" s="35" t="s">
        <v>79</v>
      </c>
      <c r="AE790" s="219"/>
      <c r="AF790" s="52"/>
      <c r="AG790" s="46"/>
    </row>
    <row r="791" ht="44.25" customHeight="1">
      <c r="A791" s="35">
        <v>790.0</v>
      </c>
      <c r="B791" s="35" t="s">
        <v>10707</v>
      </c>
      <c r="C791" s="35" t="s">
        <v>11</v>
      </c>
      <c r="D791" s="35" t="s">
        <v>2707</v>
      </c>
      <c r="E791" s="35" t="s">
        <v>3419</v>
      </c>
      <c r="F791" s="35" t="s">
        <v>10708</v>
      </c>
      <c r="G791" s="41" t="s">
        <v>10709</v>
      </c>
      <c r="H791" s="35" t="s">
        <v>59</v>
      </c>
      <c r="I791" s="52"/>
      <c r="J791" s="35" t="s">
        <v>62</v>
      </c>
      <c r="K791" s="35" t="s">
        <v>111</v>
      </c>
      <c r="L791" s="35">
        <v>80.0</v>
      </c>
      <c r="M791" s="35" t="s">
        <v>10710</v>
      </c>
      <c r="N791" s="35" t="s">
        <v>66</v>
      </c>
      <c r="O791" s="35" t="s">
        <v>67</v>
      </c>
      <c r="P791" s="35" t="s">
        <v>10711</v>
      </c>
      <c r="Q791" s="52"/>
      <c r="R791" s="35"/>
      <c r="S791" s="52"/>
      <c r="T791" s="52"/>
      <c r="U791" s="35">
        <v>11.0</v>
      </c>
      <c r="V791" s="52"/>
      <c r="W791" s="35" t="s">
        <v>93</v>
      </c>
      <c r="X791" s="35" t="s">
        <v>10712</v>
      </c>
      <c r="Y791" s="35" t="s">
        <v>10713</v>
      </c>
      <c r="Z791" s="35" t="s">
        <v>10714</v>
      </c>
      <c r="AA791" s="46">
        <v>46023.0</v>
      </c>
      <c r="AB791" s="46">
        <v>46387.0</v>
      </c>
      <c r="AC791" s="35" t="s">
        <v>10715</v>
      </c>
      <c r="AD791" s="35" t="s">
        <v>79</v>
      </c>
      <c r="AE791" s="219"/>
      <c r="AF791" s="187"/>
      <c r="AG791" s="46"/>
    </row>
    <row r="792" ht="44.25" customHeight="1">
      <c r="A792" s="35">
        <v>791.0</v>
      </c>
      <c r="B792" s="35" t="s">
        <v>10716</v>
      </c>
      <c r="C792" s="35" t="s">
        <v>11</v>
      </c>
      <c r="D792" s="35" t="s">
        <v>2707</v>
      </c>
      <c r="E792" s="35" t="s">
        <v>3419</v>
      </c>
      <c r="F792" s="35" t="s">
        <v>10717</v>
      </c>
      <c r="G792" s="41" t="s">
        <v>10718</v>
      </c>
      <c r="H792" s="35" t="s">
        <v>59</v>
      </c>
      <c r="I792" s="52"/>
      <c r="J792" s="35" t="s">
        <v>62</v>
      </c>
      <c r="K792" s="35" t="s">
        <v>63</v>
      </c>
      <c r="L792" s="35">
        <v>35.0</v>
      </c>
      <c r="M792" s="52"/>
      <c r="N792" s="35" t="s">
        <v>66</v>
      </c>
      <c r="O792" s="35" t="s">
        <v>67</v>
      </c>
      <c r="P792" s="35" t="s">
        <v>10719</v>
      </c>
      <c r="Q792" s="52"/>
      <c r="R792" s="35"/>
      <c r="S792" s="52"/>
      <c r="T792" s="52"/>
      <c r="U792" s="35">
        <v>0.0</v>
      </c>
      <c r="V792" s="52"/>
      <c r="W792" s="35" t="s">
        <v>74</v>
      </c>
      <c r="X792" s="35" t="s">
        <v>10720</v>
      </c>
      <c r="Y792" s="35">
        <v>8.9610328E7</v>
      </c>
      <c r="Z792" s="35" t="s">
        <v>10721</v>
      </c>
      <c r="AA792" s="46">
        <v>46023.0</v>
      </c>
      <c r="AB792" s="46">
        <v>46387.0</v>
      </c>
      <c r="AC792" s="35" t="s">
        <v>10722</v>
      </c>
      <c r="AD792" s="35" t="s">
        <v>79</v>
      </c>
      <c r="AE792" s="219"/>
      <c r="AF792" s="52"/>
      <c r="AG792" s="46"/>
    </row>
    <row r="793" ht="44.25" customHeight="1">
      <c r="A793" s="35">
        <v>792.0</v>
      </c>
      <c r="B793" s="35">
        <v>4515.0</v>
      </c>
      <c r="C793" s="35" t="s">
        <v>11</v>
      </c>
      <c r="D793" s="35" t="s">
        <v>2707</v>
      </c>
      <c r="E793" s="35" t="s">
        <v>3419</v>
      </c>
      <c r="F793" s="35" t="s">
        <v>10724</v>
      </c>
      <c r="G793" s="41" t="s">
        <v>10725</v>
      </c>
      <c r="H793" s="35" t="s">
        <v>59</v>
      </c>
      <c r="I793" s="35" t="s">
        <v>61</v>
      </c>
      <c r="J793" s="35" t="s">
        <v>62</v>
      </c>
      <c r="K793" s="35" t="s">
        <v>68</v>
      </c>
      <c r="L793" s="35">
        <v>200.0</v>
      </c>
      <c r="M793" s="35" t="s">
        <v>10726</v>
      </c>
      <c r="N793" s="35" t="s">
        <v>71</v>
      </c>
      <c r="O793" s="35" t="s">
        <v>72</v>
      </c>
      <c r="P793" s="35" t="s">
        <v>10727</v>
      </c>
      <c r="Q793" s="35"/>
      <c r="R793" s="35"/>
      <c r="S793" s="52"/>
      <c r="T793" s="35" t="s">
        <v>10728</v>
      </c>
      <c r="U793" s="35">
        <v>4.0</v>
      </c>
      <c r="V793" s="52"/>
      <c r="W793" s="35" t="s">
        <v>93</v>
      </c>
      <c r="X793" s="35" t="s">
        <v>10729</v>
      </c>
      <c r="Y793" s="35" t="s">
        <v>10730</v>
      </c>
      <c r="Z793" s="35" t="s">
        <v>10731</v>
      </c>
      <c r="AA793" s="46">
        <v>46023.0</v>
      </c>
      <c r="AB793" s="46">
        <v>46387.0</v>
      </c>
      <c r="AC793" s="35" t="s">
        <v>10732</v>
      </c>
      <c r="AD793" s="35" t="s">
        <v>79</v>
      </c>
      <c r="AE793" s="219"/>
      <c r="AF793" s="52"/>
      <c r="AG793" s="46"/>
    </row>
    <row r="794" ht="44.25" customHeight="1">
      <c r="A794" s="35">
        <v>793.0</v>
      </c>
      <c r="B794" s="35" t="s">
        <v>10733</v>
      </c>
      <c r="C794" s="35" t="s">
        <v>11</v>
      </c>
      <c r="D794" s="35" t="s">
        <v>2707</v>
      </c>
      <c r="E794" s="35" t="s">
        <v>3419</v>
      </c>
      <c r="F794" s="35" t="s">
        <v>10734</v>
      </c>
      <c r="G794" s="41" t="s">
        <v>10735</v>
      </c>
      <c r="H794" s="35" t="s">
        <v>59</v>
      </c>
      <c r="I794" s="52"/>
      <c r="J794" s="35" t="s">
        <v>62</v>
      </c>
      <c r="K794" s="35" t="s">
        <v>111</v>
      </c>
      <c r="L794" s="35">
        <v>145.0</v>
      </c>
      <c r="M794" s="35" t="s">
        <v>10737</v>
      </c>
      <c r="N794" s="35" t="s">
        <v>66</v>
      </c>
      <c r="O794" s="35" t="s">
        <v>67</v>
      </c>
      <c r="P794" s="35" t="s">
        <v>10738</v>
      </c>
      <c r="Q794" s="52"/>
      <c r="R794" s="35"/>
      <c r="S794" s="52"/>
      <c r="T794" s="52"/>
      <c r="U794" s="35">
        <v>18.0</v>
      </c>
      <c r="V794" s="52"/>
      <c r="W794" s="35" t="s">
        <v>93</v>
      </c>
      <c r="X794" s="35" t="s">
        <v>10739</v>
      </c>
      <c r="Y794" s="35" t="s">
        <v>10740</v>
      </c>
      <c r="Z794" s="35" t="s">
        <v>10741</v>
      </c>
      <c r="AA794" s="46">
        <v>46023.0</v>
      </c>
      <c r="AB794" s="46">
        <v>46387.0</v>
      </c>
      <c r="AC794" s="35" t="s">
        <v>10742</v>
      </c>
      <c r="AD794" s="35" t="s">
        <v>79</v>
      </c>
      <c r="AE794" s="219"/>
      <c r="AF794" s="187"/>
      <c r="AG794" s="46"/>
    </row>
    <row r="795" ht="44.25" customHeight="1">
      <c r="A795" s="35">
        <v>794.0</v>
      </c>
      <c r="B795" s="35">
        <v>3191.0</v>
      </c>
      <c r="C795" s="35" t="s">
        <v>11</v>
      </c>
      <c r="D795" s="35" t="s">
        <v>2707</v>
      </c>
      <c r="E795" s="35" t="s">
        <v>3419</v>
      </c>
      <c r="F795" s="35" t="s">
        <v>10743</v>
      </c>
      <c r="G795" s="41" t="s">
        <v>10744</v>
      </c>
      <c r="H795" s="35" t="s">
        <v>59</v>
      </c>
      <c r="I795" s="35" t="s">
        <v>61</v>
      </c>
      <c r="J795" s="35" t="s">
        <v>62</v>
      </c>
      <c r="K795" s="35" t="s">
        <v>68</v>
      </c>
      <c r="L795" s="35">
        <v>150.0</v>
      </c>
      <c r="M795" s="35" t="s">
        <v>10745</v>
      </c>
      <c r="N795" s="35" t="s">
        <v>71</v>
      </c>
      <c r="O795" s="35" t="s">
        <v>72</v>
      </c>
      <c r="P795" s="35" t="s">
        <v>10746</v>
      </c>
      <c r="Q795" s="52"/>
      <c r="R795" s="35"/>
      <c r="S795" s="52"/>
      <c r="T795" s="52"/>
      <c r="U795" s="35">
        <v>17.0</v>
      </c>
      <c r="V795" s="52"/>
      <c r="W795" s="35" t="s">
        <v>93</v>
      </c>
      <c r="X795" s="35" t="s">
        <v>10747</v>
      </c>
      <c r="Y795" s="35">
        <v>8.8935762E7</v>
      </c>
      <c r="Z795" s="35" t="s">
        <v>10748</v>
      </c>
      <c r="AA795" s="46">
        <v>46023.0</v>
      </c>
      <c r="AB795" s="46">
        <v>46387.0</v>
      </c>
      <c r="AC795" s="35" t="s">
        <v>10749</v>
      </c>
      <c r="AD795" s="35" t="s">
        <v>79</v>
      </c>
      <c r="AE795" s="219"/>
      <c r="AF795" s="52"/>
      <c r="AG795" s="46"/>
    </row>
    <row r="796" ht="44.25" customHeight="1">
      <c r="A796" s="35">
        <v>795.0</v>
      </c>
      <c r="B796" s="35" t="s">
        <v>10750</v>
      </c>
      <c r="C796" s="35" t="s">
        <v>11</v>
      </c>
      <c r="D796" s="35" t="s">
        <v>2707</v>
      </c>
      <c r="E796" s="35" t="s">
        <v>3419</v>
      </c>
      <c r="F796" s="35" t="s">
        <v>10752</v>
      </c>
      <c r="G796" s="41" t="s">
        <v>10753</v>
      </c>
      <c r="H796" s="35" t="s">
        <v>59</v>
      </c>
      <c r="I796" s="52"/>
      <c r="J796" s="35" t="s">
        <v>62</v>
      </c>
      <c r="K796" s="35" t="s">
        <v>111</v>
      </c>
      <c r="L796" s="35">
        <v>130.0</v>
      </c>
      <c r="M796" s="35" t="s">
        <v>10754</v>
      </c>
      <c r="N796" s="35" t="s">
        <v>71</v>
      </c>
      <c r="O796" s="35" t="s">
        <v>67</v>
      </c>
      <c r="P796" s="35" t="s">
        <v>10755</v>
      </c>
      <c r="Q796" s="52"/>
      <c r="R796" s="35"/>
      <c r="S796" s="52"/>
      <c r="T796" s="52"/>
      <c r="U796" s="35">
        <v>9.0</v>
      </c>
      <c r="V796" s="52"/>
      <c r="W796" s="35" t="s">
        <v>93</v>
      </c>
      <c r="X796" s="35" t="s">
        <v>10756</v>
      </c>
      <c r="Y796" s="35" t="s">
        <v>10757</v>
      </c>
      <c r="Z796" s="35" t="s">
        <v>10758</v>
      </c>
      <c r="AA796" s="46">
        <v>46023.0</v>
      </c>
      <c r="AB796" s="46">
        <v>46387.0</v>
      </c>
      <c r="AC796" s="35" t="s">
        <v>10759</v>
      </c>
      <c r="AD796" s="35" t="s">
        <v>79</v>
      </c>
      <c r="AE796" s="219"/>
      <c r="AF796" s="52"/>
      <c r="AG796" s="46"/>
    </row>
    <row r="797" ht="44.25" customHeight="1">
      <c r="A797" s="35">
        <v>796.0</v>
      </c>
      <c r="B797" s="35" t="s">
        <v>10760</v>
      </c>
      <c r="C797" s="35" t="s">
        <v>11</v>
      </c>
      <c r="D797" s="35" t="s">
        <v>2707</v>
      </c>
      <c r="E797" s="35" t="s">
        <v>3419</v>
      </c>
      <c r="F797" s="35" t="s">
        <v>10761</v>
      </c>
      <c r="G797" s="41" t="s">
        <v>10762</v>
      </c>
      <c r="H797" s="35" t="s">
        <v>59</v>
      </c>
      <c r="I797" s="52"/>
      <c r="J797" s="35" t="s">
        <v>62</v>
      </c>
      <c r="K797" s="35" t="s">
        <v>111</v>
      </c>
      <c r="L797" s="35">
        <v>60.0</v>
      </c>
      <c r="M797" s="35" t="s">
        <v>10763</v>
      </c>
      <c r="N797" s="35" t="s">
        <v>66</v>
      </c>
      <c r="O797" s="35" t="s">
        <v>67</v>
      </c>
      <c r="P797" s="35" t="s">
        <v>10764</v>
      </c>
      <c r="Q797" s="52"/>
      <c r="R797" s="35"/>
      <c r="S797" s="52"/>
      <c r="T797" s="52"/>
      <c r="U797" s="35">
        <v>16.0</v>
      </c>
      <c r="V797" s="52"/>
      <c r="W797" s="35" t="s">
        <v>93</v>
      </c>
      <c r="X797" s="35" t="s">
        <v>10765</v>
      </c>
      <c r="Y797" s="35">
        <v>8.7120845E7</v>
      </c>
      <c r="Z797" s="112" t="s">
        <v>10766</v>
      </c>
      <c r="AA797" s="46">
        <v>46023.0</v>
      </c>
      <c r="AB797" s="46">
        <v>46387.0</v>
      </c>
      <c r="AC797" s="35" t="s">
        <v>10767</v>
      </c>
      <c r="AD797" s="35" t="s">
        <v>79</v>
      </c>
      <c r="AE797" s="219"/>
      <c r="AF797" s="35" t="s">
        <v>10768</v>
      </c>
      <c r="AG797" s="46"/>
    </row>
    <row r="798" ht="44.25" customHeight="1">
      <c r="A798" s="35">
        <v>797.0</v>
      </c>
      <c r="B798" s="35" t="s">
        <v>10769</v>
      </c>
      <c r="C798" s="35" t="s">
        <v>11</v>
      </c>
      <c r="D798" s="35" t="s">
        <v>2707</v>
      </c>
      <c r="E798" s="35" t="s">
        <v>3419</v>
      </c>
      <c r="F798" s="35" t="s">
        <v>10770</v>
      </c>
      <c r="G798" s="41" t="s">
        <v>10771</v>
      </c>
      <c r="H798" s="35" t="s">
        <v>59</v>
      </c>
      <c r="I798" s="52"/>
      <c r="J798" s="35" t="s">
        <v>62</v>
      </c>
      <c r="K798" s="35" t="s">
        <v>111</v>
      </c>
      <c r="L798" s="35">
        <v>65.0</v>
      </c>
      <c r="M798" s="35" t="s">
        <v>10772</v>
      </c>
      <c r="N798" s="35" t="s">
        <v>221</v>
      </c>
      <c r="O798" s="35" t="s">
        <v>67</v>
      </c>
      <c r="P798" s="35" t="s">
        <v>10773</v>
      </c>
      <c r="Q798" s="52"/>
      <c r="R798" s="35"/>
      <c r="S798" s="52"/>
      <c r="T798" s="52"/>
      <c r="U798" s="35">
        <v>0.0</v>
      </c>
      <c r="V798" s="52"/>
      <c r="W798" s="35" t="s">
        <v>93</v>
      </c>
      <c r="X798" s="35" t="s">
        <v>10774</v>
      </c>
      <c r="Y798" s="35">
        <v>8.9244051E7</v>
      </c>
      <c r="Z798" s="35" t="s">
        <v>10775</v>
      </c>
      <c r="AA798" s="46">
        <v>46023.0</v>
      </c>
      <c r="AB798" s="46">
        <v>46387.0</v>
      </c>
      <c r="AC798" s="35" t="s">
        <v>10776</v>
      </c>
      <c r="AD798" s="35" t="s">
        <v>79</v>
      </c>
      <c r="AE798" s="219"/>
      <c r="AF798" s="187"/>
      <c r="AG798" s="46"/>
    </row>
    <row r="799" ht="44.25" customHeight="1">
      <c r="A799" s="35">
        <v>798.0</v>
      </c>
      <c r="B799" s="35" t="s">
        <v>10777</v>
      </c>
      <c r="C799" s="35" t="s">
        <v>11</v>
      </c>
      <c r="D799" s="35" t="s">
        <v>2707</v>
      </c>
      <c r="E799" s="35" t="s">
        <v>3419</v>
      </c>
      <c r="F799" s="35" t="s">
        <v>10778</v>
      </c>
      <c r="G799" s="41" t="s">
        <v>10779</v>
      </c>
      <c r="H799" s="35" t="s">
        <v>59</v>
      </c>
      <c r="I799" s="52"/>
      <c r="J799" s="35" t="s">
        <v>62</v>
      </c>
      <c r="K799" s="35" t="s">
        <v>63</v>
      </c>
      <c r="L799" s="35">
        <v>25.0</v>
      </c>
      <c r="M799" s="52"/>
      <c r="N799" s="35" t="s">
        <v>66</v>
      </c>
      <c r="O799" s="35" t="s">
        <v>67</v>
      </c>
      <c r="P799" s="35" t="s">
        <v>10780</v>
      </c>
      <c r="Q799" s="52"/>
      <c r="R799" s="35"/>
      <c r="S799" s="52"/>
      <c r="T799" s="52"/>
      <c r="U799" s="35">
        <v>0.0</v>
      </c>
      <c r="V799" s="52"/>
      <c r="W799" s="35" t="s">
        <v>74</v>
      </c>
      <c r="X799" s="35" t="s">
        <v>10781</v>
      </c>
      <c r="Y799" s="35">
        <v>8.9276628E7</v>
      </c>
      <c r="Z799" s="35" t="s">
        <v>10782</v>
      </c>
      <c r="AA799" s="46">
        <v>46023.0</v>
      </c>
      <c r="AB799" s="46">
        <v>46387.0</v>
      </c>
      <c r="AC799" s="35" t="s">
        <v>10783</v>
      </c>
      <c r="AD799" s="35" t="s">
        <v>79</v>
      </c>
      <c r="AE799" s="219"/>
      <c r="AF799" s="52"/>
      <c r="AG799" s="46"/>
    </row>
    <row r="800" ht="44.25" customHeight="1">
      <c r="A800" s="35">
        <v>799.0</v>
      </c>
      <c r="B800" s="35" t="s">
        <v>10785</v>
      </c>
      <c r="C800" s="35" t="s">
        <v>11</v>
      </c>
      <c r="D800" s="35" t="s">
        <v>2707</v>
      </c>
      <c r="E800" s="35" t="s">
        <v>3419</v>
      </c>
      <c r="F800" s="35" t="s">
        <v>10787</v>
      </c>
      <c r="G800" s="41" t="s">
        <v>10788</v>
      </c>
      <c r="H800" s="35" t="s">
        <v>59</v>
      </c>
      <c r="I800" s="52"/>
      <c r="J800" s="35" t="s">
        <v>62</v>
      </c>
      <c r="K800" s="35" t="s">
        <v>111</v>
      </c>
      <c r="L800" s="35">
        <v>100.0</v>
      </c>
      <c r="M800" s="35" t="s">
        <v>10790</v>
      </c>
      <c r="N800" s="35" t="s">
        <v>71</v>
      </c>
      <c r="O800" s="35" t="s">
        <v>67</v>
      </c>
      <c r="P800" s="35" t="s">
        <v>10791</v>
      </c>
      <c r="Q800" s="52"/>
      <c r="R800" s="35"/>
      <c r="S800" s="52"/>
      <c r="T800" s="52"/>
      <c r="U800" s="35">
        <v>15.0</v>
      </c>
      <c r="V800" s="52"/>
      <c r="W800" s="35" t="s">
        <v>93</v>
      </c>
      <c r="X800" s="35" t="s">
        <v>10792</v>
      </c>
      <c r="Y800" s="35" t="s">
        <v>10793</v>
      </c>
      <c r="Z800" s="35" t="s">
        <v>10794</v>
      </c>
      <c r="AA800" s="46">
        <v>46023.0</v>
      </c>
      <c r="AB800" s="46">
        <v>46387.0</v>
      </c>
      <c r="AC800" s="35" t="s">
        <v>10795</v>
      </c>
      <c r="AD800" s="35" t="s">
        <v>79</v>
      </c>
      <c r="AE800" s="219"/>
      <c r="AF800" s="187"/>
      <c r="AG800" s="46"/>
    </row>
    <row r="801" ht="44.25" customHeight="1">
      <c r="A801" s="35">
        <v>800.0</v>
      </c>
      <c r="B801" s="35" t="s">
        <v>10796</v>
      </c>
      <c r="C801" s="35" t="s">
        <v>11</v>
      </c>
      <c r="D801" s="35" t="s">
        <v>2707</v>
      </c>
      <c r="E801" s="35" t="s">
        <v>3419</v>
      </c>
      <c r="F801" s="35" t="s">
        <v>10799</v>
      </c>
      <c r="G801" s="41" t="s">
        <v>10800</v>
      </c>
      <c r="H801" s="35" t="s">
        <v>59</v>
      </c>
      <c r="I801" s="52"/>
      <c r="J801" s="35" t="s">
        <v>62</v>
      </c>
      <c r="K801" s="35" t="s">
        <v>63</v>
      </c>
      <c r="L801" s="35">
        <v>30.0</v>
      </c>
      <c r="M801" s="52"/>
      <c r="N801" s="35" t="s">
        <v>66</v>
      </c>
      <c r="O801" s="35" t="s">
        <v>67</v>
      </c>
      <c r="P801" s="35" t="s">
        <v>10167</v>
      </c>
      <c r="Q801" s="52"/>
      <c r="R801" s="35"/>
      <c r="S801" s="52"/>
      <c r="T801" s="52"/>
      <c r="U801" s="35">
        <v>0.0</v>
      </c>
      <c r="V801" s="52"/>
      <c r="W801" s="35" t="s">
        <v>74</v>
      </c>
      <c r="X801" s="35" t="s">
        <v>10801</v>
      </c>
      <c r="Y801" s="35" t="s">
        <v>10802</v>
      </c>
      <c r="Z801" s="35" t="s">
        <v>10804</v>
      </c>
      <c r="AA801" s="46">
        <v>46023.0</v>
      </c>
      <c r="AB801" s="46">
        <v>46387.0</v>
      </c>
      <c r="AC801" s="35" t="s">
        <v>10805</v>
      </c>
      <c r="AD801" s="35" t="s">
        <v>79</v>
      </c>
      <c r="AE801" s="219"/>
      <c r="AF801" s="52"/>
      <c r="AG801" s="46"/>
    </row>
    <row r="802" ht="44.25" customHeight="1">
      <c r="A802" s="35">
        <v>801.0</v>
      </c>
      <c r="B802" s="35" t="s">
        <v>10806</v>
      </c>
      <c r="C802" s="35" t="s">
        <v>11</v>
      </c>
      <c r="D802" s="35" t="s">
        <v>2707</v>
      </c>
      <c r="E802" s="35" t="s">
        <v>3419</v>
      </c>
      <c r="F802" s="35" t="s">
        <v>10807</v>
      </c>
      <c r="G802" s="41" t="s">
        <v>10808</v>
      </c>
      <c r="H802" s="35" t="s">
        <v>59</v>
      </c>
      <c r="I802" s="52"/>
      <c r="J802" s="35" t="s">
        <v>62</v>
      </c>
      <c r="K802" s="35" t="s">
        <v>63</v>
      </c>
      <c r="L802" s="35">
        <v>46.0</v>
      </c>
      <c r="M802" s="35" t="s">
        <v>10809</v>
      </c>
      <c r="N802" s="35" t="s">
        <v>66</v>
      </c>
      <c r="O802" s="35" t="s">
        <v>67</v>
      </c>
      <c r="P802" s="35" t="s">
        <v>10167</v>
      </c>
      <c r="Q802" s="52"/>
      <c r="R802" s="35"/>
      <c r="S802" s="52"/>
      <c r="T802" s="52"/>
      <c r="U802" s="35">
        <v>0.0</v>
      </c>
      <c r="V802" s="52"/>
      <c r="W802" s="35" t="s">
        <v>74</v>
      </c>
      <c r="X802" s="35" t="s">
        <v>10810</v>
      </c>
      <c r="Y802" s="35">
        <v>8.9328517E7</v>
      </c>
      <c r="Z802" s="35" t="s">
        <v>10811</v>
      </c>
      <c r="AA802" s="46">
        <v>46023.0</v>
      </c>
      <c r="AB802" s="46">
        <v>46387.0</v>
      </c>
      <c r="AC802" s="35" t="s">
        <v>10812</v>
      </c>
      <c r="AD802" s="35" t="s">
        <v>79</v>
      </c>
      <c r="AE802" s="219"/>
      <c r="AF802" s="52"/>
      <c r="AG802" s="46"/>
    </row>
    <row r="803" ht="44.25" customHeight="1">
      <c r="A803" s="35">
        <v>802.0</v>
      </c>
      <c r="B803" s="35">
        <v>2407.0</v>
      </c>
      <c r="C803" s="35" t="s">
        <v>11</v>
      </c>
      <c r="D803" s="35" t="s">
        <v>2707</v>
      </c>
      <c r="E803" s="35" t="s">
        <v>3419</v>
      </c>
      <c r="F803" s="35" t="s">
        <v>10813</v>
      </c>
      <c r="G803" s="41" t="s">
        <v>10814</v>
      </c>
      <c r="H803" s="35" t="s">
        <v>59</v>
      </c>
      <c r="I803" s="35" t="s">
        <v>61</v>
      </c>
      <c r="J803" s="35" t="s">
        <v>62</v>
      </c>
      <c r="K803" s="35" t="s">
        <v>68</v>
      </c>
      <c r="L803" s="35">
        <v>300.0</v>
      </c>
      <c r="M803" s="35" t="s">
        <v>10815</v>
      </c>
      <c r="N803" s="35" t="s">
        <v>71</v>
      </c>
      <c r="O803" s="35" t="s">
        <v>72</v>
      </c>
      <c r="P803" s="35" t="s">
        <v>1180</v>
      </c>
      <c r="Q803" s="52"/>
      <c r="R803" s="35"/>
      <c r="S803" s="52"/>
      <c r="T803" s="52"/>
      <c r="U803" s="35">
        <v>29.0</v>
      </c>
      <c r="V803" s="52"/>
      <c r="W803" s="35" t="s">
        <v>93</v>
      </c>
      <c r="X803" s="35" t="s">
        <v>10816</v>
      </c>
      <c r="Y803" s="35" t="s">
        <v>10817</v>
      </c>
      <c r="Z803" s="35" t="s">
        <v>10818</v>
      </c>
      <c r="AA803" s="46">
        <v>46023.0</v>
      </c>
      <c r="AB803" s="46">
        <v>46387.0</v>
      </c>
      <c r="AC803" s="35" t="s">
        <v>10819</v>
      </c>
      <c r="AD803" s="35" t="s">
        <v>79</v>
      </c>
      <c r="AE803" s="219"/>
      <c r="AF803" s="35" t="s">
        <v>10820</v>
      </c>
      <c r="AG803" s="46"/>
    </row>
    <row r="804" ht="44.25" customHeight="1">
      <c r="A804" s="35">
        <v>803.0</v>
      </c>
      <c r="B804" s="35" t="s">
        <v>10821</v>
      </c>
      <c r="C804" s="35" t="s">
        <v>11</v>
      </c>
      <c r="D804" s="35" t="s">
        <v>2707</v>
      </c>
      <c r="E804" s="35" t="s">
        <v>3419</v>
      </c>
      <c r="F804" s="35" t="s">
        <v>10822</v>
      </c>
      <c r="G804" s="41" t="s">
        <v>10823</v>
      </c>
      <c r="H804" s="35" t="s">
        <v>59</v>
      </c>
      <c r="I804" s="52"/>
      <c r="J804" s="35" t="s">
        <v>62</v>
      </c>
      <c r="K804" s="35" t="s">
        <v>111</v>
      </c>
      <c r="L804" s="35">
        <v>80.0</v>
      </c>
      <c r="M804" s="35" t="s">
        <v>10824</v>
      </c>
      <c r="N804" s="35" t="s">
        <v>71</v>
      </c>
      <c r="O804" s="35" t="s">
        <v>67</v>
      </c>
      <c r="P804" s="35" t="s">
        <v>10825</v>
      </c>
      <c r="Q804" s="52"/>
      <c r="R804" s="35"/>
      <c r="S804" s="52"/>
      <c r="T804" s="52"/>
      <c r="U804" s="35">
        <v>12.0</v>
      </c>
      <c r="V804" s="52"/>
      <c r="W804" s="35" t="s">
        <v>93</v>
      </c>
      <c r="X804" s="35" t="s">
        <v>10826</v>
      </c>
      <c r="Y804" s="35" t="s">
        <v>10827</v>
      </c>
      <c r="Z804" s="35" t="s">
        <v>10828</v>
      </c>
      <c r="AA804" s="46">
        <v>46023.0</v>
      </c>
      <c r="AB804" s="46">
        <v>46387.0</v>
      </c>
      <c r="AC804" s="35" t="s">
        <v>10829</v>
      </c>
      <c r="AD804" s="35" t="s">
        <v>79</v>
      </c>
      <c r="AE804" s="219"/>
      <c r="AF804" s="52"/>
      <c r="AG804" s="46"/>
    </row>
    <row r="805" ht="44.25" customHeight="1">
      <c r="A805" s="35">
        <v>804.0</v>
      </c>
      <c r="B805" s="35" t="s">
        <v>10830</v>
      </c>
      <c r="C805" s="35" t="s">
        <v>11</v>
      </c>
      <c r="D805" s="35" t="s">
        <v>2707</v>
      </c>
      <c r="E805" s="35" t="s">
        <v>3419</v>
      </c>
      <c r="F805" s="35" t="s">
        <v>10831</v>
      </c>
      <c r="G805" s="41" t="s">
        <v>10832</v>
      </c>
      <c r="H805" s="35" t="s">
        <v>59</v>
      </c>
      <c r="I805" s="52"/>
      <c r="J805" s="35" t="s">
        <v>62</v>
      </c>
      <c r="K805" s="35" t="s">
        <v>111</v>
      </c>
      <c r="L805" s="35">
        <v>60.0</v>
      </c>
      <c r="M805" s="35" t="s">
        <v>10301</v>
      </c>
      <c r="N805" s="35" t="s">
        <v>66</v>
      </c>
      <c r="O805" s="35" t="s">
        <v>67</v>
      </c>
      <c r="P805" s="35" t="s">
        <v>10477</v>
      </c>
      <c r="Q805" s="52"/>
      <c r="R805" s="35"/>
      <c r="S805" s="52"/>
      <c r="T805" s="52"/>
      <c r="U805" s="35">
        <v>9.0</v>
      </c>
      <c r="V805" s="52"/>
      <c r="W805" s="35" t="s">
        <v>93</v>
      </c>
      <c r="X805" s="35" t="s">
        <v>10833</v>
      </c>
      <c r="Y805" s="35" t="s">
        <v>10834</v>
      </c>
      <c r="Z805" s="35" t="s">
        <v>10835</v>
      </c>
      <c r="AA805" s="46">
        <v>46023.0</v>
      </c>
      <c r="AB805" s="46">
        <v>46387.0</v>
      </c>
      <c r="AC805" s="35" t="s">
        <v>10836</v>
      </c>
      <c r="AD805" s="35" t="s">
        <v>79</v>
      </c>
      <c r="AE805" s="219"/>
      <c r="AF805" s="52"/>
      <c r="AG805" s="46"/>
    </row>
    <row r="806" ht="44.25" customHeight="1">
      <c r="A806" s="35">
        <v>805.0</v>
      </c>
      <c r="B806" s="35" t="s">
        <v>10837</v>
      </c>
      <c r="C806" s="35" t="s">
        <v>11</v>
      </c>
      <c r="D806" s="35" t="s">
        <v>2707</v>
      </c>
      <c r="E806" s="35" t="s">
        <v>3419</v>
      </c>
      <c r="F806" s="35" t="s">
        <v>10838</v>
      </c>
      <c r="G806" s="41" t="s">
        <v>10839</v>
      </c>
      <c r="H806" s="35" t="s">
        <v>59</v>
      </c>
      <c r="I806" s="52"/>
      <c r="J806" s="35" t="s">
        <v>62</v>
      </c>
      <c r="K806" s="35" t="s">
        <v>111</v>
      </c>
      <c r="L806" s="35">
        <v>100.0</v>
      </c>
      <c r="M806" s="35" t="s">
        <v>956</v>
      </c>
      <c r="N806" s="35" t="s">
        <v>66</v>
      </c>
      <c r="O806" s="35" t="s">
        <v>67</v>
      </c>
      <c r="P806" s="35" t="s">
        <v>10840</v>
      </c>
      <c r="Q806" s="52"/>
      <c r="R806" s="35"/>
      <c r="S806" s="52"/>
      <c r="T806" s="52"/>
      <c r="U806" s="35">
        <v>15.0</v>
      </c>
      <c r="V806" s="52"/>
      <c r="W806" s="35" t="s">
        <v>93</v>
      </c>
      <c r="X806" s="35" t="s">
        <v>10841</v>
      </c>
      <c r="Y806" s="35" t="s">
        <v>10842</v>
      </c>
      <c r="Z806" s="35" t="s">
        <v>10843</v>
      </c>
      <c r="AA806" s="46">
        <v>46023.0</v>
      </c>
      <c r="AB806" s="46">
        <v>46387.0</v>
      </c>
      <c r="AC806" s="35" t="s">
        <v>10844</v>
      </c>
      <c r="AD806" s="35" t="s">
        <v>79</v>
      </c>
      <c r="AE806" s="219"/>
      <c r="AF806" s="187"/>
      <c r="AG806" s="46"/>
    </row>
    <row r="807" ht="44.25" customHeight="1">
      <c r="A807" s="35">
        <v>806.0</v>
      </c>
      <c r="B807" s="35" t="s">
        <v>10845</v>
      </c>
      <c r="C807" s="35" t="s">
        <v>11</v>
      </c>
      <c r="D807" s="35" t="s">
        <v>2707</v>
      </c>
      <c r="E807" s="35" t="s">
        <v>3419</v>
      </c>
      <c r="F807" s="35" t="s">
        <v>10846</v>
      </c>
      <c r="G807" s="41" t="s">
        <v>10847</v>
      </c>
      <c r="H807" s="35" t="s">
        <v>59</v>
      </c>
      <c r="I807" s="52"/>
      <c r="J807" s="35" t="s">
        <v>62</v>
      </c>
      <c r="K807" s="35" t="s">
        <v>111</v>
      </c>
      <c r="L807" s="35">
        <v>75.0</v>
      </c>
      <c r="M807" s="35" t="s">
        <v>10848</v>
      </c>
      <c r="N807" s="35" t="s">
        <v>71</v>
      </c>
      <c r="O807" s="35" t="s">
        <v>67</v>
      </c>
      <c r="P807" s="35" t="s">
        <v>10849</v>
      </c>
      <c r="Q807" s="52"/>
      <c r="R807" s="35"/>
      <c r="S807" s="52"/>
      <c r="T807" s="52"/>
      <c r="U807" s="35">
        <v>15.0</v>
      </c>
      <c r="V807" s="52"/>
      <c r="W807" s="35" t="s">
        <v>93</v>
      </c>
      <c r="X807" s="35" t="s">
        <v>10850</v>
      </c>
      <c r="Y807" s="35" t="s">
        <v>10851</v>
      </c>
      <c r="Z807" s="112" t="s">
        <v>10852</v>
      </c>
      <c r="AA807" s="46">
        <v>46023.0</v>
      </c>
      <c r="AB807" s="46">
        <v>46387.0</v>
      </c>
      <c r="AC807" s="35" t="s">
        <v>10853</v>
      </c>
      <c r="AD807" s="35" t="s">
        <v>79</v>
      </c>
      <c r="AE807" s="219"/>
      <c r="AF807" s="35" t="s">
        <v>10854</v>
      </c>
      <c r="AG807" s="46"/>
    </row>
    <row r="808" ht="44.25" customHeight="1">
      <c r="A808" s="35">
        <v>807.0</v>
      </c>
      <c r="B808" s="35" t="s">
        <v>10855</v>
      </c>
      <c r="C808" s="35" t="s">
        <v>11</v>
      </c>
      <c r="D808" s="35" t="s">
        <v>2707</v>
      </c>
      <c r="E808" s="35" t="s">
        <v>3419</v>
      </c>
      <c r="F808" s="35" t="s">
        <v>10856</v>
      </c>
      <c r="G808" s="41" t="s">
        <v>10857</v>
      </c>
      <c r="H808" s="35" t="s">
        <v>59</v>
      </c>
      <c r="I808" s="52"/>
      <c r="J808" s="35" t="s">
        <v>62</v>
      </c>
      <c r="K808" s="35" t="s">
        <v>63</v>
      </c>
      <c r="L808" s="35">
        <v>18.0</v>
      </c>
      <c r="M808" s="52"/>
      <c r="N808" s="35" t="s">
        <v>66</v>
      </c>
      <c r="O808" s="35" t="s">
        <v>67</v>
      </c>
      <c r="P808" s="35" t="s">
        <v>10167</v>
      </c>
      <c r="Q808" s="52"/>
      <c r="R808" s="35"/>
      <c r="S808" s="52"/>
      <c r="T808" s="52"/>
      <c r="U808" s="35">
        <v>0.0</v>
      </c>
      <c r="V808" s="52"/>
      <c r="W808" s="35" t="s">
        <v>74</v>
      </c>
      <c r="X808" s="35" t="s">
        <v>10858</v>
      </c>
      <c r="Y808" s="35">
        <v>8.2989533E7</v>
      </c>
      <c r="Z808" s="35" t="s">
        <v>10859</v>
      </c>
      <c r="AA808" s="46">
        <v>46023.0</v>
      </c>
      <c r="AB808" s="46">
        <v>46387.0</v>
      </c>
      <c r="AC808" s="35" t="s">
        <v>10860</v>
      </c>
      <c r="AD808" s="35" t="s">
        <v>79</v>
      </c>
      <c r="AE808" s="219"/>
      <c r="AF808" s="52"/>
      <c r="AG808" s="46"/>
    </row>
    <row r="809" ht="44.25" customHeight="1">
      <c r="A809" s="35">
        <v>808.0</v>
      </c>
      <c r="B809" s="35">
        <v>3522.0</v>
      </c>
      <c r="C809" s="35" t="s">
        <v>11</v>
      </c>
      <c r="D809" s="35" t="s">
        <v>2707</v>
      </c>
      <c r="E809" s="35" t="s">
        <v>3419</v>
      </c>
      <c r="F809" s="35" t="s">
        <v>10861</v>
      </c>
      <c r="G809" s="41" t="s">
        <v>10862</v>
      </c>
      <c r="H809" s="35" t="s">
        <v>59</v>
      </c>
      <c r="I809" s="35" t="s">
        <v>61</v>
      </c>
      <c r="J809" s="35" t="s">
        <v>62</v>
      </c>
      <c r="K809" s="35" t="s">
        <v>68</v>
      </c>
      <c r="L809" s="35">
        <v>509.0</v>
      </c>
      <c r="M809" s="35" t="s">
        <v>10863</v>
      </c>
      <c r="N809" s="35" t="s">
        <v>71</v>
      </c>
      <c r="O809" s="35" t="s">
        <v>72</v>
      </c>
      <c r="P809" s="35" t="s">
        <v>10293</v>
      </c>
      <c r="Q809" s="35"/>
      <c r="R809" s="35"/>
      <c r="S809" s="35"/>
      <c r="T809" s="35" t="s">
        <v>10294</v>
      </c>
      <c r="U809" s="35">
        <v>34.0</v>
      </c>
      <c r="V809" s="35" t="s">
        <v>6751</v>
      </c>
      <c r="W809" s="35" t="s">
        <v>93</v>
      </c>
      <c r="X809" s="35" t="s">
        <v>10864</v>
      </c>
      <c r="Y809" s="35" t="s">
        <v>10865</v>
      </c>
      <c r="Z809" s="112" t="s">
        <v>10866</v>
      </c>
      <c r="AA809" s="46">
        <v>46023.0</v>
      </c>
      <c r="AB809" s="46">
        <v>46387.0</v>
      </c>
      <c r="AC809" s="35" t="s">
        <v>10867</v>
      </c>
      <c r="AD809" s="35" t="s">
        <v>79</v>
      </c>
      <c r="AE809" s="219"/>
      <c r="AF809" s="52"/>
      <c r="AG809" s="46"/>
    </row>
    <row r="810" ht="44.25" customHeight="1">
      <c r="A810" s="35">
        <v>809.0</v>
      </c>
      <c r="B810" s="35" t="s">
        <v>10868</v>
      </c>
      <c r="C810" s="35" t="s">
        <v>11</v>
      </c>
      <c r="D810" s="35" t="s">
        <v>2707</v>
      </c>
      <c r="E810" s="35" t="s">
        <v>3419</v>
      </c>
      <c r="F810" s="35" t="s">
        <v>10869</v>
      </c>
      <c r="G810" s="41" t="s">
        <v>10870</v>
      </c>
      <c r="H810" s="35" t="s">
        <v>59</v>
      </c>
      <c r="I810" s="52"/>
      <c r="J810" s="35" t="s">
        <v>62</v>
      </c>
      <c r="K810" s="35" t="s">
        <v>111</v>
      </c>
      <c r="L810" s="35">
        <v>30.0</v>
      </c>
      <c r="M810" s="35" t="s">
        <v>10871</v>
      </c>
      <c r="N810" s="35" t="s">
        <v>71</v>
      </c>
      <c r="O810" s="35" t="s">
        <v>67</v>
      </c>
      <c r="P810" s="35" t="s">
        <v>10872</v>
      </c>
      <c r="Q810" s="52"/>
      <c r="R810" s="35"/>
      <c r="S810" s="52"/>
      <c r="T810" s="52"/>
      <c r="U810" s="35">
        <v>6.0</v>
      </c>
      <c r="V810" s="52"/>
      <c r="W810" s="35" t="s">
        <v>93</v>
      </c>
      <c r="X810" s="35" t="s">
        <v>10873</v>
      </c>
      <c r="Y810" s="35" t="s">
        <v>10874</v>
      </c>
      <c r="Z810" s="35" t="s">
        <v>10875</v>
      </c>
      <c r="AA810" s="46">
        <v>46023.0</v>
      </c>
      <c r="AB810" s="46">
        <v>46387.0</v>
      </c>
      <c r="AC810" s="35" t="s">
        <v>10876</v>
      </c>
      <c r="AD810" s="35" t="s">
        <v>79</v>
      </c>
      <c r="AE810" s="219"/>
      <c r="AF810" s="187"/>
      <c r="AG810" s="46"/>
    </row>
    <row r="811" ht="44.25" customHeight="1">
      <c r="A811" s="35">
        <v>810.0</v>
      </c>
      <c r="B811" s="35">
        <v>5683.0</v>
      </c>
      <c r="C811" s="35" t="s">
        <v>11</v>
      </c>
      <c r="D811" s="35" t="s">
        <v>2707</v>
      </c>
      <c r="E811" s="35" t="s">
        <v>3419</v>
      </c>
      <c r="F811" s="35" t="s">
        <v>10877</v>
      </c>
      <c r="G811" s="41" t="s">
        <v>10878</v>
      </c>
      <c r="H811" s="35" t="s">
        <v>59</v>
      </c>
      <c r="I811" s="35" t="s">
        <v>61</v>
      </c>
      <c r="J811" s="35" t="s">
        <v>62</v>
      </c>
      <c r="K811" s="35" t="s">
        <v>68</v>
      </c>
      <c r="L811" s="35">
        <v>307.0</v>
      </c>
      <c r="M811" s="35" t="s">
        <v>10879</v>
      </c>
      <c r="N811" s="35" t="s">
        <v>71</v>
      </c>
      <c r="O811" s="35" t="s">
        <v>72</v>
      </c>
      <c r="P811" s="35" t="s">
        <v>1180</v>
      </c>
      <c r="Q811" s="35"/>
      <c r="R811" s="35"/>
      <c r="S811" s="52"/>
      <c r="T811" s="35" t="s">
        <v>10880</v>
      </c>
      <c r="U811" s="35">
        <v>10.0</v>
      </c>
      <c r="V811" s="52"/>
      <c r="W811" s="35" t="s">
        <v>93</v>
      </c>
      <c r="X811" s="35" t="s">
        <v>10881</v>
      </c>
      <c r="Y811" s="35" t="s">
        <v>10882</v>
      </c>
      <c r="Z811" s="112" t="s">
        <v>10883</v>
      </c>
      <c r="AA811" s="46">
        <v>46023.0</v>
      </c>
      <c r="AB811" s="46">
        <v>46387.0</v>
      </c>
      <c r="AC811" s="35" t="s">
        <v>10884</v>
      </c>
      <c r="AD811" s="35" t="s">
        <v>79</v>
      </c>
      <c r="AE811" s="219"/>
      <c r="AF811" s="35" t="s">
        <v>10885</v>
      </c>
      <c r="AG811" s="46"/>
    </row>
    <row r="812" ht="44.25" customHeight="1">
      <c r="A812" s="35">
        <v>811.0</v>
      </c>
      <c r="B812" s="35">
        <v>5107.0</v>
      </c>
      <c r="C812" s="35" t="s">
        <v>11</v>
      </c>
      <c r="D812" s="35" t="s">
        <v>2707</v>
      </c>
      <c r="E812" s="35" t="s">
        <v>3419</v>
      </c>
      <c r="F812" s="35" t="s">
        <v>10886</v>
      </c>
      <c r="G812" s="41" t="s">
        <v>10887</v>
      </c>
      <c r="H812" s="35" t="s">
        <v>59</v>
      </c>
      <c r="I812" s="35" t="s">
        <v>61</v>
      </c>
      <c r="J812" s="35" t="s">
        <v>62</v>
      </c>
      <c r="K812" s="35" t="s">
        <v>68</v>
      </c>
      <c r="L812" s="35">
        <v>120.0</v>
      </c>
      <c r="M812" s="35" t="s">
        <v>7720</v>
      </c>
      <c r="N812" s="35" t="s">
        <v>71</v>
      </c>
      <c r="O812" s="52"/>
      <c r="P812" s="35" t="s">
        <v>10888</v>
      </c>
      <c r="Q812" s="52"/>
      <c r="R812" s="35"/>
      <c r="S812" s="52"/>
      <c r="T812" s="52"/>
      <c r="U812" s="35">
        <v>5.0</v>
      </c>
      <c r="V812" s="52"/>
      <c r="W812" s="35" t="s">
        <v>93</v>
      </c>
      <c r="X812" s="35" t="s">
        <v>10889</v>
      </c>
      <c r="Y812" s="35">
        <v>9.177085843E9</v>
      </c>
      <c r="Z812" s="35" t="s">
        <v>10890</v>
      </c>
      <c r="AA812" s="46">
        <v>46023.0</v>
      </c>
      <c r="AB812" s="46">
        <v>46387.0</v>
      </c>
      <c r="AC812" s="35" t="s">
        <v>10891</v>
      </c>
      <c r="AD812" s="35" t="s">
        <v>79</v>
      </c>
      <c r="AE812" s="219"/>
      <c r="AF812" s="52"/>
      <c r="AG812" s="46"/>
    </row>
    <row r="813" ht="44.25" customHeight="1">
      <c r="A813" s="35">
        <v>812.0</v>
      </c>
      <c r="B813" s="35">
        <v>1919.0</v>
      </c>
      <c r="C813" s="35" t="s">
        <v>11</v>
      </c>
      <c r="D813" s="35" t="s">
        <v>2707</v>
      </c>
      <c r="E813" s="35" t="s">
        <v>4778</v>
      </c>
      <c r="F813" s="35" t="s">
        <v>10892</v>
      </c>
      <c r="G813" s="41" t="s">
        <v>10893</v>
      </c>
      <c r="H813" s="35" t="s">
        <v>59</v>
      </c>
      <c r="I813" s="35" t="s">
        <v>61</v>
      </c>
      <c r="J813" s="35" t="s">
        <v>62</v>
      </c>
      <c r="K813" s="35" t="s">
        <v>68</v>
      </c>
      <c r="L813" s="35">
        <v>297.0</v>
      </c>
      <c r="M813" s="35" t="s">
        <v>10894</v>
      </c>
      <c r="N813" s="35" t="s">
        <v>71</v>
      </c>
      <c r="O813" s="35" t="s">
        <v>72</v>
      </c>
      <c r="P813" s="35">
        <v>1.0</v>
      </c>
      <c r="Q813" s="35"/>
      <c r="R813" s="35"/>
      <c r="S813" s="52"/>
      <c r="T813" s="35" t="s">
        <v>10294</v>
      </c>
      <c r="U813" s="35">
        <v>11.0</v>
      </c>
      <c r="V813" s="52"/>
      <c r="W813" s="35" t="s">
        <v>93</v>
      </c>
      <c r="X813" s="35" t="s">
        <v>10895</v>
      </c>
      <c r="Y813" s="35">
        <v>9.619186073E9</v>
      </c>
      <c r="Z813" s="35" t="s">
        <v>10896</v>
      </c>
      <c r="AA813" s="46">
        <v>46023.0</v>
      </c>
      <c r="AB813" s="46">
        <v>46387.0</v>
      </c>
      <c r="AC813" s="35" t="s">
        <v>10897</v>
      </c>
      <c r="AD813" s="35" t="s">
        <v>79</v>
      </c>
      <c r="AE813" s="219"/>
      <c r="AF813" s="35" t="s">
        <v>10898</v>
      </c>
      <c r="AG813" s="46"/>
    </row>
    <row r="814" ht="44.25" customHeight="1">
      <c r="A814" s="35">
        <v>813.0</v>
      </c>
      <c r="B814" s="35" t="s">
        <v>10899</v>
      </c>
      <c r="C814" s="35" t="s">
        <v>11</v>
      </c>
      <c r="D814" s="35" t="s">
        <v>2707</v>
      </c>
      <c r="E814" s="35" t="s">
        <v>8164</v>
      </c>
      <c r="F814" s="35" t="s">
        <v>10900</v>
      </c>
      <c r="G814" s="41" t="s">
        <v>10901</v>
      </c>
      <c r="H814" s="35" t="s">
        <v>59</v>
      </c>
      <c r="I814" s="52"/>
      <c r="J814" s="35" t="s">
        <v>62</v>
      </c>
      <c r="K814" s="35" t="s">
        <v>111</v>
      </c>
      <c r="L814" s="35">
        <v>100.0</v>
      </c>
      <c r="M814" s="35" t="s">
        <v>10244</v>
      </c>
      <c r="N814" s="35" t="s">
        <v>66</v>
      </c>
      <c r="O814" s="35" t="s">
        <v>67</v>
      </c>
      <c r="P814" s="35" t="s">
        <v>10902</v>
      </c>
      <c r="Q814" s="52"/>
      <c r="R814" s="35"/>
      <c r="S814" s="52"/>
      <c r="T814" s="52"/>
      <c r="U814" s="35">
        <v>0.0</v>
      </c>
      <c r="V814" s="52"/>
      <c r="W814" s="35" t="s">
        <v>93</v>
      </c>
      <c r="X814" s="35" t="s">
        <v>10903</v>
      </c>
      <c r="Y814" s="35" t="s">
        <v>10904</v>
      </c>
      <c r="Z814" s="35" t="s">
        <v>10905</v>
      </c>
      <c r="AA814" s="46">
        <v>46023.0</v>
      </c>
      <c r="AB814" s="46">
        <v>46387.0</v>
      </c>
      <c r="AC814" s="35" t="s">
        <v>10906</v>
      </c>
      <c r="AD814" s="35" t="s">
        <v>79</v>
      </c>
      <c r="AE814" s="219"/>
      <c r="AF814" s="187"/>
      <c r="AG814" s="46"/>
    </row>
    <row r="815" ht="44.25" customHeight="1">
      <c r="A815" s="35">
        <v>814.0</v>
      </c>
      <c r="B815" s="35" t="s">
        <v>10907</v>
      </c>
      <c r="C815" s="35" t="s">
        <v>11</v>
      </c>
      <c r="D815" s="35" t="s">
        <v>2707</v>
      </c>
      <c r="E815" s="35" t="s">
        <v>8164</v>
      </c>
      <c r="F815" s="35" t="s">
        <v>10908</v>
      </c>
      <c r="G815" s="41" t="s">
        <v>10909</v>
      </c>
      <c r="H815" s="35" t="s">
        <v>59</v>
      </c>
      <c r="I815" s="52"/>
      <c r="J815" s="35" t="s">
        <v>62</v>
      </c>
      <c r="K815" s="35" t="s">
        <v>63</v>
      </c>
      <c r="L815" s="35">
        <v>25.0</v>
      </c>
      <c r="M815" s="52"/>
      <c r="N815" s="35" t="s">
        <v>66</v>
      </c>
      <c r="O815" s="35" t="s">
        <v>67</v>
      </c>
      <c r="P815" s="35" t="s">
        <v>10910</v>
      </c>
      <c r="Q815" s="52"/>
      <c r="R815" s="35"/>
      <c r="S815" s="52"/>
      <c r="T815" s="52"/>
      <c r="U815" s="35">
        <v>4.0</v>
      </c>
      <c r="V815" s="52"/>
      <c r="W815" s="35" t="s">
        <v>74</v>
      </c>
      <c r="X815" s="35" t="s">
        <v>10911</v>
      </c>
      <c r="Y815" s="35" t="s">
        <v>10912</v>
      </c>
      <c r="Z815" s="35" t="s">
        <v>10913</v>
      </c>
      <c r="AA815" s="46">
        <v>46023.0</v>
      </c>
      <c r="AB815" s="46">
        <v>46387.0</v>
      </c>
      <c r="AC815" s="35" t="s">
        <v>10914</v>
      </c>
      <c r="AD815" s="35" t="s">
        <v>79</v>
      </c>
      <c r="AE815" s="219"/>
      <c r="AF815" s="187"/>
      <c r="AG815" s="46"/>
    </row>
    <row r="816" ht="44.25" customHeight="1">
      <c r="A816" s="35">
        <v>815.0</v>
      </c>
      <c r="B816" s="35" t="s">
        <v>10915</v>
      </c>
      <c r="C816" s="35" t="s">
        <v>11</v>
      </c>
      <c r="D816" s="35" t="s">
        <v>2707</v>
      </c>
      <c r="E816" s="35" t="s">
        <v>8164</v>
      </c>
      <c r="F816" s="35" t="s">
        <v>10916</v>
      </c>
      <c r="G816" s="41" t="s">
        <v>10917</v>
      </c>
      <c r="H816" s="35" t="s">
        <v>59</v>
      </c>
      <c r="I816" s="52"/>
      <c r="J816" s="35" t="s">
        <v>62</v>
      </c>
      <c r="K816" s="35" t="s">
        <v>63</v>
      </c>
      <c r="L816" s="35">
        <v>40.0</v>
      </c>
      <c r="M816" s="52"/>
      <c r="N816" s="35" t="s">
        <v>66</v>
      </c>
      <c r="O816" s="35" t="s">
        <v>67</v>
      </c>
      <c r="P816" s="35" t="s">
        <v>10918</v>
      </c>
      <c r="Q816" s="52"/>
      <c r="R816" s="35"/>
      <c r="S816" s="52"/>
      <c r="T816" s="52"/>
      <c r="U816" s="35">
        <v>0.0</v>
      </c>
      <c r="V816" s="52"/>
      <c r="W816" s="35" t="s">
        <v>74</v>
      </c>
      <c r="X816" s="35" t="s">
        <v>10919</v>
      </c>
      <c r="Y816" s="35" t="s">
        <v>10920</v>
      </c>
      <c r="Z816" s="35" t="s">
        <v>10921</v>
      </c>
      <c r="AA816" s="46">
        <v>46023.0</v>
      </c>
      <c r="AB816" s="46">
        <v>46387.0</v>
      </c>
      <c r="AC816" s="35" t="s">
        <v>10922</v>
      </c>
      <c r="AD816" s="35" t="s">
        <v>79</v>
      </c>
      <c r="AE816" s="219"/>
      <c r="AF816" s="187"/>
      <c r="AG816" s="46"/>
    </row>
    <row r="817" ht="44.25" customHeight="1">
      <c r="A817" s="35">
        <v>816.0</v>
      </c>
      <c r="B817" s="35">
        <v>50094.0</v>
      </c>
      <c r="C817" s="35" t="s">
        <v>11</v>
      </c>
      <c r="D817" s="35" t="s">
        <v>2707</v>
      </c>
      <c r="E817" s="35" t="s">
        <v>8164</v>
      </c>
      <c r="F817" s="35" t="s">
        <v>10923</v>
      </c>
      <c r="G817" s="41" t="s">
        <v>10924</v>
      </c>
      <c r="H817" s="35" t="s">
        <v>59</v>
      </c>
      <c r="I817" s="35" t="s">
        <v>61</v>
      </c>
      <c r="J817" s="35" t="s">
        <v>663</v>
      </c>
      <c r="K817" s="35" t="s">
        <v>68</v>
      </c>
      <c r="L817" s="35">
        <v>34.0</v>
      </c>
      <c r="M817" s="35" t="s">
        <v>10925</v>
      </c>
      <c r="N817" s="35" t="s">
        <v>221</v>
      </c>
      <c r="O817" s="52"/>
      <c r="P817" s="35" t="s">
        <v>10926</v>
      </c>
      <c r="Q817" s="35"/>
      <c r="R817" s="52"/>
      <c r="S817" s="35"/>
      <c r="T817" s="35" t="s">
        <v>10927</v>
      </c>
      <c r="U817" s="52"/>
      <c r="V817" s="35" t="s">
        <v>7659</v>
      </c>
      <c r="W817" s="35" t="s">
        <v>93</v>
      </c>
      <c r="X817" s="35" t="s">
        <v>10928</v>
      </c>
      <c r="Y817" s="35" t="s">
        <v>10929</v>
      </c>
      <c r="Z817" s="35" t="s">
        <v>10930</v>
      </c>
      <c r="AA817" s="46">
        <v>46023.0</v>
      </c>
      <c r="AB817" s="46">
        <v>46387.0</v>
      </c>
      <c r="AC817" s="35" t="s">
        <v>10931</v>
      </c>
      <c r="AD817" s="35" t="s">
        <v>79</v>
      </c>
      <c r="AE817" s="166"/>
      <c r="AF817" s="35"/>
      <c r="AG817" s="46"/>
    </row>
    <row r="818" ht="44.25" customHeight="1">
      <c r="A818" s="35">
        <v>817.0</v>
      </c>
      <c r="B818" s="35" t="s">
        <v>10932</v>
      </c>
      <c r="C818" s="35" t="s">
        <v>11</v>
      </c>
      <c r="D818" s="35" t="s">
        <v>2707</v>
      </c>
      <c r="E818" s="35" t="s">
        <v>8164</v>
      </c>
      <c r="F818" s="35" t="s">
        <v>10933</v>
      </c>
      <c r="G818" s="41" t="s">
        <v>10934</v>
      </c>
      <c r="H818" s="35" t="s">
        <v>59</v>
      </c>
      <c r="I818" s="52"/>
      <c r="J818" s="35" t="s">
        <v>62</v>
      </c>
      <c r="K818" s="35" t="s">
        <v>111</v>
      </c>
      <c r="L818" s="35">
        <v>80.0</v>
      </c>
      <c r="M818" s="35" t="s">
        <v>10935</v>
      </c>
      <c r="N818" s="35" t="s">
        <v>71</v>
      </c>
      <c r="O818" s="35" t="s">
        <v>67</v>
      </c>
      <c r="P818" s="35" t="s">
        <v>10936</v>
      </c>
      <c r="Q818" s="52"/>
      <c r="R818" s="35"/>
      <c r="S818" s="52"/>
      <c r="T818" s="52"/>
      <c r="U818" s="35">
        <v>10.0</v>
      </c>
      <c r="V818" s="52"/>
      <c r="W818" s="35" t="s">
        <v>93</v>
      </c>
      <c r="X818" s="35" t="s">
        <v>10937</v>
      </c>
      <c r="Y818" s="35" t="s">
        <v>10938</v>
      </c>
      <c r="Z818" s="35" t="s">
        <v>10939</v>
      </c>
      <c r="AA818" s="46">
        <v>46023.0</v>
      </c>
      <c r="AB818" s="46">
        <v>46387.0</v>
      </c>
      <c r="AC818" s="35" t="s">
        <v>10940</v>
      </c>
      <c r="AD818" s="35" t="s">
        <v>79</v>
      </c>
      <c r="AE818" s="219"/>
      <c r="AF818" s="187"/>
      <c r="AG818" s="46"/>
    </row>
    <row r="819" ht="44.25" customHeight="1">
      <c r="A819" s="35">
        <v>818.0</v>
      </c>
      <c r="B819" s="35" t="s">
        <v>10941</v>
      </c>
      <c r="C819" s="35" t="s">
        <v>11</v>
      </c>
      <c r="D819" s="35" t="s">
        <v>2707</v>
      </c>
      <c r="E819" s="35" t="s">
        <v>8164</v>
      </c>
      <c r="F819" s="35" t="s">
        <v>10942</v>
      </c>
      <c r="G819" s="41" t="s">
        <v>10943</v>
      </c>
      <c r="H819" s="35" t="s">
        <v>59</v>
      </c>
      <c r="I819" s="52"/>
      <c r="J819" s="35" t="s">
        <v>62</v>
      </c>
      <c r="K819" s="35" t="s">
        <v>63</v>
      </c>
      <c r="L819" s="35">
        <v>12.0</v>
      </c>
      <c r="M819" s="52"/>
      <c r="N819" s="35" t="s">
        <v>66</v>
      </c>
      <c r="O819" s="35" t="s">
        <v>67</v>
      </c>
      <c r="P819" s="35" t="s">
        <v>10944</v>
      </c>
      <c r="Q819" s="52"/>
      <c r="R819" s="35"/>
      <c r="S819" s="52"/>
      <c r="T819" s="52"/>
      <c r="U819" s="35">
        <v>0.0</v>
      </c>
      <c r="V819" s="52"/>
      <c r="W819" s="35" t="s">
        <v>74</v>
      </c>
      <c r="X819" s="35" t="s">
        <v>10945</v>
      </c>
      <c r="Y819" s="35">
        <v>8.808595E7</v>
      </c>
      <c r="Z819" s="35" t="s">
        <v>10946</v>
      </c>
      <c r="AA819" s="46">
        <v>46023.0</v>
      </c>
      <c r="AB819" s="46">
        <v>46387.0</v>
      </c>
      <c r="AC819" s="35" t="s">
        <v>10947</v>
      </c>
      <c r="AD819" s="35" t="s">
        <v>79</v>
      </c>
      <c r="AE819" s="219"/>
      <c r="AF819" s="187"/>
      <c r="AG819" s="46"/>
    </row>
    <row r="820" ht="44.25" customHeight="1">
      <c r="A820" s="35">
        <v>819.0</v>
      </c>
      <c r="B820" s="35">
        <v>7987.0</v>
      </c>
      <c r="C820" s="35" t="s">
        <v>11</v>
      </c>
      <c r="D820" s="35" t="s">
        <v>2707</v>
      </c>
      <c r="E820" s="35" t="s">
        <v>8164</v>
      </c>
      <c r="F820" s="35" t="s">
        <v>10948</v>
      </c>
      <c r="G820" s="41" t="s">
        <v>10949</v>
      </c>
      <c r="H820" s="35" t="s">
        <v>59</v>
      </c>
      <c r="I820" s="35" t="s">
        <v>61</v>
      </c>
      <c r="J820" s="35" t="s">
        <v>62</v>
      </c>
      <c r="K820" s="35" t="s">
        <v>68</v>
      </c>
      <c r="L820" s="35">
        <v>528.0</v>
      </c>
      <c r="M820" s="35" t="s">
        <v>10950</v>
      </c>
      <c r="N820" s="35" t="s">
        <v>71</v>
      </c>
      <c r="O820" s="35" t="s">
        <v>72</v>
      </c>
      <c r="P820" s="35" t="s">
        <v>10293</v>
      </c>
      <c r="Q820" s="35"/>
      <c r="R820" s="35"/>
      <c r="S820" s="35"/>
      <c r="T820" s="35" t="s">
        <v>10294</v>
      </c>
      <c r="U820" s="35">
        <v>17.0</v>
      </c>
      <c r="V820" s="35" t="s">
        <v>6751</v>
      </c>
      <c r="W820" s="35" t="s">
        <v>93</v>
      </c>
      <c r="X820" s="35" t="s">
        <v>10951</v>
      </c>
      <c r="Y820" s="35" t="s">
        <v>10952</v>
      </c>
      <c r="Z820" s="112" t="s">
        <v>10953</v>
      </c>
      <c r="AA820" s="46">
        <v>46023.0</v>
      </c>
      <c r="AB820" s="46">
        <v>46387.0</v>
      </c>
      <c r="AC820" s="35" t="s">
        <v>10954</v>
      </c>
      <c r="AD820" s="35" t="s">
        <v>79</v>
      </c>
      <c r="AE820" s="219"/>
      <c r="AF820" s="35" t="s">
        <v>10955</v>
      </c>
      <c r="AG820" s="46"/>
    </row>
    <row r="821" ht="44.25" customHeight="1">
      <c r="A821" s="35">
        <v>820.0</v>
      </c>
      <c r="B821" s="35" t="s">
        <v>10956</v>
      </c>
      <c r="C821" s="35" t="s">
        <v>11</v>
      </c>
      <c r="D821" s="35" t="s">
        <v>2707</v>
      </c>
      <c r="E821" s="35" t="s">
        <v>3575</v>
      </c>
      <c r="F821" s="35" t="s">
        <v>10957</v>
      </c>
      <c r="G821" s="41" t="s">
        <v>10958</v>
      </c>
      <c r="H821" s="35" t="s">
        <v>59</v>
      </c>
      <c r="I821" s="52"/>
      <c r="J821" s="35" t="s">
        <v>62</v>
      </c>
      <c r="K821" s="35" t="s">
        <v>111</v>
      </c>
      <c r="L821" s="35">
        <v>82.0</v>
      </c>
      <c r="M821" s="35" t="s">
        <v>10959</v>
      </c>
      <c r="N821" s="35" t="s">
        <v>71</v>
      </c>
      <c r="O821" s="35" t="s">
        <v>72</v>
      </c>
      <c r="P821" s="35" t="s">
        <v>10960</v>
      </c>
      <c r="Q821" s="52"/>
      <c r="R821" s="35"/>
      <c r="S821" s="52"/>
      <c r="T821" s="52"/>
      <c r="U821" s="35">
        <v>52.0</v>
      </c>
      <c r="V821" s="52"/>
      <c r="W821" s="35" t="s">
        <v>93</v>
      </c>
      <c r="X821" s="35" t="s">
        <v>10961</v>
      </c>
      <c r="Y821" s="35" t="s">
        <v>10962</v>
      </c>
      <c r="Z821" s="35" t="s">
        <v>10963</v>
      </c>
      <c r="AA821" s="46">
        <v>46023.0</v>
      </c>
      <c r="AB821" s="46">
        <v>46387.0</v>
      </c>
      <c r="AC821" s="35" t="s">
        <v>10964</v>
      </c>
      <c r="AD821" s="35" t="s">
        <v>79</v>
      </c>
      <c r="AE821" s="219"/>
      <c r="AF821" s="35" t="s">
        <v>10965</v>
      </c>
      <c r="AG821" s="46"/>
    </row>
    <row r="822" ht="44.25" customHeight="1">
      <c r="A822" s="35">
        <v>821.0</v>
      </c>
      <c r="B822" s="35">
        <v>6013.0</v>
      </c>
      <c r="C822" s="35" t="s">
        <v>11</v>
      </c>
      <c r="D822" s="35" t="s">
        <v>2707</v>
      </c>
      <c r="E822" s="35" t="s">
        <v>3575</v>
      </c>
      <c r="F822" s="35" t="s">
        <v>10966</v>
      </c>
      <c r="G822" s="41" t="s">
        <v>10967</v>
      </c>
      <c r="H822" s="35" t="s">
        <v>59</v>
      </c>
      <c r="I822" s="35" t="s">
        <v>61</v>
      </c>
      <c r="J822" s="35" t="s">
        <v>62</v>
      </c>
      <c r="K822" s="35" t="s">
        <v>68</v>
      </c>
      <c r="L822" s="35">
        <v>150.0</v>
      </c>
      <c r="M822" s="35" t="s">
        <v>10391</v>
      </c>
      <c r="N822" s="35" t="s">
        <v>71</v>
      </c>
      <c r="O822" s="35" t="s">
        <v>72</v>
      </c>
      <c r="P822" s="35" t="s">
        <v>10968</v>
      </c>
      <c r="Q822" s="52"/>
      <c r="R822" s="35"/>
      <c r="S822" s="52"/>
      <c r="T822" s="52"/>
      <c r="U822" s="35">
        <v>6.0</v>
      </c>
      <c r="V822" s="52"/>
      <c r="W822" s="35" t="s">
        <v>93</v>
      </c>
      <c r="X822" s="35" t="s">
        <v>10969</v>
      </c>
      <c r="Y822" s="35">
        <v>8.2916538E7</v>
      </c>
      <c r="Z822" s="112" t="s">
        <v>10970</v>
      </c>
      <c r="AA822" s="46">
        <v>46023.0</v>
      </c>
      <c r="AB822" s="46">
        <v>46387.0</v>
      </c>
      <c r="AC822" s="35" t="s">
        <v>10971</v>
      </c>
      <c r="AD822" s="35" t="s">
        <v>79</v>
      </c>
      <c r="AE822" s="219"/>
      <c r="AF822" s="52"/>
      <c r="AG822" s="46"/>
    </row>
    <row r="823" ht="44.25" customHeight="1">
      <c r="A823" s="35">
        <v>822.0</v>
      </c>
      <c r="B823" s="35" t="s">
        <v>10972</v>
      </c>
      <c r="C823" s="35" t="s">
        <v>11</v>
      </c>
      <c r="D823" s="35" t="s">
        <v>2707</v>
      </c>
      <c r="E823" s="35" t="s">
        <v>3575</v>
      </c>
      <c r="F823" s="35" t="s">
        <v>10973</v>
      </c>
      <c r="G823" s="41" t="s">
        <v>10974</v>
      </c>
      <c r="H823" s="35" t="s">
        <v>59</v>
      </c>
      <c r="I823" s="52"/>
      <c r="J823" s="35" t="s">
        <v>62</v>
      </c>
      <c r="K823" s="35" t="s">
        <v>111</v>
      </c>
      <c r="L823" s="35">
        <v>40.0</v>
      </c>
      <c r="M823" s="35" t="s">
        <v>956</v>
      </c>
      <c r="N823" s="35" t="s">
        <v>66</v>
      </c>
      <c r="O823" s="35" t="s">
        <v>67</v>
      </c>
      <c r="P823" s="35" t="s">
        <v>10975</v>
      </c>
      <c r="Q823" s="52"/>
      <c r="R823" s="35"/>
      <c r="S823" s="52"/>
      <c r="T823" s="52"/>
      <c r="U823" s="35">
        <v>15.0</v>
      </c>
      <c r="V823" s="52"/>
      <c r="W823" s="35" t="s">
        <v>93</v>
      </c>
      <c r="X823" s="35" t="s">
        <v>10976</v>
      </c>
      <c r="Y823" s="35">
        <v>8.8609331E7</v>
      </c>
      <c r="Z823" s="35" t="s">
        <v>10977</v>
      </c>
      <c r="AA823" s="46">
        <v>46023.0</v>
      </c>
      <c r="AB823" s="46">
        <v>46387.0</v>
      </c>
      <c r="AC823" s="35" t="s">
        <v>10978</v>
      </c>
      <c r="AD823" s="35" t="s">
        <v>79</v>
      </c>
      <c r="AE823" s="219"/>
      <c r="AF823" s="187"/>
      <c r="AG823" s="46"/>
    </row>
    <row r="824" ht="44.25" customHeight="1">
      <c r="A824" s="35">
        <v>823.0</v>
      </c>
      <c r="B824" s="52"/>
      <c r="C824" s="35" t="s">
        <v>1215</v>
      </c>
      <c r="D824" s="35" t="s">
        <v>3617</v>
      </c>
      <c r="E824" s="35" t="s">
        <v>3619</v>
      </c>
      <c r="F824" s="35" t="s">
        <v>10979</v>
      </c>
      <c r="G824" s="41" t="s">
        <v>10980</v>
      </c>
      <c r="H824" s="35" t="s">
        <v>59</v>
      </c>
      <c r="I824" s="35" t="s">
        <v>61</v>
      </c>
      <c r="J824" s="35" t="s">
        <v>62</v>
      </c>
      <c r="K824" s="35" t="s">
        <v>68</v>
      </c>
      <c r="L824" s="35">
        <v>170.0</v>
      </c>
      <c r="M824" s="35" t="s">
        <v>7501</v>
      </c>
      <c r="N824" s="35" t="s">
        <v>221</v>
      </c>
      <c r="O824" s="35" t="s">
        <v>67</v>
      </c>
      <c r="P824" s="35" t="s">
        <v>10981</v>
      </c>
      <c r="Q824" s="52"/>
      <c r="R824" s="35"/>
      <c r="S824" s="35"/>
      <c r="T824" s="52"/>
      <c r="U824" s="35">
        <v>27.0</v>
      </c>
      <c r="V824" s="35" t="s">
        <v>533</v>
      </c>
      <c r="W824" s="35" t="s">
        <v>93</v>
      </c>
      <c r="X824" s="35" t="s">
        <v>10982</v>
      </c>
      <c r="Y824" s="35" t="s">
        <v>10983</v>
      </c>
      <c r="Z824" s="35" t="s">
        <v>10984</v>
      </c>
      <c r="AA824" s="46">
        <v>46023.0</v>
      </c>
      <c r="AB824" s="46">
        <v>46387.0</v>
      </c>
      <c r="AC824" s="35" t="s">
        <v>10985</v>
      </c>
      <c r="AD824" s="35" t="s">
        <v>79</v>
      </c>
      <c r="AE824" s="52"/>
      <c r="AF824" s="52"/>
      <c r="AG824" s="46"/>
    </row>
    <row r="825" ht="44.25" customHeight="1">
      <c r="A825" s="35">
        <v>824.0</v>
      </c>
      <c r="B825" s="35">
        <v>2523.0</v>
      </c>
      <c r="C825" s="35" t="s">
        <v>1215</v>
      </c>
      <c r="D825" s="35" t="s">
        <v>3617</v>
      </c>
      <c r="E825" s="35" t="s">
        <v>3619</v>
      </c>
      <c r="F825" s="35" t="s">
        <v>10986</v>
      </c>
      <c r="G825" s="41" t="s">
        <v>10987</v>
      </c>
      <c r="H825" s="35" t="s">
        <v>59</v>
      </c>
      <c r="I825" s="35" t="s">
        <v>61</v>
      </c>
      <c r="J825" s="35" t="s">
        <v>62</v>
      </c>
      <c r="K825" s="35" t="s">
        <v>111</v>
      </c>
      <c r="L825" s="35">
        <v>120.0</v>
      </c>
      <c r="M825" s="35" t="s">
        <v>10988</v>
      </c>
      <c r="N825" s="35" t="s">
        <v>66</v>
      </c>
      <c r="O825" s="52"/>
      <c r="P825" s="35" t="s">
        <v>10989</v>
      </c>
      <c r="Q825" s="52"/>
      <c r="R825" s="35"/>
      <c r="S825" s="52"/>
      <c r="T825" s="52"/>
      <c r="U825" s="35">
        <v>25.0</v>
      </c>
      <c r="V825" s="52"/>
      <c r="W825" s="35" t="s">
        <v>93</v>
      </c>
      <c r="X825" s="35" t="s">
        <v>10990</v>
      </c>
      <c r="Y825" s="35">
        <v>9.287551568E9</v>
      </c>
      <c r="Z825" s="35" t="s">
        <v>10991</v>
      </c>
      <c r="AA825" s="46">
        <v>46023.0</v>
      </c>
      <c r="AB825" s="46">
        <v>46387.0</v>
      </c>
      <c r="AC825" s="35" t="s">
        <v>10992</v>
      </c>
      <c r="AD825" s="35" t="s">
        <v>79</v>
      </c>
      <c r="AE825" s="52"/>
      <c r="AF825" s="52"/>
      <c r="AG825" s="46"/>
    </row>
    <row r="826" ht="44.25" customHeight="1">
      <c r="A826" s="35">
        <v>825.0</v>
      </c>
      <c r="B826" s="52"/>
      <c r="C826" s="35" t="s">
        <v>1215</v>
      </c>
      <c r="D826" s="35" t="s">
        <v>3617</v>
      </c>
      <c r="E826" s="35" t="s">
        <v>3619</v>
      </c>
      <c r="F826" s="35" t="s">
        <v>10993</v>
      </c>
      <c r="G826" s="41" t="s">
        <v>10994</v>
      </c>
      <c r="H826" s="35" t="s">
        <v>59</v>
      </c>
      <c r="I826" s="35" t="s">
        <v>61</v>
      </c>
      <c r="J826" s="35" t="s">
        <v>62</v>
      </c>
      <c r="K826" s="35" t="s">
        <v>68</v>
      </c>
      <c r="L826" s="35">
        <v>283.0</v>
      </c>
      <c r="M826" s="35" t="s">
        <v>10995</v>
      </c>
      <c r="N826" s="35" t="s">
        <v>71</v>
      </c>
      <c r="O826" s="35" t="s">
        <v>67</v>
      </c>
      <c r="P826" s="35" t="s">
        <v>10996</v>
      </c>
      <c r="Q826" s="52"/>
      <c r="R826" s="35"/>
      <c r="S826" s="35"/>
      <c r="T826" s="52"/>
      <c r="U826" s="35">
        <v>48.0</v>
      </c>
      <c r="V826" s="35" t="s">
        <v>533</v>
      </c>
      <c r="W826" s="35" t="s">
        <v>93</v>
      </c>
      <c r="X826" s="35" t="s">
        <v>10997</v>
      </c>
      <c r="Y826" s="35" t="s">
        <v>10998</v>
      </c>
      <c r="Z826" s="35" t="s">
        <v>10999</v>
      </c>
      <c r="AA826" s="46">
        <v>46023.0</v>
      </c>
      <c r="AB826" s="46">
        <v>46387.0</v>
      </c>
      <c r="AC826" s="35" t="s">
        <v>11000</v>
      </c>
      <c r="AD826" s="35" t="s">
        <v>79</v>
      </c>
      <c r="AE826" s="52"/>
      <c r="AF826" s="52"/>
      <c r="AG826" s="46"/>
    </row>
    <row r="827" ht="44.25" customHeight="1">
      <c r="A827" s="35">
        <v>826.0</v>
      </c>
      <c r="B827" s="35">
        <v>38666.0</v>
      </c>
      <c r="C827" s="35" t="s">
        <v>1215</v>
      </c>
      <c r="D827" s="35" t="s">
        <v>3617</v>
      </c>
      <c r="E827" s="35" t="s">
        <v>3619</v>
      </c>
      <c r="F827" s="35" t="s">
        <v>11001</v>
      </c>
      <c r="G827" s="41" t="s">
        <v>11002</v>
      </c>
      <c r="H827" s="35" t="s">
        <v>59</v>
      </c>
      <c r="I827" s="35" t="s">
        <v>61</v>
      </c>
      <c r="J827" s="35" t="s">
        <v>62</v>
      </c>
      <c r="K827" s="35" t="s">
        <v>111</v>
      </c>
      <c r="L827" s="35">
        <v>80.0</v>
      </c>
      <c r="M827" s="35" t="s">
        <v>11003</v>
      </c>
      <c r="N827" s="35" t="s">
        <v>66</v>
      </c>
      <c r="O827" s="52"/>
      <c r="P827" s="35" t="s">
        <v>11004</v>
      </c>
      <c r="Q827" s="52"/>
      <c r="R827" s="35"/>
      <c r="S827" s="52"/>
      <c r="T827" s="52"/>
      <c r="U827" s="35">
        <v>19.0</v>
      </c>
      <c r="V827" s="52"/>
      <c r="W827" s="35" t="s">
        <v>93</v>
      </c>
      <c r="X827" s="35" t="s">
        <v>11005</v>
      </c>
      <c r="Y827" s="35" t="s">
        <v>11006</v>
      </c>
      <c r="Z827" s="35" t="s">
        <v>11007</v>
      </c>
      <c r="AA827" s="46">
        <v>46023.0</v>
      </c>
      <c r="AB827" s="46">
        <v>46387.0</v>
      </c>
      <c r="AC827" s="35" t="s">
        <v>11008</v>
      </c>
      <c r="AD827" s="35" t="s">
        <v>79</v>
      </c>
      <c r="AE827" s="52"/>
      <c r="AF827" s="52"/>
      <c r="AG827" s="46"/>
    </row>
    <row r="828" ht="44.25" customHeight="1">
      <c r="A828" s="35">
        <v>827.0</v>
      </c>
      <c r="B828" s="35">
        <v>32022.0</v>
      </c>
      <c r="C828" s="35" t="s">
        <v>1215</v>
      </c>
      <c r="D828" s="35" t="s">
        <v>3617</v>
      </c>
      <c r="E828" s="35" t="s">
        <v>3619</v>
      </c>
      <c r="F828" s="35" t="s">
        <v>11009</v>
      </c>
      <c r="G828" s="41" t="s">
        <v>11010</v>
      </c>
      <c r="H828" s="35" t="s">
        <v>59</v>
      </c>
      <c r="I828" s="35" t="s">
        <v>61</v>
      </c>
      <c r="J828" s="35" t="s">
        <v>62</v>
      </c>
      <c r="K828" s="35" t="s">
        <v>111</v>
      </c>
      <c r="L828" s="35">
        <v>40.0</v>
      </c>
      <c r="M828" s="35" t="s">
        <v>11011</v>
      </c>
      <c r="N828" s="35" t="s">
        <v>66</v>
      </c>
      <c r="O828" s="52"/>
      <c r="P828" s="35" t="s">
        <v>11012</v>
      </c>
      <c r="Q828" s="52"/>
      <c r="R828" s="35"/>
      <c r="S828" s="52"/>
      <c r="T828" s="52"/>
      <c r="U828" s="35">
        <v>22.0</v>
      </c>
      <c r="V828" s="52"/>
      <c r="W828" s="35" t="s">
        <v>93</v>
      </c>
      <c r="X828" s="35" t="s">
        <v>11013</v>
      </c>
      <c r="Y828" s="35" t="s">
        <v>11014</v>
      </c>
      <c r="Z828" s="35" t="s">
        <v>11015</v>
      </c>
      <c r="AA828" s="46">
        <v>46023.0</v>
      </c>
      <c r="AB828" s="46">
        <v>46387.0</v>
      </c>
      <c r="AC828" s="35" t="s">
        <v>11016</v>
      </c>
      <c r="AD828" s="35" t="s">
        <v>79</v>
      </c>
      <c r="AE828" s="52"/>
      <c r="AF828" s="52"/>
      <c r="AG828" s="46"/>
    </row>
    <row r="829" ht="44.25" customHeight="1">
      <c r="A829" s="35">
        <v>828.0</v>
      </c>
      <c r="B829" s="35"/>
      <c r="C829" s="35" t="s">
        <v>1215</v>
      </c>
      <c r="D829" s="35" t="s">
        <v>3617</v>
      </c>
      <c r="E829" s="35" t="s">
        <v>3619</v>
      </c>
      <c r="F829" s="35" t="s">
        <v>11017</v>
      </c>
      <c r="G829" s="41" t="s">
        <v>11018</v>
      </c>
      <c r="H829" s="35" t="s">
        <v>59</v>
      </c>
      <c r="I829" s="35" t="s">
        <v>61</v>
      </c>
      <c r="J829" s="35" t="s">
        <v>62</v>
      </c>
      <c r="K829" s="35" t="s">
        <v>68</v>
      </c>
      <c r="L829" s="35">
        <v>169.0</v>
      </c>
      <c r="M829" s="35" t="s">
        <v>11019</v>
      </c>
      <c r="N829" s="35" t="s">
        <v>71</v>
      </c>
      <c r="O829" s="35" t="s">
        <v>67</v>
      </c>
      <c r="P829" s="35" t="s">
        <v>11020</v>
      </c>
      <c r="Q829" s="52"/>
      <c r="R829" s="35"/>
      <c r="S829" s="52"/>
      <c r="T829" s="52"/>
      <c r="U829" s="35">
        <v>18.0</v>
      </c>
      <c r="V829" s="52"/>
      <c r="W829" s="35" t="s">
        <v>93</v>
      </c>
      <c r="X829" s="35" t="s">
        <v>11021</v>
      </c>
      <c r="Y829" s="35" t="s">
        <v>11022</v>
      </c>
      <c r="Z829" s="35" t="s">
        <v>11023</v>
      </c>
      <c r="AA829" s="46">
        <v>46023.0</v>
      </c>
      <c r="AB829" s="46">
        <v>46387.0</v>
      </c>
      <c r="AC829" s="35" t="s">
        <v>11024</v>
      </c>
      <c r="AD829" s="35" t="s">
        <v>79</v>
      </c>
      <c r="AE829" s="52"/>
      <c r="AF829" s="52"/>
      <c r="AG829" s="46"/>
    </row>
    <row r="830" ht="44.25" customHeight="1">
      <c r="A830" s="35">
        <v>829.0</v>
      </c>
      <c r="B830" s="35">
        <v>54091.0</v>
      </c>
      <c r="C830" s="35" t="s">
        <v>1215</v>
      </c>
      <c r="D830" s="35" t="s">
        <v>3617</v>
      </c>
      <c r="E830" s="35" t="s">
        <v>11025</v>
      </c>
      <c r="F830" s="35" t="s">
        <v>11026</v>
      </c>
      <c r="G830" s="41" t="s">
        <v>11027</v>
      </c>
      <c r="H830" s="35" t="s">
        <v>59</v>
      </c>
      <c r="I830" s="35" t="s">
        <v>61</v>
      </c>
      <c r="J830" s="35" t="s">
        <v>62</v>
      </c>
      <c r="K830" s="35" t="s">
        <v>63</v>
      </c>
      <c r="L830" s="35">
        <v>32.0</v>
      </c>
      <c r="M830" s="35" t="s">
        <v>11028</v>
      </c>
      <c r="N830" s="35" t="s">
        <v>66</v>
      </c>
      <c r="O830" s="52"/>
      <c r="P830" s="52"/>
      <c r="Q830" s="35"/>
      <c r="R830" s="35"/>
      <c r="S830" s="52"/>
      <c r="T830" s="35" t="s">
        <v>11029</v>
      </c>
      <c r="U830" s="35">
        <v>10.0</v>
      </c>
      <c r="V830" s="52"/>
      <c r="W830" s="35" t="s">
        <v>74</v>
      </c>
      <c r="X830" s="35" t="s">
        <v>11030</v>
      </c>
      <c r="Y830" s="35">
        <v>9.93163263E9</v>
      </c>
      <c r="Z830" s="35" t="s">
        <v>11031</v>
      </c>
      <c r="AA830" s="46">
        <v>46023.0</v>
      </c>
      <c r="AB830" s="46">
        <v>46387.0</v>
      </c>
      <c r="AC830" s="35" t="s">
        <v>11032</v>
      </c>
      <c r="AD830" s="35" t="s">
        <v>79</v>
      </c>
      <c r="AE830" s="52"/>
      <c r="AF830" s="52"/>
      <c r="AG830" s="46"/>
    </row>
    <row r="831" ht="44.25" customHeight="1">
      <c r="A831" s="35">
        <v>830.0</v>
      </c>
      <c r="B831" s="35">
        <v>54739.0</v>
      </c>
      <c r="C831" s="35" t="s">
        <v>1215</v>
      </c>
      <c r="D831" s="35" t="s">
        <v>3617</v>
      </c>
      <c r="E831" s="35" t="s">
        <v>11025</v>
      </c>
      <c r="F831" s="35" t="s">
        <v>11034</v>
      </c>
      <c r="G831" s="41" t="s">
        <v>11035</v>
      </c>
      <c r="H831" s="35" t="s">
        <v>59</v>
      </c>
      <c r="I831" s="35" t="s">
        <v>61</v>
      </c>
      <c r="J831" s="35" t="s">
        <v>62</v>
      </c>
      <c r="K831" s="35" t="s">
        <v>111</v>
      </c>
      <c r="L831" s="35">
        <v>50.0</v>
      </c>
      <c r="M831" s="35" t="s">
        <v>11036</v>
      </c>
      <c r="N831" s="35" t="s">
        <v>66</v>
      </c>
      <c r="O831" s="52"/>
      <c r="P831" s="35">
        <v>1.0</v>
      </c>
      <c r="Q831" s="52"/>
      <c r="R831" s="35"/>
      <c r="S831" s="52"/>
      <c r="T831" s="52"/>
      <c r="U831" s="35">
        <v>20.0</v>
      </c>
      <c r="V831" s="52"/>
      <c r="W831" s="35" t="s">
        <v>93</v>
      </c>
      <c r="X831" s="35" t="s">
        <v>11037</v>
      </c>
      <c r="Y831" s="35">
        <v>9.209223128E9</v>
      </c>
      <c r="Z831" s="35" t="s">
        <v>11038</v>
      </c>
      <c r="AA831" s="46">
        <v>46023.0</v>
      </c>
      <c r="AB831" s="46">
        <v>46387.0</v>
      </c>
      <c r="AC831" s="35" t="s">
        <v>11039</v>
      </c>
      <c r="AD831" s="35" t="s">
        <v>79</v>
      </c>
      <c r="AE831" s="52"/>
      <c r="AF831" s="52"/>
      <c r="AG831" s="46"/>
    </row>
    <row r="832" ht="44.25" customHeight="1">
      <c r="A832" s="35">
        <v>831.0</v>
      </c>
      <c r="B832" s="35">
        <v>38115.0</v>
      </c>
      <c r="C832" s="35" t="s">
        <v>1215</v>
      </c>
      <c r="D832" s="35" t="s">
        <v>3617</v>
      </c>
      <c r="E832" s="35" t="s">
        <v>8356</v>
      </c>
      <c r="F832" s="35" t="s">
        <v>11040</v>
      </c>
      <c r="G832" s="41" t="s">
        <v>11041</v>
      </c>
      <c r="H832" s="35" t="s">
        <v>59</v>
      </c>
      <c r="I832" s="35" t="s">
        <v>61</v>
      </c>
      <c r="J832" s="35" t="s">
        <v>62</v>
      </c>
      <c r="K832" s="35" t="s">
        <v>111</v>
      </c>
      <c r="L832" s="35">
        <v>103.0</v>
      </c>
      <c r="M832" s="35" t="s">
        <v>11050</v>
      </c>
      <c r="N832" s="35" t="s">
        <v>66</v>
      </c>
      <c r="O832" s="52"/>
      <c r="P832" s="35" t="s">
        <v>11051</v>
      </c>
      <c r="Q832" s="52"/>
      <c r="R832" s="35"/>
      <c r="S832" s="52"/>
      <c r="T832" s="52"/>
      <c r="U832" s="35">
        <v>20.0</v>
      </c>
      <c r="V832" s="52"/>
      <c r="W832" s="35" t="s">
        <v>93</v>
      </c>
      <c r="X832" s="35" t="s">
        <v>11052</v>
      </c>
      <c r="Y832" s="35" t="s">
        <v>11053</v>
      </c>
      <c r="Z832" s="35" t="s">
        <v>11055</v>
      </c>
      <c r="AA832" s="46">
        <v>46023.0</v>
      </c>
      <c r="AB832" s="46">
        <v>46387.0</v>
      </c>
      <c r="AC832" s="35" t="s">
        <v>11058</v>
      </c>
      <c r="AD832" s="35" t="s">
        <v>79</v>
      </c>
      <c r="AE832" s="52"/>
      <c r="AF832" s="52"/>
      <c r="AG832" s="46"/>
    </row>
    <row r="833" ht="44.25" customHeight="1">
      <c r="A833" s="35">
        <v>832.0</v>
      </c>
      <c r="B833" s="35">
        <v>38479.0</v>
      </c>
      <c r="C833" s="35" t="s">
        <v>1215</v>
      </c>
      <c r="D833" s="35" t="s">
        <v>3617</v>
      </c>
      <c r="E833" s="35" t="s">
        <v>11060</v>
      </c>
      <c r="F833" s="35" t="s">
        <v>11062</v>
      </c>
      <c r="G833" s="41" t="s">
        <v>11063</v>
      </c>
      <c r="H833" s="35" t="s">
        <v>59</v>
      </c>
      <c r="I833" s="35" t="s">
        <v>61</v>
      </c>
      <c r="J833" s="35" t="s">
        <v>62</v>
      </c>
      <c r="K833" s="35" t="s">
        <v>63</v>
      </c>
      <c r="L833" s="35">
        <v>30.0</v>
      </c>
      <c r="M833" s="35" t="s">
        <v>11066</v>
      </c>
      <c r="N833" s="35" t="s">
        <v>66</v>
      </c>
      <c r="O833" s="52"/>
      <c r="P833" s="35" t="s">
        <v>11067</v>
      </c>
      <c r="Q833" s="52"/>
      <c r="R833" s="52"/>
      <c r="S833" s="52"/>
      <c r="T833" s="52"/>
      <c r="U833" s="52"/>
      <c r="V833" s="52"/>
      <c r="W833" s="35" t="s">
        <v>74</v>
      </c>
      <c r="X833" s="35" t="s">
        <v>11068</v>
      </c>
      <c r="Y833" s="35">
        <v>9.08816042E9</v>
      </c>
      <c r="Z833" s="35" t="s">
        <v>11069</v>
      </c>
      <c r="AA833" s="46">
        <v>46023.0</v>
      </c>
      <c r="AB833" s="46">
        <v>46387.0</v>
      </c>
      <c r="AC833" s="35" t="s">
        <v>11070</v>
      </c>
      <c r="AD833" s="35" t="s">
        <v>79</v>
      </c>
      <c r="AE833" s="52"/>
      <c r="AF833" s="52"/>
      <c r="AG833" s="46"/>
    </row>
    <row r="834" ht="44.25" customHeight="1">
      <c r="A834" s="35">
        <v>833.0</v>
      </c>
      <c r="B834" s="35">
        <v>2102.0</v>
      </c>
      <c r="C834" s="35" t="s">
        <v>1215</v>
      </c>
      <c r="D834" s="35" t="s">
        <v>3617</v>
      </c>
      <c r="E834" s="35" t="s">
        <v>8410</v>
      </c>
      <c r="F834" s="35" t="s">
        <v>11071</v>
      </c>
      <c r="G834" s="41" t="s">
        <v>11073</v>
      </c>
      <c r="H834" s="35" t="s">
        <v>59</v>
      </c>
      <c r="I834" s="35" t="s">
        <v>61</v>
      </c>
      <c r="J834" s="35" t="s">
        <v>62</v>
      </c>
      <c r="K834" s="35" t="s">
        <v>63</v>
      </c>
      <c r="L834" s="35">
        <v>25.0</v>
      </c>
      <c r="M834" s="35" t="s">
        <v>11078</v>
      </c>
      <c r="N834" s="35" t="s">
        <v>66</v>
      </c>
      <c r="O834" s="52"/>
      <c r="P834" s="35" t="s">
        <v>11080</v>
      </c>
      <c r="Q834" s="52"/>
      <c r="R834" s="52"/>
      <c r="S834" s="52"/>
      <c r="T834" s="52"/>
      <c r="U834" s="52"/>
      <c r="V834" s="52"/>
      <c r="W834" s="35" t="s">
        <v>74</v>
      </c>
      <c r="X834" s="35" t="s">
        <v>11082</v>
      </c>
      <c r="Y834" s="35">
        <v>9.225113253E9</v>
      </c>
      <c r="Z834" s="35" t="s">
        <v>11083</v>
      </c>
      <c r="AA834" s="46">
        <v>46023.0</v>
      </c>
      <c r="AB834" s="46">
        <v>46387.0</v>
      </c>
      <c r="AC834" s="35" t="s">
        <v>11084</v>
      </c>
      <c r="AD834" s="35" t="s">
        <v>79</v>
      </c>
      <c r="AE834" s="52"/>
      <c r="AF834" s="52"/>
      <c r="AG834" s="46"/>
    </row>
    <row r="835" ht="44.25" customHeight="1">
      <c r="A835" s="35">
        <v>834.0</v>
      </c>
      <c r="B835" s="35">
        <v>2495.0</v>
      </c>
      <c r="C835" s="35" t="s">
        <v>1215</v>
      </c>
      <c r="D835" s="35" t="s">
        <v>3617</v>
      </c>
      <c r="E835" s="35" t="s">
        <v>11087</v>
      </c>
      <c r="F835" s="35" t="s">
        <v>11088</v>
      </c>
      <c r="G835" s="41" t="s">
        <v>11089</v>
      </c>
      <c r="H835" s="35" t="s">
        <v>59</v>
      </c>
      <c r="I835" s="35" t="s">
        <v>61</v>
      </c>
      <c r="J835" s="35" t="s">
        <v>62</v>
      </c>
      <c r="K835" s="35" t="s">
        <v>63</v>
      </c>
      <c r="L835" s="35">
        <v>40.0</v>
      </c>
      <c r="M835" s="35" t="s">
        <v>11090</v>
      </c>
      <c r="N835" s="35" t="s">
        <v>66</v>
      </c>
      <c r="O835" s="52"/>
      <c r="P835" s="35" t="s">
        <v>11091</v>
      </c>
      <c r="Q835" s="52"/>
      <c r="R835" s="35"/>
      <c r="S835" s="52"/>
      <c r="T835" s="52"/>
      <c r="U835" s="35">
        <v>11.0</v>
      </c>
      <c r="V835" s="52"/>
      <c r="W835" s="35" t="s">
        <v>93</v>
      </c>
      <c r="X835" s="35" t="s">
        <v>11093</v>
      </c>
      <c r="Y835" s="35" t="s">
        <v>11094</v>
      </c>
      <c r="Z835" s="35" t="s">
        <v>11095</v>
      </c>
      <c r="AA835" s="46">
        <v>46023.0</v>
      </c>
      <c r="AB835" s="46">
        <v>46387.0</v>
      </c>
      <c r="AC835" s="35" t="s">
        <v>11096</v>
      </c>
      <c r="AD835" s="35" t="s">
        <v>79</v>
      </c>
      <c r="AE835" s="52"/>
      <c r="AF835" s="52"/>
      <c r="AG835" s="46"/>
    </row>
    <row r="836" ht="44.25" customHeight="1">
      <c r="A836" s="35">
        <v>835.0</v>
      </c>
      <c r="B836" s="35">
        <v>40026.0</v>
      </c>
      <c r="C836" s="35" t="s">
        <v>1215</v>
      </c>
      <c r="D836" s="35" t="s">
        <v>7998</v>
      </c>
      <c r="E836" s="35" t="s">
        <v>11098</v>
      </c>
      <c r="F836" s="35" t="s">
        <v>11100</v>
      </c>
      <c r="G836" s="41" t="s">
        <v>11103</v>
      </c>
      <c r="H836" s="35" t="s">
        <v>59</v>
      </c>
      <c r="I836" s="35" t="s">
        <v>61</v>
      </c>
      <c r="J836" s="35" t="s">
        <v>62</v>
      </c>
      <c r="K836" s="35" t="s">
        <v>63</v>
      </c>
      <c r="L836" s="35">
        <v>100.0</v>
      </c>
      <c r="M836" s="35" t="s">
        <v>5129</v>
      </c>
      <c r="N836" s="35" t="s">
        <v>66</v>
      </c>
      <c r="O836" s="52"/>
      <c r="P836" s="35" t="s">
        <v>11107</v>
      </c>
      <c r="Q836" s="52"/>
      <c r="R836" s="52"/>
      <c r="S836" s="52"/>
      <c r="T836" s="52"/>
      <c r="U836" s="52"/>
      <c r="V836" s="52"/>
      <c r="W836" s="35" t="s">
        <v>74</v>
      </c>
      <c r="X836" s="35" t="s">
        <v>11109</v>
      </c>
      <c r="Y836" s="35" t="s">
        <v>11111</v>
      </c>
      <c r="Z836" s="35" t="s">
        <v>11113</v>
      </c>
      <c r="AA836" s="46">
        <v>46023.0</v>
      </c>
      <c r="AB836" s="46">
        <v>46387.0</v>
      </c>
      <c r="AC836" s="35" t="s">
        <v>11114</v>
      </c>
      <c r="AD836" s="35" t="s">
        <v>79</v>
      </c>
      <c r="AE836" s="52"/>
      <c r="AF836" s="52"/>
      <c r="AG836" s="46"/>
    </row>
    <row r="837" ht="44.25" customHeight="1">
      <c r="A837" s="35">
        <v>836.0</v>
      </c>
      <c r="B837" s="35">
        <v>38395.0</v>
      </c>
      <c r="C837" s="35" t="s">
        <v>1215</v>
      </c>
      <c r="D837" s="35" t="s">
        <v>7998</v>
      </c>
      <c r="E837" s="35" t="s">
        <v>11117</v>
      </c>
      <c r="F837" s="35" t="s">
        <v>11118</v>
      </c>
      <c r="G837" s="41" t="s">
        <v>11119</v>
      </c>
      <c r="H837" s="35" t="s">
        <v>59</v>
      </c>
      <c r="I837" s="35" t="s">
        <v>61</v>
      </c>
      <c r="J837" s="35" t="s">
        <v>62</v>
      </c>
      <c r="K837" s="35" t="s">
        <v>111</v>
      </c>
      <c r="L837" s="35">
        <v>110.0</v>
      </c>
      <c r="M837" s="35" t="s">
        <v>11123</v>
      </c>
      <c r="N837" s="35" t="s">
        <v>71</v>
      </c>
      <c r="O837" s="52"/>
      <c r="P837" s="35" t="s">
        <v>11125</v>
      </c>
      <c r="Q837" s="52"/>
      <c r="R837" s="35"/>
      <c r="S837" s="52"/>
      <c r="T837" s="52"/>
      <c r="U837" s="35">
        <v>15.0</v>
      </c>
      <c r="V837" s="52"/>
      <c r="W837" s="35" t="s">
        <v>93</v>
      </c>
      <c r="X837" s="35" t="s">
        <v>11127</v>
      </c>
      <c r="Y837" s="35" t="s">
        <v>11128</v>
      </c>
      <c r="Z837" s="35" t="s">
        <v>11130</v>
      </c>
      <c r="AA837" s="46">
        <v>46023.0</v>
      </c>
      <c r="AB837" s="46">
        <v>46387.0</v>
      </c>
      <c r="AC837" s="35" t="s">
        <v>11131</v>
      </c>
      <c r="AD837" s="35" t="s">
        <v>79</v>
      </c>
      <c r="AE837" s="52"/>
      <c r="AF837" s="52"/>
      <c r="AG837" s="46"/>
    </row>
    <row r="838" ht="44.25" customHeight="1">
      <c r="A838" s="35">
        <v>837.0</v>
      </c>
      <c r="B838" s="35">
        <v>2035.0</v>
      </c>
      <c r="C838" s="35" t="s">
        <v>1215</v>
      </c>
      <c r="D838" s="35" t="s">
        <v>7998</v>
      </c>
      <c r="E838" s="35" t="s">
        <v>11117</v>
      </c>
      <c r="F838" s="35" t="s">
        <v>11135</v>
      </c>
      <c r="G838" s="41" t="s">
        <v>11136</v>
      </c>
      <c r="H838" s="35" t="s">
        <v>59</v>
      </c>
      <c r="I838" s="35" t="s">
        <v>61</v>
      </c>
      <c r="J838" s="35" t="s">
        <v>62</v>
      </c>
      <c r="K838" s="35" t="s">
        <v>111</v>
      </c>
      <c r="L838" s="35">
        <v>100.0</v>
      </c>
      <c r="M838" s="35" t="s">
        <v>11141</v>
      </c>
      <c r="N838" s="35" t="s">
        <v>66</v>
      </c>
      <c r="O838" s="52"/>
      <c r="P838" s="35" t="s">
        <v>11144</v>
      </c>
      <c r="Q838" s="52"/>
      <c r="R838" s="35"/>
      <c r="S838" s="52"/>
      <c r="T838" s="52"/>
      <c r="U838" s="35">
        <v>4.0</v>
      </c>
      <c r="V838" s="52"/>
      <c r="W838" s="35" t="s">
        <v>93</v>
      </c>
      <c r="X838" s="35" t="s">
        <v>11146</v>
      </c>
      <c r="Y838" s="35" t="s">
        <v>11148</v>
      </c>
      <c r="Z838" s="35" t="s">
        <v>11149</v>
      </c>
      <c r="AA838" s="46">
        <v>46023.0</v>
      </c>
      <c r="AB838" s="46">
        <v>46387.0</v>
      </c>
      <c r="AC838" s="35" t="s">
        <v>11150</v>
      </c>
      <c r="AD838" s="35" t="s">
        <v>79</v>
      </c>
      <c r="AE838" s="35" t="s">
        <v>643</v>
      </c>
      <c r="AF838" s="35" t="s">
        <v>11151</v>
      </c>
      <c r="AG838" s="46"/>
    </row>
    <row r="839" ht="44.25" customHeight="1">
      <c r="A839" s="35">
        <v>838.0</v>
      </c>
      <c r="B839" s="35"/>
      <c r="C839" s="35" t="s">
        <v>1215</v>
      </c>
      <c r="D839" s="35" t="s">
        <v>7998</v>
      </c>
      <c r="E839" s="35" t="s">
        <v>8511</v>
      </c>
      <c r="F839" s="35" t="s">
        <v>11152</v>
      </c>
      <c r="G839" s="41" t="s">
        <v>11153</v>
      </c>
      <c r="H839" s="35" t="s">
        <v>59</v>
      </c>
      <c r="I839" s="35" t="s">
        <v>61</v>
      </c>
      <c r="J839" s="35" t="s">
        <v>62</v>
      </c>
      <c r="K839" s="35" t="s">
        <v>68</v>
      </c>
      <c r="L839" s="35">
        <v>300.0</v>
      </c>
      <c r="M839" s="35" t="s">
        <v>11154</v>
      </c>
      <c r="N839" s="35" t="s">
        <v>71</v>
      </c>
      <c r="O839" s="35" t="s">
        <v>67</v>
      </c>
      <c r="P839" s="35">
        <v>1.0</v>
      </c>
      <c r="Q839" s="52"/>
      <c r="R839" s="35"/>
      <c r="S839" s="52"/>
      <c r="T839" s="52"/>
      <c r="U839" s="35">
        <v>29.0</v>
      </c>
      <c r="V839" s="52"/>
      <c r="W839" s="35" t="s">
        <v>93</v>
      </c>
      <c r="X839" s="35" t="s">
        <v>11156</v>
      </c>
      <c r="Y839" s="35" t="s">
        <v>11157</v>
      </c>
      <c r="Z839" s="35" t="s">
        <v>11158</v>
      </c>
      <c r="AA839" s="46">
        <v>46023.0</v>
      </c>
      <c r="AB839" s="46">
        <v>46387.0</v>
      </c>
      <c r="AC839" s="35" t="s">
        <v>11160</v>
      </c>
      <c r="AD839" s="35" t="s">
        <v>79</v>
      </c>
      <c r="AE839" s="52"/>
      <c r="AF839" s="52"/>
      <c r="AG839" s="46"/>
    </row>
    <row r="840" ht="44.25" customHeight="1">
      <c r="A840" s="35">
        <v>839.0</v>
      </c>
      <c r="B840" s="35">
        <v>39623.0</v>
      </c>
      <c r="C840" s="35" t="s">
        <v>1215</v>
      </c>
      <c r="D840" s="35" t="s">
        <v>7998</v>
      </c>
      <c r="E840" s="35" t="s">
        <v>11162</v>
      </c>
      <c r="F840" s="35" t="s">
        <v>11163</v>
      </c>
      <c r="G840" s="41" t="s">
        <v>11164</v>
      </c>
      <c r="H840" s="35" t="s">
        <v>59</v>
      </c>
      <c r="I840" s="35" t="s">
        <v>61</v>
      </c>
      <c r="J840" s="35" t="s">
        <v>62</v>
      </c>
      <c r="K840" s="35" t="s">
        <v>111</v>
      </c>
      <c r="L840" s="35">
        <v>70.0</v>
      </c>
      <c r="M840" s="35" t="s">
        <v>11166</v>
      </c>
      <c r="N840" s="35" t="s">
        <v>71</v>
      </c>
      <c r="O840" s="52"/>
      <c r="P840" s="35" t="s">
        <v>11167</v>
      </c>
      <c r="Q840" s="52"/>
      <c r="R840" s="35"/>
      <c r="S840" s="52"/>
      <c r="T840" s="52"/>
      <c r="U840" s="35">
        <v>10.0</v>
      </c>
      <c r="V840" s="52"/>
      <c r="W840" s="35" t="s">
        <v>93</v>
      </c>
      <c r="X840" s="35" t="s">
        <v>11169</v>
      </c>
      <c r="Y840" s="35" t="s">
        <v>11170</v>
      </c>
      <c r="Z840" s="35" t="s">
        <v>11171</v>
      </c>
      <c r="AA840" s="46">
        <v>46023.0</v>
      </c>
      <c r="AB840" s="46">
        <v>46387.0</v>
      </c>
      <c r="AC840" s="35" t="s">
        <v>11173</v>
      </c>
      <c r="AD840" s="35" t="s">
        <v>79</v>
      </c>
      <c r="AE840" s="52"/>
      <c r="AF840" s="52"/>
      <c r="AG840" s="46"/>
    </row>
    <row r="841" ht="44.25" customHeight="1">
      <c r="A841" s="35">
        <v>840.0</v>
      </c>
      <c r="B841" s="35">
        <v>42853.0</v>
      </c>
      <c r="C841" s="35" t="s">
        <v>1323</v>
      </c>
      <c r="D841" s="35" t="s">
        <v>8583</v>
      </c>
      <c r="E841" s="35" t="s">
        <v>8584</v>
      </c>
      <c r="F841" s="35" t="s">
        <v>11175</v>
      </c>
      <c r="G841" s="41" t="s">
        <v>11177</v>
      </c>
      <c r="H841" s="35" t="s">
        <v>59</v>
      </c>
      <c r="I841" s="35" t="s">
        <v>61</v>
      </c>
      <c r="J841" s="35" t="s">
        <v>62</v>
      </c>
      <c r="K841" s="35" t="s">
        <v>63</v>
      </c>
      <c r="L841" s="35">
        <v>17.0</v>
      </c>
      <c r="M841" s="35" t="s">
        <v>11179</v>
      </c>
      <c r="N841" s="52"/>
      <c r="O841" s="52"/>
      <c r="P841" s="35" t="s">
        <v>11180</v>
      </c>
      <c r="Q841" s="52"/>
      <c r="R841" s="35"/>
      <c r="S841" s="52"/>
      <c r="T841" s="35" t="s">
        <v>61</v>
      </c>
      <c r="U841" s="35" t="s">
        <v>61</v>
      </c>
      <c r="V841" s="35" t="s">
        <v>61</v>
      </c>
      <c r="W841" s="35" t="s">
        <v>74</v>
      </c>
      <c r="X841" s="35" t="s">
        <v>11182</v>
      </c>
      <c r="Y841" s="35">
        <v>9.177997644E9</v>
      </c>
      <c r="Z841" s="35" t="s">
        <v>11184</v>
      </c>
      <c r="AA841" s="46">
        <v>46023.0</v>
      </c>
      <c r="AB841" s="46">
        <v>46387.0</v>
      </c>
      <c r="AC841" s="35" t="s">
        <v>8599</v>
      </c>
      <c r="AD841" s="35" t="s">
        <v>79</v>
      </c>
      <c r="AE841" s="266"/>
      <c r="AF841" s="52"/>
      <c r="AG841" s="46"/>
    </row>
    <row r="842" ht="44.25" customHeight="1">
      <c r="A842" s="35">
        <v>841.0</v>
      </c>
      <c r="B842" s="35">
        <v>320.0</v>
      </c>
      <c r="C842" s="35" t="s">
        <v>1323</v>
      </c>
      <c r="D842" s="35" t="s">
        <v>8583</v>
      </c>
      <c r="E842" s="35" t="s">
        <v>8584</v>
      </c>
      <c r="F842" s="35" t="s">
        <v>11189</v>
      </c>
      <c r="G842" s="41" t="s">
        <v>11190</v>
      </c>
      <c r="H842" s="35" t="s">
        <v>59</v>
      </c>
      <c r="I842" s="35" t="s">
        <v>61</v>
      </c>
      <c r="J842" s="35" t="s">
        <v>62</v>
      </c>
      <c r="K842" s="35" t="s">
        <v>63</v>
      </c>
      <c r="L842" s="35">
        <v>17.0</v>
      </c>
      <c r="M842" s="35" t="s">
        <v>11192</v>
      </c>
      <c r="N842" s="52"/>
      <c r="O842" s="52"/>
      <c r="P842" s="35" t="s">
        <v>11195</v>
      </c>
      <c r="Q842" s="52"/>
      <c r="R842" s="35"/>
      <c r="S842" s="52"/>
      <c r="T842" s="35" t="s">
        <v>61</v>
      </c>
      <c r="U842" s="35" t="s">
        <v>61</v>
      </c>
      <c r="V842" s="35" t="s">
        <v>61</v>
      </c>
      <c r="W842" s="35" t="s">
        <v>74</v>
      </c>
      <c r="X842" s="35" t="s">
        <v>11196</v>
      </c>
      <c r="Y842" s="35">
        <v>9.979841023E9</v>
      </c>
      <c r="Z842" s="35" t="s">
        <v>11197</v>
      </c>
      <c r="AA842" s="46">
        <v>46023.0</v>
      </c>
      <c r="AB842" s="46">
        <v>46387.0</v>
      </c>
      <c r="AC842" s="35" t="s">
        <v>11199</v>
      </c>
      <c r="AD842" s="35" t="s">
        <v>79</v>
      </c>
      <c r="AE842" s="219"/>
      <c r="AF842" s="52"/>
      <c r="AG842" s="46"/>
    </row>
    <row r="843" ht="44.25" customHeight="1">
      <c r="A843" s="35">
        <v>842.0</v>
      </c>
      <c r="B843" s="35">
        <v>356.0</v>
      </c>
      <c r="C843" s="35" t="s">
        <v>1323</v>
      </c>
      <c r="D843" s="35" t="s">
        <v>8583</v>
      </c>
      <c r="E843" s="35" t="s">
        <v>8584</v>
      </c>
      <c r="F843" s="35" t="s">
        <v>11201</v>
      </c>
      <c r="G843" s="41" t="s">
        <v>11202</v>
      </c>
      <c r="H843" s="35" t="s">
        <v>59</v>
      </c>
      <c r="I843" s="35" t="s">
        <v>61</v>
      </c>
      <c r="J843" s="35" t="s">
        <v>62</v>
      </c>
      <c r="K843" s="35" t="s">
        <v>63</v>
      </c>
      <c r="L843" s="35">
        <v>24.0</v>
      </c>
      <c r="M843" s="35" t="s">
        <v>11204</v>
      </c>
      <c r="N843" s="52"/>
      <c r="O843" s="52"/>
      <c r="P843" s="35" t="s">
        <v>11206</v>
      </c>
      <c r="Q843" s="52"/>
      <c r="R843" s="35"/>
      <c r="S843" s="52"/>
      <c r="T843" s="35" t="s">
        <v>61</v>
      </c>
      <c r="U843" s="35" t="s">
        <v>61</v>
      </c>
      <c r="V843" s="35" t="s">
        <v>61</v>
      </c>
      <c r="W843" s="35" t="s">
        <v>74</v>
      </c>
      <c r="X843" s="35" t="s">
        <v>11208</v>
      </c>
      <c r="Y843" s="35" t="s">
        <v>11209</v>
      </c>
      <c r="Z843" s="35" t="s">
        <v>11210</v>
      </c>
      <c r="AA843" s="46">
        <v>46023.0</v>
      </c>
      <c r="AB843" s="46">
        <v>46387.0</v>
      </c>
      <c r="AC843" s="35" t="s">
        <v>11212</v>
      </c>
      <c r="AD843" s="35" t="s">
        <v>79</v>
      </c>
      <c r="AE843" s="219"/>
      <c r="AF843" s="52"/>
      <c r="AG843" s="46"/>
    </row>
    <row r="844" ht="44.25" customHeight="1">
      <c r="A844" s="35">
        <v>843.0</v>
      </c>
      <c r="B844" s="35">
        <v>3285.0</v>
      </c>
      <c r="C844" s="35" t="s">
        <v>1323</v>
      </c>
      <c r="D844" s="35" t="s">
        <v>3761</v>
      </c>
      <c r="E844" s="35" t="s">
        <v>3763</v>
      </c>
      <c r="F844" s="35" t="s">
        <v>11215</v>
      </c>
      <c r="G844" s="41" t="s">
        <v>11217</v>
      </c>
      <c r="H844" s="35" t="s">
        <v>59</v>
      </c>
      <c r="I844" s="35" t="s">
        <v>61</v>
      </c>
      <c r="J844" s="35" t="s">
        <v>62</v>
      </c>
      <c r="K844" s="35" t="s">
        <v>63</v>
      </c>
      <c r="L844" s="35">
        <v>17.0</v>
      </c>
      <c r="M844" s="35" t="s">
        <v>11219</v>
      </c>
      <c r="N844" s="52"/>
      <c r="O844" s="52"/>
      <c r="P844" s="35" t="s">
        <v>61</v>
      </c>
      <c r="Q844" s="52"/>
      <c r="R844" s="35"/>
      <c r="S844" s="52"/>
      <c r="T844" s="35" t="s">
        <v>11221</v>
      </c>
      <c r="U844" s="35">
        <v>4.0</v>
      </c>
      <c r="V844" s="35" t="s">
        <v>61</v>
      </c>
      <c r="W844" s="35" t="s">
        <v>74</v>
      </c>
      <c r="X844" s="35" t="s">
        <v>11222</v>
      </c>
      <c r="Y844" s="35">
        <v>9.17502211E9</v>
      </c>
      <c r="Z844" s="35" t="s">
        <v>11223</v>
      </c>
      <c r="AA844" s="46">
        <v>46023.0</v>
      </c>
      <c r="AB844" s="46">
        <v>46387.0</v>
      </c>
      <c r="AC844" s="35" t="s">
        <v>11225</v>
      </c>
      <c r="AD844" s="35" t="s">
        <v>79</v>
      </c>
      <c r="AE844" s="219"/>
      <c r="AF844" s="52"/>
      <c r="AG844" s="46"/>
    </row>
    <row r="845" ht="44.25" customHeight="1">
      <c r="A845" s="35">
        <v>844.0</v>
      </c>
      <c r="B845" s="35">
        <v>4003.0</v>
      </c>
      <c r="C845" s="35" t="s">
        <v>1323</v>
      </c>
      <c r="D845" s="35" t="s">
        <v>3761</v>
      </c>
      <c r="E845" s="35" t="s">
        <v>3763</v>
      </c>
      <c r="F845" s="35" t="s">
        <v>11226</v>
      </c>
      <c r="G845" s="41" t="s">
        <v>11227</v>
      </c>
      <c r="H845" s="35" t="s">
        <v>59</v>
      </c>
      <c r="I845" s="35" t="s">
        <v>61</v>
      </c>
      <c r="J845" s="35" t="s">
        <v>62</v>
      </c>
      <c r="K845" s="35" t="s">
        <v>111</v>
      </c>
      <c r="L845" s="35">
        <v>125.0</v>
      </c>
      <c r="M845" s="35" t="s">
        <v>11230</v>
      </c>
      <c r="N845" s="35" t="s">
        <v>221</v>
      </c>
      <c r="O845" s="52"/>
      <c r="P845" s="35" t="s">
        <v>2517</v>
      </c>
      <c r="Q845" s="52"/>
      <c r="R845" s="35"/>
      <c r="S845" s="52"/>
      <c r="T845" s="35" t="s">
        <v>11232</v>
      </c>
      <c r="U845" s="35">
        <v>15.0</v>
      </c>
      <c r="V845" s="35" t="s">
        <v>61</v>
      </c>
      <c r="W845" s="35" t="s">
        <v>93</v>
      </c>
      <c r="X845" s="35" t="s">
        <v>11233</v>
      </c>
      <c r="Y845" s="35">
        <v>9.454387899E9</v>
      </c>
      <c r="Z845" s="35" t="s">
        <v>11234</v>
      </c>
      <c r="AA845" s="46">
        <v>46023.0</v>
      </c>
      <c r="AB845" s="46">
        <v>46387.0</v>
      </c>
      <c r="AC845" s="35" t="s">
        <v>11235</v>
      </c>
      <c r="AD845" s="35" t="s">
        <v>79</v>
      </c>
      <c r="AE845" s="266"/>
      <c r="AF845" s="52"/>
      <c r="AG845" s="46"/>
    </row>
    <row r="846" ht="44.25" customHeight="1">
      <c r="A846" s="35">
        <v>845.0</v>
      </c>
      <c r="B846" s="35">
        <v>2113.0</v>
      </c>
      <c r="C846" s="35" t="s">
        <v>1323</v>
      </c>
      <c r="D846" s="35" t="s">
        <v>3761</v>
      </c>
      <c r="E846" s="35" t="s">
        <v>3763</v>
      </c>
      <c r="F846" s="35" t="s">
        <v>11236</v>
      </c>
      <c r="G846" s="41" t="s">
        <v>11237</v>
      </c>
      <c r="H846" s="35" t="s">
        <v>59</v>
      </c>
      <c r="I846" s="35" t="s">
        <v>61</v>
      </c>
      <c r="J846" s="35" t="s">
        <v>62</v>
      </c>
      <c r="K846" s="35" t="s">
        <v>111</v>
      </c>
      <c r="L846" s="35">
        <v>110.0</v>
      </c>
      <c r="M846" s="35" t="s">
        <v>11239</v>
      </c>
      <c r="N846" s="35" t="s">
        <v>221</v>
      </c>
      <c r="O846" s="52"/>
      <c r="P846" s="35" t="s">
        <v>11240</v>
      </c>
      <c r="Q846" s="52"/>
      <c r="R846" s="35"/>
      <c r="S846" s="52"/>
      <c r="T846" s="35" t="s">
        <v>61</v>
      </c>
      <c r="U846" s="35">
        <v>7.0</v>
      </c>
      <c r="V846" s="35" t="s">
        <v>61</v>
      </c>
      <c r="W846" s="35" t="s">
        <v>93</v>
      </c>
      <c r="X846" s="35" t="s">
        <v>11242</v>
      </c>
      <c r="Y846" s="35">
        <v>9.176384055E9</v>
      </c>
      <c r="Z846" s="35" t="s">
        <v>11243</v>
      </c>
      <c r="AA846" s="46">
        <v>46023.0</v>
      </c>
      <c r="AB846" s="46">
        <v>46387.0</v>
      </c>
      <c r="AC846" s="35" t="s">
        <v>11244</v>
      </c>
      <c r="AD846" s="35" t="s">
        <v>79</v>
      </c>
      <c r="AE846" s="219"/>
      <c r="AF846" s="52"/>
      <c r="AG846" s="46"/>
    </row>
    <row r="847" ht="44.25" customHeight="1">
      <c r="A847" s="35">
        <v>846.0</v>
      </c>
      <c r="B847" s="35">
        <v>6689.0</v>
      </c>
      <c r="C847" s="35" t="s">
        <v>1323</v>
      </c>
      <c r="D847" s="35" t="s">
        <v>3761</v>
      </c>
      <c r="E847" s="35" t="s">
        <v>3763</v>
      </c>
      <c r="F847" s="35" t="s">
        <v>11247</v>
      </c>
      <c r="G847" s="41" t="s">
        <v>11248</v>
      </c>
      <c r="H847" s="35" t="s">
        <v>59</v>
      </c>
      <c r="I847" s="35" t="s">
        <v>61</v>
      </c>
      <c r="J847" s="35" t="s">
        <v>62</v>
      </c>
      <c r="K847" s="35" t="s">
        <v>68</v>
      </c>
      <c r="L847" s="35">
        <v>140.0</v>
      </c>
      <c r="M847" s="35" t="s">
        <v>11249</v>
      </c>
      <c r="N847" s="35" t="s">
        <v>71</v>
      </c>
      <c r="O847" s="52"/>
      <c r="P847" s="35">
        <v>1.0</v>
      </c>
      <c r="Q847" s="52"/>
      <c r="R847" s="35"/>
      <c r="S847" s="52"/>
      <c r="T847" s="35" t="s">
        <v>61</v>
      </c>
      <c r="U847" s="35">
        <v>7.0</v>
      </c>
      <c r="V847" s="35" t="s">
        <v>533</v>
      </c>
      <c r="W847" s="35" t="s">
        <v>93</v>
      </c>
      <c r="X847" s="35" t="s">
        <v>11250</v>
      </c>
      <c r="Y847" s="35" t="s">
        <v>11251</v>
      </c>
      <c r="Z847" s="35" t="s">
        <v>11252</v>
      </c>
      <c r="AA847" s="46">
        <v>46023.0</v>
      </c>
      <c r="AB847" s="46">
        <v>46387.0</v>
      </c>
      <c r="AC847" s="35" t="s">
        <v>11253</v>
      </c>
      <c r="AD847" s="35" t="s">
        <v>79</v>
      </c>
      <c r="AE847" s="267"/>
      <c r="AF847" s="52"/>
      <c r="AG847" s="46"/>
    </row>
    <row r="848" ht="44.25" customHeight="1">
      <c r="A848" s="35">
        <v>847.0</v>
      </c>
      <c r="B848" s="35">
        <v>371.0</v>
      </c>
      <c r="C848" s="35" t="s">
        <v>1323</v>
      </c>
      <c r="D848" s="35" t="s">
        <v>3761</v>
      </c>
      <c r="E848" s="35" t="s">
        <v>8681</v>
      </c>
      <c r="F848" s="35" t="s">
        <v>3807</v>
      </c>
      <c r="G848" s="41" t="s">
        <v>11256</v>
      </c>
      <c r="H848" s="35" t="s">
        <v>59</v>
      </c>
      <c r="I848" s="35" t="s">
        <v>61</v>
      </c>
      <c r="J848" s="35" t="s">
        <v>62</v>
      </c>
      <c r="K848" s="35" t="s">
        <v>63</v>
      </c>
      <c r="L848" s="35">
        <v>18.0</v>
      </c>
      <c r="M848" s="35" t="s">
        <v>11257</v>
      </c>
      <c r="N848" s="52"/>
      <c r="O848" s="52"/>
      <c r="P848" s="35" t="s">
        <v>11258</v>
      </c>
      <c r="Q848" s="52"/>
      <c r="R848" s="35"/>
      <c r="S848" s="52"/>
      <c r="T848" s="35" t="s">
        <v>61</v>
      </c>
      <c r="U848" s="35" t="s">
        <v>61</v>
      </c>
      <c r="V848" s="35" t="s">
        <v>61</v>
      </c>
      <c r="W848" s="35" t="s">
        <v>74</v>
      </c>
      <c r="X848" s="35" t="s">
        <v>11260</v>
      </c>
      <c r="Y848" s="35">
        <v>9.504886664E9</v>
      </c>
      <c r="Z848" s="35" t="s">
        <v>11261</v>
      </c>
      <c r="AA848" s="46">
        <v>46023.0</v>
      </c>
      <c r="AB848" s="46">
        <v>46387.0</v>
      </c>
      <c r="AC848" s="35" t="s">
        <v>11262</v>
      </c>
      <c r="AD848" s="35" t="s">
        <v>79</v>
      </c>
      <c r="AE848" s="267"/>
      <c r="AF848" s="52"/>
      <c r="AG848" s="46"/>
    </row>
    <row r="849" ht="44.25" customHeight="1">
      <c r="A849" s="35">
        <v>848.0</v>
      </c>
      <c r="B849" s="35">
        <v>33716.0</v>
      </c>
      <c r="C849" s="35" t="s">
        <v>1323</v>
      </c>
      <c r="D849" s="35" t="s">
        <v>3761</v>
      </c>
      <c r="E849" s="35" t="s">
        <v>8698</v>
      </c>
      <c r="F849" s="35" t="s">
        <v>11265</v>
      </c>
      <c r="G849" s="41" t="s">
        <v>11266</v>
      </c>
      <c r="H849" s="35" t="s">
        <v>59</v>
      </c>
      <c r="I849" s="35" t="s">
        <v>61</v>
      </c>
      <c r="J849" s="35" t="s">
        <v>62</v>
      </c>
      <c r="K849" s="35" t="s">
        <v>111</v>
      </c>
      <c r="L849" s="35">
        <v>110.0</v>
      </c>
      <c r="M849" s="35" t="s">
        <v>11268</v>
      </c>
      <c r="N849" s="35" t="s">
        <v>71</v>
      </c>
      <c r="O849" s="52"/>
      <c r="P849" s="35" t="s">
        <v>11269</v>
      </c>
      <c r="Q849" s="52"/>
      <c r="R849" s="35"/>
      <c r="S849" s="52"/>
      <c r="T849" s="35" t="s">
        <v>61</v>
      </c>
      <c r="U849" s="35">
        <v>32.0</v>
      </c>
      <c r="V849" s="35" t="s">
        <v>533</v>
      </c>
      <c r="W849" s="35" t="s">
        <v>93</v>
      </c>
      <c r="X849" s="35" t="s">
        <v>11271</v>
      </c>
      <c r="Y849" s="35">
        <v>9.778012334E9</v>
      </c>
      <c r="Z849" s="35" t="s">
        <v>11272</v>
      </c>
      <c r="AA849" s="46">
        <v>46023.0</v>
      </c>
      <c r="AB849" s="46">
        <v>46387.0</v>
      </c>
      <c r="AC849" s="35" t="s">
        <v>11273</v>
      </c>
      <c r="AD849" s="35" t="s">
        <v>79</v>
      </c>
      <c r="AE849" s="267"/>
      <c r="AF849" s="52"/>
      <c r="AG849" s="46"/>
    </row>
    <row r="850" ht="44.25" customHeight="1">
      <c r="A850" s="35">
        <v>849.0</v>
      </c>
      <c r="B850" s="35">
        <v>4633.0</v>
      </c>
      <c r="C850" s="35" t="s">
        <v>1323</v>
      </c>
      <c r="D850" s="35" t="s">
        <v>8760</v>
      </c>
      <c r="E850" s="35" t="s">
        <v>8761</v>
      </c>
      <c r="F850" s="35" t="s">
        <v>11276</v>
      </c>
      <c r="G850" s="41" t="s">
        <v>11277</v>
      </c>
      <c r="H850" s="35" t="s">
        <v>59</v>
      </c>
      <c r="I850" s="35" t="s">
        <v>61</v>
      </c>
      <c r="J850" s="35" t="s">
        <v>62</v>
      </c>
      <c r="K850" s="35" t="s">
        <v>63</v>
      </c>
      <c r="L850" s="35">
        <v>50.0</v>
      </c>
      <c r="M850" s="35" t="s">
        <v>11279</v>
      </c>
      <c r="N850" s="52"/>
      <c r="O850" s="52"/>
      <c r="P850" s="35" t="s">
        <v>11281</v>
      </c>
      <c r="Q850" s="52"/>
      <c r="R850" s="35"/>
      <c r="S850" s="52"/>
      <c r="T850" s="35" t="s">
        <v>61</v>
      </c>
      <c r="U850" s="35">
        <v>6.0</v>
      </c>
      <c r="V850" s="35" t="s">
        <v>61</v>
      </c>
      <c r="W850" s="35" t="s">
        <v>74</v>
      </c>
      <c r="X850" s="35" t="s">
        <v>11282</v>
      </c>
      <c r="Y850" s="35">
        <v>9.996963027E9</v>
      </c>
      <c r="Z850" s="35" t="s">
        <v>11283</v>
      </c>
      <c r="AA850" s="46">
        <v>46023.0</v>
      </c>
      <c r="AB850" s="46">
        <v>46387.0</v>
      </c>
      <c r="AC850" s="35" t="s">
        <v>11284</v>
      </c>
      <c r="AD850" s="35" t="s">
        <v>79</v>
      </c>
      <c r="AE850" s="267"/>
      <c r="AF850" s="52"/>
      <c r="AG850" s="46"/>
    </row>
    <row r="851" ht="44.25" customHeight="1">
      <c r="A851" s="35">
        <v>850.0</v>
      </c>
      <c r="B851" s="35">
        <v>5562.0</v>
      </c>
      <c r="C851" s="35" t="s">
        <v>1323</v>
      </c>
      <c r="D851" s="35" t="s">
        <v>8760</v>
      </c>
      <c r="E851" s="35" t="s">
        <v>8761</v>
      </c>
      <c r="F851" s="35" t="s">
        <v>11285</v>
      </c>
      <c r="G851" s="41" t="s">
        <v>11286</v>
      </c>
      <c r="H851" s="35" t="s">
        <v>59</v>
      </c>
      <c r="I851" s="35" t="s">
        <v>61</v>
      </c>
      <c r="J851" s="35" t="s">
        <v>62</v>
      </c>
      <c r="K851" s="35" t="s">
        <v>63</v>
      </c>
      <c r="L851" s="35">
        <v>67.0</v>
      </c>
      <c r="M851" s="35" t="s">
        <v>11287</v>
      </c>
      <c r="N851" s="52"/>
      <c r="O851" s="52"/>
      <c r="P851" s="35" t="s">
        <v>11289</v>
      </c>
      <c r="Q851" s="52"/>
      <c r="R851" s="35"/>
      <c r="S851" s="52"/>
      <c r="T851" s="35" t="s">
        <v>61</v>
      </c>
      <c r="U851" s="35">
        <v>16.0</v>
      </c>
      <c r="V851" s="35" t="s">
        <v>61</v>
      </c>
      <c r="W851" s="35" t="s">
        <v>74</v>
      </c>
      <c r="X851" s="35" t="s">
        <v>11291</v>
      </c>
      <c r="Y851" s="35">
        <v>9.276632582E9</v>
      </c>
      <c r="Z851" s="35" t="s">
        <v>11292</v>
      </c>
      <c r="AA851" s="46">
        <v>46023.0</v>
      </c>
      <c r="AB851" s="46">
        <v>46387.0</v>
      </c>
      <c r="AC851" s="35" t="s">
        <v>11293</v>
      </c>
      <c r="AD851" s="35" t="s">
        <v>79</v>
      </c>
      <c r="AE851" s="267"/>
      <c r="AF851" s="52"/>
      <c r="AG851" s="46"/>
    </row>
    <row r="852" ht="44.25" customHeight="1">
      <c r="A852" s="35">
        <v>851.0</v>
      </c>
      <c r="B852" s="35">
        <v>38398.0</v>
      </c>
      <c r="C852" s="35" t="s">
        <v>1323</v>
      </c>
      <c r="D852" s="35" t="s">
        <v>8760</v>
      </c>
      <c r="E852" s="35" t="s">
        <v>8761</v>
      </c>
      <c r="F852" s="35" t="s">
        <v>3177</v>
      </c>
      <c r="G852" s="41" t="s">
        <v>11296</v>
      </c>
      <c r="H852" s="35" t="s">
        <v>59</v>
      </c>
      <c r="I852" s="35" t="s">
        <v>61</v>
      </c>
      <c r="J852" s="35" t="s">
        <v>62</v>
      </c>
      <c r="K852" s="35" t="s">
        <v>63</v>
      </c>
      <c r="L852" s="35">
        <v>15.0</v>
      </c>
      <c r="M852" s="35" t="s">
        <v>11298</v>
      </c>
      <c r="N852" s="52"/>
      <c r="O852" s="52"/>
      <c r="P852" s="35" t="s">
        <v>11299</v>
      </c>
      <c r="Q852" s="52"/>
      <c r="R852" s="35"/>
      <c r="S852" s="52"/>
      <c r="T852" s="35" t="s">
        <v>61</v>
      </c>
      <c r="U852" s="35">
        <v>6.0</v>
      </c>
      <c r="V852" s="35" t="s">
        <v>61</v>
      </c>
      <c r="W852" s="35" t="s">
        <v>74</v>
      </c>
      <c r="X852" s="35" t="s">
        <v>11300</v>
      </c>
      <c r="Y852" s="35" t="s">
        <v>11301</v>
      </c>
      <c r="Z852" s="35" t="s">
        <v>11302</v>
      </c>
      <c r="AA852" s="46">
        <v>46023.0</v>
      </c>
      <c r="AB852" s="46">
        <v>46387.0</v>
      </c>
      <c r="AC852" s="35" t="s">
        <v>11303</v>
      </c>
      <c r="AD852" s="35" t="s">
        <v>79</v>
      </c>
      <c r="AE852" s="267"/>
      <c r="AF852" s="52"/>
      <c r="AG852" s="46"/>
    </row>
    <row r="853" ht="44.25" customHeight="1">
      <c r="A853" s="35">
        <v>852.0</v>
      </c>
      <c r="B853" s="35">
        <v>349.0</v>
      </c>
      <c r="C853" s="35" t="s">
        <v>1323</v>
      </c>
      <c r="D853" s="35" t="s">
        <v>8760</v>
      </c>
      <c r="E853" s="35" t="s">
        <v>8761</v>
      </c>
      <c r="F853" s="35" t="s">
        <v>11304</v>
      </c>
      <c r="G853" s="41" t="s">
        <v>11305</v>
      </c>
      <c r="H853" s="35" t="s">
        <v>59</v>
      </c>
      <c r="I853" s="35" t="s">
        <v>61</v>
      </c>
      <c r="J853" s="35" t="s">
        <v>62</v>
      </c>
      <c r="K853" s="35" t="s">
        <v>63</v>
      </c>
      <c r="L853" s="35">
        <v>18.0</v>
      </c>
      <c r="M853" s="35" t="s">
        <v>11307</v>
      </c>
      <c r="N853" s="52"/>
      <c r="O853" s="52"/>
      <c r="P853" s="35" t="s">
        <v>11308</v>
      </c>
      <c r="Q853" s="52"/>
      <c r="R853" s="35"/>
      <c r="S853" s="52"/>
      <c r="T853" s="35" t="s">
        <v>61</v>
      </c>
      <c r="U853" s="35" t="s">
        <v>61</v>
      </c>
      <c r="V853" s="35" t="s">
        <v>61</v>
      </c>
      <c r="W853" s="35" t="s">
        <v>74</v>
      </c>
      <c r="X853" s="35" t="s">
        <v>11310</v>
      </c>
      <c r="Y853" s="35">
        <v>9.959857717E9</v>
      </c>
      <c r="Z853" s="35" t="s">
        <v>11311</v>
      </c>
      <c r="AA853" s="46">
        <v>46023.0</v>
      </c>
      <c r="AB853" s="46">
        <v>46387.0</v>
      </c>
      <c r="AC853" s="35" t="s">
        <v>11313</v>
      </c>
      <c r="AD853" s="35" t="s">
        <v>79</v>
      </c>
      <c r="AE853" s="267"/>
      <c r="AF853" s="52"/>
      <c r="AG853" s="46"/>
    </row>
    <row r="854" ht="44.25" customHeight="1">
      <c r="A854" s="35">
        <v>853.0</v>
      </c>
      <c r="B854" s="35">
        <v>321.0</v>
      </c>
      <c r="C854" s="35" t="s">
        <v>1323</v>
      </c>
      <c r="D854" s="35" t="s">
        <v>3804</v>
      </c>
      <c r="E854" s="35" t="s">
        <v>11314</v>
      </c>
      <c r="F854" s="35" t="s">
        <v>11315</v>
      </c>
      <c r="G854" s="41" t="s">
        <v>11316</v>
      </c>
      <c r="H854" s="35" t="s">
        <v>59</v>
      </c>
      <c r="I854" s="35" t="s">
        <v>61</v>
      </c>
      <c r="J854" s="35" t="s">
        <v>62</v>
      </c>
      <c r="K854" s="35" t="s">
        <v>63</v>
      </c>
      <c r="L854" s="35">
        <v>17.0</v>
      </c>
      <c r="M854" s="35" t="s">
        <v>11319</v>
      </c>
      <c r="N854" s="52"/>
      <c r="O854" s="52"/>
      <c r="P854" s="35" t="s">
        <v>11320</v>
      </c>
      <c r="Q854" s="52"/>
      <c r="R854" s="35"/>
      <c r="S854" s="52"/>
      <c r="T854" s="35" t="s">
        <v>61</v>
      </c>
      <c r="U854" s="35" t="s">
        <v>61</v>
      </c>
      <c r="V854" s="35" t="s">
        <v>61</v>
      </c>
      <c r="W854" s="35" t="s">
        <v>74</v>
      </c>
      <c r="X854" s="35" t="s">
        <v>11322</v>
      </c>
      <c r="Y854" s="35">
        <v>9.176296084E9</v>
      </c>
      <c r="Z854" s="35" t="s">
        <v>11323</v>
      </c>
      <c r="AA854" s="46">
        <v>46023.0</v>
      </c>
      <c r="AB854" s="46">
        <v>46387.0</v>
      </c>
      <c r="AC854" s="35" t="s">
        <v>11325</v>
      </c>
      <c r="AD854" s="35" t="s">
        <v>79</v>
      </c>
      <c r="AE854" s="187"/>
      <c r="AF854" s="52"/>
      <c r="AG854" s="46"/>
    </row>
    <row r="855" ht="44.25" customHeight="1">
      <c r="A855" s="35">
        <v>854.0</v>
      </c>
      <c r="B855" s="35">
        <v>51267.0</v>
      </c>
      <c r="C855" s="35" t="s">
        <v>1418</v>
      </c>
      <c r="D855" s="35" t="s">
        <v>2333</v>
      </c>
      <c r="E855" s="35" t="s">
        <v>11327</v>
      </c>
      <c r="F855" s="35" t="s">
        <v>11328</v>
      </c>
      <c r="G855" s="41" t="s">
        <v>11329</v>
      </c>
      <c r="H855" s="35" t="s">
        <v>59</v>
      </c>
      <c r="I855" s="52"/>
      <c r="J855" s="35" t="s">
        <v>62</v>
      </c>
      <c r="K855" s="35" t="s">
        <v>63</v>
      </c>
      <c r="L855" s="35">
        <v>12.0</v>
      </c>
      <c r="M855" s="35" t="s">
        <v>8910</v>
      </c>
      <c r="N855" s="64"/>
      <c r="O855" s="64"/>
      <c r="P855" s="35" t="s">
        <v>11332</v>
      </c>
      <c r="Q855" s="35" t="s">
        <v>61</v>
      </c>
      <c r="R855" s="35"/>
      <c r="S855" s="35"/>
      <c r="T855" s="268" t="s">
        <v>61</v>
      </c>
      <c r="U855" s="268" t="s">
        <v>61</v>
      </c>
      <c r="V855" s="268" t="s">
        <v>61</v>
      </c>
      <c r="W855" s="268" t="s">
        <v>74</v>
      </c>
      <c r="X855" s="268" t="s">
        <v>11335</v>
      </c>
      <c r="Y855" s="268" t="s">
        <v>11336</v>
      </c>
      <c r="Z855" s="269" t="s">
        <v>11337</v>
      </c>
      <c r="AA855" s="73">
        <v>46023.0</v>
      </c>
      <c r="AB855" s="73">
        <v>46387.0</v>
      </c>
      <c r="AC855" s="268" t="s">
        <v>11339</v>
      </c>
      <c r="AD855" s="268" t="s">
        <v>79</v>
      </c>
      <c r="AE855" s="268" t="s">
        <v>61</v>
      </c>
      <c r="AF855" s="219"/>
      <c r="AG855" s="73"/>
    </row>
    <row r="856" ht="44.25" customHeight="1">
      <c r="A856" s="35">
        <v>855.0</v>
      </c>
      <c r="B856" s="35">
        <v>32925.0</v>
      </c>
      <c r="C856" s="35" t="s">
        <v>1418</v>
      </c>
      <c r="D856" s="35" t="s">
        <v>2333</v>
      </c>
      <c r="E856" s="35" t="s">
        <v>2334</v>
      </c>
      <c r="F856" s="35" t="s">
        <v>11341</v>
      </c>
      <c r="G856" s="41" t="s">
        <v>11342</v>
      </c>
      <c r="H856" s="35" t="s">
        <v>59</v>
      </c>
      <c r="I856" s="35" t="s">
        <v>61</v>
      </c>
      <c r="J856" s="35" t="s">
        <v>62</v>
      </c>
      <c r="K856" s="35" t="s">
        <v>63</v>
      </c>
      <c r="L856" s="35">
        <v>28.0</v>
      </c>
      <c r="M856" s="35" t="s">
        <v>8910</v>
      </c>
      <c r="N856" s="64"/>
      <c r="O856" s="64"/>
      <c r="P856" s="35" t="s">
        <v>11343</v>
      </c>
      <c r="Q856" s="35" t="s">
        <v>61</v>
      </c>
      <c r="R856" s="35"/>
      <c r="S856" s="35"/>
      <c r="T856" s="268" t="s">
        <v>61</v>
      </c>
      <c r="U856" s="268" t="s">
        <v>61</v>
      </c>
      <c r="V856" s="268" t="s">
        <v>61</v>
      </c>
      <c r="W856" s="268" t="s">
        <v>74</v>
      </c>
      <c r="X856" s="268" t="s">
        <v>11344</v>
      </c>
      <c r="Y856" s="268" t="s">
        <v>11345</v>
      </c>
      <c r="Z856" s="268" t="s">
        <v>11346</v>
      </c>
      <c r="AA856" s="73">
        <v>46023.0</v>
      </c>
      <c r="AB856" s="73">
        <v>46387.0</v>
      </c>
      <c r="AC856" s="268" t="s">
        <v>11347</v>
      </c>
      <c r="AD856" s="268" t="s">
        <v>79</v>
      </c>
      <c r="AE856" s="268" t="s">
        <v>61</v>
      </c>
      <c r="AF856" s="219"/>
      <c r="AG856" s="73"/>
    </row>
    <row r="857" ht="44.25" customHeight="1">
      <c r="A857" s="35">
        <v>856.0</v>
      </c>
      <c r="B857" s="35">
        <v>32923.0</v>
      </c>
      <c r="C857" s="35" t="s">
        <v>1418</v>
      </c>
      <c r="D857" s="35" t="s">
        <v>2333</v>
      </c>
      <c r="E857" s="35" t="s">
        <v>2334</v>
      </c>
      <c r="F857" s="35" t="s">
        <v>11349</v>
      </c>
      <c r="G857" s="41" t="s">
        <v>11350</v>
      </c>
      <c r="H857" s="35" t="s">
        <v>59</v>
      </c>
      <c r="I857" s="35" t="s">
        <v>61</v>
      </c>
      <c r="J857" s="35" t="s">
        <v>62</v>
      </c>
      <c r="K857" s="35" t="s">
        <v>63</v>
      </c>
      <c r="L857" s="35">
        <v>30.0</v>
      </c>
      <c r="M857" s="35" t="s">
        <v>11352</v>
      </c>
      <c r="N857" s="64"/>
      <c r="O857" s="64"/>
      <c r="P857" s="35" t="s">
        <v>11353</v>
      </c>
      <c r="Q857" s="35" t="s">
        <v>61</v>
      </c>
      <c r="R857" s="35"/>
      <c r="S857" s="35"/>
      <c r="T857" s="268" t="s">
        <v>61</v>
      </c>
      <c r="U857" s="268">
        <v>26.0</v>
      </c>
      <c r="V857" s="268" t="s">
        <v>61</v>
      </c>
      <c r="W857" s="268" t="s">
        <v>74</v>
      </c>
      <c r="X857" s="268" t="s">
        <v>11355</v>
      </c>
      <c r="Y857" s="268" t="s">
        <v>11356</v>
      </c>
      <c r="Z857" s="268" t="s">
        <v>11357</v>
      </c>
      <c r="AA857" s="73">
        <v>46023.0</v>
      </c>
      <c r="AB857" s="73">
        <v>46387.0</v>
      </c>
      <c r="AC857" s="268" t="s">
        <v>11358</v>
      </c>
      <c r="AD857" s="268" t="s">
        <v>79</v>
      </c>
      <c r="AE857" s="268" t="s">
        <v>61</v>
      </c>
      <c r="AF857" s="219"/>
      <c r="AG857" s="73"/>
    </row>
    <row r="858" ht="44.25" customHeight="1">
      <c r="A858" s="35">
        <v>857.0</v>
      </c>
      <c r="B858" s="35">
        <v>671.0</v>
      </c>
      <c r="C858" s="35" t="s">
        <v>1418</v>
      </c>
      <c r="D858" s="35" t="s">
        <v>2333</v>
      </c>
      <c r="E858" s="35" t="s">
        <v>2334</v>
      </c>
      <c r="F858" s="35" t="s">
        <v>11359</v>
      </c>
      <c r="G858" s="41" t="s">
        <v>11360</v>
      </c>
      <c r="H858" s="35" t="s">
        <v>59</v>
      </c>
      <c r="I858" s="35" t="s">
        <v>61</v>
      </c>
      <c r="J858" s="35" t="s">
        <v>62</v>
      </c>
      <c r="K858" s="35" t="s">
        <v>63</v>
      </c>
      <c r="L858" s="35">
        <v>50.0</v>
      </c>
      <c r="M858" s="35" t="s">
        <v>8910</v>
      </c>
      <c r="N858" s="64"/>
      <c r="O858" s="64"/>
      <c r="P858" s="35" t="s">
        <v>11362</v>
      </c>
      <c r="Q858" s="35" t="s">
        <v>61</v>
      </c>
      <c r="R858" s="35"/>
      <c r="S858" s="35"/>
      <c r="T858" s="268" t="s">
        <v>61</v>
      </c>
      <c r="U858" s="268" t="s">
        <v>61</v>
      </c>
      <c r="V858" s="268" t="s">
        <v>61</v>
      </c>
      <c r="W858" s="268" t="s">
        <v>74</v>
      </c>
      <c r="X858" s="268" t="s">
        <v>11364</v>
      </c>
      <c r="Y858" s="268" t="s">
        <v>11365</v>
      </c>
      <c r="Z858" s="268" t="s">
        <v>11366</v>
      </c>
      <c r="AA858" s="73">
        <v>46023.0</v>
      </c>
      <c r="AB858" s="73">
        <v>46387.0</v>
      </c>
      <c r="AC858" s="268" t="s">
        <v>11367</v>
      </c>
      <c r="AD858" s="268" t="s">
        <v>79</v>
      </c>
      <c r="AE858" s="268" t="s">
        <v>61</v>
      </c>
      <c r="AF858" s="219"/>
      <c r="AG858" s="73"/>
    </row>
    <row r="859" ht="44.25" customHeight="1">
      <c r="A859" s="35">
        <v>858.0</v>
      </c>
      <c r="B859" s="35">
        <v>23641.0</v>
      </c>
      <c r="C859" s="35" t="s">
        <v>1418</v>
      </c>
      <c r="D859" s="35" t="s">
        <v>2333</v>
      </c>
      <c r="E859" s="35" t="s">
        <v>2334</v>
      </c>
      <c r="F859" s="35" t="s">
        <v>11368</v>
      </c>
      <c r="G859" s="41" t="s">
        <v>11369</v>
      </c>
      <c r="H859" s="35" t="s">
        <v>59</v>
      </c>
      <c r="I859" s="35" t="s">
        <v>61</v>
      </c>
      <c r="J859" s="35" t="s">
        <v>62</v>
      </c>
      <c r="K859" s="35" t="s">
        <v>63</v>
      </c>
      <c r="L859" s="35">
        <v>30.0</v>
      </c>
      <c r="M859" s="35" t="s">
        <v>8910</v>
      </c>
      <c r="N859" s="64"/>
      <c r="O859" s="64"/>
      <c r="P859" s="35" t="s">
        <v>11371</v>
      </c>
      <c r="Q859" s="35" t="s">
        <v>61</v>
      </c>
      <c r="R859" s="35"/>
      <c r="S859" s="35"/>
      <c r="T859" s="268" t="s">
        <v>61</v>
      </c>
      <c r="U859" s="268" t="s">
        <v>61</v>
      </c>
      <c r="V859" s="268" t="s">
        <v>61</v>
      </c>
      <c r="W859" s="268" t="s">
        <v>74</v>
      </c>
      <c r="X859" s="268" t="s">
        <v>11373</v>
      </c>
      <c r="Y859" s="268" t="s">
        <v>11374</v>
      </c>
      <c r="Z859" s="269" t="s">
        <v>11375</v>
      </c>
      <c r="AA859" s="73">
        <v>46023.0</v>
      </c>
      <c r="AB859" s="73">
        <v>46387.0</v>
      </c>
      <c r="AC859" s="268" t="s">
        <v>11377</v>
      </c>
      <c r="AD859" s="268" t="s">
        <v>79</v>
      </c>
      <c r="AE859" s="268" t="s">
        <v>61</v>
      </c>
      <c r="AF859" s="219"/>
      <c r="AG859" s="73"/>
    </row>
    <row r="860" ht="44.25" customHeight="1">
      <c r="A860" s="35">
        <v>859.0</v>
      </c>
      <c r="B860" s="35">
        <v>23636.0</v>
      </c>
      <c r="C860" s="35" t="s">
        <v>1418</v>
      </c>
      <c r="D860" s="35" t="s">
        <v>2333</v>
      </c>
      <c r="E860" s="35" t="s">
        <v>8964</v>
      </c>
      <c r="F860" s="35" t="s">
        <v>8966</v>
      </c>
      <c r="G860" s="41" t="s">
        <v>11378</v>
      </c>
      <c r="H860" s="35" t="s">
        <v>59</v>
      </c>
      <c r="I860" s="35" t="s">
        <v>61</v>
      </c>
      <c r="J860" s="35" t="s">
        <v>62</v>
      </c>
      <c r="K860" s="35" t="s">
        <v>63</v>
      </c>
      <c r="L860" s="35">
        <v>50.0</v>
      </c>
      <c r="M860" s="35" t="s">
        <v>8910</v>
      </c>
      <c r="N860" s="64"/>
      <c r="O860" s="64"/>
      <c r="P860" s="35" t="s">
        <v>11381</v>
      </c>
      <c r="Q860" s="35" t="s">
        <v>61</v>
      </c>
      <c r="R860" s="35"/>
      <c r="S860" s="35"/>
      <c r="T860" s="268" t="s">
        <v>61</v>
      </c>
      <c r="U860" s="268" t="s">
        <v>61</v>
      </c>
      <c r="V860" s="268" t="s">
        <v>61</v>
      </c>
      <c r="W860" s="268" t="s">
        <v>74</v>
      </c>
      <c r="X860" s="268" t="s">
        <v>11383</v>
      </c>
      <c r="Y860" s="268" t="s">
        <v>11384</v>
      </c>
      <c r="Z860" s="268" t="s">
        <v>11386</v>
      </c>
      <c r="AA860" s="73">
        <v>46023.0</v>
      </c>
      <c r="AB860" s="73">
        <v>46387.0</v>
      </c>
      <c r="AC860" s="268" t="s">
        <v>11387</v>
      </c>
      <c r="AD860" s="268" t="s">
        <v>79</v>
      </c>
      <c r="AE860" s="268" t="s">
        <v>61</v>
      </c>
      <c r="AF860" s="219"/>
      <c r="AG860" s="73"/>
    </row>
    <row r="861" ht="44.25" customHeight="1">
      <c r="A861" s="35">
        <v>860.0</v>
      </c>
      <c r="B861" s="35">
        <v>3976.0</v>
      </c>
      <c r="C861" s="35" t="s">
        <v>1418</v>
      </c>
      <c r="D861" s="35" t="s">
        <v>2538</v>
      </c>
      <c r="E861" s="35" t="s">
        <v>2595</v>
      </c>
      <c r="F861" s="35" t="s">
        <v>11388</v>
      </c>
      <c r="G861" s="41" t="s">
        <v>11389</v>
      </c>
      <c r="H861" s="35" t="s">
        <v>59</v>
      </c>
      <c r="I861" s="35" t="s">
        <v>61</v>
      </c>
      <c r="J861" s="35" t="s">
        <v>62</v>
      </c>
      <c r="K861" s="35" t="s">
        <v>63</v>
      </c>
      <c r="L861" s="35">
        <v>16.0</v>
      </c>
      <c r="M861" s="35" t="s">
        <v>8910</v>
      </c>
      <c r="N861" s="64"/>
      <c r="O861" s="64"/>
      <c r="P861" s="35" t="s">
        <v>11391</v>
      </c>
      <c r="Q861" s="35" t="s">
        <v>61</v>
      </c>
      <c r="R861" s="35"/>
      <c r="S861" s="35"/>
      <c r="T861" s="268" t="s">
        <v>61</v>
      </c>
      <c r="U861" s="268" t="s">
        <v>61</v>
      </c>
      <c r="V861" s="268" t="s">
        <v>61</v>
      </c>
      <c r="W861" s="268" t="s">
        <v>74</v>
      </c>
      <c r="X861" s="268" t="s">
        <v>11392</v>
      </c>
      <c r="Y861" s="268" t="s">
        <v>11393</v>
      </c>
      <c r="Z861" s="269" t="s">
        <v>11394</v>
      </c>
      <c r="AA861" s="73">
        <v>46023.0</v>
      </c>
      <c r="AB861" s="73">
        <v>46387.0</v>
      </c>
      <c r="AC861" s="268" t="s">
        <v>11395</v>
      </c>
      <c r="AD861" s="268" t="s">
        <v>79</v>
      </c>
      <c r="AE861" s="268" t="s">
        <v>3695</v>
      </c>
      <c r="AF861" s="268" t="s">
        <v>11397</v>
      </c>
      <c r="AG861" s="73"/>
    </row>
    <row r="862" ht="44.25" customHeight="1">
      <c r="A862" s="35">
        <v>861.0</v>
      </c>
      <c r="B862" s="35">
        <v>458.0</v>
      </c>
      <c r="C862" s="35" t="s">
        <v>1418</v>
      </c>
      <c r="D862" s="35" t="s">
        <v>2538</v>
      </c>
      <c r="E862" s="35" t="s">
        <v>2595</v>
      </c>
      <c r="F862" s="35" t="s">
        <v>11399</v>
      </c>
      <c r="G862" s="41" t="s">
        <v>11400</v>
      </c>
      <c r="H862" s="35" t="s">
        <v>59</v>
      </c>
      <c r="I862" s="35" t="s">
        <v>61</v>
      </c>
      <c r="J862" s="35" t="s">
        <v>62</v>
      </c>
      <c r="K862" s="35" t="s">
        <v>63</v>
      </c>
      <c r="L862" s="35">
        <v>30.0</v>
      </c>
      <c r="M862" s="35" t="s">
        <v>8910</v>
      </c>
      <c r="N862" s="64"/>
      <c r="O862" s="64"/>
      <c r="P862" s="35" t="s">
        <v>11403</v>
      </c>
      <c r="Q862" s="35" t="s">
        <v>61</v>
      </c>
      <c r="R862" s="35"/>
      <c r="S862" s="35"/>
      <c r="T862" s="268" t="s">
        <v>61</v>
      </c>
      <c r="U862" s="268" t="s">
        <v>61</v>
      </c>
      <c r="V862" s="268" t="s">
        <v>61</v>
      </c>
      <c r="W862" s="268" t="s">
        <v>74</v>
      </c>
      <c r="X862" s="268" t="s">
        <v>11404</v>
      </c>
      <c r="Y862" s="268" t="s">
        <v>11405</v>
      </c>
      <c r="Z862" s="268" t="s">
        <v>11406</v>
      </c>
      <c r="AA862" s="73">
        <v>46023.0</v>
      </c>
      <c r="AB862" s="73">
        <v>46387.0</v>
      </c>
      <c r="AC862" s="268" t="s">
        <v>11407</v>
      </c>
      <c r="AD862" s="268" t="s">
        <v>79</v>
      </c>
      <c r="AE862" s="268" t="s">
        <v>61</v>
      </c>
      <c r="AF862" s="219"/>
      <c r="AG862" s="73"/>
    </row>
    <row r="863" ht="44.25" customHeight="1">
      <c r="A863" s="35">
        <v>862.0</v>
      </c>
      <c r="B863" s="35">
        <v>37388.0</v>
      </c>
      <c r="C863" s="35" t="s">
        <v>1418</v>
      </c>
      <c r="D863" s="35" t="s">
        <v>2538</v>
      </c>
      <c r="E863" s="35" t="s">
        <v>2595</v>
      </c>
      <c r="F863" s="35" t="s">
        <v>11411</v>
      </c>
      <c r="G863" s="41" t="s">
        <v>11413</v>
      </c>
      <c r="H863" s="35" t="s">
        <v>59</v>
      </c>
      <c r="I863" s="35" t="s">
        <v>61</v>
      </c>
      <c r="J863" s="35" t="s">
        <v>62</v>
      </c>
      <c r="K863" s="35" t="s">
        <v>63</v>
      </c>
      <c r="L863" s="35">
        <v>24.0</v>
      </c>
      <c r="M863" s="35" t="s">
        <v>8910</v>
      </c>
      <c r="N863" s="64"/>
      <c r="O863" s="64"/>
      <c r="P863" s="35" t="s">
        <v>11415</v>
      </c>
      <c r="Q863" s="35" t="s">
        <v>61</v>
      </c>
      <c r="R863" s="35"/>
      <c r="S863" s="35"/>
      <c r="T863" s="268" t="s">
        <v>61</v>
      </c>
      <c r="U863" s="268">
        <v>8.0</v>
      </c>
      <c r="V863" s="268" t="s">
        <v>61</v>
      </c>
      <c r="W863" s="268" t="s">
        <v>74</v>
      </c>
      <c r="X863" s="268" t="s">
        <v>11416</v>
      </c>
      <c r="Y863" s="268" t="s">
        <v>11417</v>
      </c>
      <c r="Z863" s="268" t="s">
        <v>11418</v>
      </c>
      <c r="AA863" s="73">
        <v>46023.0</v>
      </c>
      <c r="AB863" s="73">
        <v>46387.0</v>
      </c>
      <c r="AC863" s="268" t="s">
        <v>11419</v>
      </c>
      <c r="AD863" s="268" t="s">
        <v>79</v>
      </c>
      <c r="AE863" s="268" t="s">
        <v>61</v>
      </c>
      <c r="AF863" s="219"/>
      <c r="AG863" s="73"/>
    </row>
    <row r="864" ht="44.25" customHeight="1">
      <c r="A864" s="35">
        <v>863.0</v>
      </c>
      <c r="B864" s="35">
        <v>32921.0</v>
      </c>
      <c r="C864" s="35" t="s">
        <v>1418</v>
      </c>
      <c r="D864" s="35" t="s">
        <v>9100</v>
      </c>
      <c r="E864" s="35" t="s">
        <v>11421</v>
      </c>
      <c r="F864" s="35" t="s">
        <v>596</v>
      </c>
      <c r="G864" s="41" t="s">
        <v>11422</v>
      </c>
      <c r="H864" s="35" t="s">
        <v>59</v>
      </c>
      <c r="I864" s="35" t="s">
        <v>61</v>
      </c>
      <c r="J864" s="35" t="s">
        <v>62</v>
      </c>
      <c r="K864" s="35" t="s">
        <v>63</v>
      </c>
      <c r="L864" s="35">
        <v>23.0</v>
      </c>
      <c r="M864" s="35" t="s">
        <v>8910</v>
      </c>
      <c r="N864" s="64"/>
      <c r="O864" s="64"/>
      <c r="P864" s="35" t="s">
        <v>11425</v>
      </c>
      <c r="Q864" s="35" t="s">
        <v>61</v>
      </c>
      <c r="R864" s="35"/>
      <c r="S864" s="52"/>
      <c r="T864" s="268" t="s">
        <v>61</v>
      </c>
      <c r="U864" s="268" t="s">
        <v>61</v>
      </c>
      <c r="V864" s="268" t="s">
        <v>61</v>
      </c>
      <c r="W864" s="268" t="s">
        <v>74</v>
      </c>
      <c r="X864" s="35" t="s">
        <v>11427</v>
      </c>
      <c r="Y864" s="268" t="s">
        <v>11428</v>
      </c>
      <c r="Z864" s="268" t="s">
        <v>11429</v>
      </c>
      <c r="AA864" s="73">
        <v>46023.0</v>
      </c>
      <c r="AB864" s="73">
        <v>46387.0</v>
      </c>
      <c r="AC864" s="268" t="s">
        <v>11431</v>
      </c>
      <c r="AD864" s="268" t="s">
        <v>79</v>
      </c>
      <c r="AE864" s="268" t="s">
        <v>61</v>
      </c>
      <c r="AF864" s="219"/>
      <c r="AG864" s="73"/>
    </row>
    <row r="865" ht="44.25" customHeight="1">
      <c r="A865" s="35">
        <v>864.0</v>
      </c>
      <c r="B865" s="35">
        <v>38499.0</v>
      </c>
      <c r="C865" s="35" t="s">
        <v>1418</v>
      </c>
      <c r="D865" s="35" t="s">
        <v>9100</v>
      </c>
      <c r="E865" s="35" t="s">
        <v>11432</v>
      </c>
      <c r="F865" s="35" t="s">
        <v>11433</v>
      </c>
      <c r="G865" s="41" t="s">
        <v>11434</v>
      </c>
      <c r="H865" s="35" t="s">
        <v>59</v>
      </c>
      <c r="I865" s="52"/>
      <c r="J865" s="35" t="s">
        <v>62</v>
      </c>
      <c r="K865" s="35" t="s">
        <v>63</v>
      </c>
      <c r="L865" s="35">
        <v>25.0</v>
      </c>
      <c r="M865" s="35" t="s">
        <v>8910</v>
      </c>
      <c r="N865" s="64"/>
      <c r="O865" s="64"/>
      <c r="P865" s="35" t="s">
        <v>11437</v>
      </c>
      <c r="Q865" s="35" t="s">
        <v>61</v>
      </c>
      <c r="R865" s="35"/>
      <c r="S865" s="35"/>
      <c r="T865" s="268" t="s">
        <v>61</v>
      </c>
      <c r="U865" s="268" t="s">
        <v>61</v>
      </c>
      <c r="V865" s="268" t="s">
        <v>61</v>
      </c>
      <c r="W865" s="268" t="s">
        <v>74</v>
      </c>
      <c r="X865" s="268" t="s">
        <v>11438</v>
      </c>
      <c r="Y865" s="268" t="s">
        <v>11440</v>
      </c>
      <c r="Z865" s="268" t="s">
        <v>11441</v>
      </c>
      <c r="AA865" s="73">
        <v>46023.0</v>
      </c>
      <c r="AB865" s="73">
        <v>46387.0</v>
      </c>
      <c r="AC865" s="268" t="s">
        <v>11442</v>
      </c>
      <c r="AD865" s="268" t="s">
        <v>79</v>
      </c>
      <c r="AE865" s="268" t="s">
        <v>61</v>
      </c>
      <c r="AF865" s="219"/>
      <c r="AG865" s="73"/>
    </row>
    <row r="866" ht="44.25" customHeight="1">
      <c r="A866" s="35">
        <v>865.0</v>
      </c>
      <c r="B866" s="35">
        <v>43831.0</v>
      </c>
      <c r="C866" s="35" t="s">
        <v>1418</v>
      </c>
      <c r="D866" s="35" t="s">
        <v>9100</v>
      </c>
      <c r="E866" s="35" t="s">
        <v>11444</v>
      </c>
      <c r="F866" s="35" t="s">
        <v>596</v>
      </c>
      <c r="G866" s="41" t="s">
        <v>11446</v>
      </c>
      <c r="H866" s="35" t="s">
        <v>59</v>
      </c>
      <c r="I866" s="35" t="s">
        <v>61</v>
      </c>
      <c r="J866" s="35" t="s">
        <v>62</v>
      </c>
      <c r="K866" s="35" t="s">
        <v>63</v>
      </c>
      <c r="L866" s="35">
        <v>70.0</v>
      </c>
      <c r="M866" s="35" t="s">
        <v>8910</v>
      </c>
      <c r="N866" s="64"/>
      <c r="O866" s="64"/>
      <c r="P866" s="35" t="s">
        <v>11449</v>
      </c>
      <c r="Q866" s="35" t="s">
        <v>61</v>
      </c>
      <c r="R866" s="35"/>
      <c r="S866" s="35"/>
      <c r="T866" s="268" t="s">
        <v>61</v>
      </c>
      <c r="U866" s="268" t="s">
        <v>61</v>
      </c>
      <c r="V866" s="268" t="s">
        <v>61</v>
      </c>
      <c r="W866" s="268" t="s">
        <v>74</v>
      </c>
      <c r="X866" s="268" t="s">
        <v>11450</v>
      </c>
      <c r="Y866" s="268" t="s">
        <v>11451</v>
      </c>
      <c r="Z866" s="268" t="s">
        <v>11452</v>
      </c>
      <c r="AA866" s="73">
        <v>46023.0</v>
      </c>
      <c r="AB866" s="73">
        <v>46387.0</v>
      </c>
      <c r="AC866" s="268" t="s">
        <v>11453</v>
      </c>
      <c r="AD866" s="268" t="s">
        <v>79</v>
      </c>
      <c r="AE866" s="268" t="s">
        <v>61</v>
      </c>
      <c r="AF866" s="219"/>
      <c r="AG866" s="73"/>
    </row>
  </sheetData>
  <hyperlinks>
    <hyperlink r:id="rId2" ref="Z106"/>
    <hyperlink r:id="rId3" ref="Z131"/>
  </hyperlinks>
  <printOptions gridLines="1" horizontalCentered="1"/>
  <pageMargins bottom="0.75" footer="0.0" header="0.0" left="0.7" right="0.7" top="0.75"/>
  <pageSetup fitToHeight="0" paperSize="9" cellComments="atEnd" orientation="landscape" pageOrder="overThenDown"/>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88"/>
    <col customWidth="1" hidden="1" min="2" max="2" width="9.75"/>
    <col customWidth="1" min="3" max="5" width="16.38"/>
    <col customWidth="1" min="6" max="7" width="37.63"/>
    <col customWidth="1" min="8" max="29" width="16.38"/>
    <col customWidth="1" min="30" max="30" width="15.13"/>
    <col customWidth="1" min="31" max="31" width="16.38"/>
  </cols>
  <sheetData>
    <row r="1" ht="75.75" customHeight="1">
      <c r="A1" s="26" t="s">
        <v>13</v>
      </c>
      <c r="B1" s="28" t="s">
        <v>14</v>
      </c>
      <c r="C1" s="28" t="s">
        <v>15</v>
      </c>
      <c r="D1" s="28" t="s">
        <v>16</v>
      </c>
      <c r="E1" s="28" t="s">
        <v>17</v>
      </c>
      <c r="F1" s="28" t="s">
        <v>18</v>
      </c>
      <c r="G1" s="26" t="s">
        <v>19</v>
      </c>
      <c r="H1" s="28" t="s">
        <v>20</v>
      </c>
      <c r="I1" s="28" t="s">
        <v>22</v>
      </c>
      <c r="J1" s="31" t="s">
        <v>23</v>
      </c>
      <c r="K1" s="28" t="s">
        <v>24</v>
      </c>
      <c r="L1" s="28" t="s">
        <v>25</v>
      </c>
      <c r="M1" s="28" t="s">
        <v>26</v>
      </c>
      <c r="N1" s="28" t="s">
        <v>27</v>
      </c>
      <c r="O1" s="26" t="s">
        <v>30</v>
      </c>
      <c r="P1" s="28" t="s">
        <v>29</v>
      </c>
      <c r="Q1" s="26" t="s">
        <v>31</v>
      </c>
      <c r="R1" s="26" t="s">
        <v>32</v>
      </c>
      <c r="S1" s="26" t="s">
        <v>33</v>
      </c>
      <c r="T1" s="28" t="s">
        <v>34</v>
      </c>
      <c r="U1" s="28" t="s">
        <v>38</v>
      </c>
      <c r="V1" s="26" t="s">
        <v>39</v>
      </c>
      <c r="W1" s="26" t="s">
        <v>41</v>
      </c>
      <c r="X1" s="26" t="s">
        <v>43</v>
      </c>
      <c r="Y1" s="28" t="s">
        <v>40</v>
      </c>
      <c r="Z1" s="28" t="s">
        <v>42</v>
      </c>
      <c r="AA1" s="28" t="s">
        <v>44</v>
      </c>
      <c r="AB1" s="34" t="s">
        <v>45</v>
      </c>
      <c r="AC1" s="34" t="s">
        <v>46</v>
      </c>
      <c r="AD1" s="28" t="s">
        <v>47</v>
      </c>
      <c r="AE1" s="28" t="s">
        <v>48</v>
      </c>
      <c r="AF1" s="28" t="s">
        <v>49</v>
      </c>
      <c r="AG1" s="28"/>
      <c r="AH1" s="28"/>
    </row>
    <row r="2" ht="45.75" customHeight="1">
      <c r="A2" s="36">
        <v>2.0</v>
      </c>
      <c r="B2" s="38" t="s">
        <v>51</v>
      </c>
      <c r="C2" s="39" t="s">
        <v>52</v>
      </c>
      <c r="D2" s="40" t="s">
        <v>53</v>
      </c>
      <c r="E2" s="39" t="s">
        <v>57</v>
      </c>
      <c r="F2" s="39" t="s">
        <v>58</v>
      </c>
      <c r="G2" s="42" t="s">
        <v>60</v>
      </c>
      <c r="H2" s="39" t="s">
        <v>64</v>
      </c>
      <c r="I2" s="40" t="s">
        <v>65</v>
      </c>
      <c r="J2" s="40" t="s">
        <v>62</v>
      </c>
      <c r="K2" s="40" t="s">
        <v>68</v>
      </c>
      <c r="L2" s="40">
        <v>400.0</v>
      </c>
      <c r="M2" s="40" t="s">
        <v>70</v>
      </c>
      <c r="N2" s="40" t="s">
        <v>71</v>
      </c>
      <c r="O2" s="40" t="s">
        <v>72</v>
      </c>
      <c r="P2" s="40" t="s">
        <v>73</v>
      </c>
      <c r="Q2" s="43"/>
      <c r="R2" s="45">
        <v>4.0</v>
      </c>
      <c r="S2" s="45">
        <f t="shared" ref="S2:S3" si="1">sum(Q2:R2)</f>
        <v>4</v>
      </c>
      <c r="T2" s="49"/>
      <c r="U2" s="40">
        <v>18.0</v>
      </c>
      <c r="V2" s="40" t="s">
        <v>61</v>
      </c>
      <c r="W2" s="49"/>
      <c r="X2" s="45" t="s">
        <v>93</v>
      </c>
      <c r="Y2" s="40" t="s">
        <v>94</v>
      </c>
      <c r="Z2" s="40">
        <v>9.171369594E9</v>
      </c>
      <c r="AA2" s="40" t="s">
        <v>96</v>
      </c>
      <c r="AB2" s="50">
        <v>45658.0</v>
      </c>
      <c r="AC2" s="50">
        <v>46022.0</v>
      </c>
      <c r="AD2" s="40" t="s">
        <v>99</v>
      </c>
      <c r="AE2" s="51" t="s">
        <v>79</v>
      </c>
      <c r="AF2" s="51" t="s">
        <v>61</v>
      </c>
      <c r="AG2" s="51" t="s">
        <v>103</v>
      </c>
      <c r="AH2" s="51"/>
    </row>
    <row r="3" ht="45.75" customHeight="1">
      <c r="A3" s="36">
        <v>6.0</v>
      </c>
      <c r="B3" s="38" t="s">
        <v>107</v>
      </c>
      <c r="C3" s="39" t="s">
        <v>52</v>
      </c>
      <c r="D3" s="40" t="s">
        <v>109</v>
      </c>
      <c r="E3" s="39" t="s">
        <v>112</v>
      </c>
      <c r="F3" s="39" t="s">
        <v>114</v>
      </c>
      <c r="G3" s="42" t="s">
        <v>115</v>
      </c>
      <c r="H3" s="39" t="s">
        <v>64</v>
      </c>
      <c r="I3" s="40" t="s">
        <v>65</v>
      </c>
      <c r="J3" s="40" t="s">
        <v>62</v>
      </c>
      <c r="K3" s="40" t="s">
        <v>111</v>
      </c>
      <c r="L3" s="40">
        <v>200.0</v>
      </c>
      <c r="M3" s="40" t="s">
        <v>124</v>
      </c>
      <c r="N3" s="40" t="s">
        <v>66</v>
      </c>
      <c r="O3" s="49"/>
      <c r="P3" s="40" t="s">
        <v>126</v>
      </c>
      <c r="Q3" s="43"/>
      <c r="R3" s="45">
        <v>1.0</v>
      </c>
      <c r="S3" s="45">
        <f t="shared" si="1"/>
        <v>1</v>
      </c>
      <c r="T3" s="40" t="s">
        <v>134</v>
      </c>
      <c r="U3" s="40">
        <v>12.0</v>
      </c>
      <c r="V3" s="40" t="s">
        <v>61</v>
      </c>
      <c r="W3" s="49"/>
      <c r="X3" s="45" t="s">
        <v>93</v>
      </c>
      <c r="Y3" s="40" t="s">
        <v>137</v>
      </c>
      <c r="Z3" s="54" t="s">
        <v>139</v>
      </c>
      <c r="AA3" s="40" t="s">
        <v>147</v>
      </c>
      <c r="AB3" s="50">
        <v>45658.0</v>
      </c>
      <c r="AC3" s="50">
        <v>46022.0</v>
      </c>
      <c r="AD3" s="40" t="s">
        <v>154</v>
      </c>
      <c r="AE3" s="51" t="s">
        <v>79</v>
      </c>
      <c r="AF3" s="51" t="s">
        <v>61</v>
      </c>
      <c r="AG3" s="55"/>
      <c r="AH3" s="51"/>
    </row>
    <row r="4" ht="45.75" customHeight="1">
      <c r="A4" s="36">
        <v>20.0</v>
      </c>
      <c r="B4" s="38" t="s">
        <v>162</v>
      </c>
      <c r="C4" s="39" t="s">
        <v>52</v>
      </c>
      <c r="D4" s="40" t="s">
        <v>166</v>
      </c>
      <c r="E4" s="39" t="s">
        <v>168</v>
      </c>
      <c r="F4" s="39" t="s">
        <v>170</v>
      </c>
      <c r="G4" s="42" t="s">
        <v>172</v>
      </c>
      <c r="H4" s="39" t="s">
        <v>64</v>
      </c>
      <c r="I4" s="40" t="s">
        <v>65</v>
      </c>
      <c r="J4" s="40" t="s">
        <v>62</v>
      </c>
      <c r="K4" s="40" t="s">
        <v>68</v>
      </c>
      <c r="L4" s="40">
        <v>306.0</v>
      </c>
      <c r="M4" s="40" t="s">
        <v>177</v>
      </c>
      <c r="N4" s="40" t="s">
        <v>71</v>
      </c>
      <c r="O4" s="40" t="s">
        <v>72</v>
      </c>
      <c r="P4" s="49" t="s">
        <v>181</v>
      </c>
      <c r="Q4" s="60">
        <v>0.0</v>
      </c>
      <c r="R4" s="45">
        <v>3.0</v>
      </c>
      <c r="S4" s="45">
        <v>3.0</v>
      </c>
      <c r="T4" s="49"/>
      <c r="U4" s="40">
        <v>13.0</v>
      </c>
      <c r="V4" s="40" t="s">
        <v>61</v>
      </c>
      <c r="W4" s="49"/>
      <c r="X4" s="45" t="s">
        <v>93</v>
      </c>
      <c r="Y4" s="40" t="s">
        <v>192</v>
      </c>
      <c r="Z4" s="40" t="s">
        <v>193</v>
      </c>
      <c r="AA4" s="40" t="s">
        <v>194</v>
      </c>
      <c r="AB4" s="50">
        <v>45658.0</v>
      </c>
      <c r="AC4" s="50">
        <v>46022.0</v>
      </c>
      <c r="AD4" s="40" t="s">
        <v>198</v>
      </c>
      <c r="AE4" s="51" t="s">
        <v>79</v>
      </c>
      <c r="AF4" s="51" t="s">
        <v>61</v>
      </c>
      <c r="AG4" s="51" t="s">
        <v>103</v>
      </c>
      <c r="AH4" s="51"/>
    </row>
    <row r="5" ht="45.75" customHeight="1">
      <c r="A5" s="36">
        <v>25.0</v>
      </c>
      <c r="B5" s="38" t="s">
        <v>202</v>
      </c>
      <c r="C5" s="39" t="s">
        <v>52</v>
      </c>
      <c r="D5" s="40" t="s">
        <v>206</v>
      </c>
      <c r="E5" s="39" t="s">
        <v>207</v>
      </c>
      <c r="F5" s="39" t="s">
        <v>208</v>
      </c>
      <c r="G5" s="42" t="s">
        <v>211</v>
      </c>
      <c r="H5" s="39" t="s">
        <v>64</v>
      </c>
      <c r="I5" s="40" t="s">
        <v>65</v>
      </c>
      <c r="J5" s="40" t="s">
        <v>62</v>
      </c>
      <c r="K5" s="40" t="s">
        <v>68</v>
      </c>
      <c r="L5" s="40">
        <v>300.0</v>
      </c>
      <c r="M5" s="40" t="s">
        <v>218</v>
      </c>
      <c r="N5" s="40" t="s">
        <v>221</v>
      </c>
      <c r="O5" s="40" t="s">
        <v>72</v>
      </c>
      <c r="P5" s="40" t="s">
        <v>224</v>
      </c>
      <c r="Q5" s="60">
        <v>0.0</v>
      </c>
      <c r="R5" s="45">
        <v>4.0</v>
      </c>
      <c r="S5" s="45">
        <f t="shared" ref="S5:S6" si="2">sum(Q5:R5)</f>
        <v>4</v>
      </c>
      <c r="T5" s="49"/>
      <c r="U5" s="40">
        <v>6.0</v>
      </c>
      <c r="V5" s="40" t="s">
        <v>61</v>
      </c>
      <c r="W5" s="49"/>
      <c r="X5" s="45" t="s">
        <v>93</v>
      </c>
      <c r="Y5" s="40" t="s">
        <v>239</v>
      </c>
      <c r="Z5" s="40" t="s">
        <v>243</v>
      </c>
      <c r="AA5" s="40" t="s">
        <v>246</v>
      </c>
      <c r="AB5" s="50">
        <v>45658.0</v>
      </c>
      <c r="AC5" s="50">
        <v>46022.0</v>
      </c>
      <c r="AD5" s="40" t="s">
        <v>250</v>
      </c>
      <c r="AE5" s="51" t="s">
        <v>79</v>
      </c>
      <c r="AF5" s="51" t="s">
        <v>61</v>
      </c>
      <c r="AG5" s="51" t="s">
        <v>103</v>
      </c>
      <c r="AH5" s="51"/>
    </row>
    <row r="6" ht="45.75" customHeight="1">
      <c r="A6" s="36">
        <v>32.0</v>
      </c>
      <c r="B6" s="40">
        <v>43601.0</v>
      </c>
      <c r="C6" s="39" t="s">
        <v>52</v>
      </c>
      <c r="D6" s="40" t="s">
        <v>206</v>
      </c>
      <c r="E6" s="39" t="s">
        <v>263</v>
      </c>
      <c r="F6" s="39" t="s">
        <v>266</v>
      </c>
      <c r="G6" s="42" t="s">
        <v>270</v>
      </c>
      <c r="H6" s="39" t="s">
        <v>64</v>
      </c>
      <c r="I6" s="40" t="s">
        <v>65</v>
      </c>
      <c r="J6" s="40" t="s">
        <v>62</v>
      </c>
      <c r="K6" s="40" t="s">
        <v>111</v>
      </c>
      <c r="L6" s="40">
        <v>103.0</v>
      </c>
      <c r="M6" s="40" t="s">
        <v>275</v>
      </c>
      <c r="N6" s="40" t="s">
        <v>71</v>
      </c>
      <c r="O6" s="49"/>
      <c r="P6" s="40" t="s">
        <v>280</v>
      </c>
      <c r="Q6" s="43"/>
      <c r="R6" s="45">
        <v>1.0</v>
      </c>
      <c r="S6" s="45">
        <f t="shared" si="2"/>
        <v>1</v>
      </c>
      <c r="T6" s="49"/>
      <c r="U6" s="49"/>
      <c r="V6" s="40" t="s">
        <v>61</v>
      </c>
      <c r="W6" s="49"/>
      <c r="X6" s="45" t="s">
        <v>93</v>
      </c>
      <c r="Y6" s="40" t="s">
        <v>297</v>
      </c>
      <c r="Z6" s="54" t="s">
        <v>301</v>
      </c>
      <c r="AA6" s="40" t="s">
        <v>303</v>
      </c>
      <c r="AB6" s="50">
        <v>45658.0</v>
      </c>
      <c r="AC6" s="50">
        <v>46022.0</v>
      </c>
      <c r="AD6" s="40" t="s">
        <v>305</v>
      </c>
      <c r="AE6" s="51" t="s">
        <v>79</v>
      </c>
      <c r="AF6" s="51" t="s">
        <v>165</v>
      </c>
      <c r="AG6" s="51" t="s">
        <v>307</v>
      </c>
      <c r="AH6" s="51"/>
    </row>
    <row r="7" ht="45.75" customHeight="1">
      <c r="A7" s="36">
        <v>37.0</v>
      </c>
      <c r="B7" s="38" t="s">
        <v>314</v>
      </c>
      <c r="C7" s="39" t="s">
        <v>188</v>
      </c>
      <c r="D7" s="40" t="s">
        <v>316</v>
      </c>
      <c r="E7" s="39" t="s">
        <v>317</v>
      </c>
      <c r="F7" s="39" t="s">
        <v>318</v>
      </c>
      <c r="G7" s="42" t="s">
        <v>323</v>
      </c>
      <c r="H7" s="39" t="s">
        <v>64</v>
      </c>
      <c r="I7" s="40" t="s">
        <v>65</v>
      </c>
      <c r="J7" s="40" t="s">
        <v>62</v>
      </c>
      <c r="K7" s="40" t="s">
        <v>111</v>
      </c>
      <c r="L7" s="40">
        <v>75.0</v>
      </c>
      <c r="M7" s="40" t="s">
        <v>334</v>
      </c>
      <c r="N7" s="40" t="s">
        <v>221</v>
      </c>
      <c r="O7" s="40"/>
      <c r="P7" s="40" t="s">
        <v>337</v>
      </c>
      <c r="Q7" s="49"/>
      <c r="R7" s="49"/>
      <c r="S7" s="49"/>
      <c r="T7" s="40"/>
      <c r="U7" s="60">
        <v>1.0</v>
      </c>
      <c r="V7" s="45">
        <v>1.0</v>
      </c>
      <c r="W7" s="40"/>
      <c r="X7" s="40" t="s">
        <v>93</v>
      </c>
      <c r="Y7" s="40" t="s">
        <v>346</v>
      </c>
      <c r="Z7" s="54" t="s">
        <v>349</v>
      </c>
      <c r="AA7" s="40" t="s">
        <v>352</v>
      </c>
      <c r="AB7" s="50">
        <v>45658.0</v>
      </c>
      <c r="AC7" s="50">
        <v>46022.0</v>
      </c>
      <c r="AD7" s="50" t="s">
        <v>354</v>
      </c>
      <c r="AE7" s="61" t="s">
        <v>79</v>
      </c>
      <c r="AF7" s="39" t="s">
        <v>61</v>
      </c>
      <c r="AG7" s="39"/>
      <c r="AH7" s="39"/>
    </row>
    <row r="8" ht="45.75" customHeight="1">
      <c r="A8" s="36">
        <v>45.0</v>
      </c>
      <c r="B8" s="38" t="s">
        <v>363</v>
      </c>
      <c r="C8" s="39" t="s">
        <v>188</v>
      </c>
      <c r="D8" s="40" t="s">
        <v>366</v>
      </c>
      <c r="E8" s="39" t="s">
        <v>368</v>
      </c>
      <c r="F8" s="39" t="s">
        <v>370</v>
      </c>
      <c r="G8" s="42" t="s">
        <v>373</v>
      </c>
      <c r="H8" s="39" t="s">
        <v>64</v>
      </c>
      <c r="I8" s="40" t="s">
        <v>65</v>
      </c>
      <c r="J8" s="40" t="s">
        <v>62</v>
      </c>
      <c r="K8" s="40" t="s">
        <v>68</v>
      </c>
      <c r="L8" s="40">
        <v>649.0</v>
      </c>
      <c r="M8" s="40" t="s">
        <v>391</v>
      </c>
      <c r="N8" s="40" t="s">
        <v>71</v>
      </c>
      <c r="O8" s="40" t="s">
        <v>72</v>
      </c>
      <c r="P8" s="40" t="s">
        <v>395</v>
      </c>
      <c r="Q8" s="49"/>
      <c r="R8" s="49"/>
      <c r="S8" s="49"/>
      <c r="T8" s="40"/>
      <c r="U8" s="60"/>
      <c r="V8" s="45"/>
      <c r="W8" s="40"/>
      <c r="X8" s="40" t="s">
        <v>93</v>
      </c>
      <c r="Y8" s="40" t="s">
        <v>403</v>
      </c>
      <c r="Z8" s="40" t="s">
        <v>405</v>
      </c>
      <c r="AA8" s="62" t="s">
        <v>408</v>
      </c>
      <c r="AB8" s="50">
        <v>45658.0</v>
      </c>
      <c r="AC8" s="50">
        <v>46022.0</v>
      </c>
      <c r="AD8" s="50" t="s">
        <v>473</v>
      </c>
      <c r="AE8" s="61" t="s">
        <v>79</v>
      </c>
      <c r="AF8" s="39" t="s">
        <v>61</v>
      </c>
      <c r="AG8" s="39"/>
      <c r="AH8" s="39"/>
    </row>
    <row r="9" ht="45.75" customHeight="1">
      <c r="A9" s="36">
        <v>54.0</v>
      </c>
      <c r="B9" s="38" t="s">
        <v>481</v>
      </c>
      <c r="C9" s="39" t="s">
        <v>188</v>
      </c>
      <c r="D9" s="40" t="s">
        <v>485</v>
      </c>
      <c r="E9" s="39" t="s">
        <v>487</v>
      </c>
      <c r="F9" s="39" t="s">
        <v>489</v>
      </c>
      <c r="G9" s="42" t="s">
        <v>491</v>
      </c>
      <c r="H9" s="39" t="s">
        <v>64</v>
      </c>
      <c r="I9" s="40" t="s">
        <v>65</v>
      </c>
      <c r="J9" s="40" t="s">
        <v>62</v>
      </c>
      <c r="K9" s="40" t="s">
        <v>68</v>
      </c>
      <c r="L9" s="40">
        <v>350.0</v>
      </c>
      <c r="M9" s="40" t="s">
        <v>501</v>
      </c>
      <c r="N9" s="40" t="s">
        <v>71</v>
      </c>
      <c r="O9" s="40" t="s">
        <v>72</v>
      </c>
      <c r="P9" s="40" t="s">
        <v>505</v>
      </c>
      <c r="Q9" s="49"/>
      <c r="R9" s="49"/>
      <c r="S9" s="60">
        <v>3.0</v>
      </c>
      <c r="T9" s="40"/>
      <c r="U9" s="45">
        <v>3.0</v>
      </c>
      <c r="V9" s="49"/>
      <c r="W9" s="40"/>
      <c r="X9" s="40" t="s">
        <v>93</v>
      </c>
      <c r="Y9" s="40" t="s">
        <v>513</v>
      </c>
      <c r="Z9" s="40" t="s">
        <v>514</v>
      </c>
      <c r="AA9" s="62" t="s">
        <v>515</v>
      </c>
      <c r="AB9" s="50">
        <v>45658.0</v>
      </c>
      <c r="AC9" s="50">
        <v>46022.0</v>
      </c>
      <c r="AD9" s="50" t="s">
        <v>523</v>
      </c>
      <c r="AE9" s="61" t="s">
        <v>79</v>
      </c>
      <c r="AF9" s="39" t="s">
        <v>165</v>
      </c>
      <c r="AG9" s="39"/>
      <c r="AH9" s="39"/>
    </row>
    <row r="10" ht="45.75" customHeight="1">
      <c r="A10" s="36">
        <v>56.0</v>
      </c>
      <c r="B10" s="38" t="s">
        <v>528</v>
      </c>
      <c r="C10" s="39" t="s">
        <v>188</v>
      </c>
      <c r="D10" s="40" t="s">
        <v>530</v>
      </c>
      <c r="E10" s="39" t="s">
        <v>532</v>
      </c>
      <c r="F10" s="39" t="s">
        <v>534</v>
      </c>
      <c r="G10" s="42" t="s">
        <v>537</v>
      </c>
      <c r="H10" s="39" t="s">
        <v>64</v>
      </c>
      <c r="I10" s="40" t="s">
        <v>65</v>
      </c>
      <c r="J10" s="40" t="s">
        <v>62</v>
      </c>
      <c r="K10" s="40" t="s">
        <v>68</v>
      </c>
      <c r="L10" s="40">
        <v>306.0</v>
      </c>
      <c r="M10" s="40" t="s">
        <v>545</v>
      </c>
      <c r="N10" s="40" t="s">
        <v>71</v>
      </c>
      <c r="O10" s="40" t="s">
        <v>72</v>
      </c>
      <c r="P10" s="40" t="s">
        <v>547</v>
      </c>
      <c r="Q10" s="49"/>
      <c r="R10" s="49"/>
      <c r="S10" s="40"/>
      <c r="T10" s="60">
        <v>2.0</v>
      </c>
      <c r="U10" s="45">
        <v>2.0</v>
      </c>
      <c r="V10" s="49"/>
      <c r="W10" s="40"/>
      <c r="X10" s="40" t="s">
        <v>93</v>
      </c>
      <c r="Y10" s="40" t="s">
        <v>554</v>
      </c>
      <c r="Z10" s="40" t="s">
        <v>556</v>
      </c>
      <c r="AA10" s="62" t="s">
        <v>558</v>
      </c>
      <c r="AB10" s="50">
        <v>45658.0</v>
      </c>
      <c r="AC10" s="50">
        <v>46022.0</v>
      </c>
      <c r="AD10" s="50" t="s">
        <v>568</v>
      </c>
      <c r="AE10" s="61" t="s">
        <v>79</v>
      </c>
      <c r="AF10" s="39" t="s">
        <v>165</v>
      </c>
      <c r="AG10" s="39"/>
      <c r="AH10" s="39"/>
    </row>
    <row r="11" ht="45.75" customHeight="1">
      <c r="A11" s="36">
        <v>62.0</v>
      </c>
      <c r="B11" s="38">
        <v>427.0</v>
      </c>
      <c r="C11" s="39" t="s">
        <v>265</v>
      </c>
      <c r="D11" s="40" t="s">
        <v>579</v>
      </c>
      <c r="E11" s="39" t="s">
        <v>580</v>
      </c>
      <c r="F11" s="39" t="s">
        <v>583</v>
      </c>
      <c r="G11" s="42" t="s">
        <v>585</v>
      </c>
      <c r="H11" s="39" t="s">
        <v>64</v>
      </c>
      <c r="I11" s="40" t="s">
        <v>65</v>
      </c>
      <c r="J11" s="40" t="s">
        <v>62</v>
      </c>
      <c r="K11" s="40" t="s">
        <v>68</v>
      </c>
      <c r="L11" s="40">
        <v>607.0</v>
      </c>
      <c r="M11" s="40" t="s">
        <v>593</v>
      </c>
      <c r="N11" s="40" t="s">
        <v>71</v>
      </c>
      <c r="O11" s="40" t="s">
        <v>72</v>
      </c>
      <c r="P11" s="40" t="s">
        <v>598</v>
      </c>
      <c r="Q11" s="49"/>
      <c r="R11" s="49"/>
      <c r="S11" s="49"/>
      <c r="T11" s="60"/>
      <c r="U11" s="45">
        <v>30.0</v>
      </c>
      <c r="V11" s="49"/>
      <c r="W11" s="45" t="s">
        <v>61</v>
      </c>
      <c r="X11" s="45" t="s">
        <v>93</v>
      </c>
      <c r="Y11" s="40" t="s">
        <v>628</v>
      </c>
      <c r="Z11" s="40" t="s">
        <v>629</v>
      </c>
      <c r="AA11" s="40" t="s">
        <v>632</v>
      </c>
      <c r="AB11" s="61">
        <v>45658.0</v>
      </c>
      <c r="AC11" s="61">
        <v>46022.0</v>
      </c>
      <c r="AD11" s="40" t="s">
        <v>636</v>
      </c>
      <c r="AE11" s="50" t="s">
        <v>638</v>
      </c>
      <c r="AF11" s="50" t="s">
        <v>643</v>
      </c>
      <c r="AG11" s="50"/>
      <c r="AH11" s="50"/>
    </row>
    <row r="12" ht="45.75" customHeight="1">
      <c r="A12" s="36">
        <v>65.0</v>
      </c>
      <c r="B12" s="38">
        <v>1977.0</v>
      </c>
      <c r="C12" s="39" t="s">
        <v>265</v>
      </c>
      <c r="D12" s="40" t="s">
        <v>579</v>
      </c>
      <c r="E12" s="39" t="s">
        <v>651</v>
      </c>
      <c r="F12" s="39" t="s">
        <v>652</v>
      </c>
      <c r="G12" s="42" t="s">
        <v>658</v>
      </c>
      <c r="H12" s="39" t="s">
        <v>64</v>
      </c>
      <c r="I12" s="40" t="s">
        <v>65</v>
      </c>
      <c r="J12" s="40" t="s">
        <v>663</v>
      </c>
      <c r="K12" s="40" t="s">
        <v>63</v>
      </c>
      <c r="L12" s="40">
        <v>18.0</v>
      </c>
      <c r="M12" s="40" t="s">
        <v>670</v>
      </c>
      <c r="N12" s="40" t="s">
        <v>66</v>
      </c>
      <c r="O12" s="40" t="s">
        <v>67</v>
      </c>
      <c r="P12" s="40" t="s">
        <v>673</v>
      </c>
      <c r="Q12" s="49"/>
      <c r="R12" s="49"/>
      <c r="S12" s="49"/>
      <c r="T12" s="60"/>
      <c r="U12" s="45"/>
      <c r="V12" s="49"/>
      <c r="W12" s="45" t="s">
        <v>61</v>
      </c>
      <c r="X12" s="45" t="s">
        <v>74</v>
      </c>
      <c r="Y12" s="40" t="s">
        <v>690</v>
      </c>
      <c r="Z12" s="40" t="s">
        <v>691</v>
      </c>
      <c r="AA12" s="40" t="s">
        <v>694</v>
      </c>
      <c r="AB12" s="61">
        <v>45658.0</v>
      </c>
      <c r="AC12" s="61">
        <v>46022.0</v>
      </c>
      <c r="AD12" s="40" t="s">
        <v>699</v>
      </c>
      <c r="AE12" s="50" t="s">
        <v>79</v>
      </c>
      <c r="AF12" s="50" t="s">
        <v>61</v>
      </c>
      <c r="AG12" s="50"/>
      <c r="AH12" s="50"/>
    </row>
    <row r="13" ht="45.75" customHeight="1">
      <c r="A13" s="36">
        <v>68.0</v>
      </c>
      <c r="B13" s="38">
        <v>46878.0</v>
      </c>
      <c r="C13" s="39" t="s">
        <v>265</v>
      </c>
      <c r="D13" s="40" t="s">
        <v>709</v>
      </c>
      <c r="E13" s="39" t="s">
        <v>710</v>
      </c>
      <c r="F13" s="39" t="s">
        <v>712</v>
      </c>
      <c r="G13" s="42" t="s">
        <v>713</v>
      </c>
      <c r="H13" s="39" t="s">
        <v>64</v>
      </c>
      <c r="I13" s="40" t="s">
        <v>65</v>
      </c>
      <c r="J13" s="40" t="s">
        <v>62</v>
      </c>
      <c r="K13" s="40" t="s">
        <v>111</v>
      </c>
      <c r="L13" s="40">
        <v>69.0</v>
      </c>
      <c r="M13" s="40" t="s">
        <v>724</v>
      </c>
      <c r="N13" s="40" t="s">
        <v>66</v>
      </c>
      <c r="O13" s="40" t="s">
        <v>67</v>
      </c>
      <c r="P13" s="40" t="s">
        <v>730</v>
      </c>
      <c r="Q13" s="49"/>
      <c r="R13" s="49"/>
      <c r="S13" s="49"/>
      <c r="T13" s="60"/>
      <c r="U13" s="45"/>
      <c r="V13" s="49"/>
      <c r="W13" s="45" t="s">
        <v>61</v>
      </c>
      <c r="X13" s="63" t="s">
        <v>74</v>
      </c>
      <c r="Y13" s="40" t="s">
        <v>754</v>
      </c>
      <c r="Z13" s="40"/>
      <c r="AA13" s="62" t="s">
        <v>758</v>
      </c>
      <c r="AB13" s="61">
        <v>45658.0</v>
      </c>
      <c r="AC13" s="61">
        <v>46022.0</v>
      </c>
      <c r="AD13" s="40" t="s">
        <v>763</v>
      </c>
      <c r="AE13" s="50" t="s">
        <v>638</v>
      </c>
      <c r="AF13" s="50" t="s">
        <v>643</v>
      </c>
      <c r="AG13" s="50"/>
      <c r="AH13" s="50"/>
    </row>
    <row r="14" ht="45.75" customHeight="1">
      <c r="A14" s="36">
        <v>79.0</v>
      </c>
      <c r="B14" s="40">
        <v>276.0</v>
      </c>
      <c r="C14" s="39" t="s">
        <v>265</v>
      </c>
      <c r="D14" s="40" t="s">
        <v>774</v>
      </c>
      <c r="E14" s="39" t="s">
        <v>775</v>
      </c>
      <c r="F14" s="39" t="s">
        <v>776</v>
      </c>
      <c r="G14" s="42" t="s">
        <v>777</v>
      </c>
      <c r="H14" s="39" t="s">
        <v>64</v>
      </c>
      <c r="I14" s="40" t="s">
        <v>65</v>
      </c>
      <c r="J14" s="40" t="s">
        <v>62</v>
      </c>
      <c r="K14" s="40" t="s">
        <v>68</v>
      </c>
      <c r="L14" s="40">
        <v>600.0</v>
      </c>
      <c r="M14" s="40" t="s">
        <v>784</v>
      </c>
      <c r="N14" s="40" t="s">
        <v>71</v>
      </c>
      <c r="O14" s="40" t="s">
        <v>72</v>
      </c>
      <c r="P14" s="40" t="s">
        <v>787</v>
      </c>
      <c r="Q14" s="49"/>
      <c r="R14" s="49"/>
      <c r="S14" s="49"/>
      <c r="T14" s="60"/>
      <c r="U14" s="45">
        <v>12.0</v>
      </c>
      <c r="V14" s="49"/>
      <c r="W14" s="45" t="s">
        <v>61</v>
      </c>
      <c r="X14" s="63" t="s">
        <v>93</v>
      </c>
      <c r="Y14" s="40" t="s">
        <v>815</v>
      </c>
      <c r="Z14" s="40" t="s">
        <v>818</v>
      </c>
      <c r="AA14" s="62" t="s">
        <v>819</v>
      </c>
      <c r="AB14" s="61">
        <v>45658.0</v>
      </c>
      <c r="AC14" s="61">
        <v>46022.0</v>
      </c>
      <c r="AD14" s="40" t="s">
        <v>823</v>
      </c>
      <c r="AE14" s="51" t="s">
        <v>79</v>
      </c>
      <c r="AF14" s="51" t="s">
        <v>61</v>
      </c>
      <c r="AG14" s="51"/>
      <c r="AH14" s="51"/>
    </row>
    <row r="15" ht="45.75" customHeight="1">
      <c r="A15" s="36">
        <v>89.0</v>
      </c>
      <c r="B15" s="40">
        <v>2212.0</v>
      </c>
      <c r="C15" s="39" t="s">
        <v>265</v>
      </c>
      <c r="D15" s="40" t="s">
        <v>774</v>
      </c>
      <c r="E15" s="39" t="s">
        <v>836</v>
      </c>
      <c r="F15" s="39" t="s">
        <v>837</v>
      </c>
      <c r="G15" s="42" t="s">
        <v>838</v>
      </c>
      <c r="H15" s="39" t="s">
        <v>64</v>
      </c>
      <c r="I15" s="40" t="s">
        <v>65</v>
      </c>
      <c r="J15" s="40" t="s">
        <v>62</v>
      </c>
      <c r="K15" s="40" t="s">
        <v>111</v>
      </c>
      <c r="L15" s="40">
        <v>77.0</v>
      </c>
      <c r="M15" s="40" t="s">
        <v>847</v>
      </c>
      <c r="N15" s="40" t="s">
        <v>66</v>
      </c>
      <c r="O15" s="40" t="s">
        <v>72</v>
      </c>
      <c r="P15" s="40" t="s">
        <v>854</v>
      </c>
      <c r="Q15" s="49"/>
      <c r="R15" s="49"/>
      <c r="S15" s="49"/>
      <c r="T15" s="60"/>
      <c r="U15" s="45"/>
      <c r="V15" s="49"/>
      <c r="W15" s="45" t="s">
        <v>61</v>
      </c>
      <c r="X15" s="63" t="s">
        <v>93</v>
      </c>
      <c r="Y15" s="40" t="s">
        <v>862</v>
      </c>
      <c r="Z15" s="40" t="s">
        <v>865</v>
      </c>
      <c r="AA15" s="62" t="s">
        <v>866</v>
      </c>
      <c r="AB15" s="61">
        <v>45658.0</v>
      </c>
      <c r="AC15" s="61">
        <v>46022.0</v>
      </c>
      <c r="AD15" s="40" t="s">
        <v>872</v>
      </c>
      <c r="AE15" s="51" t="s">
        <v>79</v>
      </c>
      <c r="AF15" s="51" t="s">
        <v>61</v>
      </c>
      <c r="AG15" s="51"/>
      <c r="AH15" s="51"/>
    </row>
    <row r="16" ht="45.75" customHeight="1">
      <c r="A16" s="36">
        <v>102.0</v>
      </c>
      <c r="B16" s="40">
        <v>271.0</v>
      </c>
      <c r="C16" s="39" t="s">
        <v>265</v>
      </c>
      <c r="D16" s="40" t="s">
        <v>881</v>
      </c>
      <c r="E16" s="39" t="s">
        <v>168</v>
      </c>
      <c r="F16" s="39" t="s">
        <v>884</v>
      </c>
      <c r="G16" s="42" t="s">
        <v>886</v>
      </c>
      <c r="H16" s="39" t="s">
        <v>64</v>
      </c>
      <c r="I16" s="40" t="s">
        <v>65</v>
      </c>
      <c r="J16" s="40" t="s">
        <v>62</v>
      </c>
      <c r="K16" s="40" t="s">
        <v>68</v>
      </c>
      <c r="L16" s="40">
        <v>900.0</v>
      </c>
      <c r="M16" s="40" t="s">
        <v>893</v>
      </c>
      <c r="N16" s="40" t="s">
        <v>71</v>
      </c>
      <c r="O16" s="40" t="s">
        <v>72</v>
      </c>
      <c r="P16" s="40" t="s">
        <v>895</v>
      </c>
      <c r="Q16" s="49"/>
      <c r="R16" s="49"/>
      <c r="S16" s="49"/>
      <c r="T16" s="60"/>
      <c r="U16" s="45">
        <v>15.0</v>
      </c>
      <c r="V16" s="49"/>
      <c r="W16" s="57" t="s">
        <v>533</v>
      </c>
      <c r="X16" s="63" t="s">
        <v>93</v>
      </c>
      <c r="Y16" s="40" t="s">
        <v>912</v>
      </c>
      <c r="Z16" s="40" t="s">
        <v>913</v>
      </c>
      <c r="AA16" s="62" t="s">
        <v>920</v>
      </c>
      <c r="AB16" s="61">
        <v>45658.0</v>
      </c>
      <c r="AC16" s="61">
        <v>46022.0</v>
      </c>
      <c r="AD16" s="40" t="s">
        <v>926</v>
      </c>
      <c r="AE16" s="51" t="s">
        <v>79</v>
      </c>
      <c r="AF16" s="51" t="s">
        <v>61</v>
      </c>
      <c r="AG16" s="51"/>
      <c r="AH16" s="51"/>
    </row>
    <row r="17" ht="45.75" customHeight="1">
      <c r="A17" s="36">
        <v>119.0</v>
      </c>
      <c r="B17" s="40">
        <v>2829.0</v>
      </c>
      <c r="C17" s="39" t="s">
        <v>351</v>
      </c>
      <c r="D17" s="40" t="s">
        <v>935</v>
      </c>
      <c r="E17" s="39" t="s">
        <v>936</v>
      </c>
      <c r="F17" s="39" t="s">
        <v>938</v>
      </c>
      <c r="G17" s="42" t="s">
        <v>940</v>
      </c>
      <c r="H17" s="39" t="s">
        <v>64</v>
      </c>
      <c r="I17" s="40" t="s">
        <v>65</v>
      </c>
      <c r="J17" s="40" t="s">
        <v>62</v>
      </c>
      <c r="K17" s="40" t="s">
        <v>68</v>
      </c>
      <c r="L17" s="40">
        <v>624.0</v>
      </c>
      <c r="M17" s="40" t="s">
        <v>947</v>
      </c>
      <c r="N17" s="40" t="s">
        <v>71</v>
      </c>
      <c r="O17" s="40" t="s">
        <v>72</v>
      </c>
      <c r="P17" s="40" t="s">
        <v>950</v>
      </c>
      <c r="Q17" s="49"/>
      <c r="R17" s="49"/>
      <c r="S17" s="49"/>
      <c r="T17" s="60" t="s">
        <v>955</v>
      </c>
      <c r="U17" s="45">
        <v>12.0</v>
      </c>
      <c r="V17" s="49"/>
      <c r="W17" s="45" t="s">
        <v>61</v>
      </c>
      <c r="X17" s="45" t="s">
        <v>93</v>
      </c>
      <c r="Y17" s="40" t="s">
        <v>959</v>
      </c>
      <c r="Z17" s="40">
        <f>639152945341</f>
        <v>639152945341</v>
      </c>
      <c r="AA17" s="40" t="s">
        <v>976</v>
      </c>
      <c r="AB17" s="65">
        <v>45658.0</v>
      </c>
      <c r="AC17" s="65">
        <v>46022.0</v>
      </c>
      <c r="AD17" s="40" t="s">
        <v>982</v>
      </c>
      <c r="AE17" s="51" t="s">
        <v>984</v>
      </c>
      <c r="AF17" s="51"/>
      <c r="AG17" s="51"/>
      <c r="AH17" s="51"/>
    </row>
    <row r="18" ht="45.75" customHeight="1">
      <c r="A18" s="36">
        <v>132.0</v>
      </c>
      <c r="B18" s="40">
        <v>25681.0</v>
      </c>
      <c r="C18" s="39" t="s">
        <v>351</v>
      </c>
      <c r="D18" s="40" t="s">
        <v>994</v>
      </c>
      <c r="E18" s="39" t="s">
        <v>996</v>
      </c>
      <c r="F18" s="39" t="s">
        <v>1000</v>
      </c>
      <c r="G18" s="42" t="s">
        <v>1001</v>
      </c>
      <c r="H18" s="39" t="s">
        <v>64</v>
      </c>
      <c r="I18" s="40" t="s">
        <v>65</v>
      </c>
      <c r="J18" s="40" t="s">
        <v>62</v>
      </c>
      <c r="K18" s="40" t="s">
        <v>111</v>
      </c>
      <c r="L18" s="40">
        <v>100.0</v>
      </c>
      <c r="M18" s="40" t="s">
        <v>1009</v>
      </c>
      <c r="N18" s="40" t="s">
        <v>66</v>
      </c>
      <c r="O18" s="40" t="s">
        <v>72</v>
      </c>
      <c r="P18" s="40" t="s">
        <v>1014</v>
      </c>
      <c r="Q18" s="49"/>
      <c r="R18" s="49"/>
      <c r="S18" s="49"/>
      <c r="T18" s="60" t="s">
        <v>955</v>
      </c>
      <c r="U18" s="45" t="s">
        <v>955</v>
      </c>
      <c r="V18" s="49"/>
      <c r="W18" s="45" t="s">
        <v>61</v>
      </c>
      <c r="X18" s="63" t="s">
        <v>93</v>
      </c>
      <c r="Y18" s="40" t="s">
        <v>1035</v>
      </c>
      <c r="Z18" s="40" t="s">
        <v>1037</v>
      </c>
      <c r="AA18" s="62" t="s">
        <v>1040</v>
      </c>
      <c r="AB18" s="65">
        <v>45658.0</v>
      </c>
      <c r="AC18" s="65">
        <v>46022.0</v>
      </c>
      <c r="AD18" s="40" t="s">
        <v>1046</v>
      </c>
      <c r="AE18" s="51" t="s">
        <v>79</v>
      </c>
      <c r="AF18" s="51"/>
      <c r="AG18" s="51"/>
      <c r="AH18" s="51"/>
    </row>
    <row r="19" ht="45.75" customHeight="1">
      <c r="A19" s="36">
        <v>163.0</v>
      </c>
      <c r="B19" s="40">
        <v>6085.0</v>
      </c>
      <c r="C19" s="39" t="s">
        <v>351</v>
      </c>
      <c r="D19" s="40" t="s">
        <v>1054</v>
      </c>
      <c r="E19" s="39" t="s">
        <v>1056</v>
      </c>
      <c r="F19" s="39" t="s">
        <v>1058</v>
      </c>
      <c r="G19" s="42" t="s">
        <v>1062</v>
      </c>
      <c r="H19" s="39" t="s">
        <v>64</v>
      </c>
      <c r="I19" s="40" t="s">
        <v>65</v>
      </c>
      <c r="J19" s="40" t="s">
        <v>62</v>
      </c>
      <c r="K19" s="40" t="s">
        <v>63</v>
      </c>
      <c r="L19" s="40">
        <v>25.0</v>
      </c>
      <c r="M19" s="40" t="s">
        <v>1074</v>
      </c>
      <c r="N19" s="40" t="s">
        <v>66</v>
      </c>
      <c r="O19" s="40" t="s">
        <v>67</v>
      </c>
      <c r="P19" s="40" t="s">
        <v>955</v>
      </c>
      <c r="Q19" s="49"/>
      <c r="R19" s="49"/>
      <c r="S19" s="49"/>
      <c r="T19" s="60" t="s">
        <v>955</v>
      </c>
      <c r="U19" s="45" t="s">
        <v>955</v>
      </c>
      <c r="V19" s="49"/>
      <c r="W19" s="45" t="s">
        <v>61</v>
      </c>
      <c r="X19" s="45" t="s">
        <v>74</v>
      </c>
      <c r="Y19" s="40" t="s">
        <v>1084</v>
      </c>
      <c r="Z19" s="40" t="s">
        <v>1086</v>
      </c>
      <c r="AA19" s="40" t="s">
        <v>1088</v>
      </c>
      <c r="AB19" s="65">
        <v>45658.0</v>
      </c>
      <c r="AC19" s="65">
        <v>46022.0</v>
      </c>
      <c r="AD19" s="40" t="s">
        <v>1092</v>
      </c>
      <c r="AE19" s="51" t="s">
        <v>79</v>
      </c>
      <c r="AF19" s="51"/>
      <c r="AG19" s="51"/>
      <c r="AH19" s="51"/>
    </row>
    <row r="20" ht="45.75" customHeight="1">
      <c r="A20" s="36">
        <v>186.0</v>
      </c>
      <c r="B20" s="40">
        <v>279.0</v>
      </c>
      <c r="C20" s="39" t="s">
        <v>422</v>
      </c>
      <c r="D20" s="40" t="s">
        <v>1100</v>
      </c>
      <c r="E20" s="39" t="s">
        <v>1102</v>
      </c>
      <c r="F20" s="39" t="s">
        <v>1103</v>
      </c>
      <c r="G20" s="42" t="s">
        <v>1104</v>
      </c>
      <c r="H20" s="39" t="s">
        <v>64</v>
      </c>
      <c r="I20" s="40" t="s">
        <v>65</v>
      </c>
      <c r="J20" s="40" t="s">
        <v>62</v>
      </c>
      <c r="K20" s="40" t="s">
        <v>111</v>
      </c>
      <c r="L20" s="40">
        <v>200.0</v>
      </c>
      <c r="M20" s="40" t="s">
        <v>1113</v>
      </c>
      <c r="N20" s="40" t="s">
        <v>71</v>
      </c>
      <c r="O20" s="40" t="s">
        <v>67</v>
      </c>
      <c r="P20" s="40" t="s">
        <v>1116</v>
      </c>
      <c r="Q20" s="49"/>
      <c r="R20" s="49"/>
      <c r="S20" s="49"/>
      <c r="T20" s="60" t="s">
        <v>61</v>
      </c>
      <c r="U20" s="45">
        <v>10.0</v>
      </c>
      <c r="V20" s="49"/>
      <c r="W20" s="45" t="s">
        <v>61</v>
      </c>
      <c r="X20" s="45" t="s">
        <v>93</v>
      </c>
      <c r="Y20" s="40" t="s">
        <v>1122</v>
      </c>
      <c r="Z20" s="40" t="s">
        <v>955</v>
      </c>
      <c r="AA20" s="66" t="s">
        <v>1126</v>
      </c>
      <c r="AB20" s="65">
        <v>45658.0</v>
      </c>
      <c r="AC20" s="65">
        <v>46022.0</v>
      </c>
      <c r="AD20" s="40" t="s">
        <v>1130</v>
      </c>
      <c r="AE20" s="51" t="s">
        <v>79</v>
      </c>
      <c r="AF20" s="51"/>
      <c r="AG20" s="51"/>
      <c r="AH20" s="51"/>
    </row>
    <row r="21" ht="45.75" customHeight="1">
      <c r="A21" s="36">
        <v>189.0</v>
      </c>
      <c r="B21" s="40">
        <v>236.0</v>
      </c>
      <c r="C21" s="39" t="s">
        <v>422</v>
      </c>
      <c r="D21" s="40" t="s">
        <v>1100</v>
      </c>
      <c r="E21" s="39" t="s">
        <v>1135</v>
      </c>
      <c r="F21" s="39" t="s">
        <v>1138</v>
      </c>
      <c r="G21" s="42" t="s">
        <v>1140</v>
      </c>
      <c r="H21" s="39" t="s">
        <v>64</v>
      </c>
      <c r="I21" s="40" t="s">
        <v>65</v>
      </c>
      <c r="J21" s="40" t="s">
        <v>62</v>
      </c>
      <c r="K21" s="40" t="s">
        <v>111</v>
      </c>
      <c r="L21" s="40">
        <v>213.0</v>
      </c>
      <c r="M21" s="40" t="s">
        <v>1150</v>
      </c>
      <c r="N21" s="40" t="s">
        <v>71</v>
      </c>
      <c r="O21" s="40" t="s">
        <v>72</v>
      </c>
      <c r="P21" s="40" t="s">
        <v>1151</v>
      </c>
      <c r="Q21" s="49"/>
      <c r="R21" s="49"/>
      <c r="S21" s="49"/>
      <c r="T21" s="60" t="s">
        <v>61</v>
      </c>
      <c r="U21" s="45" t="s">
        <v>61</v>
      </c>
      <c r="V21" s="49"/>
      <c r="W21" s="45" t="s">
        <v>61</v>
      </c>
      <c r="X21" s="45" t="s">
        <v>93</v>
      </c>
      <c r="Y21" s="40" t="s">
        <v>1154</v>
      </c>
      <c r="Z21" s="40" t="s">
        <v>1155</v>
      </c>
      <c r="AA21" s="66" t="s">
        <v>1157</v>
      </c>
      <c r="AB21" s="65">
        <v>45658.0</v>
      </c>
      <c r="AC21" s="65">
        <v>46022.0</v>
      </c>
      <c r="AD21" s="40" t="s">
        <v>1160</v>
      </c>
      <c r="AE21" s="51" t="s">
        <v>79</v>
      </c>
      <c r="AF21" s="51"/>
      <c r="AG21" s="51"/>
      <c r="AH21" s="51"/>
    </row>
    <row r="22" ht="45.75" customHeight="1">
      <c r="A22" s="36">
        <v>193.0</v>
      </c>
      <c r="B22" s="40">
        <v>270.0</v>
      </c>
      <c r="C22" s="39" t="s">
        <v>509</v>
      </c>
      <c r="D22" s="40" t="s">
        <v>1167</v>
      </c>
      <c r="E22" s="39" t="s">
        <v>1169</v>
      </c>
      <c r="F22" s="39" t="s">
        <v>1170</v>
      </c>
      <c r="G22" s="42" t="s">
        <v>1172</v>
      </c>
      <c r="H22" s="39" t="s">
        <v>64</v>
      </c>
      <c r="I22" s="40" t="s">
        <v>65</v>
      </c>
      <c r="J22" s="40" t="s">
        <v>62</v>
      </c>
      <c r="K22" s="40" t="s">
        <v>68</v>
      </c>
      <c r="L22" s="40">
        <v>450.0</v>
      </c>
      <c r="M22" s="40" t="s">
        <v>1178</v>
      </c>
      <c r="N22" s="40" t="s">
        <v>1180</v>
      </c>
      <c r="O22" s="40"/>
      <c r="P22" s="40">
        <v>6.0</v>
      </c>
      <c r="Q22" s="49"/>
      <c r="R22" s="49"/>
      <c r="S22" s="49"/>
      <c r="T22" s="60"/>
      <c r="U22" s="45"/>
      <c r="V22" s="49"/>
      <c r="W22" s="40"/>
      <c r="X22" s="45" t="s">
        <v>93</v>
      </c>
      <c r="Y22" s="40" t="s">
        <v>1185</v>
      </c>
      <c r="Z22" s="45" t="s">
        <v>1187</v>
      </c>
      <c r="AA22" s="38" t="s">
        <v>1189</v>
      </c>
      <c r="AB22" s="67">
        <v>45658.0</v>
      </c>
      <c r="AC22" s="67">
        <v>46022.0</v>
      </c>
      <c r="AD22" s="68" t="s">
        <v>1197</v>
      </c>
      <c r="AE22" s="51" t="s">
        <v>79</v>
      </c>
      <c r="AF22" s="69"/>
      <c r="AG22" s="66"/>
      <c r="AH22" s="66"/>
    </row>
    <row r="23" ht="45.75" customHeight="1">
      <c r="A23" s="36">
        <v>200.0</v>
      </c>
      <c r="B23" s="70" t="s">
        <v>1200</v>
      </c>
      <c r="C23" s="39" t="s">
        <v>509</v>
      </c>
      <c r="D23" s="40" t="s">
        <v>1209</v>
      </c>
      <c r="E23" s="39" t="s">
        <v>1210</v>
      </c>
      <c r="F23" s="39" t="s">
        <v>1211</v>
      </c>
      <c r="G23" s="42" t="s">
        <v>1212</v>
      </c>
      <c r="H23" s="39" t="s">
        <v>64</v>
      </c>
      <c r="I23" s="40" t="s">
        <v>65</v>
      </c>
      <c r="J23" s="40" t="s">
        <v>62</v>
      </c>
      <c r="K23" s="40" t="s">
        <v>111</v>
      </c>
      <c r="L23" s="40">
        <v>200.0</v>
      </c>
      <c r="M23" s="40" t="s">
        <v>1221</v>
      </c>
      <c r="N23" s="40" t="s">
        <v>1223</v>
      </c>
      <c r="O23" s="40"/>
      <c r="P23" s="40">
        <v>15.0</v>
      </c>
      <c r="Q23" s="49"/>
      <c r="R23" s="49"/>
      <c r="S23" s="49"/>
      <c r="T23" s="60"/>
      <c r="U23" s="45"/>
      <c r="V23" s="49"/>
      <c r="W23" s="40"/>
      <c r="X23" s="45" t="s">
        <v>93</v>
      </c>
      <c r="Y23" s="40" t="s">
        <v>1226</v>
      </c>
      <c r="Z23" s="45">
        <v>9.071372224E9</v>
      </c>
      <c r="AA23" s="38" t="s">
        <v>1228</v>
      </c>
      <c r="AB23" s="66">
        <v>45658.0</v>
      </c>
      <c r="AC23" s="66">
        <v>46022.0</v>
      </c>
      <c r="AD23" s="65" t="s">
        <v>1233</v>
      </c>
      <c r="AE23" s="65" t="s">
        <v>79</v>
      </c>
      <c r="AF23" s="40"/>
      <c r="AG23" s="40"/>
      <c r="AH23" s="40"/>
    </row>
    <row r="24" ht="45.75" customHeight="1">
      <c r="A24" s="36">
        <v>202.0</v>
      </c>
      <c r="B24" s="40">
        <v>278.0</v>
      </c>
      <c r="C24" s="39" t="s">
        <v>509</v>
      </c>
      <c r="D24" s="40" t="s">
        <v>1209</v>
      </c>
      <c r="E24" s="39" t="s">
        <v>1238</v>
      </c>
      <c r="F24" s="39" t="s">
        <v>1240</v>
      </c>
      <c r="G24" s="42" t="s">
        <v>1242</v>
      </c>
      <c r="H24" s="39" t="s">
        <v>64</v>
      </c>
      <c r="I24" s="40" t="s">
        <v>65</v>
      </c>
      <c r="J24" s="40" t="s">
        <v>62</v>
      </c>
      <c r="K24" s="40" t="s">
        <v>68</v>
      </c>
      <c r="L24" s="40">
        <v>800.0</v>
      </c>
      <c r="M24" s="40" t="s">
        <v>1249</v>
      </c>
      <c r="N24" s="40" t="s">
        <v>1251</v>
      </c>
      <c r="O24" s="40"/>
      <c r="P24" s="40">
        <v>18.0</v>
      </c>
      <c r="Q24" s="49"/>
      <c r="R24" s="49"/>
      <c r="S24" s="49"/>
      <c r="T24" s="60"/>
      <c r="U24" s="45"/>
      <c r="V24" s="49"/>
      <c r="W24" s="40"/>
      <c r="X24" s="45" t="s">
        <v>93</v>
      </c>
      <c r="Y24" s="40" t="s">
        <v>1256</v>
      </c>
      <c r="Z24" s="45" t="s">
        <v>1258</v>
      </c>
      <c r="AA24" s="38" t="s">
        <v>1259</v>
      </c>
      <c r="AB24" s="66">
        <v>45658.0</v>
      </c>
      <c r="AC24" s="66">
        <v>46022.0</v>
      </c>
      <c r="AD24" s="65" t="s">
        <v>1261</v>
      </c>
      <c r="AE24" s="65" t="s">
        <v>79</v>
      </c>
      <c r="AF24" s="40"/>
      <c r="AG24" s="40"/>
      <c r="AH24" s="40"/>
    </row>
    <row r="25" ht="45.75" customHeight="1">
      <c r="A25" s="36">
        <v>227.0</v>
      </c>
      <c r="B25" s="40">
        <v>481.0</v>
      </c>
      <c r="C25" s="39" t="s">
        <v>581</v>
      </c>
      <c r="D25" s="40" t="s">
        <v>1274</v>
      </c>
      <c r="E25" s="39" t="s">
        <v>1277</v>
      </c>
      <c r="F25" s="39" t="s">
        <v>1278</v>
      </c>
      <c r="G25" s="42" t="s">
        <v>1281</v>
      </c>
      <c r="H25" s="39" t="s">
        <v>64</v>
      </c>
      <c r="I25" s="40" t="s">
        <v>65</v>
      </c>
      <c r="J25" s="40" t="s">
        <v>62</v>
      </c>
      <c r="K25" s="40" t="s">
        <v>111</v>
      </c>
      <c r="L25" s="40">
        <v>150.0</v>
      </c>
      <c r="M25" s="40" t="s">
        <v>28</v>
      </c>
      <c r="N25" s="40" t="s">
        <v>66</v>
      </c>
      <c r="O25" s="40" t="s">
        <v>72</v>
      </c>
      <c r="P25" s="40" t="s">
        <v>1292</v>
      </c>
      <c r="Q25" s="49"/>
      <c r="R25" s="49"/>
      <c r="S25" s="49"/>
      <c r="T25" s="60" t="s">
        <v>61</v>
      </c>
      <c r="U25" s="45" t="s">
        <v>1298</v>
      </c>
      <c r="V25" s="49"/>
      <c r="W25" s="45" t="s">
        <v>61</v>
      </c>
      <c r="X25" s="45" t="s">
        <v>93</v>
      </c>
      <c r="Y25" s="38" t="s">
        <v>1301</v>
      </c>
      <c r="Z25" s="66">
        <v>3612004.0</v>
      </c>
      <c r="AA25" s="66" t="s">
        <v>1304</v>
      </c>
      <c r="AB25" s="66">
        <v>45658.0</v>
      </c>
      <c r="AC25" s="66">
        <v>46022.0</v>
      </c>
      <c r="AD25" s="40" t="s">
        <v>1306</v>
      </c>
      <c r="AE25" s="51" t="s">
        <v>79</v>
      </c>
      <c r="AF25" s="51"/>
      <c r="AG25" s="51"/>
      <c r="AH25" s="51"/>
    </row>
    <row r="26" ht="45.75" customHeight="1">
      <c r="A26" s="36">
        <v>234.0</v>
      </c>
      <c r="B26" s="40">
        <v>5034.0</v>
      </c>
      <c r="C26" s="39" t="s">
        <v>581</v>
      </c>
      <c r="D26" s="40" t="s">
        <v>1274</v>
      </c>
      <c r="E26" s="39" t="s">
        <v>1316</v>
      </c>
      <c r="F26" s="39" t="s">
        <v>1318</v>
      </c>
      <c r="G26" s="42" t="s">
        <v>1321</v>
      </c>
      <c r="H26" s="39" t="s">
        <v>64</v>
      </c>
      <c r="I26" s="40" t="s">
        <v>65</v>
      </c>
      <c r="J26" s="40" t="s">
        <v>62</v>
      </c>
      <c r="K26" s="40" t="s">
        <v>68</v>
      </c>
      <c r="L26" s="40">
        <v>641.0</v>
      </c>
      <c r="M26" s="40" t="s">
        <v>1330</v>
      </c>
      <c r="N26" s="40" t="s">
        <v>221</v>
      </c>
      <c r="O26" s="40" t="s">
        <v>72</v>
      </c>
      <c r="P26" s="40" t="s">
        <v>1332</v>
      </c>
      <c r="Q26" s="49"/>
      <c r="R26" s="49"/>
      <c r="S26" s="49"/>
      <c r="T26" s="60"/>
      <c r="U26" s="45">
        <v>56.0</v>
      </c>
      <c r="V26" s="49"/>
      <c r="W26" s="45"/>
      <c r="X26" s="45" t="s">
        <v>93</v>
      </c>
      <c r="Y26" s="38" t="s">
        <v>1345</v>
      </c>
      <c r="Z26" s="66" t="s">
        <v>1347</v>
      </c>
      <c r="AA26" s="66" t="s">
        <v>1350</v>
      </c>
      <c r="AB26" s="51">
        <v>45658.0</v>
      </c>
      <c r="AC26" s="51">
        <v>46022.0</v>
      </c>
      <c r="AD26" s="40" t="s">
        <v>1353</v>
      </c>
      <c r="AE26" s="51" t="s">
        <v>79</v>
      </c>
      <c r="AF26" s="51"/>
      <c r="AG26" s="51"/>
      <c r="AH26" s="51"/>
    </row>
    <row r="27" ht="45.75" customHeight="1">
      <c r="A27" s="36">
        <v>239.0</v>
      </c>
      <c r="B27" s="40">
        <v>805.0</v>
      </c>
      <c r="C27" s="39" t="s">
        <v>581</v>
      </c>
      <c r="D27" s="40" t="s">
        <v>1274</v>
      </c>
      <c r="E27" s="39" t="s">
        <v>1363</v>
      </c>
      <c r="F27" s="39" t="s">
        <v>1365</v>
      </c>
      <c r="G27" s="42" t="s">
        <v>1367</v>
      </c>
      <c r="H27" s="39" t="s">
        <v>64</v>
      </c>
      <c r="I27" s="40" t="s">
        <v>65</v>
      </c>
      <c r="J27" s="40" t="s">
        <v>62</v>
      </c>
      <c r="K27" s="40" t="s">
        <v>63</v>
      </c>
      <c r="L27" s="40">
        <v>100.0</v>
      </c>
      <c r="M27" s="40" t="s">
        <v>1377</v>
      </c>
      <c r="N27" s="40" t="s">
        <v>66</v>
      </c>
      <c r="O27" s="40" t="s">
        <v>67</v>
      </c>
      <c r="P27" s="40" t="s">
        <v>1381</v>
      </c>
      <c r="Q27" s="49"/>
      <c r="R27" s="49"/>
      <c r="S27" s="49"/>
      <c r="T27" s="60" t="s">
        <v>61</v>
      </c>
      <c r="U27" s="45" t="s">
        <v>61</v>
      </c>
      <c r="V27" s="49"/>
      <c r="W27" s="45" t="s">
        <v>61</v>
      </c>
      <c r="X27" s="45" t="s">
        <v>74</v>
      </c>
      <c r="Y27" s="38" t="s">
        <v>1391</v>
      </c>
      <c r="Z27" s="66" t="s">
        <v>1392</v>
      </c>
      <c r="AA27" s="66" t="s">
        <v>1393</v>
      </c>
      <c r="AB27" s="66">
        <v>45658.0</v>
      </c>
      <c r="AC27" s="66">
        <v>46022.0</v>
      </c>
      <c r="AD27" s="40" t="s">
        <v>1397</v>
      </c>
      <c r="AE27" s="51" t="s">
        <v>79</v>
      </c>
      <c r="AF27" s="51"/>
      <c r="AG27" s="51"/>
      <c r="AH27" s="51"/>
    </row>
    <row r="28" ht="45.75" customHeight="1">
      <c r="A28" s="36">
        <v>245.0</v>
      </c>
      <c r="B28" s="40"/>
      <c r="C28" s="39" t="s">
        <v>682</v>
      </c>
      <c r="D28" s="40" t="s">
        <v>1408</v>
      </c>
      <c r="E28" s="39" t="s">
        <v>1409</v>
      </c>
      <c r="F28" s="39" t="s">
        <v>1410</v>
      </c>
      <c r="G28" s="42" t="s">
        <v>1412</v>
      </c>
      <c r="H28" s="39" t="s">
        <v>64</v>
      </c>
      <c r="I28" s="40" t="s">
        <v>65</v>
      </c>
      <c r="J28" s="40" t="s">
        <v>62</v>
      </c>
      <c r="K28" s="40" t="s">
        <v>68</v>
      </c>
      <c r="L28" s="40">
        <v>400.0</v>
      </c>
      <c r="M28" s="40" t="s">
        <v>1425</v>
      </c>
      <c r="N28" s="40" t="s">
        <v>71</v>
      </c>
      <c r="O28" s="40" t="s">
        <v>72</v>
      </c>
      <c r="P28" s="40" t="s">
        <v>1428</v>
      </c>
      <c r="Q28" s="49"/>
      <c r="R28" s="49"/>
      <c r="S28" s="49"/>
      <c r="T28" s="60"/>
      <c r="U28" s="45">
        <v>20.0</v>
      </c>
      <c r="V28" s="49"/>
      <c r="W28" s="45" t="s">
        <v>533</v>
      </c>
      <c r="X28" s="45" t="s">
        <v>93</v>
      </c>
      <c r="Y28" s="40" t="s">
        <v>1432</v>
      </c>
      <c r="Z28" s="40" t="s">
        <v>1436</v>
      </c>
      <c r="AA28" s="40" t="s">
        <v>1439</v>
      </c>
      <c r="AB28" s="65">
        <v>45658.0</v>
      </c>
      <c r="AC28" s="65">
        <v>46022.0</v>
      </c>
      <c r="AD28" s="40" t="s">
        <v>1441</v>
      </c>
      <c r="AE28" s="51" t="s">
        <v>79</v>
      </c>
      <c r="AF28" s="51"/>
      <c r="AG28" s="51"/>
      <c r="AH28" s="51"/>
    </row>
    <row r="29" ht="45.75" customHeight="1">
      <c r="A29" s="36">
        <v>247.0</v>
      </c>
      <c r="B29" s="40"/>
      <c r="C29" s="39" t="s">
        <v>682</v>
      </c>
      <c r="D29" s="40" t="s">
        <v>1408</v>
      </c>
      <c r="E29" s="39" t="s">
        <v>1452</v>
      </c>
      <c r="F29" s="39" t="s">
        <v>1455</v>
      </c>
      <c r="G29" s="42" t="s">
        <v>1457</v>
      </c>
      <c r="H29" s="39" t="s">
        <v>64</v>
      </c>
      <c r="I29" s="40" t="s">
        <v>65</v>
      </c>
      <c r="J29" s="40" t="s">
        <v>62</v>
      </c>
      <c r="K29" s="40" t="s">
        <v>111</v>
      </c>
      <c r="L29" s="40">
        <v>200.0</v>
      </c>
      <c r="M29" s="40" t="s">
        <v>1466</v>
      </c>
      <c r="N29" s="40" t="s">
        <v>1469</v>
      </c>
      <c r="O29" s="40" t="s">
        <v>72</v>
      </c>
      <c r="P29" s="40" t="s">
        <v>1474</v>
      </c>
      <c r="Q29" s="49"/>
      <c r="R29" s="49"/>
      <c r="S29" s="49"/>
      <c r="T29" s="60"/>
      <c r="U29" s="45"/>
      <c r="V29" s="49"/>
      <c r="W29" s="45" t="s">
        <v>61</v>
      </c>
      <c r="X29" s="45" t="s">
        <v>93</v>
      </c>
      <c r="Y29" s="40" t="s">
        <v>1483</v>
      </c>
      <c r="Z29" s="40" t="s">
        <v>1485</v>
      </c>
      <c r="AA29" s="36" t="s">
        <v>1487</v>
      </c>
      <c r="AB29" s="65">
        <v>45658.0</v>
      </c>
      <c r="AC29" s="65">
        <v>46022.0</v>
      </c>
      <c r="AD29" s="40" t="s">
        <v>1490</v>
      </c>
      <c r="AE29" s="51" t="s">
        <v>79</v>
      </c>
      <c r="AF29" s="51"/>
      <c r="AG29" s="51"/>
      <c r="AH29" s="51"/>
    </row>
    <row r="30" ht="45.75" customHeight="1">
      <c r="A30" s="36">
        <v>254.0</v>
      </c>
      <c r="B30" s="40"/>
      <c r="C30" s="39" t="s">
        <v>682</v>
      </c>
      <c r="D30" s="40" t="s">
        <v>1498</v>
      </c>
      <c r="E30" s="39" t="s">
        <v>1499</v>
      </c>
      <c r="F30" s="39" t="s">
        <v>1502</v>
      </c>
      <c r="G30" s="42" t="s">
        <v>1505</v>
      </c>
      <c r="H30" s="39" t="s">
        <v>64</v>
      </c>
      <c r="I30" s="40" t="s">
        <v>65</v>
      </c>
      <c r="J30" s="40" t="s">
        <v>62</v>
      </c>
      <c r="K30" s="40" t="s">
        <v>111</v>
      </c>
      <c r="L30" s="40">
        <v>100.0</v>
      </c>
      <c r="M30" s="40" t="s">
        <v>1512</v>
      </c>
      <c r="N30" s="40" t="s">
        <v>66</v>
      </c>
      <c r="O30" s="40" t="s">
        <v>67</v>
      </c>
      <c r="P30" s="40" t="s">
        <v>1517</v>
      </c>
      <c r="Q30" s="49"/>
      <c r="R30" s="49"/>
      <c r="S30" s="49"/>
      <c r="T30" s="60"/>
      <c r="U30" s="45"/>
      <c r="V30" s="49"/>
      <c r="W30" s="45" t="s">
        <v>61</v>
      </c>
      <c r="X30" s="63" t="s">
        <v>74</v>
      </c>
      <c r="Y30" s="40" t="s">
        <v>1541</v>
      </c>
      <c r="Z30" s="40" t="s">
        <v>1545</v>
      </c>
      <c r="AA30" s="62" t="s">
        <v>1550</v>
      </c>
      <c r="AB30" s="65">
        <v>45658.0</v>
      </c>
      <c r="AC30" s="65">
        <v>46022.0</v>
      </c>
      <c r="AD30" s="40" t="s">
        <v>1566</v>
      </c>
      <c r="AE30" s="51" t="s">
        <v>79</v>
      </c>
      <c r="AF30" s="51"/>
      <c r="AG30" s="51"/>
      <c r="AH30" s="51"/>
    </row>
    <row r="31" ht="45.75" customHeight="1">
      <c r="A31" s="36">
        <v>255.0</v>
      </c>
      <c r="B31" s="40"/>
      <c r="C31" s="39" t="s">
        <v>682</v>
      </c>
      <c r="D31" s="40" t="s">
        <v>1498</v>
      </c>
      <c r="E31" s="39" t="s">
        <v>1499</v>
      </c>
      <c r="F31" s="39" t="s">
        <v>1603</v>
      </c>
      <c r="G31" s="42" t="s">
        <v>1609</v>
      </c>
      <c r="H31" s="39" t="s">
        <v>64</v>
      </c>
      <c r="I31" s="40" t="s">
        <v>65</v>
      </c>
      <c r="J31" s="40" t="s">
        <v>62</v>
      </c>
      <c r="K31" s="40" t="s">
        <v>68</v>
      </c>
      <c r="L31" s="40">
        <v>1500.0</v>
      </c>
      <c r="M31" s="40" t="s">
        <v>1624</v>
      </c>
      <c r="N31" s="40" t="s">
        <v>71</v>
      </c>
      <c r="O31" s="40" t="s">
        <v>72</v>
      </c>
      <c r="P31" s="40" t="s">
        <v>1428</v>
      </c>
      <c r="Q31" s="49"/>
      <c r="R31" s="49"/>
      <c r="S31" s="49"/>
      <c r="T31" s="60"/>
      <c r="U31" s="45">
        <v>15.0</v>
      </c>
      <c r="V31" s="49"/>
      <c r="W31" s="45" t="s">
        <v>61</v>
      </c>
      <c r="X31" s="45" t="s">
        <v>93</v>
      </c>
      <c r="Y31" s="40" t="s">
        <v>1652</v>
      </c>
      <c r="Z31" s="40" t="s">
        <v>1655</v>
      </c>
      <c r="AA31" s="40" t="s">
        <v>1657</v>
      </c>
      <c r="AB31" s="65">
        <v>45658.0</v>
      </c>
      <c r="AC31" s="65">
        <v>46022.0</v>
      </c>
      <c r="AD31" s="40" t="s">
        <v>1662</v>
      </c>
      <c r="AE31" s="51" t="s">
        <v>79</v>
      </c>
      <c r="AF31" s="51"/>
      <c r="AG31" s="51"/>
      <c r="AH31" s="51"/>
    </row>
    <row r="32" ht="45.75" customHeight="1">
      <c r="A32" s="36">
        <v>258.0</v>
      </c>
      <c r="B32" s="40"/>
      <c r="C32" s="39" t="s">
        <v>682</v>
      </c>
      <c r="D32" s="40" t="s">
        <v>1498</v>
      </c>
      <c r="E32" s="39" t="s">
        <v>1673</v>
      </c>
      <c r="F32" s="39" t="s">
        <v>1674</v>
      </c>
      <c r="G32" s="42" t="s">
        <v>1678</v>
      </c>
      <c r="H32" s="39" t="s">
        <v>64</v>
      </c>
      <c r="I32" s="40" t="s">
        <v>65</v>
      </c>
      <c r="J32" s="40" t="s">
        <v>62</v>
      </c>
      <c r="K32" s="40" t="s">
        <v>111</v>
      </c>
      <c r="L32" s="40">
        <v>200.0</v>
      </c>
      <c r="M32" s="40" t="s">
        <v>1689</v>
      </c>
      <c r="N32" s="40" t="s">
        <v>66</v>
      </c>
      <c r="O32" s="40" t="s">
        <v>67</v>
      </c>
      <c r="P32" s="40" t="s">
        <v>1693</v>
      </c>
      <c r="Q32" s="49"/>
      <c r="R32" s="49"/>
      <c r="S32" s="49"/>
      <c r="T32" s="60"/>
      <c r="U32" s="45">
        <v>10.0</v>
      </c>
      <c r="V32" s="49"/>
      <c r="W32" s="45" t="s">
        <v>61</v>
      </c>
      <c r="X32" s="45" t="s">
        <v>93</v>
      </c>
      <c r="Y32" s="40" t="s">
        <v>1701</v>
      </c>
      <c r="Z32" s="40" t="s">
        <v>1704</v>
      </c>
      <c r="AA32" s="40" t="s">
        <v>1706</v>
      </c>
      <c r="AB32" s="65">
        <v>45658.0</v>
      </c>
      <c r="AC32" s="65">
        <v>46022.0</v>
      </c>
      <c r="AD32" s="40" t="s">
        <v>1709</v>
      </c>
      <c r="AE32" s="51" t="s">
        <v>79</v>
      </c>
      <c r="AF32" s="51"/>
      <c r="AG32" s="51"/>
      <c r="AH32" s="51"/>
    </row>
    <row r="33" ht="45.75" customHeight="1">
      <c r="A33" s="36">
        <v>261.0</v>
      </c>
      <c r="B33" s="40"/>
      <c r="C33" s="39" t="s">
        <v>682</v>
      </c>
      <c r="D33" s="40" t="s">
        <v>1498</v>
      </c>
      <c r="E33" s="39" t="s">
        <v>1720</v>
      </c>
      <c r="F33" s="39" t="s">
        <v>1723</v>
      </c>
      <c r="G33" s="42" t="s">
        <v>1727</v>
      </c>
      <c r="H33" s="39" t="s">
        <v>64</v>
      </c>
      <c r="I33" s="40" t="s">
        <v>65</v>
      </c>
      <c r="J33" s="40" t="s">
        <v>62</v>
      </c>
      <c r="K33" s="40" t="s">
        <v>68</v>
      </c>
      <c r="L33" s="40">
        <v>201.0</v>
      </c>
      <c r="M33" s="40" t="s">
        <v>1733</v>
      </c>
      <c r="N33" s="40" t="s">
        <v>66</v>
      </c>
      <c r="O33" s="40" t="s">
        <v>72</v>
      </c>
      <c r="P33" s="40" t="s">
        <v>1739</v>
      </c>
      <c r="Q33" s="49"/>
      <c r="R33" s="49"/>
      <c r="S33" s="49"/>
      <c r="T33" s="60"/>
      <c r="U33" s="45"/>
      <c r="V33" s="49"/>
      <c r="W33" s="45" t="s">
        <v>61</v>
      </c>
      <c r="X33" s="45" t="s">
        <v>93</v>
      </c>
      <c r="Y33" s="40" t="s">
        <v>1747</v>
      </c>
      <c r="Z33" s="40" t="s">
        <v>1750</v>
      </c>
      <c r="AA33" s="40" t="s">
        <v>1753</v>
      </c>
      <c r="AB33" s="65">
        <v>45658.0</v>
      </c>
      <c r="AC33" s="65">
        <v>46022.0</v>
      </c>
      <c r="AD33" s="40" t="s">
        <v>1757</v>
      </c>
      <c r="AE33" s="51" t="s">
        <v>79</v>
      </c>
      <c r="AF33" s="51"/>
      <c r="AG33" s="51"/>
      <c r="AH33" s="51"/>
    </row>
    <row r="34" ht="45.75" customHeight="1">
      <c r="A34" s="36">
        <v>272.0</v>
      </c>
      <c r="B34" s="40" t="s">
        <v>1761</v>
      </c>
      <c r="C34" s="39" t="s">
        <v>764</v>
      </c>
      <c r="D34" s="40" t="s">
        <v>1766</v>
      </c>
      <c r="E34" s="39" t="s">
        <v>1768</v>
      </c>
      <c r="F34" s="39" t="s">
        <v>1769</v>
      </c>
      <c r="G34" s="42" t="s">
        <v>1773</v>
      </c>
      <c r="H34" s="39" t="s">
        <v>64</v>
      </c>
      <c r="I34" s="40" t="s">
        <v>65</v>
      </c>
      <c r="J34" s="40" t="s">
        <v>62</v>
      </c>
      <c r="K34" s="40" t="s">
        <v>63</v>
      </c>
      <c r="L34" s="40">
        <v>100.0</v>
      </c>
      <c r="M34" s="40" t="s">
        <v>61</v>
      </c>
      <c r="N34" s="40"/>
      <c r="O34" s="40"/>
      <c r="P34" s="40" t="s">
        <v>1784</v>
      </c>
      <c r="Q34" s="49"/>
      <c r="R34" s="49"/>
      <c r="S34" s="49"/>
      <c r="T34" s="60" t="s">
        <v>61</v>
      </c>
      <c r="U34" s="45" t="s">
        <v>61</v>
      </c>
      <c r="V34" s="49"/>
      <c r="W34" s="45" t="s">
        <v>61</v>
      </c>
      <c r="X34" s="63" t="s">
        <v>74</v>
      </c>
      <c r="Y34" s="40" t="s">
        <v>1828</v>
      </c>
      <c r="Z34" s="40">
        <v>9.981538188E9</v>
      </c>
      <c r="AA34" s="62" t="s">
        <v>1832</v>
      </c>
      <c r="AB34" s="51">
        <v>45658.0</v>
      </c>
      <c r="AC34" s="51">
        <v>46022.0</v>
      </c>
      <c r="AD34" s="40" t="s">
        <v>1835</v>
      </c>
      <c r="AE34" s="51" t="s">
        <v>79</v>
      </c>
      <c r="AF34" s="51"/>
      <c r="AG34" s="51"/>
      <c r="AH34" s="51"/>
    </row>
    <row r="35" ht="45.75" customHeight="1">
      <c r="A35" s="36">
        <v>274.0</v>
      </c>
      <c r="B35" s="40" t="s">
        <v>1842</v>
      </c>
      <c r="C35" s="39" t="s">
        <v>764</v>
      </c>
      <c r="D35" s="40" t="s">
        <v>1766</v>
      </c>
      <c r="E35" s="39" t="s">
        <v>1846</v>
      </c>
      <c r="F35" s="39" t="s">
        <v>1848</v>
      </c>
      <c r="G35" s="42" t="s">
        <v>1849</v>
      </c>
      <c r="H35" s="39" t="s">
        <v>64</v>
      </c>
      <c r="I35" s="40" t="s">
        <v>65</v>
      </c>
      <c r="J35" s="40" t="s">
        <v>62</v>
      </c>
      <c r="K35" s="40" t="s">
        <v>68</v>
      </c>
      <c r="L35" s="40">
        <v>629.0</v>
      </c>
      <c r="M35" s="40" t="s">
        <v>1853</v>
      </c>
      <c r="N35" s="40"/>
      <c r="O35" s="40"/>
      <c r="P35" s="40" t="s">
        <v>1180</v>
      </c>
      <c r="Q35" s="49"/>
      <c r="R35" s="49"/>
      <c r="S35" s="49"/>
      <c r="T35" s="60"/>
      <c r="U35" s="45">
        <v>14.0</v>
      </c>
      <c r="V35" s="49"/>
      <c r="W35" s="45"/>
      <c r="X35" s="45"/>
      <c r="Y35" s="40" t="s">
        <v>1865</v>
      </c>
      <c r="Z35" s="40" t="s">
        <v>1867</v>
      </c>
      <c r="AA35" s="40" t="s">
        <v>1869</v>
      </c>
      <c r="AB35" s="51">
        <v>45658.0</v>
      </c>
      <c r="AC35" s="51">
        <v>46022.0</v>
      </c>
      <c r="AD35" s="40" t="s">
        <v>1842</v>
      </c>
      <c r="AE35" s="51" t="s">
        <v>79</v>
      </c>
      <c r="AF35" s="51"/>
      <c r="AG35" s="51"/>
      <c r="AH35" s="51"/>
    </row>
    <row r="36" ht="45.75" customHeight="1">
      <c r="A36" s="103">
        <v>1.0</v>
      </c>
      <c r="B36" s="104"/>
      <c r="C36" s="103" t="s">
        <v>808</v>
      </c>
      <c r="D36" s="105" t="s">
        <v>1952</v>
      </c>
      <c r="E36" s="103" t="s">
        <v>1957</v>
      </c>
      <c r="F36" s="103" t="s">
        <v>1960</v>
      </c>
      <c r="G36" s="106" t="s">
        <v>1964</v>
      </c>
      <c r="H36" s="103" t="s">
        <v>64</v>
      </c>
      <c r="I36" s="105" t="s">
        <v>65</v>
      </c>
      <c r="J36" s="105" t="s">
        <v>62</v>
      </c>
      <c r="K36" s="103" t="s">
        <v>111</v>
      </c>
      <c r="L36" s="103">
        <v>200.0</v>
      </c>
      <c r="M36" s="105" t="s">
        <v>1990</v>
      </c>
      <c r="N36" s="104"/>
      <c r="O36" s="104"/>
      <c r="P36" s="105" t="s">
        <v>2001</v>
      </c>
      <c r="Q36" s="104"/>
      <c r="R36" s="105">
        <v>5.0</v>
      </c>
      <c r="S36" s="104"/>
      <c r="T36" s="107"/>
      <c r="U36" s="64"/>
      <c r="V36" s="64"/>
      <c r="W36" s="108" t="s">
        <v>74</v>
      </c>
      <c r="X36" s="105" t="s">
        <v>2027</v>
      </c>
      <c r="Y36" s="108" t="s">
        <v>2029</v>
      </c>
      <c r="Z36" s="108" t="s">
        <v>2031</v>
      </c>
      <c r="AA36" s="109">
        <v>45658.0</v>
      </c>
      <c r="AB36" s="109">
        <v>46022.0</v>
      </c>
      <c r="AC36" s="105" t="s">
        <v>2039</v>
      </c>
      <c r="AD36" s="109" t="s">
        <v>79</v>
      </c>
      <c r="AE36" s="109"/>
      <c r="AF36" s="110"/>
      <c r="AG36" s="111" t="s">
        <v>2064</v>
      </c>
      <c r="AH36" s="51"/>
    </row>
    <row r="37" ht="45.75" customHeight="1">
      <c r="A37" s="103">
        <v>4.0</v>
      </c>
      <c r="B37" s="104"/>
      <c r="C37" s="103" t="s">
        <v>808</v>
      </c>
      <c r="D37" s="105" t="s">
        <v>2072</v>
      </c>
      <c r="E37" s="103" t="s">
        <v>2074</v>
      </c>
      <c r="F37" s="103" t="s">
        <v>596</v>
      </c>
      <c r="G37" s="106" t="s">
        <v>2077</v>
      </c>
      <c r="H37" s="103" t="s">
        <v>64</v>
      </c>
      <c r="I37" s="105" t="s">
        <v>65</v>
      </c>
      <c r="J37" s="105" t="s">
        <v>62</v>
      </c>
      <c r="K37" s="105" t="s">
        <v>111</v>
      </c>
      <c r="L37" s="105">
        <v>100.0</v>
      </c>
      <c r="M37" s="104"/>
      <c r="N37" s="104" t="s">
        <v>71</v>
      </c>
      <c r="O37" s="104"/>
      <c r="P37" s="105" t="s">
        <v>2088</v>
      </c>
      <c r="Q37" s="104"/>
      <c r="R37" s="105">
        <v>14.0</v>
      </c>
      <c r="S37" s="104"/>
      <c r="T37" s="107"/>
      <c r="U37" s="113"/>
      <c r="V37" s="113"/>
      <c r="W37" s="108" t="s">
        <v>74</v>
      </c>
      <c r="X37" s="105" t="s">
        <v>2102</v>
      </c>
      <c r="Y37" s="108" t="s">
        <v>2103</v>
      </c>
      <c r="Z37" s="108" t="s">
        <v>2105</v>
      </c>
      <c r="AA37" s="109">
        <v>45658.0</v>
      </c>
      <c r="AB37" s="109">
        <v>46022.0</v>
      </c>
      <c r="AC37" s="105" t="s">
        <v>2111</v>
      </c>
      <c r="AD37" s="114" t="s">
        <v>79</v>
      </c>
      <c r="AE37" s="109"/>
      <c r="AF37" s="104"/>
      <c r="AG37" s="111" t="s">
        <v>2064</v>
      </c>
      <c r="AH37" s="115"/>
    </row>
    <row r="38" ht="45.75" customHeight="1">
      <c r="A38" s="103">
        <v>6.0</v>
      </c>
      <c r="B38" s="104"/>
      <c r="C38" s="103" t="s">
        <v>808</v>
      </c>
      <c r="D38" s="105" t="s">
        <v>2072</v>
      </c>
      <c r="E38" s="103" t="s">
        <v>2132</v>
      </c>
      <c r="F38" s="103" t="s">
        <v>2134</v>
      </c>
      <c r="G38" s="106" t="s">
        <v>2136</v>
      </c>
      <c r="H38" s="103" t="s">
        <v>64</v>
      </c>
      <c r="I38" s="103" t="s">
        <v>65</v>
      </c>
      <c r="J38" s="105" t="s">
        <v>62</v>
      </c>
      <c r="K38" s="105" t="s">
        <v>111</v>
      </c>
      <c r="L38" s="105">
        <v>100.0</v>
      </c>
      <c r="M38" s="105" t="s">
        <v>2144</v>
      </c>
      <c r="N38" s="104"/>
      <c r="O38" s="104"/>
      <c r="P38" s="105" t="s">
        <v>2147</v>
      </c>
      <c r="Q38" s="104"/>
      <c r="R38" s="104"/>
      <c r="S38" s="104"/>
      <c r="T38" s="107"/>
      <c r="U38" s="64"/>
      <c r="V38" s="64"/>
      <c r="W38" s="108" t="s">
        <v>74</v>
      </c>
      <c r="X38" s="105" t="s">
        <v>2156</v>
      </c>
      <c r="Y38" s="108" t="s">
        <v>2158</v>
      </c>
      <c r="Z38" s="108" t="s">
        <v>2159</v>
      </c>
      <c r="AA38" s="109">
        <v>45658.0</v>
      </c>
      <c r="AB38" s="109">
        <v>46022.0</v>
      </c>
      <c r="AC38" s="105" t="s">
        <v>2164</v>
      </c>
      <c r="AD38" s="109" t="s">
        <v>79</v>
      </c>
      <c r="AE38" s="109"/>
      <c r="AF38" s="104"/>
      <c r="AG38" s="111" t="s">
        <v>2064</v>
      </c>
      <c r="AH38" s="116"/>
    </row>
    <row r="39" ht="45.75" customHeight="1">
      <c r="A39" s="103">
        <v>7.0</v>
      </c>
      <c r="B39" s="104"/>
      <c r="C39" s="103" t="s">
        <v>808</v>
      </c>
      <c r="D39" s="105" t="s">
        <v>2072</v>
      </c>
      <c r="E39" s="103" t="s">
        <v>2132</v>
      </c>
      <c r="F39" s="103" t="s">
        <v>2177</v>
      </c>
      <c r="G39" s="106" t="s">
        <v>2178</v>
      </c>
      <c r="H39" s="103" t="s">
        <v>64</v>
      </c>
      <c r="I39" s="103" t="s">
        <v>65</v>
      </c>
      <c r="J39" s="105" t="s">
        <v>62</v>
      </c>
      <c r="K39" s="105" t="s">
        <v>63</v>
      </c>
      <c r="L39" s="105">
        <v>51.0</v>
      </c>
      <c r="M39" s="104"/>
      <c r="N39" s="104"/>
      <c r="O39" s="104"/>
      <c r="P39" s="105" t="s">
        <v>2088</v>
      </c>
      <c r="Q39" s="104"/>
      <c r="R39" s="104"/>
      <c r="S39" s="104"/>
      <c r="T39" s="107"/>
      <c r="U39" s="113"/>
      <c r="V39" s="113"/>
      <c r="W39" s="108" t="s">
        <v>74</v>
      </c>
      <c r="X39" s="105" t="s">
        <v>2184</v>
      </c>
      <c r="Y39" s="108" t="s">
        <v>2185</v>
      </c>
      <c r="Z39" s="108" t="s">
        <v>2187</v>
      </c>
      <c r="AA39" s="109">
        <v>45658.0</v>
      </c>
      <c r="AB39" s="109">
        <v>46022.0</v>
      </c>
      <c r="AC39" s="105" t="s">
        <v>2191</v>
      </c>
      <c r="AD39" s="114" t="s">
        <v>79</v>
      </c>
      <c r="AE39" s="109"/>
      <c r="AF39" s="104"/>
      <c r="AG39" s="111" t="s">
        <v>2064</v>
      </c>
      <c r="AH39" s="51"/>
    </row>
    <row r="40" ht="45.75" customHeight="1">
      <c r="A40" s="103">
        <v>8.0</v>
      </c>
      <c r="B40" s="104"/>
      <c r="C40" s="103" t="s">
        <v>808</v>
      </c>
      <c r="D40" s="105" t="s">
        <v>2197</v>
      </c>
      <c r="E40" s="103" t="s">
        <v>2199</v>
      </c>
      <c r="F40" s="103" t="s">
        <v>2202</v>
      </c>
      <c r="G40" s="106" t="s">
        <v>2203</v>
      </c>
      <c r="H40" s="103" t="s">
        <v>64</v>
      </c>
      <c r="I40" s="105" t="s">
        <v>65</v>
      </c>
      <c r="J40" s="105" t="s">
        <v>62</v>
      </c>
      <c r="K40" s="105" t="s">
        <v>111</v>
      </c>
      <c r="L40" s="105">
        <v>129.0</v>
      </c>
      <c r="M40" s="105" t="s">
        <v>2212</v>
      </c>
      <c r="N40" s="104"/>
      <c r="O40" s="104"/>
      <c r="P40" s="105" t="s">
        <v>2215</v>
      </c>
      <c r="Q40" s="104"/>
      <c r="R40" s="104"/>
      <c r="S40" s="104"/>
      <c r="T40" s="107"/>
      <c r="U40" s="64"/>
      <c r="V40" s="64"/>
      <c r="W40" s="108" t="s">
        <v>74</v>
      </c>
      <c r="X40" s="105" t="s">
        <v>2224</v>
      </c>
      <c r="Y40" s="108" t="s">
        <v>2227</v>
      </c>
      <c r="Z40" s="108" t="s">
        <v>2229</v>
      </c>
      <c r="AA40" s="109">
        <v>45658.0</v>
      </c>
      <c r="AB40" s="109">
        <v>46022.0</v>
      </c>
      <c r="AC40" s="105" t="s">
        <v>2233</v>
      </c>
      <c r="AD40" s="109" t="s">
        <v>79</v>
      </c>
      <c r="AE40" s="109"/>
      <c r="AF40" s="104"/>
      <c r="AG40" s="111" t="s">
        <v>2064</v>
      </c>
      <c r="AH40" s="51"/>
    </row>
    <row r="41" ht="45.75" customHeight="1">
      <c r="A41" s="103">
        <v>10.0</v>
      </c>
      <c r="B41" s="104"/>
      <c r="C41" s="103" t="s">
        <v>808</v>
      </c>
      <c r="D41" s="105" t="s">
        <v>2072</v>
      </c>
      <c r="E41" s="103" t="s">
        <v>2132</v>
      </c>
      <c r="F41" s="103" t="s">
        <v>2241</v>
      </c>
      <c r="G41" s="106" t="s">
        <v>2243</v>
      </c>
      <c r="H41" s="103" t="s">
        <v>64</v>
      </c>
      <c r="I41" s="105" t="s">
        <v>65</v>
      </c>
      <c r="J41" s="105" t="s">
        <v>62</v>
      </c>
      <c r="K41" s="105" t="s">
        <v>68</v>
      </c>
      <c r="L41" s="105">
        <v>400.0</v>
      </c>
      <c r="M41" s="104"/>
      <c r="N41" s="104"/>
      <c r="O41" s="104"/>
      <c r="P41" s="105" t="s">
        <v>2248</v>
      </c>
      <c r="Q41" s="104"/>
      <c r="R41" s="105">
        <v>21.0</v>
      </c>
      <c r="S41" s="104"/>
      <c r="T41" s="107"/>
      <c r="U41" s="113"/>
      <c r="V41" s="113"/>
      <c r="W41" s="108" t="s">
        <v>93</v>
      </c>
      <c r="X41" s="105" t="s">
        <v>2255</v>
      </c>
      <c r="Y41" s="108" t="s">
        <v>2256</v>
      </c>
      <c r="Z41" s="108" t="s">
        <v>2259</v>
      </c>
      <c r="AA41" s="109">
        <v>45658.0</v>
      </c>
      <c r="AB41" s="109">
        <v>46022.0</v>
      </c>
      <c r="AC41" s="105" t="s">
        <v>2262</v>
      </c>
      <c r="AD41" s="114" t="s">
        <v>79</v>
      </c>
      <c r="AE41" s="109"/>
      <c r="AF41" s="104"/>
      <c r="AG41" s="111" t="s">
        <v>2064</v>
      </c>
      <c r="AH41" s="51"/>
    </row>
    <row r="42" ht="45.75" customHeight="1">
      <c r="A42" s="103">
        <v>11.0</v>
      </c>
      <c r="B42" s="104"/>
      <c r="C42" s="103" t="s">
        <v>808</v>
      </c>
      <c r="D42" s="105" t="s">
        <v>2274</v>
      </c>
      <c r="E42" s="103" t="s">
        <v>2276</v>
      </c>
      <c r="F42" s="103" t="s">
        <v>2278</v>
      </c>
      <c r="G42" s="106" t="s">
        <v>2280</v>
      </c>
      <c r="H42" s="103" t="s">
        <v>64</v>
      </c>
      <c r="I42" s="105" t="s">
        <v>65</v>
      </c>
      <c r="J42" s="105" t="s">
        <v>62</v>
      </c>
      <c r="K42" s="105" t="s">
        <v>63</v>
      </c>
      <c r="L42" s="105">
        <v>75.0</v>
      </c>
      <c r="M42" s="105" t="s">
        <v>2286</v>
      </c>
      <c r="N42" s="104" t="s">
        <v>71</v>
      </c>
      <c r="O42" s="104"/>
      <c r="P42" s="105" t="s">
        <v>2088</v>
      </c>
      <c r="Q42" s="104"/>
      <c r="R42" s="104"/>
      <c r="S42" s="104"/>
      <c r="T42" s="107"/>
      <c r="U42" s="64"/>
      <c r="V42" s="64"/>
      <c r="W42" s="108" t="s">
        <v>74</v>
      </c>
      <c r="X42" s="105" t="s">
        <v>2297</v>
      </c>
      <c r="Y42" s="108" t="s">
        <v>2298</v>
      </c>
      <c r="Z42" s="108" t="s">
        <v>2300</v>
      </c>
      <c r="AA42" s="109">
        <v>45658.0</v>
      </c>
      <c r="AB42" s="109">
        <v>46022.0</v>
      </c>
      <c r="AC42" s="105" t="s">
        <v>2306</v>
      </c>
      <c r="AD42" s="109" t="s">
        <v>79</v>
      </c>
      <c r="AE42" s="109"/>
      <c r="AF42" s="104"/>
      <c r="AG42" s="111" t="s">
        <v>2064</v>
      </c>
      <c r="AH42" s="51"/>
    </row>
    <row r="43" ht="45.75" customHeight="1">
      <c r="A43" s="36">
        <v>301.0</v>
      </c>
      <c r="B43" s="40">
        <v>5202.0</v>
      </c>
      <c r="C43" s="39" t="s">
        <v>887</v>
      </c>
      <c r="D43" s="40" t="s">
        <v>2310</v>
      </c>
      <c r="E43" s="39" t="s">
        <v>2311</v>
      </c>
      <c r="F43" s="39" t="s">
        <v>2312</v>
      </c>
      <c r="G43" s="42" t="s">
        <v>2314</v>
      </c>
      <c r="H43" s="39" t="s">
        <v>64</v>
      </c>
      <c r="I43" s="40" t="s">
        <v>65</v>
      </c>
      <c r="J43" s="40" t="s">
        <v>62</v>
      </c>
      <c r="K43" s="40" t="s">
        <v>63</v>
      </c>
      <c r="L43" s="40">
        <v>105.0</v>
      </c>
      <c r="M43" s="40" t="s">
        <v>2321</v>
      </c>
      <c r="N43" s="40" t="s">
        <v>66</v>
      </c>
      <c r="O43" s="40" t="s">
        <v>67</v>
      </c>
      <c r="P43" s="40" t="s">
        <v>2323</v>
      </c>
      <c r="Q43" s="49"/>
      <c r="R43" s="49"/>
      <c r="S43" s="49"/>
      <c r="T43" s="60"/>
      <c r="U43" s="45" t="s">
        <v>1752</v>
      </c>
      <c r="V43" s="45" t="s">
        <v>61</v>
      </c>
      <c r="W43" s="40"/>
      <c r="X43" s="45" t="s">
        <v>74</v>
      </c>
      <c r="Y43" s="40" t="s">
        <v>2326</v>
      </c>
      <c r="Z43" s="40" t="s">
        <v>2329</v>
      </c>
      <c r="AA43" s="40" t="s">
        <v>2331</v>
      </c>
      <c r="AB43" s="51">
        <v>45658.0</v>
      </c>
      <c r="AC43" s="66">
        <v>46022.0</v>
      </c>
      <c r="AD43" s="40" t="s">
        <v>2332</v>
      </c>
      <c r="AE43" s="51" t="s">
        <v>79</v>
      </c>
      <c r="AF43" s="51"/>
      <c r="AG43" s="51"/>
      <c r="AH43" s="51"/>
    </row>
    <row r="44" ht="45.75" customHeight="1">
      <c r="A44" s="36">
        <v>306.0</v>
      </c>
      <c r="B44" s="40"/>
      <c r="C44" s="39" t="s">
        <v>887</v>
      </c>
      <c r="D44" s="40" t="s">
        <v>2333</v>
      </c>
      <c r="E44" s="39" t="s">
        <v>2334</v>
      </c>
      <c r="F44" s="39" t="s">
        <v>2336</v>
      </c>
      <c r="G44" s="42" t="s">
        <v>2338</v>
      </c>
      <c r="H44" s="39" t="s">
        <v>64</v>
      </c>
      <c r="I44" s="40" t="s">
        <v>65</v>
      </c>
      <c r="J44" s="40" t="s">
        <v>62</v>
      </c>
      <c r="K44" s="40" t="s">
        <v>68</v>
      </c>
      <c r="L44" s="40">
        <v>438.0</v>
      </c>
      <c r="M44" s="40" t="s">
        <v>2341</v>
      </c>
      <c r="N44" s="40" t="s">
        <v>71</v>
      </c>
      <c r="O44" s="40"/>
      <c r="P44" s="40" t="s">
        <v>1180</v>
      </c>
      <c r="Q44" s="49"/>
      <c r="R44" s="49"/>
      <c r="S44" s="49"/>
      <c r="T44" s="60"/>
      <c r="U44" s="45">
        <v>29.0</v>
      </c>
      <c r="V44" s="45"/>
      <c r="W44" s="40"/>
      <c r="X44" s="45" t="s">
        <v>93</v>
      </c>
      <c r="Y44" s="40" t="s">
        <v>2348</v>
      </c>
      <c r="Z44" s="40" t="s">
        <v>2350</v>
      </c>
      <c r="AA44" s="36" t="s">
        <v>2352</v>
      </c>
      <c r="AB44" s="51">
        <v>45658.0</v>
      </c>
      <c r="AC44" s="51">
        <v>46022.0</v>
      </c>
      <c r="AD44" s="40" t="s">
        <v>2355</v>
      </c>
      <c r="AE44" s="51" t="s">
        <v>79</v>
      </c>
      <c r="AF44" s="51"/>
      <c r="AG44" s="51"/>
      <c r="AH44" s="51"/>
    </row>
    <row r="45" ht="45.75" customHeight="1">
      <c r="A45" s="36">
        <v>309.0</v>
      </c>
      <c r="B45" s="40"/>
      <c r="C45" s="39" t="s">
        <v>887</v>
      </c>
      <c r="D45" s="40" t="s">
        <v>2358</v>
      </c>
      <c r="E45" s="39" t="s">
        <v>2359</v>
      </c>
      <c r="F45" s="39" t="s">
        <v>2360</v>
      </c>
      <c r="G45" s="42" t="s">
        <v>2361</v>
      </c>
      <c r="H45" s="39" t="s">
        <v>64</v>
      </c>
      <c r="I45" s="40" t="s">
        <v>65</v>
      </c>
      <c r="J45" s="40" t="s">
        <v>62</v>
      </c>
      <c r="K45" s="40" t="s">
        <v>68</v>
      </c>
      <c r="L45" s="40">
        <v>550.0</v>
      </c>
      <c r="M45" s="40" t="s">
        <v>2364</v>
      </c>
      <c r="N45" s="40" t="s">
        <v>71</v>
      </c>
      <c r="O45" s="40" t="s">
        <v>72</v>
      </c>
      <c r="P45" s="40" t="s">
        <v>2367</v>
      </c>
      <c r="Q45" s="49"/>
      <c r="R45" s="49"/>
      <c r="S45" s="49"/>
      <c r="T45" s="60"/>
      <c r="U45" s="45">
        <v>28.0</v>
      </c>
      <c r="V45" s="45" t="s">
        <v>61</v>
      </c>
      <c r="W45" s="40"/>
      <c r="X45" s="45" t="s">
        <v>93</v>
      </c>
      <c r="Y45" s="40"/>
      <c r="Z45" s="40" t="s">
        <v>2371</v>
      </c>
      <c r="AA45" s="40" t="s">
        <v>2372</v>
      </c>
      <c r="AB45" s="51">
        <v>45658.0</v>
      </c>
      <c r="AC45" s="66">
        <v>46022.0</v>
      </c>
      <c r="AD45" s="40" t="s">
        <v>2374</v>
      </c>
      <c r="AE45" s="51" t="s">
        <v>79</v>
      </c>
      <c r="AF45" s="51"/>
      <c r="AG45" s="51"/>
      <c r="AH45" s="51"/>
    </row>
    <row r="46" ht="45.75" customHeight="1">
      <c r="A46" s="36">
        <v>314.0</v>
      </c>
      <c r="B46" s="40"/>
      <c r="C46" s="39" t="s">
        <v>887</v>
      </c>
      <c r="D46" s="40" t="s">
        <v>2388</v>
      </c>
      <c r="E46" s="39" t="s">
        <v>2391</v>
      </c>
      <c r="F46" s="39" t="s">
        <v>2392</v>
      </c>
      <c r="G46" s="42" t="s">
        <v>2393</v>
      </c>
      <c r="H46" s="39" t="s">
        <v>64</v>
      </c>
      <c r="I46" s="40" t="s">
        <v>65</v>
      </c>
      <c r="J46" s="40" t="s">
        <v>62</v>
      </c>
      <c r="K46" s="40" t="s">
        <v>68</v>
      </c>
      <c r="L46" s="40">
        <v>600.0</v>
      </c>
      <c r="M46" s="40" t="s">
        <v>2398</v>
      </c>
      <c r="N46" s="40" t="s">
        <v>71</v>
      </c>
      <c r="O46" s="40" t="s">
        <v>72</v>
      </c>
      <c r="P46" s="40" t="s">
        <v>950</v>
      </c>
      <c r="Q46" s="49"/>
      <c r="R46" s="49"/>
      <c r="S46" s="49"/>
      <c r="T46" s="60"/>
      <c r="U46" s="45">
        <v>19.0</v>
      </c>
      <c r="V46" s="45"/>
      <c r="W46" s="40"/>
      <c r="X46" s="45" t="s">
        <v>93</v>
      </c>
      <c r="Y46" s="40" t="s">
        <v>2406</v>
      </c>
      <c r="Z46" s="40" t="s">
        <v>2408</v>
      </c>
      <c r="AA46" s="40" t="s">
        <v>2410</v>
      </c>
      <c r="AB46" s="51">
        <v>45658.0</v>
      </c>
      <c r="AC46" s="66">
        <v>46022.0</v>
      </c>
      <c r="AD46" s="40" t="s">
        <v>2414</v>
      </c>
      <c r="AE46" s="51" t="s">
        <v>79</v>
      </c>
      <c r="AF46" s="51"/>
      <c r="AG46" s="51"/>
      <c r="AH46" s="51"/>
    </row>
    <row r="47" ht="45.75" customHeight="1">
      <c r="A47" s="36">
        <v>327.0</v>
      </c>
      <c r="B47" s="40">
        <v>268.0</v>
      </c>
      <c r="C47" s="39" t="s">
        <v>949</v>
      </c>
      <c r="D47" s="40" t="s">
        <v>2420</v>
      </c>
      <c r="E47" s="39" t="s">
        <v>2421</v>
      </c>
      <c r="F47" s="39" t="s">
        <v>2423</v>
      </c>
      <c r="G47" s="42" t="s">
        <v>2424</v>
      </c>
      <c r="H47" s="39" t="s">
        <v>64</v>
      </c>
      <c r="I47" s="40" t="s">
        <v>65</v>
      </c>
      <c r="J47" s="40" t="s">
        <v>62</v>
      </c>
      <c r="K47" s="40" t="s">
        <v>68</v>
      </c>
      <c r="L47" s="40">
        <v>600.0</v>
      </c>
      <c r="M47" s="40" t="s">
        <v>2434</v>
      </c>
      <c r="N47" s="40"/>
      <c r="O47" s="40"/>
      <c r="P47" s="40" t="s">
        <v>950</v>
      </c>
      <c r="Q47" s="49"/>
      <c r="R47" s="49"/>
      <c r="S47" s="49"/>
      <c r="T47" s="60"/>
      <c r="U47" s="45">
        <v>40.0</v>
      </c>
      <c r="V47" s="45"/>
      <c r="W47" s="40"/>
      <c r="X47" s="45" t="s">
        <v>93</v>
      </c>
      <c r="Y47" s="40" t="s">
        <v>2444</v>
      </c>
      <c r="Z47" s="40" t="s">
        <v>2445</v>
      </c>
      <c r="AA47" s="40" t="s">
        <v>2447</v>
      </c>
      <c r="AB47" s="51">
        <v>45658.0</v>
      </c>
      <c r="AC47" s="51">
        <v>46022.0</v>
      </c>
      <c r="AD47" s="40" t="s">
        <v>2449</v>
      </c>
      <c r="AE47" s="51" t="s">
        <v>79</v>
      </c>
      <c r="AF47" s="51"/>
      <c r="AG47" s="51"/>
      <c r="AH47" s="51"/>
    </row>
    <row r="48" ht="45.75" customHeight="1">
      <c r="A48" s="36">
        <v>328.0</v>
      </c>
      <c r="B48" s="40">
        <v>275.0</v>
      </c>
      <c r="C48" s="39" t="s">
        <v>949</v>
      </c>
      <c r="D48" s="40" t="s">
        <v>2457</v>
      </c>
      <c r="E48" s="39" t="s">
        <v>2461</v>
      </c>
      <c r="F48" s="39" t="s">
        <v>2464</v>
      </c>
      <c r="G48" s="42" t="s">
        <v>2466</v>
      </c>
      <c r="H48" s="39" t="s">
        <v>64</v>
      </c>
      <c r="I48" s="40" t="s">
        <v>65</v>
      </c>
      <c r="J48" s="40" t="s">
        <v>62</v>
      </c>
      <c r="K48" s="40" t="s">
        <v>68</v>
      </c>
      <c r="L48" s="40">
        <v>1200.0</v>
      </c>
      <c r="M48" s="40" t="s">
        <v>2472</v>
      </c>
      <c r="N48" s="40"/>
      <c r="O48" s="40"/>
      <c r="P48" s="40" t="s">
        <v>2474</v>
      </c>
      <c r="Q48" s="49"/>
      <c r="R48" s="49"/>
      <c r="S48" s="49"/>
      <c r="T48" s="60"/>
      <c r="U48" s="45">
        <v>69.0</v>
      </c>
      <c r="W48" s="45" t="s">
        <v>533</v>
      </c>
      <c r="X48" s="45" t="s">
        <v>93</v>
      </c>
      <c r="Y48" s="40" t="s">
        <v>2481</v>
      </c>
      <c r="Z48" s="40" t="s">
        <v>2484</v>
      </c>
      <c r="AA48" s="40" t="s">
        <v>2486</v>
      </c>
      <c r="AB48" s="51">
        <v>45658.0</v>
      </c>
      <c r="AC48" s="51">
        <v>46022.0</v>
      </c>
      <c r="AD48" s="40" t="s">
        <v>2491</v>
      </c>
      <c r="AE48" s="51" t="s">
        <v>79</v>
      </c>
      <c r="AF48" s="51"/>
      <c r="AG48" s="51"/>
      <c r="AH48" s="51"/>
    </row>
    <row r="49" ht="45.75" customHeight="1">
      <c r="A49" s="36">
        <v>330.0</v>
      </c>
      <c r="B49" s="40">
        <v>46493.0</v>
      </c>
      <c r="C49" s="39" t="s">
        <v>949</v>
      </c>
      <c r="D49" s="40" t="s">
        <v>2497</v>
      </c>
      <c r="E49" s="39" t="s">
        <v>2499</v>
      </c>
      <c r="F49" s="39" t="s">
        <v>2502</v>
      </c>
      <c r="G49" s="42" t="s">
        <v>2506</v>
      </c>
      <c r="H49" s="39" t="s">
        <v>64</v>
      </c>
      <c r="I49" s="40" t="s">
        <v>65</v>
      </c>
      <c r="J49" s="40" t="s">
        <v>62</v>
      </c>
      <c r="K49" s="40" t="s">
        <v>63</v>
      </c>
      <c r="L49" s="40">
        <v>28.0</v>
      </c>
      <c r="M49" s="40"/>
      <c r="N49" s="40"/>
      <c r="O49" s="40" t="s">
        <v>67</v>
      </c>
      <c r="P49" s="40" t="s">
        <v>2517</v>
      </c>
      <c r="Q49" s="49"/>
      <c r="R49" s="49"/>
      <c r="S49" s="49"/>
      <c r="T49" s="60"/>
      <c r="U49" s="45" t="s">
        <v>61</v>
      </c>
      <c r="V49" s="45" t="s">
        <v>61</v>
      </c>
      <c r="W49" s="40" t="s">
        <v>61</v>
      </c>
      <c r="X49" s="45" t="s">
        <v>74</v>
      </c>
      <c r="Y49" s="40" t="s">
        <v>2524</v>
      </c>
      <c r="Z49" s="40"/>
      <c r="AA49" s="66"/>
      <c r="AB49" s="51">
        <v>45658.0</v>
      </c>
      <c r="AC49" s="51">
        <v>46022.0</v>
      </c>
      <c r="AD49" s="40" t="s">
        <v>2528</v>
      </c>
      <c r="AE49" s="51" t="s">
        <v>79</v>
      </c>
      <c r="AF49" s="51"/>
      <c r="AG49" s="51"/>
      <c r="AH49" s="51"/>
    </row>
    <row r="50" ht="45.75" customHeight="1">
      <c r="A50" s="36">
        <v>334.0</v>
      </c>
      <c r="B50" s="40"/>
      <c r="C50" s="39" t="s">
        <v>1026</v>
      </c>
      <c r="D50" s="40" t="s">
        <v>2538</v>
      </c>
      <c r="E50" s="39" t="s">
        <v>2539</v>
      </c>
      <c r="F50" s="39" t="s">
        <v>2542</v>
      </c>
      <c r="G50" s="42" t="s">
        <v>2544</v>
      </c>
      <c r="H50" s="39" t="s">
        <v>64</v>
      </c>
      <c r="I50" s="40" t="s">
        <v>65</v>
      </c>
      <c r="J50" s="40" t="s">
        <v>62</v>
      </c>
      <c r="K50" s="40" t="s">
        <v>111</v>
      </c>
      <c r="L50" s="40" t="s">
        <v>2552</v>
      </c>
      <c r="M50" s="36" t="s">
        <v>2559</v>
      </c>
      <c r="N50" s="40"/>
      <c r="O50" s="40"/>
      <c r="P50" s="36" t="s">
        <v>2561</v>
      </c>
      <c r="Q50" s="118">
        <v>1.0</v>
      </c>
      <c r="R50" s="118">
        <v>1.0</v>
      </c>
      <c r="S50" s="118">
        <v>2.0</v>
      </c>
      <c r="T50" s="60"/>
      <c r="U50" s="57">
        <v>23.0</v>
      </c>
      <c r="V50" s="45"/>
      <c r="W50" s="40"/>
      <c r="X50" s="40" t="s">
        <v>93</v>
      </c>
      <c r="Y50" s="45" t="s">
        <v>2578</v>
      </c>
      <c r="Z50" s="40">
        <v>9.956550149E9</v>
      </c>
      <c r="AA50" s="66" t="s">
        <v>2583</v>
      </c>
      <c r="AB50" s="66">
        <v>45658.0</v>
      </c>
      <c r="AC50" s="66">
        <v>46022.0</v>
      </c>
      <c r="AD50" s="51" t="s">
        <v>2586</v>
      </c>
      <c r="AE50" s="40" t="s">
        <v>79</v>
      </c>
      <c r="AF50" s="51"/>
      <c r="AG50" s="51"/>
      <c r="AH50" s="51"/>
    </row>
    <row r="51" ht="45.75" customHeight="1">
      <c r="A51" s="36">
        <v>341.0</v>
      </c>
      <c r="B51" s="40"/>
      <c r="C51" s="39" t="s">
        <v>1026</v>
      </c>
      <c r="D51" s="36" t="s">
        <v>2594</v>
      </c>
      <c r="E51" s="39" t="s">
        <v>2595</v>
      </c>
      <c r="F51" s="39" t="s">
        <v>2596</v>
      </c>
      <c r="G51" s="42" t="s">
        <v>2598</v>
      </c>
      <c r="H51" s="39" t="s">
        <v>64</v>
      </c>
      <c r="I51" s="40" t="s">
        <v>65</v>
      </c>
      <c r="J51" s="40" t="s">
        <v>62</v>
      </c>
      <c r="K51" s="40" t="s">
        <v>68</v>
      </c>
      <c r="L51" s="40">
        <v>375.0</v>
      </c>
      <c r="M51" s="40" t="s">
        <v>2605</v>
      </c>
      <c r="N51" s="40"/>
      <c r="O51" s="40"/>
      <c r="P51" s="40" t="s">
        <v>1180</v>
      </c>
      <c r="Q51" s="49"/>
      <c r="R51" s="49"/>
      <c r="S51" s="49"/>
      <c r="T51" s="60"/>
      <c r="U51" s="45">
        <v>21.0</v>
      </c>
      <c r="V51" s="45"/>
      <c r="W51" s="40"/>
      <c r="X51" s="40"/>
      <c r="Y51" s="45" t="s">
        <v>2609</v>
      </c>
      <c r="Z51" s="40" t="s">
        <v>2610</v>
      </c>
      <c r="AA51" s="40" t="s">
        <v>2611</v>
      </c>
      <c r="AB51" s="51">
        <v>45658.0</v>
      </c>
      <c r="AC51" s="51">
        <v>46022.0</v>
      </c>
      <c r="AD51" s="51" t="s">
        <v>2612</v>
      </c>
      <c r="AE51" s="40" t="s">
        <v>79</v>
      </c>
      <c r="AF51" s="51"/>
      <c r="AG51" s="51"/>
      <c r="AH51" s="51"/>
    </row>
    <row r="52" ht="45.75" customHeight="1">
      <c r="A52" s="36">
        <v>349.0</v>
      </c>
      <c r="B52" s="40"/>
      <c r="C52" s="39" t="s">
        <v>1026</v>
      </c>
      <c r="D52" s="40" t="s">
        <v>2615</v>
      </c>
      <c r="E52" s="39" t="s">
        <v>2616</v>
      </c>
      <c r="F52" s="39" t="s">
        <v>2617</v>
      </c>
      <c r="G52" s="42" t="s">
        <v>2618</v>
      </c>
      <c r="H52" s="39" t="s">
        <v>64</v>
      </c>
      <c r="I52" s="40" t="s">
        <v>65</v>
      </c>
      <c r="J52" s="40" t="s">
        <v>62</v>
      </c>
      <c r="K52" s="40" t="s">
        <v>63</v>
      </c>
      <c r="L52" s="40">
        <v>75.0</v>
      </c>
      <c r="M52" s="40" t="s">
        <v>2627</v>
      </c>
      <c r="N52" s="40" t="s">
        <v>66</v>
      </c>
      <c r="O52" s="40"/>
      <c r="P52" s="40" t="s">
        <v>2630</v>
      </c>
      <c r="Q52" s="49"/>
      <c r="R52" s="49"/>
      <c r="S52" s="49"/>
      <c r="T52" s="60"/>
      <c r="U52" s="45"/>
      <c r="V52" s="45"/>
      <c r="W52" s="40"/>
      <c r="X52" s="40" t="s">
        <v>74</v>
      </c>
      <c r="Y52" s="45" t="s">
        <v>2633</v>
      </c>
      <c r="Z52" s="40">
        <v>9.17679296E9</v>
      </c>
      <c r="AA52" s="66" t="s">
        <v>2637</v>
      </c>
      <c r="AB52" s="66">
        <v>45658.0</v>
      </c>
      <c r="AC52" s="66">
        <v>46022.0</v>
      </c>
      <c r="AD52" s="51" t="s">
        <v>2639</v>
      </c>
      <c r="AE52" s="40" t="s">
        <v>79</v>
      </c>
      <c r="AF52" s="51"/>
      <c r="AG52" s="51"/>
      <c r="AH52" s="51"/>
    </row>
    <row r="53" ht="45.75" customHeight="1">
      <c r="A53" s="36">
        <v>357.0</v>
      </c>
      <c r="B53" s="40">
        <v>6890.0</v>
      </c>
      <c r="C53" s="39" t="s">
        <v>1098</v>
      </c>
      <c r="D53" s="40" t="s">
        <v>2640</v>
      </c>
      <c r="E53" s="39" t="s">
        <v>2641</v>
      </c>
      <c r="F53" s="39" t="s">
        <v>2642</v>
      </c>
      <c r="G53" s="42" t="s">
        <v>2643</v>
      </c>
      <c r="H53" s="39" t="s">
        <v>64</v>
      </c>
      <c r="I53" s="36" t="s">
        <v>65</v>
      </c>
      <c r="J53" s="40" t="s">
        <v>62</v>
      </c>
      <c r="K53" s="40" t="s">
        <v>63</v>
      </c>
      <c r="L53" s="40">
        <v>50.0</v>
      </c>
      <c r="M53" s="40" t="s">
        <v>2646</v>
      </c>
      <c r="N53" s="40"/>
      <c r="O53" s="40"/>
      <c r="P53" s="40" t="s">
        <v>2647</v>
      </c>
      <c r="Q53" s="49"/>
      <c r="R53" s="49"/>
      <c r="S53" s="49"/>
      <c r="T53" s="60"/>
      <c r="U53" s="45"/>
      <c r="V53" s="45" t="s">
        <v>61</v>
      </c>
      <c r="W53" s="40"/>
      <c r="X53" s="40" t="s">
        <v>74</v>
      </c>
      <c r="Y53" s="45" t="s">
        <v>2653</v>
      </c>
      <c r="Z53" s="40" t="s">
        <v>2654</v>
      </c>
      <c r="AA53" s="40" t="s">
        <v>2655</v>
      </c>
      <c r="AB53" s="66">
        <v>45667.0</v>
      </c>
      <c r="AC53" s="66">
        <v>46022.0</v>
      </c>
      <c r="AD53" s="51" t="s">
        <v>2656</v>
      </c>
      <c r="AE53" s="40" t="s">
        <v>79</v>
      </c>
      <c r="AF53" s="51"/>
      <c r="AG53" s="51"/>
      <c r="AH53" s="51"/>
    </row>
    <row r="54" ht="45.75" customHeight="1">
      <c r="A54" s="36">
        <v>359.0</v>
      </c>
      <c r="B54" s="40">
        <v>1918.0</v>
      </c>
      <c r="C54" s="39" t="s">
        <v>1098</v>
      </c>
      <c r="D54" s="40" t="s">
        <v>2640</v>
      </c>
      <c r="E54" s="39" t="s">
        <v>2663</v>
      </c>
      <c r="F54" s="39" t="s">
        <v>2663</v>
      </c>
      <c r="G54" s="42" t="s">
        <v>2665</v>
      </c>
      <c r="H54" s="39" t="s">
        <v>64</v>
      </c>
      <c r="I54" s="40" t="s">
        <v>65</v>
      </c>
      <c r="J54" s="40" t="s">
        <v>62</v>
      </c>
      <c r="K54" s="40" t="s">
        <v>111</v>
      </c>
      <c r="L54" s="40">
        <v>300.0</v>
      </c>
      <c r="M54" s="40"/>
      <c r="N54" s="40"/>
      <c r="O54" s="40"/>
      <c r="P54" s="40" t="s">
        <v>2670</v>
      </c>
      <c r="Q54" s="49"/>
      <c r="R54" s="49"/>
      <c r="S54" s="49"/>
      <c r="T54" s="60"/>
      <c r="U54" s="45"/>
      <c r="V54" s="45"/>
      <c r="W54" s="40"/>
      <c r="X54" s="40"/>
      <c r="Y54" s="45" t="s">
        <v>2673</v>
      </c>
      <c r="Z54" s="40" t="s">
        <v>2675</v>
      </c>
      <c r="AA54" s="40" t="s">
        <v>2677</v>
      </c>
      <c r="AB54" s="66">
        <v>45658.0</v>
      </c>
      <c r="AC54" s="66">
        <v>46022.0</v>
      </c>
      <c r="AD54" s="51" t="s">
        <v>2678</v>
      </c>
      <c r="AE54" s="40" t="s">
        <v>79</v>
      </c>
      <c r="AF54" s="51"/>
      <c r="AG54" s="51"/>
      <c r="AH54" s="51"/>
    </row>
    <row r="55" ht="45.75" customHeight="1">
      <c r="A55" s="36">
        <v>365.0</v>
      </c>
      <c r="B55" s="40">
        <v>4707.0</v>
      </c>
      <c r="C55" s="39" t="s">
        <v>1098</v>
      </c>
      <c r="D55" s="40" t="s">
        <v>2681</v>
      </c>
      <c r="E55" s="39" t="s">
        <v>2682</v>
      </c>
      <c r="F55" s="39" t="s">
        <v>2683</v>
      </c>
      <c r="G55" s="42" t="s">
        <v>2685</v>
      </c>
      <c r="H55" s="39" t="s">
        <v>64</v>
      </c>
      <c r="I55" s="40" t="s">
        <v>65</v>
      </c>
      <c r="J55" s="40" t="s">
        <v>62</v>
      </c>
      <c r="K55" s="40" t="s">
        <v>111</v>
      </c>
      <c r="L55" s="40">
        <v>200.0</v>
      </c>
      <c r="M55" s="40" t="s">
        <v>2691</v>
      </c>
      <c r="N55" s="40"/>
      <c r="O55" s="40"/>
      <c r="P55" s="40"/>
      <c r="Q55" s="49"/>
      <c r="R55" s="49"/>
      <c r="S55" s="49"/>
      <c r="T55" s="60"/>
      <c r="U55" s="45">
        <v>12.0</v>
      </c>
      <c r="V55" s="45"/>
      <c r="W55" s="40"/>
      <c r="X55" s="40"/>
      <c r="Y55" s="45" t="s">
        <v>2694</v>
      </c>
      <c r="Z55" s="40" t="s">
        <v>2695</v>
      </c>
      <c r="AA55" s="40"/>
      <c r="AB55" s="66">
        <v>45658.0</v>
      </c>
      <c r="AC55" s="66">
        <v>46022.0</v>
      </c>
      <c r="AD55" s="51" t="s">
        <v>2699</v>
      </c>
      <c r="AE55" s="40" t="s">
        <v>79</v>
      </c>
      <c r="AF55" s="51"/>
      <c r="AG55" s="51"/>
      <c r="AH55" s="51"/>
    </row>
    <row r="56" ht="45.75" customHeight="1">
      <c r="A56" s="36">
        <v>368.0</v>
      </c>
      <c r="B56" s="53" t="s">
        <v>2704</v>
      </c>
      <c r="C56" s="36" t="s">
        <v>11</v>
      </c>
      <c r="D56" s="36" t="s">
        <v>2707</v>
      </c>
      <c r="E56" s="36" t="s">
        <v>2708</v>
      </c>
      <c r="F56" s="36" t="s">
        <v>2710</v>
      </c>
      <c r="G56" s="42" t="s">
        <v>2712</v>
      </c>
      <c r="H56" s="39" t="s">
        <v>64</v>
      </c>
      <c r="I56" s="36" t="s">
        <v>65</v>
      </c>
      <c r="J56" s="36" t="s">
        <v>62</v>
      </c>
      <c r="K56" s="36" t="s">
        <v>68</v>
      </c>
      <c r="L56" s="36">
        <v>459.0</v>
      </c>
      <c r="M56" s="36" t="s">
        <v>2717</v>
      </c>
      <c r="N56" s="137"/>
      <c r="O56" s="137"/>
      <c r="P56" s="36" t="s">
        <v>2727</v>
      </c>
      <c r="Q56" s="39"/>
      <c r="R56" s="39"/>
      <c r="S56" s="36">
        <v>6.0</v>
      </c>
      <c r="T56" s="60"/>
      <c r="U56" s="57">
        <v>54.0</v>
      </c>
      <c r="V56" s="40"/>
      <c r="W56" s="36" t="s">
        <v>61</v>
      </c>
      <c r="X56" s="36" t="s">
        <v>93</v>
      </c>
      <c r="Y56" s="36" t="s">
        <v>2731</v>
      </c>
      <c r="Z56" s="36" t="s">
        <v>2732</v>
      </c>
      <c r="AA56" s="36" t="s">
        <v>2735</v>
      </c>
      <c r="AB56" s="138">
        <v>45658.0</v>
      </c>
      <c r="AC56" s="138">
        <v>46022.0</v>
      </c>
      <c r="AD56" s="36" t="s">
        <v>2740</v>
      </c>
      <c r="AE56" s="36" t="s">
        <v>638</v>
      </c>
      <c r="AF56" s="137"/>
      <c r="AG56" s="137"/>
      <c r="AH56" s="137"/>
    </row>
    <row r="57" ht="45.75" customHeight="1">
      <c r="A57" s="36">
        <v>369.0</v>
      </c>
      <c r="B57" s="53" t="s">
        <v>2743</v>
      </c>
      <c r="C57" s="36" t="s">
        <v>11</v>
      </c>
      <c r="D57" s="36" t="s">
        <v>2707</v>
      </c>
      <c r="E57" s="36" t="s">
        <v>2746</v>
      </c>
      <c r="F57" s="36" t="s">
        <v>2748</v>
      </c>
      <c r="G57" s="42" t="s">
        <v>2751</v>
      </c>
      <c r="H57" s="39" t="s">
        <v>64</v>
      </c>
      <c r="I57" s="36" t="s">
        <v>65</v>
      </c>
      <c r="J57" s="36" t="s">
        <v>62</v>
      </c>
      <c r="K57" s="36" t="s">
        <v>68</v>
      </c>
      <c r="L57" s="36">
        <v>418.0</v>
      </c>
      <c r="M57" s="36" t="s">
        <v>2758</v>
      </c>
      <c r="N57" s="137"/>
      <c r="O57" s="36" t="s">
        <v>72</v>
      </c>
      <c r="P57" s="36" t="s">
        <v>2761</v>
      </c>
      <c r="Q57" s="39"/>
      <c r="R57" s="39"/>
      <c r="S57" s="36">
        <v>2.0</v>
      </c>
      <c r="T57" s="60"/>
      <c r="U57" s="57">
        <v>7.0</v>
      </c>
      <c r="V57" s="40"/>
      <c r="W57" s="36" t="s">
        <v>61</v>
      </c>
      <c r="X57" s="36" t="s">
        <v>93</v>
      </c>
      <c r="Y57" s="36" t="s">
        <v>2766</v>
      </c>
      <c r="Z57" s="36">
        <v>8730556.0</v>
      </c>
      <c r="AA57" s="36" t="s">
        <v>2771</v>
      </c>
      <c r="AB57" s="138">
        <v>45658.0</v>
      </c>
      <c r="AC57" s="138">
        <v>46022.0</v>
      </c>
      <c r="AD57" s="36" t="s">
        <v>2774</v>
      </c>
      <c r="AE57" s="36" t="s">
        <v>638</v>
      </c>
      <c r="AF57" s="40"/>
      <c r="AG57" s="40"/>
      <c r="AH57" s="40"/>
    </row>
    <row r="58" ht="45.75" customHeight="1">
      <c r="A58" s="36">
        <v>372.0</v>
      </c>
      <c r="B58" s="53" t="s">
        <v>2786</v>
      </c>
      <c r="C58" s="36" t="s">
        <v>11</v>
      </c>
      <c r="D58" s="36" t="s">
        <v>2707</v>
      </c>
      <c r="E58" s="36" t="s">
        <v>2788</v>
      </c>
      <c r="F58" s="36" t="s">
        <v>2792</v>
      </c>
      <c r="G58" s="42" t="s">
        <v>2795</v>
      </c>
      <c r="H58" s="39" t="s">
        <v>64</v>
      </c>
      <c r="I58" s="36" t="s">
        <v>65</v>
      </c>
      <c r="J58" s="36" t="s">
        <v>62</v>
      </c>
      <c r="K58" s="36" t="s">
        <v>63</v>
      </c>
      <c r="L58" s="36">
        <v>10.0</v>
      </c>
      <c r="M58" s="36" t="s">
        <v>2808</v>
      </c>
      <c r="N58" s="36" t="s">
        <v>66</v>
      </c>
      <c r="O58" s="40"/>
      <c r="P58" s="36" t="s">
        <v>2816</v>
      </c>
      <c r="Q58" s="39"/>
      <c r="R58" s="40"/>
      <c r="S58" s="40"/>
      <c r="T58" s="40"/>
      <c r="U58" s="40"/>
      <c r="V58" s="40"/>
      <c r="W58" s="40"/>
      <c r="X58" s="36" t="s">
        <v>74</v>
      </c>
      <c r="Y58" s="36" t="s">
        <v>2823</v>
      </c>
      <c r="Z58" s="36">
        <v>8.2944853E7</v>
      </c>
      <c r="AA58" s="36" t="s">
        <v>2826</v>
      </c>
      <c r="AB58" s="138">
        <v>45658.0</v>
      </c>
      <c r="AC58" s="138">
        <v>46022.0</v>
      </c>
      <c r="AD58" s="36" t="s">
        <v>2831</v>
      </c>
      <c r="AE58" s="36" t="s">
        <v>79</v>
      </c>
      <c r="AF58" s="40"/>
      <c r="AG58" s="40"/>
      <c r="AH58" s="40"/>
    </row>
    <row r="59" ht="45.75" customHeight="1">
      <c r="A59" s="36">
        <v>374.0</v>
      </c>
      <c r="B59" s="53" t="s">
        <v>2839</v>
      </c>
      <c r="C59" s="36" t="s">
        <v>11</v>
      </c>
      <c r="D59" s="36" t="s">
        <v>2707</v>
      </c>
      <c r="E59" s="36" t="s">
        <v>2844</v>
      </c>
      <c r="F59" s="36" t="s">
        <v>2847</v>
      </c>
      <c r="G59" s="42" t="s">
        <v>2848</v>
      </c>
      <c r="H59" s="39" t="s">
        <v>64</v>
      </c>
      <c r="I59" s="36" t="s">
        <v>65</v>
      </c>
      <c r="J59" s="36" t="s">
        <v>663</v>
      </c>
      <c r="K59" s="36" t="s">
        <v>68</v>
      </c>
      <c r="L59" s="36">
        <v>4200.0</v>
      </c>
      <c r="M59" s="36" t="s">
        <v>2863</v>
      </c>
      <c r="N59" s="39"/>
      <c r="O59" s="36" t="s">
        <v>72</v>
      </c>
      <c r="P59" s="36" t="s">
        <v>2870</v>
      </c>
      <c r="Q59" s="39"/>
      <c r="R59" s="39"/>
      <c r="S59" s="36">
        <v>1.0</v>
      </c>
      <c r="T59" s="137"/>
      <c r="U59" s="36">
        <v>10.0</v>
      </c>
      <c r="V59" s="137"/>
      <c r="W59" s="36" t="s">
        <v>61</v>
      </c>
      <c r="X59" s="36" t="s">
        <v>93</v>
      </c>
      <c r="Y59" s="36" t="s">
        <v>2881</v>
      </c>
      <c r="Z59" s="36">
        <v>8.5319001E7</v>
      </c>
      <c r="AA59" s="141" t="s">
        <v>2886</v>
      </c>
      <c r="AB59" s="138">
        <v>45658.0</v>
      </c>
      <c r="AC59" s="138">
        <v>46022.0</v>
      </c>
      <c r="AD59" s="142" t="s">
        <v>2899</v>
      </c>
      <c r="AE59" s="36" t="s">
        <v>638</v>
      </c>
      <c r="AF59" s="40"/>
      <c r="AG59" s="40"/>
      <c r="AH59" s="40"/>
    </row>
    <row r="60" ht="45.75" customHeight="1">
      <c r="A60" s="36">
        <v>375.0</v>
      </c>
      <c r="B60" s="53" t="s">
        <v>2909</v>
      </c>
      <c r="C60" s="36" t="s">
        <v>11</v>
      </c>
      <c r="D60" s="36" t="s">
        <v>2707</v>
      </c>
      <c r="E60" s="36" t="s">
        <v>2914</v>
      </c>
      <c r="F60" s="36" t="s">
        <v>2917</v>
      </c>
      <c r="G60" s="42" t="s">
        <v>2921</v>
      </c>
      <c r="H60" s="39" t="s">
        <v>64</v>
      </c>
      <c r="I60" s="36" t="s">
        <v>65</v>
      </c>
      <c r="J60" s="36" t="s">
        <v>663</v>
      </c>
      <c r="K60" s="36" t="s">
        <v>68</v>
      </c>
      <c r="L60" s="36">
        <v>700.0</v>
      </c>
      <c r="M60" s="36" t="s">
        <v>2934</v>
      </c>
      <c r="N60" s="137"/>
      <c r="O60" s="36" t="s">
        <v>72</v>
      </c>
      <c r="P60" s="36" t="s">
        <v>505</v>
      </c>
      <c r="Q60" s="137"/>
      <c r="R60" s="137"/>
      <c r="S60" s="36">
        <v>2.0</v>
      </c>
      <c r="T60" s="137"/>
      <c r="U60" s="137"/>
      <c r="V60" s="137"/>
      <c r="W60" s="36" t="s">
        <v>61</v>
      </c>
      <c r="X60" s="36" t="s">
        <v>93</v>
      </c>
      <c r="Y60" s="36" t="s">
        <v>2950</v>
      </c>
      <c r="Z60" s="36">
        <v>9.175259952E9</v>
      </c>
      <c r="AA60" s="141" t="s">
        <v>2952</v>
      </c>
      <c r="AB60" s="138">
        <v>45658.0</v>
      </c>
      <c r="AC60" s="138">
        <v>46022.0</v>
      </c>
      <c r="AD60" s="142" t="s">
        <v>2960</v>
      </c>
      <c r="AE60" s="36" t="s">
        <v>638</v>
      </c>
      <c r="AF60" s="40"/>
      <c r="AG60" s="40"/>
      <c r="AH60" s="40"/>
    </row>
    <row r="61" ht="45.75" customHeight="1">
      <c r="A61" s="36">
        <v>377.0</v>
      </c>
      <c r="B61" s="53" t="s">
        <v>2970</v>
      </c>
      <c r="C61" s="36" t="s">
        <v>11</v>
      </c>
      <c r="D61" s="36" t="s">
        <v>2707</v>
      </c>
      <c r="E61" s="36" t="s">
        <v>2914</v>
      </c>
      <c r="F61" s="36" t="s">
        <v>2974</v>
      </c>
      <c r="G61" s="42" t="s">
        <v>2977</v>
      </c>
      <c r="H61" s="39" t="s">
        <v>64</v>
      </c>
      <c r="I61" s="36" t="s">
        <v>65</v>
      </c>
      <c r="J61" s="36" t="s">
        <v>62</v>
      </c>
      <c r="K61" s="36" t="s">
        <v>68</v>
      </c>
      <c r="L61" s="36">
        <v>450.0</v>
      </c>
      <c r="M61" s="36" t="s">
        <v>2989</v>
      </c>
      <c r="N61" s="137"/>
      <c r="O61" s="36" t="s">
        <v>72</v>
      </c>
      <c r="P61" s="36" t="s">
        <v>2995</v>
      </c>
      <c r="Q61" s="39"/>
      <c r="R61" s="39"/>
      <c r="S61" s="36">
        <v>5.0</v>
      </c>
      <c r="T61" s="137"/>
      <c r="U61" s="36">
        <v>12.0</v>
      </c>
      <c r="V61" s="137"/>
      <c r="W61" s="36" t="s">
        <v>61</v>
      </c>
      <c r="X61" s="36" t="s">
        <v>93</v>
      </c>
      <c r="Y61" s="36" t="s">
        <v>3001</v>
      </c>
      <c r="Z61" s="36" t="s">
        <v>3002</v>
      </c>
      <c r="AA61" s="141" t="s">
        <v>3005</v>
      </c>
      <c r="AB61" s="138">
        <v>45658.0</v>
      </c>
      <c r="AC61" s="138">
        <v>46022.0</v>
      </c>
      <c r="AD61" s="142" t="s">
        <v>3013</v>
      </c>
      <c r="AE61" s="36" t="s">
        <v>638</v>
      </c>
      <c r="AF61" s="40"/>
      <c r="AG61" s="40"/>
      <c r="AH61" s="40"/>
    </row>
    <row r="62" ht="45.75" customHeight="1">
      <c r="A62" s="36">
        <v>382.0</v>
      </c>
      <c r="B62" s="53" t="s">
        <v>3019</v>
      </c>
      <c r="C62" s="36" t="s">
        <v>11</v>
      </c>
      <c r="D62" s="36" t="s">
        <v>2707</v>
      </c>
      <c r="E62" s="36" t="s">
        <v>2914</v>
      </c>
      <c r="F62" s="36" t="s">
        <v>3026</v>
      </c>
      <c r="G62" s="42" t="s">
        <v>3029</v>
      </c>
      <c r="H62" s="39" t="s">
        <v>64</v>
      </c>
      <c r="I62" s="36" t="s">
        <v>65</v>
      </c>
      <c r="J62" s="36" t="s">
        <v>663</v>
      </c>
      <c r="K62" s="36" t="s">
        <v>68</v>
      </c>
      <c r="L62" s="36">
        <v>363.0</v>
      </c>
      <c r="M62" s="36" t="s">
        <v>3041</v>
      </c>
      <c r="N62" s="137"/>
      <c r="O62" s="36" t="s">
        <v>72</v>
      </c>
      <c r="P62" s="36" t="s">
        <v>3048</v>
      </c>
      <c r="Q62" s="60"/>
      <c r="R62" s="45"/>
      <c r="S62" s="36">
        <v>1.0</v>
      </c>
      <c r="T62" s="40"/>
      <c r="U62" s="57">
        <v>6.0</v>
      </c>
      <c r="V62" s="39"/>
      <c r="W62" s="137"/>
      <c r="X62" s="36" t="s">
        <v>93</v>
      </c>
      <c r="Y62" s="36" t="s">
        <v>3059</v>
      </c>
      <c r="Z62" s="36" t="s">
        <v>3061</v>
      </c>
      <c r="AA62" s="141" t="s">
        <v>3062</v>
      </c>
      <c r="AB62" s="138">
        <v>45658.0</v>
      </c>
      <c r="AC62" s="138">
        <v>46022.0</v>
      </c>
      <c r="AD62" s="36" t="s">
        <v>3081</v>
      </c>
      <c r="AE62" s="36" t="s">
        <v>638</v>
      </c>
      <c r="AF62" s="40"/>
      <c r="AG62" s="40"/>
      <c r="AH62" s="40"/>
    </row>
    <row r="63" ht="45.75" customHeight="1">
      <c r="A63" s="36">
        <v>384.0</v>
      </c>
      <c r="B63" s="53" t="s">
        <v>3110</v>
      </c>
      <c r="C63" s="36" t="s">
        <v>11</v>
      </c>
      <c r="D63" s="36" t="s">
        <v>2707</v>
      </c>
      <c r="E63" s="36" t="s">
        <v>2914</v>
      </c>
      <c r="F63" s="36" t="s">
        <v>3115</v>
      </c>
      <c r="G63" s="42" t="s">
        <v>3126</v>
      </c>
      <c r="H63" s="39" t="s">
        <v>64</v>
      </c>
      <c r="I63" s="36" t="s">
        <v>65</v>
      </c>
      <c r="J63" s="36" t="s">
        <v>62</v>
      </c>
      <c r="K63" s="36" t="s">
        <v>68</v>
      </c>
      <c r="L63" s="36">
        <v>300.0</v>
      </c>
      <c r="M63" s="36" t="s">
        <v>3140</v>
      </c>
      <c r="N63" s="137"/>
      <c r="O63" s="36" t="s">
        <v>72</v>
      </c>
      <c r="P63" s="36" t="s">
        <v>787</v>
      </c>
      <c r="Q63" s="60"/>
      <c r="R63" s="45"/>
      <c r="S63" s="36">
        <v>8.0</v>
      </c>
      <c r="T63" s="40"/>
      <c r="U63" s="57">
        <v>12.0</v>
      </c>
      <c r="V63" s="36" t="s">
        <v>3155</v>
      </c>
      <c r="W63" s="137"/>
      <c r="X63" s="36" t="s">
        <v>93</v>
      </c>
      <c r="Y63" s="36" t="s">
        <v>3163</v>
      </c>
      <c r="Z63" s="36">
        <v>9.209257431E9</v>
      </c>
      <c r="AA63" s="141" t="s">
        <v>3168</v>
      </c>
      <c r="AB63" s="138">
        <v>45658.0</v>
      </c>
      <c r="AC63" s="138">
        <v>46022.0</v>
      </c>
      <c r="AD63" s="36" t="s">
        <v>3181</v>
      </c>
      <c r="AE63" s="36" t="s">
        <v>638</v>
      </c>
      <c r="AF63" s="40"/>
      <c r="AG63" s="40"/>
      <c r="AH63" s="40"/>
    </row>
    <row r="64" ht="45.75" customHeight="1">
      <c r="A64" s="36">
        <v>386.0</v>
      </c>
      <c r="B64" s="36">
        <v>3872.0</v>
      </c>
      <c r="C64" s="36" t="s">
        <v>11</v>
      </c>
      <c r="D64" s="36" t="s">
        <v>2707</v>
      </c>
      <c r="E64" s="36" t="s">
        <v>3193</v>
      </c>
      <c r="F64" s="36" t="s">
        <v>3195</v>
      </c>
      <c r="G64" s="42" t="s">
        <v>3198</v>
      </c>
      <c r="H64" s="39" t="s">
        <v>64</v>
      </c>
      <c r="I64" s="36" t="s">
        <v>65</v>
      </c>
      <c r="J64" s="36" t="s">
        <v>62</v>
      </c>
      <c r="K64" s="36" t="s">
        <v>68</v>
      </c>
      <c r="L64" s="36">
        <v>300.0</v>
      </c>
      <c r="M64" s="56" t="s">
        <v>3208</v>
      </c>
      <c r="N64" s="60"/>
      <c r="O64" s="56" t="s">
        <v>72</v>
      </c>
      <c r="P64" s="57" t="s">
        <v>3214</v>
      </c>
      <c r="Q64" s="60"/>
      <c r="R64" s="45"/>
      <c r="S64" s="36">
        <v>3.0</v>
      </c>
      <c r="T64" s="40"/>
      <c r="U64" s="57">
        <v>12.0</v>
      </c>
      <c r="V64" s="39"/>
      <c r="W64" s="60"/>
      <c r="X64" s="57" t="s">
        <v>93</v>
      </c>
      <c r="Y64" s="36" t="s">
        <v>3218</v>
      </c>
      <c r="Z64" s="36" t="s">
        <v>3219</v>
      </c>
      <c r="AA64" s="141" t="s">
        <v>3221</v>
      </c>
      <c r="AB64" s="138">
        <v>45658.0</v>
      </c>
      <c r="AC64" s="138">
        <v>46022.0</v>
      </c>
      <c r="AD64" s="36" t="s">
        <v>3255</v>
      </c>
      <c r="AE64" s="36" t="s">
        <v>638</v>
      </c>
      <c r="AF64" s="40"/>
      <c r="AG64" s="40"/>
      <c r="AH64" s="40"/>
    </row>
    <row r="65" ht="45.75" customHeight="1">
      <c r="A65" s="36">
        <v>388.0</v>
      </c>
      <c r="B65" s="36">
        <v>2232.0</v>
      </c>
      <c r="C65" s="36" t="s">
        <v>11</v>
      </c>
      <c r="D65" s="36" t="s">
        <v>2707</v>
      </c>
      <c r="E65" s="36" t="s">
        <v>3265</v>
      </c>
      <c r="F65" s="36" t="s">
        <v>3268</v>
      </c>
      <c r="G65" s="42" t="s">
        <v>3271</v>
      </c>
      <c r="H65" s="39" t="s">
        <v>64</v>
      </c>
      <c r="I65" s="36" t="s">
        <v>65</v>
      </c>
      <c r="J65" s="36" t="s">
        <v>663</v>
      </c>
      <c r="K65" s="36" t="s">
        <v>68</v>
      </c>
      <c r="L65" s="36">
        <v>50.0</v>
      </c>
      <c r="M65" s="36" t="s">
        <v>28</v>
      </c>
      <c r="N65" s="40"/>
      <c r="O65" s="40"/>
      <c r="P65" s="36" t="s">
        <v>950</v>
      </c>
      <c r="Q65" s="40"/>
      <c r="R65" s="40"/>
      <c r="S65" s="36">
        <v>1.0</v>
      </c>
      <c r="T65" s="36" t="s">
        <v>955</v>
      </c>
      <c r="U65" s="39"/>
      <c r="V65" s="39"/>
      <c r="W65" s="40"/>
      <c r="X65" s="36" t="s">
        <v>93</v>
      </c>
      <c r="Y65" s="36" t="s">
        <v>3294</v>
      </c>
      <c r="Z65" s="36">
        <v>8.8072631E7</v>
      </c>
      <c r="AA65" s="36" t="s">
        <v>3297</v>
      </c>
      <c r="AB65" s="138">
        <v>45658.0</v>
      </c>
      <c r="AC65" s="138">
        <v>46022.0</v>
      </c>
      <c r="AD65" s="36" t="s">
        <v>3301</v>
      </c>
      <c r="AE65" s="36" t="s">
        <v>638</v>
      </c>
      <c r="AF65" s="36" t="s">
        <v>984</v>
      </c>
      <c r="AG65" s="36"/>
      <c r="AH65" s="36"/>
    </row>
    <row r="66" ht="45.75" customHeight="1">
      <c r="A66" s="36">
        <v>394.0</v>
      </c>
      <c r="B66" s="36">
        <v>727.0</v>
      </c>
      <c r="C66" s="36" t="s">
        <v>11</v>
      </c>
      <c r="D66" s="36" t="s">
        <v>2707</v>
      </c>
      <c r="E66" s="36" t="s">
        <v>3313</v>
      </c>
      <c r="F66" s="36" t="s">
        <v>3314</v>
      </c>
      <c r="G66" s="42" t="s">
        <v>3316</v>
      </c>
      <c r="H66" s="39" t="s">
        <v>64</v>
      </c>
      <c r="I66" s="36" t="s">
        <v>65</v>
      </c>
      <c r="J66" s="36" t="s">
        <v>62</v>
      </c>
      <c r="K66" s="36" t="s">
        <v>68</v>
      </c>
      <c r="L66" s="36">
        <v>300.0</v>
      </c>
      <c r="M66" s="36" t="s">
        <v>3208</v>
      </c>
      <c r="N66" s="40"/>
      <c r="O66" s="36" t="s">
        <v>72</v>
      </c>
      <c r="P66" s="36" t="s">
        <v>3328</v>
      </c>
      <c r="Q66" s="40"/>
      <c r="R66" s="40"/>
      <c r="S66" s="36">
        <v>1.0</v>
      </c>
      <c r="T66" s="39"/>
      <c r="U66" s="36">
        <v>7.0</v>
      </c>
      <c r="V66" s="39"/>
      <c r="W66" s="40"/>
      <c r="X66" s="36" t="s">
        <v>93</v>
      </c>
      <c r="Y66" s="36" t="s">
        <v>3336</v>
      </c>
      <c r="Z66" s="36" t="s">
        <v>3340</v>
      </c>
      <c r="AA66" s="36" t="s">
        <v>3342</v>
      </c>
      <c r="AB66" s="138">
        <v>45658.0</v>
      </c>
      <c r="AC66" s="138">
        <v>46022.0</v>
      </c>
      <c r="AD66" s="36" t="s">
        <v>3348</v>
      </c>
      <c r="AE66" s="36" t="s">
        <v>638</v>
      </c>
      <c r="AF66" s="36" t="s">
        <v>984</v>
      </c>
      <c r="AG66" s="36"/>
      <c r="AH66" s="36"/>
    </row>
    <row r="67" ht="45.75" customHeight="1">
      <c r="A67" s="36">
        <v>397.0</v>
      </c>
      <c r="B67" s="36">
        <v>6046.0</v>
      </c>
      <c r="C67" s="36" t="s">
        <v>11</v>
      </c>
      <c r="D67" s="36" t="s">
        <v>2707</v>
      </c>
      <c r="E67" s="36" t="s">
        <v>1054</v>
      </c>
      <c r="F67" s="36" t="s">
        <v>3366</v>
      </c>
      <c r="G67" s="42" t="s">
        <v>3368</v>
      </c>
      <c r="H67" s="39" t="s">
        <v>64</v>
      </c>
      <c r="I67" s="36" t="s">
        <v>65</v>
      </c>
      <c r="J67" s="36" t="s">
        <v>663</v>
      </c>
      <c r="K67" s="36" t="s">
        <v>68</v>
      </c>
      <c r="L67" s="36">
        <v>250.0</v>
      </c>
      <c r="M67" s="36" t="s">
        <v>3384</v>
      </c>
      <c r="N67" s="40"/>
      <c r="O67" s="36" t="s">
        <v>72</v>
      </c>
      <c r="P67" s="36" t="s">
        <v>3388</v>
      </c>
      <c r="Q67" s="40"/>
      <c r="R67" s="40"/>
      <c r="S67" s="36">
        <v>1.0</v>
      </c>
      <c r="T67" s="40"/>
      <c r="U67" s="40"/>
      <c r="V67" s="40"/>
      <c r="W67" s="39"/>
      <c r="X67" s="36" t="s">
        <v>93</v>
      </c>
      <c r="Y67" s="36" t="s">
        <v>3399</v>
      </c>
      <c r="Z67" s="36">
        <v>8.7240656E7</v>
      </c>
      <c r="AA67" s="36" t="s">
        <v>3401</v>
      </c>
      <c r="AB67" s="138">
        <v>45658.0</v>
      </c>
      <c r="AC67" s="138">
        <v>46022.0</v>
      </c>
      <c r="AD67" s="36" t="s">
        <v>3407</v>
      </c>
      <c r="AE67" s="36" t="s">
        <v>638</v>
      </c>
      <c r="AF67" s="36" t="s">
        <v>79</v>
      </c>
      <c r="AG67" s="36"/>
      <c r="AH67" s="36"/>
    </row>
    <row r="68" ht="45.75" customHeight="1">
      <c r="A68" s="36">
        <v>399.0</v>
      </c>
      <c r="B68" s="36">
        <v>540.0</v>
      </c>
      <c r="C68" s="36" t="s">
        <v>11</v>
      </c>
      <c r="D68" s="36" t="s">
        <v>2707</v>
      </c>
      <c r="E68" s="36" t="s">
        <v>3419</v>
      </c>
      <c r="F68" s="36" t="s">
        <v>3424</v>
      </c>
      <c r="G68" s="42" t="s">
        <v>3428</v>
      </c>
      <c r="H68" s="39" t="s">
        <v>64</v>
      </c>
      <c r="I68" s="36" t="s">
        <v>65</v>
      </c>
      <c r="J68" s="36" t="s">
        <v>62</v>
      </c>
      <c r="K68" s="36" t="s">
        <v>68</v>
      </c>
      <c r="L68" s="36">
        <v>1000.0</v>
      </c>
      <c r="M68" s="36" t="s">
        <v>3441</v>
      </c>
      <c r="N68" s="39"/>
      <c r="O68" s="36" t="s">
        <v>72</v>
      </c>
      <c r="P68" s="36" t="s">
        <v>1332</v>
      </c>
      <c r="Q68" s="40"/>
      <c r="R68" s="40"/>
      <c r="S68" s="36">
        <v>1.0</v>
      </c>
      <c r="T68" s="39"/>
      <c r="U68" s="36">
        <v>25.0</v>
      </c>
      <c r="V68" s="39"/>
      <c r="W68" s="36" t="s">
        <v>533</v>
      </c>
      <c r="X68" s="36" t="s">
        <v>93</v>
      </c>
      <c r="Y68" s="36" t="s">
        <v>3451</v>
      </c>
      <c r="Z68" s="36" t="s">
        <v>3454</v>
      </c>
      <c r="AA68" s="36" t="s">
        <v>3457</v>
      </c>
      <c r="AB68" s="138">
        <v>45658.0</v>
      </c>
      <c r="AC68" s="138">
        <v>46022.0</v>
      </c>
      <c r="AD68" s="36" t="s">
        <v>3461</v>
      </c>
      <c r="AE68" s="36" t="s">
        <v>638</v>
      </c>
      <c r="AF68" s="51"/>
      <c r="AG68" s="51"/>
      <c r="AH68" s="51"/>
    </row>
    <row r="69" ht="45.75" customHeight="1">
      <c r="A69" s="36">
        <v>404.0</v>
      </c>
      <c r="B69" s="36">
        <v>715.0</v>
      </c>
      <c r="C69" s="36" t="s">
        <v>11</v>
      </c>
      <c r="D69" s="36" t="s">
        <v>2707</v>
      </c>
      <c r="E69" s="36" t="s">
        <v>3419</v>
      </c>
      <c r="F69" s="36" t="s">
        <v>3469</v>
      </c>
      <c r="G69" s="42" t="s">
        <v>3480</v>
      </c>
      <c r="H69" s="39" t="s">
        <v>64</v>
      </c>
      <c r="I69" s="36" t="s">
        <v>65</v>
      </c>
      <c r="J69" s="36" t="s">
        <v>663</v>
      </c>
      <c r="K69" s="36" t="s">
        <v>68</v>
      </c>
      <c r="L69" s="36">
        <v>700.0</v>
      </c>
      <c r="M69" s="36" t="s">
        <v>3488</v>
      </c>
      <c r="N69" s="40"/>
      <c r="O69" s="36" t="s">
        <v>72</v>
      </c>
      <c r="P69" s="36" t="s">
        <v>1739</v>
      </c>
      <c r="Q69" s="40"/>
      <c r="R69" s="40"/>
      <c r="S69" s="40"/>
      <c r="T69" s="40"/>
      <c r="U69" s="39"/>
      <c r="V69" s="40"/>
      <c r="W69" s="36" t="s">
        <v>61</v>
      </c>
      <c r="X69" s="36" t="s">
        <v>93</v>
      </c>
      <c r="Y69" s="36" t="s">
        <v>3506</v>
      </c>
      <c r="Z69" s="36" t="s">
        <v>3509</v>
      </c>
      <c r="AA69" s="53" t="s">
        <v>3511</v>
      </c>
      <c r="AB69" s="138">
        <v>45658.0</v>
      </c>
      <c r="AC69" s="138">
        <v>46022.0</v>
      </c>
      <c r="AD69" s="36" t="s">
        <v>3516</v>
      </c>
      <c r="AE69" s="36" t="s">
        <v>638</v>
      </c>
      <c r="AF69" s="51"/>
      <c r="AG69" s="51"/>
      <c r="AH69" s="51"/>
    </row>
    <row r="70" ht="45.75" customHeight="1">
      <c r="A70" s="36">
        <v>407.0</v>
      </c>
      <c r="B70" s="36">
        <v>7520.0</v>
      </c>
      <c r="C70" s="36" t="s">
        <v>11</v>
      </c>
      <c r="D70" s="36" t="s">
        <v>2707</v>
      </c>
      <c r="E70" s="36" t="s">
        <v>3419</v>
      </c>
      <c r="F70" s="36" t="s">
        <v>3533</v>
      </c>
      <c r="G70" s="42" t="s">
        <v>3534</v>
      </c>
      <c r="H70" s="39" t="s">
        <v>64</v>
      </c>
      <c r="I70" s="36" t="s">
        <v>65</v>
      </c>
      <c r="J70" s="36" t="s">
        <v>62</v>
      </c>
      <c r="K70" s="36" t="s">
        <v>68</v>
      </c>
      <c r="L70" s="36">
        <v>599.0</v>
      </c>
      <c r="M70" s="36" t="s">
        <v>3542</v>
      </c>
      <c r="N70" s="40"/>
      <c r="O70" s="36" t="s">
        <v>72</v>
      </c>
      <c r="P70" s="36" t="s">
        <v>3547</v>
      </c>
      <c r="Q70" s="39"/>
      <c r="R70" s="40"/>
      <c r="S70" s="36">
        <v>5.0</v>
      </c>
      <c r="T70" s="40"/>
      <c r="U70" s="36">
        <v>4.0</v>
      </c>
      <c r="V70" s="40"/>
      <c r="W70" s="39"/>
      <c r="X70" s="36" t="s">
        <v>93</v>
      </c>
      <c r="Y70" s="36" t="s">
        <v>3555</v>
      </c>
      <c r="Z70" s="36">
        <v>5.30498E7</v>
      </c>
      <c r="AA70" s="36" t="s">
        <v>3558</v>
      </c>
      <c r="AB70" s="138">
        <v>45658.0</v>
      </c>
      <c r="AC70" s="138">
        <v>46022.0</v>
      </c>
      <c r="AD70" s="36" t="s">
        <v>3561</v>
      </c>
      <c r="AE70" s="36" t="s">
        <v>638</v>
      </c>
      <c r="AF70" s="51"/>
      <c r="AG70" s="51"/>
      <c r="AH70" s="51"/>
    </row>
    <row r="71" ht="45.75" customHeight="1">
      <c r="A71" s="36">
        <v>415.0</v>
      </c>
      <c r="B71" s="36">
        <v>32019.0</v>
      </c>
      <c r="C71" s="36" t="s">
        <v>11</v>
      </c>
      <c r="D71" s="36" t="s">
        <v>2707</v>
      </c>
      <c r="E71" s="36" t="s">
        <v>3575</v>
      </c>
      <c r="F71" s="36" t="s">
        <v>3578</v>
      </c>
      <c r="G71" s="42" t="s">
        <v>3581</v>
      </c>
      <c r="H71" s="39" t="s">
        <v>64</v>
      </c>
      <c r="I71" s="36" t="s">
        <v>65</v>
      </c>
      <c r="J71" s="36" t="s">
        <v>62</v>
      </c>
      <c r="K71" s="36" t="s">
        <v>68</v>
      </c>
      <c r="L71" s="36">
        <v>150.0</v>
      </c>
      <c r="M71" s="36" t="s">
        <v>3593</v>
      </c>
      <c r="N71" s="40"/>
      <c r="O71" s="36" t="s">
        <v>72</v>
      </c>
      <c r="P71" s="36" t="s">
        <v>950</v>
      </c>
      <c r="Q71" s="40"/>
      <c r="R71" s="40"/>
      <c r="S71" s="36">
        <v>2.0</v>
      </c>
      <c r="T71" s="40"/>
      <c r="U71" s="40"/>
      <c r="V71" s="39"/>
      <c r="W71" s="40"/>
      <c r="X71" s="36" t="s">
        <v>93</v>
      </c>
      <c r="Y71" s="36" t="s">
        <v>3603</v>
      </c>
      <c r="Z71" s="36" t="s">
        <v>3606</v>
      </c>
      <c r="AA71" s="36" t="s">
        <v>3607</v>
      </c>
      <c r="AB71" s="138">
        <v>45658.0</v>
      </c>
      <c r="AC71" s="138">
        <v>46022.0</v>
      </c>
      <c r="AD71" s="36" t="s">
        <v>3609</v>
      </c>
      <c r="AE71" s="36" t="s">
        <v>638</v>
      </c>
      <c r="AF71" s="51"/>
      <c r="AG71" s="51"/>
      <c r="AH71" s="51"/>
    </row>
    <row r="72" ht="45.75" customHeight="1">
      <c r="A72" s="36">
        <v>416.0</v>
      </c>
      <c r="B72" s="40">
        <v>4299.0</v>
      </c>
      <c r="C72" s="36" t="s">
        <v>1215</v>
      </c>
      <c r="D72" s="40" t="s">
        <v>3617</v>
      </c>
      <c r="E72" s="39" t="s">
        <v>3619</v>
      </c>
      <c r="F72" s="39" t="s">
        <v>3622</v>
      </c>
      <c r="G72" s="42" t="s">
        <v>3625</v>
      </c>
      <c r="H72" s="39" t="s">
        <v>64</v>
      </c>
      <c r="I72" s="40" t="s">
        <v>65</v>
      </c>
      <c r="J72" s="40" t="s">
        <v>62</v>
      </c>
      <c r="K72" s="40" t="s">
        <v>68</v>
      </c>
      <c r="L72" s="40">
        <v>400.0</v>
      </c>
      <c r="M72" s="40" t="s">
        <v>3637</v>
      </c>
      <c r="N72" s="40"/>
      <c r="O72" s="40"/>
      <c r="P72" s="40" t="s">
        <v>1180</v>
      </c>
      <c r="Q72" s="60"/>
      <c r="R72" s="45">
        <v>6.0</v>
      </c>
      <c r="S72" s="45"/>
      <c r="T72" s="40"/>
      <c r="U72" s="40"/>
      <c r="V72" s="40"/>
      <c r="W72" s="40"/>
      <c r="X72" s="45"/>
      <c r="Y72" s="40" t="s">
        <v>3653</v>
      </c>
      <c r="Z72" s="40" t="s">
        <v>3656</v>
      </c>
      <c r="AA72" s="40" t="s">
        <v>3659</v>
      </c>
      <c r="AB72" s="66">
        <v>45658.0</v>
      </c>
      <c r="AC72" s="66">
        <v>46022.0</v>
      </c>
      <c r="AD72" s="40" t="s">
        <v>3663</v>
      </c>
      <c r="AE72" s="51" t="s">
        <v>79</v>
      </c>
      <c r="AF72" s="51"/>
      <c r="AG72" s="51"/>
      <c r="AH72" s="51"/>
    </row>
    <row r="73" ht="45.75" customHeight="1">
      <c r="A73" s="36">
        <v>434.0</v>
      </c>
      <c r="B73" s="40">
        <v>50496.0</v>
      </c>
      <c r="C73" s="39" t="s">
        <v>1323</v>
      </c>
      <c r="D73" s="40" t="s">
        <v>3672</v>
      </c>
      <c r="E73" s="39" t="s">
        <v>3674</v>
      </c>
      <c r="F73" s="39" t="s">
        <v>3675</v>
      </c>
      <c r="G73" s="42" t="s">
        <v>3677</v>
      </c>
      <c r="H73" s="39" t="s">
        <v>64</v>
      </c>
      <c r="I73" s="40" t="s">
        <v>65</v>
      </c>
      <c r="J73" s="40" t="s">
        <v>62</v>
      </c>
      <c r="K73" s="40" t="s">
        <v>111</v>
      </c>
      <c r="L73" s="40">
        <v>100.0</v>
      </c>
      <c r="M73" s="40" t="s">
        <v>3687</v>
      </c>
      <c r="N73" s="40" t="s">
        <v>1469</v>
      </c>
      <c r="O73" s="40"/>
      <c r="P73" s="147" t="s">
        <v>3694</v>
      </c>
      <c r="Q73" s="60" t="s">
        <v>61</v>
      </c>
      <c r="R73" s="45">
        <v>5.0</v>
      </c>
      <c r="S73" s="45" t="s">
        <v>61</v>
      </c>
      <c r="T73" s="40"/>
      <c r="U73" s="40"/>
      <c r="V73" s="40"/>
      <c r="W73" s="40"/>
      <c r="X73" s="40" t="s">
        <v>93</v>
      </c>
      <c r="Y73" s="45" t="s">
        <v>3715</v>
      </c>
      <c r="Z73" s="38" t="s">
        <v>3718</v>
      </c>
      <c r="AA73" s="40" t="s">
        <v>3720</v>
      </c>
      <c r="AB73" s="50">
        <v>45658.0</v>
      </c>
      <c r="AC73" s="50">
        <v>46022.0</v>
      </c>
      <c r="AD73" s="51" t="s">
        <v>3722</v>
      </c>
      <c r="AE73" s="40" t="s">
        <v>79</v>
      </c>
      <c r="AF73" s="51"/>
      <c r="AG73" s="51"/>
      <c r="AH73" s="51"/>
    </row>
    <row r="74" ht="45.75" customHeight="1">
      <c r="A74" s="36">
        <v>435.0</v>
      </c>
      <c r="B74" s="40">
        <v>48447.0</v>
      </c>
      <c r="C74" s="39" t="s">
        <v>1323</v>
      </c>
      <c r="D74" s="40" t="s">
        <v>3672</v>
      </c>
      <c r="E74" s="39" t="s">
        <v>3728</v>
      </c>
      <c r="F74" s="39" t="s">
        <v>1724</v>
      </c>
      <c r="G74" s="42" t="s">
        <v>3730</v>
      </c>
      <c r="H74" s="39" t="s">
        <v>64</v>
      </c>
      <c r="I74" s="40" t="s">
        <v>65</v>
      </c>
      <c r="J74" s="40" t="s">
        <v>62</v>
      </c>
      <c r="K74" s="40" t="s">
        <v>111</v>
      </c>
      <c r="L74" s="40">
        <v>200.0</v>
      </c>
      <c r="M74" s="40" t="s">
        <v>3746</v>
      </c>
      <c r="N74" s="40"/>
      <c r="O74" s="40" t="s">
        <v>72</v>
      </c>
      <c r="P74" s="147" t="s">
        <v>3747</v>
      </c>
      <c r="Q74" s="60" t="s">
        <v>61</v>
      </c>
      <c r="R74" s="45">
        <v>10.0</v>
      </c>
      <c r="S74" s="45" t="s">
        <v>61</v>
      </c>
      <c r="T74" s="40"/>
      <c r="U74" s="40"/>
      <c r="V74" s="40"/>
      <c r="W74" s="40"/>
      <c r="X74" s="40" t="s">
        <v>93</v>
      </c>
      <c r="Y74" s="45" t="s">
        <v>3748</v>
      </c>
      <c r="Z74" s="38" t="s">
        <v>3749</v>
      </c>
      <c r="AA74" s="40" t="s">
        <v>3752</v>
      </c>
      <c r="AB74" s="50">
        <v>45658.0</v>
      </c>
      <c r="AC74" s="50">
        <v>46022.0</v>
      </c>
      <c r="AD74" s="51" t="s">
        <v>3756</v>
      </c>
      <c r="AE74" s="40" t="s">
        <v>79</v>
      </c>
      <c r="AF74" s="51"/>
      <c r="AG74" s="51"/>
      <c r="AH74" s="51"/>
    </row>
    <row r="75" ht="45.75" customHeight="1">
      <c r="A75" s="36">
        <v>437.0</v>
      </c>
      <c r="B75" s="40">
        <v>274.0</v>
      </c>
      <c r="C75" s="39" t="s">
        <v>1323</v>
      </c>
      <c r="D75" s="40" t="s">
        <v>3761</v>
      </c>
      <c r="E75" s="39" t="s">
        <v>3763</v>
      </c>
      <c r="F75" s="39" t="s">
        <v>3765</v>
      </c>
      <c r="G75" s="42" t="s">
        <v>3766</v>
      </c>
      <c r="H75" s="39" t="s">
        <v>64</v>
      </c>
      <c r="I75" s="40" t="s">
        <v>65</v>
      </c>
      <c r="J75" s="40" t="s">
        <v>62</v>
      </c>
      <c r="K75" s="40" t="s">
        <v>68</v>
      </c>
      <c r="L75" s="40">
        <v>600.0</v>
      </c>
      <c r="M75" s="40" t="s">
        <v>3788</v>
      </c>
      <c r="N75" s="40" t="s">
        <v>71</v>
      </c>
      <c r="O75" s="40" t="s">
        <v>72</v>
      </c>
      <c r="P75" s="40" t="s">
        <v>3791</v>
      </c>
      <c r="Q75" s="60" t="s">
        <v>61</v>
      </c>
      <c r="R75" s="45">
        <v>30.0</v>
      </c>
      <c r="S75" s="45"/>
      <c r="T75" s="40"/>
      <c r="U75" s="40"/>
      <c r="V75" s="40"/>
      <c r="W75" s="40"/>
      <c r="X75" s="40" t="s">
        <v>93</v>
      </c>
      <c r="Y75" s="45" t="s">
        <v>3795</v>
      </c>
      <c r="Z75" s="38" t="s">
        <v>3796</v>
      </c>
      <c r="AA75" s="40" t="s">
        <v>3797</v>
      </c>
      <c r="AB75" s="50">
        <v>45658.0</v>
      </c>
      <c r="AC75" s="50">
        <v>46022.0</v>
      </c>
      <c r="AD75" s="51" t="s">
        <v>3799</v>
      </c>
      <c r="AE75" s="40" t="s">
        <v>79</v>
      </c>
      <c r="AF75" s="51"/>
      <c r="AG75" s="51"/>
      <c r="AH75" s="51"/>
    </row>
    <row r="76" ht="45.75" customHeight="1">
      <c r="A76" s="36">
        <v>445.0</v>
      </c>
      <c r="B76" s="40">
        <v>3179.0</v>
      </c>
      <c r="C76" s="39" t="s">
        <v>1323</v>
      </c>
      <c r="D76" s="40" t="s">
        <v>3804</v>
      </c>
      <c r="E76" s="39" t="s">
        <v>3805</v>
      </c>
      <c r="F76" s="39" t="s">
        <v>3807</v>
      </c>
      <c r="G76" s="42" t="s">
        <v>3809</v>
      </c>
      <c r="H76" s="39" t="s">
        <v>64</v>
      </c>
      <c r="I76" s="40" t="s">
        <v>65</v>
      </c>
      <c r="J76" s="40" t="s">
        <v>62</v>
      </c>
      <c r="K76" s="40" t="s">
        <v>111</v>
      </c>
      <c r="L76" s="40">
        <v>200.0</v>
      </c>
      <c r="M76" s="40" t="s">
        <v>3816</v>
      </c>
      <c r="N76" s="40" t="s">
        <v>71</v>
      </c>
      <c r="O76" s="40" t="s">
        <v>72</v>
      </c>
      <c r="P76" s="40" t="s">
        <v>3818</v>
      </c>
      <c r="Q76" s="60" t="s">
        <v>61</v>
      </c>
      <c r="R76" s="45">
        <v>18.0</v>
      </c>
      <c r="S76" s="45" t="s">
        <v>61</v>
      </c>
      <c r="T76" s="40"/>
      <c r="U76" s="40"/>
      <c r="V76" s="40"/>
      <c r="W76" s="40"/>
      <c r="X76" s="40"/>
      <c r="Y76" s="45" t="s">
        <v>3823</v>
      </c>
      <c r="Z76" s="38" t="s">
        <v>3825</v>
      </c>
      <c r="AA76" s="40" t="s">
        <v>3827</v>
      </c>
      <c r="AB76" s="50">
        <v>45658.0</v>
      </c>
      <c r="AC76" s="50">
        <v>46022.0</v>
      </c>
      <c r="AD76" s="51" t="s">
        <v>3828</v>
      </c>
      <c r="AE76" s="40" t="s">
        <v>79</v>
      </c>
      <c r="AF76" s="51"/>
      <c r="AG76" s="51"/>
      <c r="AH76" s="51"/>
    </row>
  </sheetData>
  <autoFilter ref="$A$1:$AG$76"/>
  <conditionalFormatting sqref="G76">
    <cfRule type="expression" dxfId="3" priority="1">
      <formula>countif(G:G, G76) &gt;1</formula>
    </cfRule>
  </conditionalFormatting>
  <conditionalFormatting sqref="G75">
    <cfRule type="expression" dxfId="3" priority="2">
      <formula>countif(G:G, G75) &gt;1</formula>
    </cfRule>
  </conditionalFormatting>
  <conditionalFormatting sqref="G73:G74">
    <cfRule type="expression" dxfId="3" priority="3">
      <formula>countif(G:G, G73) &gt;1</formula>
    </cfRule>
  </conditionalFormatting>
  <conditionalFormatting sqref="G71:G72">
    <cfRule type="expression" dxfId="3" priority="4">
      <formula>countif(G:G, G71) &gt;1</formula>
    </cfRule>
  </conditionalFormatting>
  <conditionalFormatting sqref="G70">
    <cfRule type="expression" dxfId="3" priority="5">
      <formula>countif(G:G, G70) &gt;1</formula>
    </cfRule>
  </conditionalFormatting>
  <conditionalFormatting sqref="G69">
    <cfRule type="expression" dxfId="3" priority="6">
      <formula>countif(G:G, G69) &gt;1</formula>
    </cfRule>
  </conditionalFormatting>
  <conditionalFormatting sqref="G68">
    <cfRule type="expression" dxfId="3" priority="7">
      <formula>countif(G:G, G68) &gt;1</formula>
    </cfRule>
  </conditionalFormatting>
  <conditionalFormatting sqref="G67">
    <cfRule type="expression" dxfId="3" priority="8">
      <formula>countif(G:G, G67) &gt;1</formula>
    </cfRule>
  </conditionalFormatting>
  <conditionalFormatting sqref="G66">
    <cfRule type="expression" dxfId="3" priority="9">
      <formula>countif(G:G, G66) &gt;1</formula>
    </cfRule>
  </conditionalFormatting>
  <conditionalFormatting sqref="G65">
    <cfRule type="expression" dxfId="3" priority="10">
      <formula>countif(G:G, G65) &gt;1</formula>
    </cfRule>
  </conditionalFormatting>
  <conditionalFormatting sqref="G64">
    <cfRule type="expression" dxfId="3" priority="11">
      <formula>countif(G:G, G64) &gt;1</formula>
    </cfRule>
  </conditionalFormatting>
  <conditionalFormatting sqref="G63">
    <cfRule type="expression" dxfId="3" priority="12">
      <formula>countif(G:G, G63) &gt;1</formula>
    </cfRule>
  </conditionalFormatting>
  <conditionalFormatting sqref="G62">
    <cfRule type="expression" dxfId="3" priority="13">
      <formula>countif(G:G, G62) &gt;1</formula>
    </cfRule>
  </conditionalFormatting>
  <conditionalFormatting sqref="G61">
    <cfRule type="expression" dxfId="3" priority="14">
      <formula>countif(G:G, G61) &gt;1</formula>
    </cfRule>
  </conditionalFormatting>
  <conditionalFormatting sqref="G59:G60">
    <cfRule type="expression" dxfId="3" priority="15">
      <formula>countif(G:G, G59) &gt;1</formula>
    </cfRule>
  </conditionalFormatting>
  <conditionalFormatting sqref="G58">
    <cfRule type="expression" dxfId="3" priority="16">
      <formula>countif(G:G, G58) &gt;1</formula>
    </cfRule>
  </conditionalFormatting>
  <conditionalFormatting sqref="G56:G57">
    <cfRule type="expression" dxfId="3" priority="17">
      <formula>countif(G:G, G56) &gt;1</formula>
    </cfRule>
  </conditionalFormatting>
  <conditionalFormatting sqref="G55">
    <cfRule type="expression" dxfId="3" priority="18">
      <formula>countif(G:G, G55) &gt;1</formula>
    </cfRule>
  </conditionalFormatting>
  <conditionalFormatting sqref="G54">
    <cfRule type="expression" dxfId="3" priority="19">
      <formula>countif(G:G, G54) &gt;1</formula>
    </cfRule>
  </conditionalFormatting>
  <conditionalFormatting sqref="G53">
    <cfRule type="expression" dxfId="3" priority="20">
      <formula>countif(G:G, G53) &gt;1</formula>
    </cfRule>
  </conditionalFormatting>
  <conditionalFormatting sqref="G52">
    <cfRule type="expression" dxfId="3" priority="21">
      <formula>countif(G:G, G52) &gt;1</formula>
    </cfRule>
  </conditionalFormatting>
  <conditionalFormatting sqref="G51">
    <cfRule type="expression" dxfId="3" priority="22">
      <formula>countif(G:G, G51) &gt;1</formula>
    </cfRule>
  </conditionalFormatting>
  <conditionalFormatting sqref="G50">
    <cfRule type="expression" dxfId="3" priority="23">
      <formula>countif(G:G, G50) &gt;1</formula>
    </cfRule>
  </conditionalFormatting>
  <conditionalFormatting sqref="G49">
    <cfRule type="expression" dxfId="3" priority="24">
      <formula>countif(G:G, G49) &gt;1</formula>
    </cfRule>
  </conditionalFormatting>
  <conditionalFormatting sqref="G47:G48">
    <cfRule type="expression" dxfId="3" priority="25">
      <formula>countif(G:G, G47) &gt;1</formula>
    </cfRule>
  </conditionalFormatting>
  <conditionalFormatting sqref="G46">
    <cfRule type="expression" dxfId="3" priority="26">
      <formula>countif(G:G, G46) &gt;1</formula>
    </cfRule>
  </conditionalFormatting>
  <conditionalFormatting sqref="G45">
    <cfRule type="expression" dxfId="3" priority="27">
      <formula>countif(G:G, G45) &gt;1</formula>
    </cfRule>
  </conditionalFormatting>
  <conditionalFormatting sqref="G44">
    <cfRule type="expression" dxfId="3" priority="28">
      <formula>countif(G:G, G44) &gt;1</formula>
    </cfRule>
  </conditionalFormatting>
  <conditionalFormatting sqref="G43">
    <cfRule type="expression" dxfId="3" priority="29">
      <formula>countif(G:G, G43) &gt;1</formula>
    </cfRule>
  </conditionalFormatting>
  <conditionalFormatting sqref="G41:G42">
    <cfRule type="expression" dxfId="3" priority="30">
      <formula>countif(G:G, G41) &gt;1</formula>
    </cfRule>
  </conditionalFormatting>
  <conditionalFormatting sqref="G38:G40">
    <cfRule type="expression" dxfId="3" priority="31">
      <formula>countif(G:G, G38) &gt;1</formula>
    </cfRule>
  </conditionalFormatting>
  <conditionalFormatting sqref="G37">
    <cfRule type="expression" dxfId="3" priority="32">
      <formula>countif(G:G, G37) &gt;1</formula>
    </cfRule>
  </conditionalFormatting>
  <conditionalFormatting sqref="G36">
    <cfRule type="expression" dxfId="3" priority="33">
      <formula>countif(G:G, G36) &gt;1</formula>
    </cfRule>
  </conditionalFormatting>
  <conditionalFormatting sqref="G35">
    <cfRule type="expression" dxfId="3" priority="34">
      <formula>countif(G:G, G35) &gt;1</formula>
    </cfRule>
  </conditionalFormatting>
  <conditionalFormatting sqref="G34">
    <cfRule type="expression" dxfId="3" priority="35">
      <formula>countif(G:G, G34) &gt;1</formula>
    </cfRule>
  </conditionalFormatting>
  <conditionalFormatting sqref="G33">
    <cfRule type="expression" dxfId="3" priority="36">
      <formula>countif(G:G, G33) &gt;1</formula>
    </cfRule>
  </conditionalFormatting>
  <conditionalFormatting sqref="G32">
    <cfRule type="expression" dxfId="3" priority="37">
      <formula>countif(G:G, G32) &gt;1</formula>
    </cfRule>
  </conditionalFormatting>
  <conditionalFormatting sqref="G30:G31">
    <cfRule type="expression" dxfId="3" priority="38">
      <formula>countif(G:G, G30) &gt;1</formula>
    </cfRule>
  </conditionalFormatting>
  <conditionalFormatting sqref="G29">
    <cfRule type="expression" dxfId="3" priority="39">
      <formula>countif(G:G, G29) &gt;1</formula>
    </cfRule>
  </conditionalFormatting>
  <conditionalFormatting sqref="G28">
    <cfRule type="expression" dxfId="3" priority="40">
      <formula>countif(G:G, G28) &gt;1</formula>
    </cfRule>
  </conditionalFormatting>
  <conditionalFormatting sqref="G27">
    <cfRule type="expression" dxfId="3" priority="41">
      <formula>countif(G:G, G27) &gt;1</formula>
    </cfRule>
  </conditionalFormatting>
  <conditionalFormatting sqref="G26">
    <cfRule type="expression" dxfId="3" priority="42">
      <formula>countif(G:G, G26) &gt;1</formula>
    </cfRule>
  </conditionalFormatting>
  <conditionalFormatting sqref="G25">
    <cfRule type="expression" dxfId="3" priority="43">
      <formula>countif(G:G, G25) &gt;1</formula>
    </cfRule>
  </conditionalFormatting>
  <conditionalFormatting sqref="G24">
    <cfRule type="expression" dxfId="3" priority="44">
      <formula>countif(G:G, G24) &gt;1</formula>
    </cfRule>
  </conditionalFormatting>
  <conditionalFormatting sqref="G23">
    <cfRule type="expression" dxfId="3" priority="45">
      <formula>countif(G:G, G23) &gt;1</formula>
    </cfRule>
  </conditionalFormatting>
  <conditionalFormatting sqref="G22">
    <cfRule type="expression" dxfId="3" priority="46">
      <formula>countif(G:G, G22) &gt;1</formula>
    </cfRule>
  </conditionalFormatting>
  <conditionalFormatting sqref="G21">
    <cfRule type="expression" dxfId="3" priority="47">
      <formula>countif(G:G, G21) &gt;1</formula>
    </cfRule>
  </conditionalFormatting>
  <conditionalFormatting sqref="G20">
    <cfRule type="expression" dxfId="3" priority="48">
      <formula>countif(G:G, G20) &gt;1</formula>
    </cfRule>
  </conditionalFormatting>
  <conditionalFormatting sqref="G19">
    <cfRule type="expression" dxfId="3" priority="49">
      <formula>countif(G:G, G19) &gt;1</formula>
    </cfRule>
  </conditionalFormatting>
  <conditionalFormatting sqref="G18">
    <cfRule type="expression" dxfId="3" priority="50">
      <formula>countif(G:G, G18) &gt;1</formula>
    </cfRule>
  </conditionalFormatting>
  <conditionalFormatting sqref="G17">
    <cfRule type="expression" dxfId="3" priority="51">
      <formula>countif(G:G, G17) &gt;1</formula>
    </cfRule>
  </conditionalFormatting>
  <conditionalFormatting sqref="G16">
    <cfRule type="expression" dxfId="3" priority="52">
      <formula>countif(G:G, G16) &gt;1</formula>
    </cfRule>
  </conditionalFormatting>
  <conditionalFormatting sqref="G15">
    <cfRule type="expression" dxfId="3" priority="53">
      <formula>countif(G:G, G15) &gt;1</formula>
    </cfRule>
  </conditionalFormatting>
  <conditionalFormatting sqref="G14">
    <cfRule type="expression" dxfId="3" priority="54">
      <formula>countif(G:G, G14) &gt;1</formula>
    </cfRule>
  </conditionalFormatting>
  <conditionalFormatting sqref="G13">
    <cfRule type="expression" dxfId="3" priority="55">
      <formula>countif(G:G, G13) &gt;1</formula>
    </cfRule>
  </conditionalFormatting>
  <conditionalFormatting sqref="G12">
    <cfRule type="expression" dxfId="3" priority="56">
      <formula>countif(G:G, G12) &gt;1</formula>
    </cfRule>
  </conditionalFormatting>
  <conditionalFormatting sqref="G11">
    <cfRule type="expression" dxfId="3" priority="57">
      <formula>countif(G:G, G11) &gt;1</formula>
    </cfRule>
  </conditionalFormatting>
  <conditionalFormatting sqref="G10">
    <cfRule type="expression" dxfId="3" priority="58">
      <formula>countif(G:G, G10) &gt;1</formula>
    </cfRule>
  </conditionalFormatting>
  <conditionalFormatting sqref="G9">
    <cfRule type="expression" dxfId="3" priority="59">
      <formula>countif(G:G, G9) &gt;1</formula>
    </cfRule>
  </conditionalFormatting>
  <conditionalFormatting sqref="G8">
    <cfRule type="expression" dxfId="3" priority="60">
      <formula>countif(G:G, G8) &gt;1</formula>
    </cfRule>
  </conditionalFormatting>
  <conditionalFormatting sqref="G7">
    <cfRule type="expression" dxfId="3" priority="61">
      <formula>countif(G:G, G7) &gt;1</formula>
    </cfRule>
  </conditionalFormatting>
  <conditionalFormatting sqref="G6">
    <cfRule type="expression" dxfId="3" priority="62">
      <formula>countif(G:G, G6) &gt;1</formula>
    </cfRule>
  </conditionalFormatting>
  <conditionalFormatting sqref="G5">
    <cfRule type="expression" dxfId="3" priority="63">
      <formula>countif(G:G, G5) &gt;1</formula>
    </cfRule>
  </conditionalFormatting>
  <conditionalFormatting sqref="G4">
    <cfRule type="expression" dxfId="3" priority="64">
      <formula>countif(G:G, G4) &gt;1</formula>
    </cfRule>
  </conditionalFormatting>
  <conditionalFormatting sqref="G3">
    <cfRule type="expression" dxfId="3" priority="65">
      <formula>countif(G:G, G3) &gt;1</formula>
    </cfRule>
  </conditionalFormatting>
  <conditionalFormatting sqref="G2">
    <cfRule type="expression" dxfId="3" priority="66">
      <formula>countif(G:G, G2) &gt;1</formula>
    </cfRule>
  </conditionalFormatting>
  <conditionalFormatting sqref="G1">
    <cfRule type="expression" dxfId="3" priority="67">
      <formula>countif(G:G, G1) &gt;1</formula>
    </cfRule>
  </conditionalFormatting>
  <dataValidations>
    <dataValidation type="list" allowBlank="1" showErrorMessage="1" sqref="N36:N42">
      <formula1>"Blood Station,Blood Collection Unit,Blood Collection Unit/Blood Services,Blood Bank,Blood Bank with additional function,Blood Center"</formula1>
    </dataValidation>
    <dataValidation type="list" allowBlank="1" showErrorMessage="1" sqref="D36:D42">
      <formula1>'Master Data'!$C$5:$C$104</formula1>
    </dataValidation>
    <dataValidation type="list" allowBlank="1" showErrorMessage="1" sqref="J36:J42">
      <formula1>'Master Data'!$F$5:$F$6</formula1>
    </dataValidation>
    <dataValidation type="list" allowBlank="1" showErrorMessage="1" sqref="W36:W42">
      <formula1>'Master Data'!$M$4:$M$9</formula1>
    </dataValidation>
    <dataValidation type="list" allowBlank="1" showErrorMessage="1" sqref="K36:K42">
      <formula1>'Master Data'!$G$5:$G$7</formula1>
    </dataValidation>
    <dataValidation type="list" allowBlank="1" showErrorMessage="1" sqref="O36:O42">
      <formula1>"Yes,No"</formula1>
    </dataValidation>
    <dataValidation type="list" allowBlank="1" showErrorMessage="1" sqref="AE36:AE42">
      <formula1>"Transferred,Changed Ownership/Mgt,Change Name,Increase Bed,Decrease Bed,Upgraded,Downgraded,Add-on Service,N/A"</formula1>
    </dataValidation>
    <dataValidation type="list" allowBlank="1" showErrorMessage="1" sqref="E36:E42">
      <formula1>'Master Data'!$D:$D</formula1>
    </dataValidation>
    <dataValidation type="list" allowBlank="1" showErrorMessage="1" sqref="AD36:AD42">
      <formula1>"Renewal,New Facility,Existing with Changes,Closed,No Renewal"</formula1>
    </dataValidation>
    <dataValidation type="custom" allowBlank="1" showDropDown="1" showInputMessage="1" showErrorMessage="1" prompt="Please enter Month/Date/Year" sqref="AA36:AB42">
      <formula1>OR(NOT(ISERROR(DATEVALUE(AA36))), AND(ISNUMBER(AA36), LEFT(CELL("format", AA36))="D"))</formula1>
    </dataValidation>
    <dataValidation type="list" allowBlank="1" showErrorMessage="1" sqref="H36:H42">
      <formula1>"Government"</formula1>
    </dataValidation>
    <dataValidation type="list" allowBlank="1" showErrorMessage="1" sqref="I36:I42">
      <formula1>'Master Data'!$L$4:$L$13</formula1>
    </dataValidation>
    <dataValidation type="list" allowBlank="1" showErrorMessage="1" sqref="S36:S42">
      <formula1>'Master Data'!$N$4:$N$7</formula1>
    </dataValidation>
    <dataValidation type="list" allowBlank="1" showErrorMessage="1" sqref="C36:C42">
      <formula1>'Master Data'!$A$5:$A$21</formula1>
    </dataValidation>
  </dataValidations>
  <hyperlinks>
    <hyperlink r:id="rId2" ref="AA8"/>
    <hyperlink r:id="rId3" ref="AA9"/>
    <hyperlink r:id="rId4" ref="AA10"/>
    <hyperlink r:id="rId5" ref="X13"/>
    <hyperlink r:id="rId6" ref="AA13"/>
    <hyperlink r:id="rId7" ref="X14"/>
    <hyperlink r:id="rId8" ref="AA14"/>
    <hyperlink r:id="rId9" ref="X15"/>
    <hyperlink r:id="rId10" ref="AA15"/>
    <hyperlink r:id="rId11" ref="X16"/>
    <hyperlink r:id="rId12" ref="AA16"/>
    <hyperlink r:id="rId13" ref="X18"/>
    <hyperlink r:id="rId14" ref="AA18"/>
    <hyperlink r:id="rId15" ref="X30"/>
    <hyperlink r:id="rId16" ref="AA30"/>
    <hyperlink r:id="rId17" ref="X34"/>
    <hyperlink r:id="rId18" ref="AA34"/>
    <hyperlink r:id="rId19" ref="AA59"/>
    <hyperlink r:id="rId20" ref="AA60"/>
    <hyperlink r:id="rId21" ref="AA61"/>
    <hyperlink r:id="rId22" ref="AA62"/>
    <hyperlink r:id="rId23" ref="AA63"/>
    <hyperlink r:id="rId24" ref="AA64"/>
  </hyperlinks>
  <drawing r:id="rId25"/>
  <legacy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4.5"/>
    <col customWidth="1" min="3" max="3" width="32.13"/>
    <col customWidth="1" min="4" max="14" width="15.13"/>
    <col customWidth="1" min="15" max="15" width="18.88"/>
  </cols>
  <sheetData>
    <row r="1">
      <c r="A1" s="119"/>
      <c r="B1" s="120" t="s">
        <v>15</v>
      </c>
      <c r="C1" s="121" t="s">
        <v>1</v>
      </c>
      <c r="D1" s="122" t="s">
        <v>2603</v>
      </c>
      <c r="E1" s="4"/>
      <c r="F1" s="4"/>
      <c r="G1" s="4"/>
      <c r="H1" s="4"/>
      <c r="I1" s="4"/>
      <c r="J1" s="4"/>
      <c r="K1" s="4"/>
      <c r="L1" s="4"/>
      <c r="M1" s="4"/>
      <c r="N1" s="4"/>
      <c r="O1" s="5"/>
      <c r="P1" s="123"/>
      <c r="Q1" s="123"/>
      <c r="R1" s="123"/>
      <c r="S1" s="123"/>
      <c r="T1" s="123"/>
      <c r="U1" s="123"/>
      <c r="V1" s="123"/>
      <c r="W1" s="123"/>
      <c r="X1" s="123"/>
      <c r="Y1" s="123"/>
      <c r="Z1" s="123"/>
      <c r="AA1" s="123"/>
    </row>
    <row r="2">
      <c r="B2" s="7"/>
      <c r="C2" s="124"/>
      <c r="D2" s="125" t="s">
        <v>3</v>
      </c>
      <c r="F2" s="124"/>
      <c r="G2" s="126" t="s">
        <v>2623</v>
      </c>
      <c r="H2" s="127" t="s">
        <v>5</v>
      </c>
      <c r="J2" s="124"/>
      <c r="K2" s="128" t="s">
        <v>2631</v>
      </c>
      <c r="L2" s="129" t="s">
        <v>6</v>
      </c>
      <c r="N2" s="124"/>
      <c r="O2" s="130" t="s">
        <v>7</v>
      </c>
      <c r="Q2" s="123"/>
      <c r="R2" s="123"/>
      <c r="S2" s="123"/>
      <c r="T2" s="123"/>
      <c r="U2" s="123"/>
      <c r="V2" s="123"/>
      <c r="W2" s="123"/>
      <c r="X2" s="123"/>
      <c r="Y2" s="123"/>
      <c r="Z2" s="123"/>
      <c r="AA2" s="123"/>
    </row>
    <row r="3">
      <c r="B3" s="7"/>
      <c r="C3" s="124"/>
      <c r="D3" s="18"/>
      <c r="E3" s="18"/>
      <c r="F3" s="19"/>
      <c r="G3" s="124"/>
      <c r="H3" s="18"/>
      <c r="I3" s="18"/>
      <c r="J3" s="19"/>
      <c r="K3" s="124"/>
      <c r="L3" s="18"/>
      <c r="M3" s="18"/>
      <c r="N3" s="19"/>
      <c r="O3" s="124"/>
      <c r="Q3" s="123"/>
      <c r="R3" s="123"/>
      <c r="S3" s="123"/>
      <c r="T3" s="123"/>
      <c r="U3" s="123"/>
      <c r="V3" s="123"/>
      <c r="W3" s="123"/>
      <c r="X3" s="123"/>
      <c r="Y3" s="123"/>
      <c r="Z3" s="123"/>
      <c r="AA3" s="123"/>
    </row>
    <row r="4">
      <c r="B4" s="20"/>
      <c r="C4" s="19"/>
      <c r="D4" s="132" t="s">
        <v>8</v>
      </c>
      <c r="E4" s="132" t="s">
        <v>9</v>
      </c>
      <c r="F4" s="132" t="s">
        <v>10</v>
      </c>
      <c r="G4" s="19"/>
      <c r="H4" s="133" t="s">
        <v>8</v>
      </c>
      <c r="I4" s="133" t="s">
        <v>9</v>
      </c>
      <c r="J4" s="133" t="s">
        <v>10</v>
      </c>
      <c r="K4" s="19"/>
      <c r="L4" s="134" t="s">
        <v>8</v>
      </c>
      <c r="M4" s="134" t="s">
        <v>9</v>
      </c>
      <c r="N4" s="134" t="s">
        <v>10</v>
      </c>
      <c r="O4" s="19"/>
      <c r="Q4" s="123"/>
      <c r="R4" s="123"/>
      <c r="S4" s="123"/>
      <c r="T4" s="123"/>
      <c r="U4" s="123"/>
      <c r="V4" s="123"/>
      <c r="W4" s="123"/>
      <c r="X4" s="123"/>
      <c r="Y4" s="123"/>
      <c r="Z4" s="123"/>
      <c r="AA4" s="123"/>
    </row>
    <row r="5">
      <c r="B5" s="135" t="s">
        <v>11</v>
      </c>
      <c r="C5" s="136" t="s">
        <v>12</v>
      </c>
      <c r="D5" s="139">
        <f>SUMIFS( Government!L:L, Government!C:C, "NCR",Government!K:K, "Level 1")</f>
        <v>1147</v>
      </c>
      <c r="E5" s="139">
        <f>SUMIFS( Government!L:L, Government!C:C, "NCR",Government!K:K, "Level 2")</f>
        <v>925</v>
      </c>
      <c r="F5" s="139">
        <f>SUMIFS( Government!L:L, Government!C:C, "NCR",Government!K:K, "Level 3")</f>
        <v>16666</v>
      </c>
      <c r="G5" s="140">
        <f t="shared" ref="G5:G22" si="2">SUM(D5:F5)</f>
        <v>18738</v>
      </c>
      <c r="H5" s="139">
        <f>SUMIFS( Private!L:L, Private!C:C, "NCR",Private!K:K, "Level 1")</f>
        <v>911</v>
      </c>
      <c r="I5" s="139">
        <f>SUMIFS( Private!L:L, Private!C:C, "NCR",Private!K:K, "Level 2")</f>
        <v>2966</v>
      </c>
      <c r="J5" s="139">
        <f>SUMIFS( Private!L:L, Private!C:C, "NCR",Private!K:K, "Level 3")</f>
        <v>8057</v>
      </c>
      <c r="K5" s="143">
        <f t="shared" ref="K5:K22" si="3">SUM(H5:J5)</f>
        <v>11934</v>
      </c>
      <c r="L5" s="139">
        <f t="shared" ref="L5:N5" si="1">SUM(D5,H5)</f>
        <v>2058</v>
      </c>
      <c r="M5" s="144">
        <f t="shared" si="1"/>
        <v>3891</v>
      </c>
      <c r="N5" s="139">
        <f t="shared" si="1"/>
        <v>24723</v>
      </c>
      <c r="O5" s="145">
        <f t="shared" ref="O5:O22" si="5">SUM(L5:N5)</f>
        <v>30672</v>
      </c>
      <c r="Q5" s="123"/>
      <c r="R5" s="123"/>
      <c r="S5" s="123"/>
      <c r="T5" s="123"/>
      <c r="U5" s="123"/>
      <c r="V5" s="123"/>
      <c r="W5" s="123"/>
      <c r="X5" s="123"/>
      <c r="Y5" s="123"/>
      <c r="Z5" s="123"/>
      <c r="AA5" s="123"/>
    </row>
    <row r="6">
      <c r="B6" s="135" t="s">
        <v>52</v>
      </c>
      <c r="C6" s="136" t="s">
        <v>89</v>
      </c>
      <c r="D6" s="139">
        <f>SUMIFS( Government!L:L, Government!C:C, "Region 1",Government!K:K, "Level 1")</f>
        <v>902</v>
      </c>
      <c r="E6" s="139">
        <f>SUMIFS( Government!L:L, Government!C:C, "Region 1",Government!K:K, "Level 2")</f>
        <v>1028</v>
      </c>
      <c r="F6" s="139">
        <f>SUMIFS( Government!L:L, Government!C:C, "Region 1",Government!K:K, "Level 3")</f>
        <v>1006</v>
      </c>
      <c r="G6" s="140">
        <f t="shared" si="2"/>
        <v>2936</v>
      </c>
      <c r="H6" s="139">
        <f>SUMIFS( Private!L:L, Private!C:C, "Region 1",Private!K:K, "Level 1")</f>
        <v>617</v>
      </c>
      <c r="I6" s="139">
        <f>SUMIFS( Private!L:L, Private!C:C, "Region 1",Private!K:K, "Level 2")</f>
        <v>1505</v>
      </c>
      <c r="J6" s="139">
        <f>SUMIFS( Private!L:L, Private!C:C, "Region 1",Private!K:K, "Level 3")</f>
        <v>200</v>
      </c>
      <c r="K6" s="143">
        <f t="shared" si="3"/>
        <v>2322</v>
      </c>
      <c r="L6" s="139">
        <f t="shared" ref="L6:N6" si="4">SUM(D6,H6)</f>
        <v>1519</v>
      </c>
      <c r="M6" s="144">
        <f t="shared" si="4"/>
        <v>2533</v>
      </c>
      <c r="N6" s="139">
        <f t="shared" si="4"/>
        <v>1206</v>
      </c>
      <c r="O6" s="145">
        <f t="shared" si="5"/>
        <v>5258</v>
      </c>
      <c r="Q6" s="123"/>
      <c r="R6" s="123"/>
      <c r="S6" s="123"/>
      <c r="T6" s="123"/>
      <c r="U6" s="123"/>
      <c r="V6" s="123"/>
      <c r="W6" s="123"/>
      <c r="X6" s="123"/>
      <c r="Y6" s="123"/>
      <c r="Z6" s="123"/>
      <c r="AA6" s="123"/>
    </row>
    <row r="7">
      <c r="B7" s="135" t="s">
        <v>188</v>
      </c>
      <c r="C7" s="136" t="s">
        <v>189</v>
      </c>
      <c r="D7" s="139">
        <f>SUMIFS( Government!L:L, Government!C:C, "Region 2",Government!K:K, "Level 1")</f>
        <v>923</v>
      </c>
      <c r="E7" s="139">
        <f>SUMIFS( Government!L:L, Government!C:C, "Region 2",Government!K:K, "Level 2")</f>
        <v>150</v>
      </c>
      <c r="F7" s="139">
        <f>SUMIFS( Government!L:L, Government!C:C, "Region 2",Government!K:K, "Level 3")</f>
        <v>1356</v>
      </c>
      <c r="G7" s="140">
        <f t="shared" si="2"/>
        <v>2429</v>
      </c>
      <c r="H7" s="139">
        <f>SUMIFS( Private!L:L, Private!C:C, "Region 2",Private!K:K, "Level 1")</f>
        <v>699</v>
      </c>
      <c r="I7" s="139">
        <f>SUMIFS( Private!L:L, Private!C:C, "Region 2",Private!K:K, "Level 2")</f>
        <v>1204</v>
      </c>
      <c r="J7" s="139">
        <f>SUMIFS( Private!L:L, Private!C:C, "Region 2",Private!K:K, "Level 3")</f>
        <v>0</v>
      </c>
      <c r="K7" s="143">
        <f t="shared" si="3"/>
        <v>1903</v>
      </c>
      <c r="L7" s="139">
        <f t="shared" ref="L7:N7" si="6">SUM(D7,H7)</f>
        <v>1622</v>
      </c>
      <c r="M7" s="144">
        <f t="shared" si="6"/>
        <v>1354</v>
      </c>
      <c r="N7" s="139">
        <f t="shared" si="6"/>
        <v>1356</v>
      </c>
      <c r="O7" s="145">
        <f t="shared" si="5"/>
        <v>4332</v>
      </c>
      <c r="Q7" s="123"/>
      <c r="R7" s="123"/>
      <c r="S7" s="123"/>
      <c r="T7" s="123"/>
      <c r="U7" s="123"/>
      <c r="V7" s="123"/>
      <c r="W7" s="123"/>
      <c r="X7" s="123"/>
      <c r="Y7" s="123"/>
      <c r="Z7" s="123"/>
      <c r="AA7" s="123"/>
    </row>
    <row r="8">
      <c r="B8" s="135" t="s">
        <v>265</v>
      </c>
      <c r="C8" s="136" t="s">
        <v>268</v>
      </c>
      <c r="D8" s="139">
        <f>SUMIFS( Government!L:L, Government!C:C, "Region 3",Government!K:K, "Level 1")</f>
        <v>2336</v>
      </c>
      <c r="E8" s="139">
        <f>SUMIFS( Government!L:L, Government!C:C, "Region 3",Government!K:K, "Level 2")</f>
        <v>449</v>
      </c>
      <c r="F8" s="139">
        <f>SUMIFS( Government!L:L, Government!C:C, "Region 3",Government!K:K, "Level 3")</f>
        <v>3277</v>
      </c>
      <c r="G8" s="140">
        <f t="shared" si="2"/>
        <v>6062</v>
      </c>
      <c r="H8" s="139">
        <f>SUMIFS( Private!L:L, Private!C:C, "Region 3",Private!K:K, "Level 1")</f>
        <v>2040</v>
      </c>
      <c r="I8" s="139">
        <f>SUMIFS( Private!L:L, Private!C:C, "Region 3",Private!K:K, "Level 2")</f>
        <v>3897</v>
      </c>
      <c r="J8" s="139">
        <f>SUMIFS( Private!L:L, Private!C:C, "Region 3",Private!K:K, "Level 3")</f>
        <v>556</v>
      </c>
      <c r="K8" s="143">
        <f t="shared" si="3"/>
        <v>6493</v>
      </c>
      <c r="L8" s="139">
        <f t="shared" ref="L8:N8" si="7">SUM(D8,H8)</f>
        <v>4376</v>
      </c>
      <c r="M8" s="144">
        <f t="shared" si="7"/>
        <v>4346</v>
      </c>
      <c r="N8" s="139">
        <f t="shared" si="7"/>
        <v>3833</v>
      </c>
      <c r="O8" s="145">
        <f t="shared" si="5"/>
        <v>12555</v>
      </c>
      <c r="Q8" s="123"/>
      <c r="R8" s="123"/>
      <c r="S8" s="123"/>
      <c r="T8" s="123"/>
      <c r="U8" s="123"/>
      <c r="V8" s="123"/>
      <c r="W8" s="123"/>
      <c r="X8" s="123"/>
      <c r="Y8" s="123"/>
      <c r="Z8" s="123"/>
      <c r="AA8" s="123"/>
    </row>
    <row r="9">
      <c r="B9" s="135" t="s">
        <v>351</v>
      </c>
      <c r="C9" s="136" t="s">
        <v>353</v>
      </c>
      <c r="D9" s="139">
        <f>SUMIFS( Government!L:L, Government!C:C, "Region 4-A",Government!K:K, "Level 1")</f>
        <v>2177</v>
      </c>
      <c r="E9" s="139">
        <f>SUMIFS( Government!L:L, Government!C:C, "Region 4-A",Government!K:K, "Level 2")</f>
        <v>369</v>
      </c>
      <c r="F9" s="139">
        <f>SUMIFS( Government!L:L, Government!C:C, "Region 4-A",Government!K:K, "Level 3")</f>
        <v>1151</v>
      </c>
      <c r="G9" s="140">
        <f t="shared" si="2"/>
        <v>3697</v>
      </c>
      <c r="H9" s="139">
        <f>SUMIFS( Private!L:L, Private!C:C, "Region 4-A",Private!K:K, "Level 1")</f>
        <v>2325</v>
      </c>
      <c r="I9" s="139">
        <f>SUMIFS( Private!L:L, Private!C:C, "Region 4-A",Private!K:K, "Level 2")</f>
        <v>6812</v>
      </c>
      <c r="J9" s="139">
        <f>SUMIFS( Private!L:L, Private!C:C, "Region 4-A",Private!K:K, "Level 3")</f>
        <v>710</v>
      </c>
      <c r="K9" s="143">
        <f t="shared" si="3"/>
        <v>9847</v>
      </c>
      <c r="L9" s="139">
        <f t="shared" ref="L9:N9" si="8">SUM(D9,H9)</f>
        <v>4502</v>
      </c>
      <c r="M9" s="144">
        <f t="shared" si="8"/>
        <v>7181</v>
      </c>
      <c r="N9" s="139">
        <f t="shared" si="8"/>
        <v>1861</v>
      </c>
      <c r="O9" s="145">
        <f t="shared" si="5"/>
        <v>13544</v>
      </c>
      <c r="Q9" s="123"/>
      <c r="R9" s="123"/>
      <c r="S9" s="123"/>
      <c r="T9" s="123"/>
      <c r="U9" s="123"/>
      <c r="V9" s="123"/>
      <c r="W9" s="123"/>
      <c r="X9" s="123"/>
      <c r="Y9" s="123"/>
      <c r="Z9" s="123"/>
      <c r="AA9" s="123"/>
    </row>
    <row r="10">
      <c r="B10" s="135" t="s">
        <v>422</v>
      </c>
      <c r="C10" s="136" t="s">
        <v>423</v>
      </c>
      <c r="D10" s="139">
        <f>SUMIFS( Government!L:L, Government!C:C, "Region 4-B",Government!K:K, "Level 1")</f>
        <v>736</v>
      </c>
      <c r="E10" s="139">
        <f>SUMIFS( Government!L:L, Government!C:C, "Region 4-B",Government!K:K, "Level 2")</f>
        <v>595</v>
      </c>
      <c r="F10" s="139">
        <f>SUMIFS( Government!L:L, Government!C:C, "Region 4-B",Government!K:K, "Level 3")</f>
        <v>0</v>
      </c>
      <c r="G10" s="140">
        <f t="shared" si="2"/>
        <v>1331</v>
      </c>
      <c r="H10" s="139">
        <f>SUMIFS( Private!L:L, Private!C:C, "Region 4-B",Private!K:K, "Level 1")</f>
        <v>254</v>
      </c>
      <c r="I10" s="139">
        <f>SUMIFS( Private!L:L, Private!C:C, "Region 4-B",Private!K:K, "Level 2")</f>
        <v>636</v>
      </c>
      <c r="J10" s="139">
        <f>SUMIFS( Private!L:L, Private!C:C, "Region 4-B",Private!K:K, "Level 3")</f>
        <v>0</v>
      </c>
      <c r="K10" s="143">
        <f t="shared" si="3"/>
        <v>890</v>
      </c>
      <c r="L10" s="139">
        <f t="shared" ref="L10:N10" si="9">SUM(D10,H10)</f>
        <v>990</v>
      </c>
      <c r="M10" s="144">
        <f t="shared" si="9"/>
        <v>1231</v>
      </c>
      <c r="N10" s="139">
        <f t="shared" si="9"/>
        <v>0</v>
      </c>
      <c r="O10" s="145">
        <f t="shared" si="5"/>
        <v>2221</v>
      </c>
      <c r="Q10" s="123"/>
      <c r="R10" s="123"/>
      <c r="S10" s="123"/>
      <c r="T10" s="123"/>
      <c r="U10" s="123"/>
      <c r="V10" s="123"/>
      <c r="W10" s="123"/>
      <c r="X10" s="123"/>
      <c r="Y10" s="123"/>
      <c r="Z10" s="123"/>
      <c r="AA10" s="123"/>
    </row>
    <row r="11">
      <c r="B11" s="135" t="s">
        <v>509</v>
      </c>
      <c r="C11" s="136" t="s">
        <v>511</v>
      </c>
      <c r="D11" s="139">
        <f>SUMIFS( Government!L:L, Government!C:C, "Region 5",Government!K:K, "Level 1")</f>
        <v>630</v>
      </c>
      <c r="E11" s="139">
        <f>SUMIFS( Government!L:L, Government!C:C, "Region 5",Government!K:K, "Level 2")</f>
        <v>353</v>
      </c>
      <c r="F11" s="139">
        <f>SUMIFS( Government!L:L, Government!C:C, "Region 5",Government!K:K, "Level 3")</f>
        <v>1450</v>
      </c>
      <c r="G11" s="140">
        <f t="shared" si="2"/>
        <v>2433</v>
      </c>
      <c r="H11" s="139">
        <f>SUMIFS( Private!L:L, Private!C:C, "Region 5",Private!K:K, "Level 1")</f>
        <v>764</v>
      </c>
      <c r="I11" s="139">
        <f>SUMIFS( Private!L:L, Private!C:C, "Region 5",Private!K:K, "Level 2")</f>
        <v>1107</v>
      </c>
      <c r="J11" s="139">
        <f>SUMIFS( Private!L:L, Private!C:C, "Region 5",Private!K:K, "Level 3")</f>
        <v>150</v>
      </c>
      <c r="K11" s="143">
        <f t="shared" si="3"/>
        <v>2021</v>
      </c>
      <c r="L11" s="139">
        <f t="shared" ref="L11:N11" si="10">SUM(D11,H11)</f>
        <v>1394</v>
      </c>
      <c r="M11" s="144">
        <f t="shared" si="10"/>
        <v>1460</v>
      </c>
      <c r="N11" s="139">
        <f t="shared" si="10"/>
        <v>1600</v>
      </c>
      <c r="O11" s="145">
        <f t="shared" si="5"/>
        <v>4454</v>
      </c>
      <c r="Q11" s="123"/>
      <c r="R11" s="123"/>
      <c r="S11" s="123"/>
      <c r="T11" s="123"/>
      <c r="U11" s="123"/>
      <c r="V11" s="123"/>
      <c r="W11" s="123"/>
      <c r="X11" s="123"/>
      <c r="Y11" s="123"/>
      <c r="Z11" s="123"/>
      <c r="AA11" s="123"/>
    </row>
    <row r="12">
      <c r="B12" s="135" t="s">
        <v>581</v>
      </c>
      <c r="C12" s="136" t="s">
        <v>587</v>
      </c>
      <c r="D12" s="139">
        <f>SUMIFS( Government!L:L, Government!C:C, "Region 6",Government!K:K, "Level 1")</f>
        <v>971</v>
      </c>
      <c r="E12" s="139">
        <f>SUMIFS( Government!L:L, Government!C:C, "Region 6",Government!K:K, "Level 2")</f>
        <v>972</v>
      </c>
      <c r="F12" s="139">
        <f>SUMIFS( Government!L:L, Government!C:C, "Region 6",Government!K:K, "Level 3")</f>
        <v>991</v>
      </c>
      <c r="G12" s="140">
        <f t="shared" si="2"/>
        <v>2934</v>
      </c>
      <c r="H12" s="139">
        <f>SUMIFS( Private!L:L, Private!C:C, "Region 6",Private!K:K, "Level 1")</f>
        <v>75</v>
      </c>
      <c r="I12" s="139">
        <f>SUMIFS( Private!L:L, Private!C:C, "Region 6",Private!K:K, "Level 2")</f>
        <v>1353</v>
      </c>
      <c r="J12" s="139">
        <f>SUMIFS( Private!L:L, Private!C:C, "Region 6",Private!K:K, "Level 3")</f>
        <v>725</v>
      </c>
      <c r="K12" s="143">
        <f t="shared" si="3"/>
        <v>2153</v>
      </c>
      <c r="L12" s="139">
        <f t="shared" ref="L12:N12" si="11">SUM(D12,H12)</f>
        <v>1046</v>
      </c>
      <c r="M12" s="144">
        <f t="shared" si="11"/>
        <v>2325</v>
      </c>
      <c r="N12" s="139">
        <f t="shared" si="11"/>
        <v>1716</v>
      </c>
      <c r="O12" s="145">
        <f t="shared" si="5"/>
        <v>5087</v>
      </c>
      <c r="Q12" s="123"/>
      <c r="R12" s="123"/>
      <c r="S12" s="123"/>
      <c r="T12" s="123"/>
      <c r="U12" s="123"/>
      <c r="V12" s="123"/>
      <c r="W12" s="123"/>
      <c r="X12" s="123"/>
      <c r="Y12" s="123"/>
      <c r="Z12" s="123"/>
      <c r="AA12" s="123"/>
    </row>
    <row r="13">
      <c r="B13" s="135" t="s">
        <v>682</v>
      </c>
      <c r="C13" s="136" t="s">
        <v>684</v>
      </c>
      <c r="D13" s="139">
        <f>SUMIFS( Government!L:L, Government!C:C, "Region 7",Government!K:K, "Level 1")</f>
        <v>590</v>
      </c>
      <c r="E13" s="139">
        <f>SUMIFS( Government!L:L, Government!C:C, "Region 7",Government!K:K, "Level 2")</f>
        <v>1025</v>
      </c>
      <c r="F13" s="139">
        <f>SUMIFS( Government!L:L, Government!C:C, "Region 7",Government!K:K, "Level 3")</f>
        <v>2101</v>
      </c>
      <c r="G13" s="140">
        <f t="shared" si="2"/>
        <v>3716</v>
      </c>
      <c r="H13" s="139">
        <f>SUMIFS( Private!L:L, Private!C:C, "Region 7",Private!K:K, "Level 1")</f>
        <v>255</v>
      </c>
      <c r="I13" s="139">
        <f>SUMIFS( Private!L:L, Private!C:C, "Region 7",Private!K:K, "Level 2")</f>
        <v>1344</v>
      </c>
      <c r="J13" s="139">
        <f>SUMIFS( Private!L:L, Private!C:C, "Region 7",Private!K:K, "Level 3")</f>
        <v>2507</v>
      </c>
      <c r="K13" s="143">
        <f t="shared" si="3"/>
        <v>4106</v>
      </c>
      <c r="L13" s="139">
        <f t="shared" ref="L13:N13" si="12">SUM(D13,H13)</f>
        <v>845</v>
      </c>
      <c r="M13" s="144">
        <f t="shared" si="12"/>
        <v>2369</v>
      </c>
      <c r="N13" s="139">
        <f t="shared" si="12"/>
        <v>4608</v>
      </c>
      <c r="O13" s="145">
        <f t="shared" si="5"/>
        <v>7822</v>
      </c>
      <c r="Q13" s="123"/>
      <c r="R13" s="123"/>
      <c r="S13" s="123"/>
      <c r="T13" s="123"/>
      <c r="U13" s="123"/>
      <c r="V13" s="123"/>
      <c r="W13" s="123"/>
      <c r="X13" s="123"/>
      <c r="Y13" s="123"/>
      <c r="Z13" s="123"/>
      <c r="AA13" s="123"/>
    </row>
    <row r="14">
      <c r="B14" s="135" t="s">
        <v>764</v>
      </c>
      <c r="C14" s="136" t="s">
        <v>765</v>
      </c>
      <c r="D14" s="139">
        <f>SUMIFS( Government!L:L, Government!C:C, "Region 8",Government!K:K, "Level 1")</f>
        <v>1152</v>
      </c>
      <c r="E14" s="139">
        <f>SUMIFS( Government!L:L, Government!C:C, "Region 8",Government!K:K, "Level 2")</f>
        <v>100</v>
      </c>
      <c r="F14" s="139">
        <f>SUMIFS( Government!L:L, Government!C:C, "Region 8",Government!K:K, "Level 3")</f>
        <v>629</v>
      </c>
      <c r="G14" s="140">
        <f t="shared" si="2"/>
        <v>1881</v>
      </c>
      <c r="H14" s="139">
        <f>SUMIFS( Private!L:L, Private!C:C, "Region 8",Private!K:K, "Level 1")</f>
        <v>905</v>
      </c>
      <c r="I14" s="139">
        <f>SUMIFS( Private!L:L, Private!C:C, "Region 8",Private!K:K, "Level 2")</f>
        <v>487</v>
      </c>
      <c r="J14" s="139">
        <f>SUMIFS( Private!L:L, Private!C:C, "Region 8",Private!K:K, "Level 3")</f>
        <v>179</v>
      </c>
      <c r="K14" s="143">
        <f t="shared" si="3"/>
        <v>1571</v>
      </c>
      <c r="L14" s="139">
        <f t="shared" ref="L14:N14" si="13">SUM(D14,H14)</f>
        <v>2057</v>
      </c>
      <c r="M14" s="144">
        <f t="shared" si="13"/>
        <v>587</v>
      </c>
      <c r="N14" s="139">
        <f t="shared" si="13"/>
        <v>808</v>
      </c>
      <c r="O14" s="145">
        <f t="shared" si="5"/>
        <v>3452</v>
      </c>
      <c r="Q14" s="123"/>
      <c r="R14" s="123"/>
      <c r="S14" s="123"/>
      <c r="T14" s="123"/>
      <c r="U14" s="123"/>
      <c r="V14" s="123"/>
      <c r="W14" s="123"/>
      <c r="X14" s="123"/>
      <c r="Y14" s="123"/>
      <c r="Z14" s="123"/>
      <c r="AA14" s="123"/>
    </row>
    <row r="15">
      <c r="B15" s="135" t="s">
        <v>808</v>
      </c>
      <c r="C15" s="136" t="s">
        <v>809</v>
      </c>
      <c r="D15" s="139">
        <f>SUMIFS( Government!L:L, Government!C:C, "Region 9",Government!K:K, "Level 1")</f>
        <v>394</v>
      </c>
      <c r="E15" s="139">
        <f>SUMIFS( Government!L:L, Government!C:C, "Region 9",Government!K:K, "Level 2")</f>
        <v>963</v>
      </c>
      <c r="F15" s="139">
        <f>SUMIFS( Government!L:L, Government!C:C, "Region 9",Government!K:K, "Level 3")</f>
        <v>400</v>
      </c>
      <c r="G15" s="140">
        <f t="shared" si="2"/>
        <v>1757</v>
      </c>
      <c r="H15" s="139">
        <f>SUMIFS( Private!L:L, Private!C:C, "Region 9",Private!K:K, "Level 1")</f>
        <v>633</v>
      </c>
      <c r="I15" s="139">
        <f>SUMIFS( Private!L:L, Private!C:C, "Region 9",Private!K:K, "Level 2")</f>
        <v>814</v>
      </c>
      <c r="J15" s="139">
        <f>SUMIFS( Private!L:L, Private!C:C, "Region 9",Private!K:K, "Level 3")</f>
        <v>0</v>
      </c>
      <c r="K15" s="143">
        <f t="shared" si="3"/>
        <v>1447</v>
      </c>
      <c r="L15" s="139">
        <f t="shared" ref="L15:N15" si="14">SUM(D15,H15)</f>
        <v>1027</v>
      </c>
      <c r="M15" s="144">
        <f t="shared" si="14"/>
        <v>1777</v>
      </c>
      <c r="N15" s="139">
        <f t="shared" si="14"/>
        <v>400</v>
      </c>
      <c r="O15" s="145">
        <f t="shared" si="5"/>
        <v>3204</v>
      </c>
      <c r="Q15" s="123"/>
      <c r="R15" s="123"/>
      <c r="S15" s="123"/>
      <c r="T15" s="123"/>
      <c r="U15" s="123"/>
      <c r="V15" s="123"/>
      <c r="W15" s="123"/>
      <c r="X15" s="123"/>
      <c r="Y15" s="123"/>
      <c r="Z15" s="123"/>
      <c r="AA15" s="123"/>
    </row>
    <row r="16">
      <c r="B16" s="135" t="s">
        <v>887</v>
      </c>
      <c r="C16" s="136" t="s">
        <v>890</v>
      </c>
      <c r="D16" s="139">
        <f>SUMIFS( Government!L:L, Government!C:C, "Region 10",Government!K:K, "Level 1")</f>
        <v>1013</v>
      </c>
      <c r="E16" s="139">
        <f>SUMIFS( Government!L:L, Government!C:C, "Region 10",Government!K:K, "Level 2")</f>
        <v>689</v>
      </c>
      <c r="F16" s="139">
        <f>SUMIFS( Government!L:L, Government!C:C, "Region 10",Government!K:K, "Level 3")</f>
        <v>1588</v>
      </c>
      <c r="G16" s="140">
        <f t="shared" si="2"/>
        <v>3290</v>
      </c>
      <c r="H16" s="139">
        <f>SUMIFS( Private!L:L, Private!C:C, "Region 10",Private!K:K, "Level 1")</f>
        <v>1273</v>
      </c>
      <c r="I16" s="139">
        <f>SUMIFS( Private!L:L, Private!C:C, "Region 10",Private!K:K, "Level 2")</f>
        <v>1733</v>
      </c>
      <c r="J16" s="139">
        <f>SUMIFS( Private!L:L, Private!C:C, "Region 10",Private!K:K, "Level 3")</f>
        <v>130</v>
      </c>
      <c r="K16" s="143">
        <f t="shared" si="3"/>
        <v>3136</v>
      </c>
      <c r="L16" s="139">
        <f t="shared" ref="L16:N16" si="15">SUM(D16,H16)</f>
        <v>2286</v>
      </c>
      <c r="M16" s="144">
        <f t="shared" si="15"/>
        <v>2422</v>
      </c>
      <c r="N16" s="139">
        <f t="shared" si="15"/>
        <v>1718</v>
      </c>
      <c r="O16" s="145">
        <f t="shared" si="5"/>
        <v>6426</v>
      </c>
      <c r="Q16" s="123"/>
      <c r="R16" s="123"/>
      <c r="S16" s="123"/>
      <c r="T16" s="123"/>
      <c r="U16" s="123"/>
      <c r="V16" s="123"/>
      <c r="W16" s="123"/>
      <c r="X16" s="123"/>
      <c r="Y16" s="123"/>
      <c r="Z16" s="123"/>
      <c r="AA16" s="123"/>
    </row>
    <row r="17">
      <c r="B17" s="135" t="s">
        <v>949</v>
      </c>
      <c r="C17" s="136" t="s">
        <v>3998</v>
      </c>
      <c r="D17" s="139">
        <f>SUMIFS( Government!L:L, Government!C:C, "Region 11",Government!K:K, "Level 1")</f>
        <v>561</v>
      </c>
      <c r="E17" s="139">
        <f>SUMIFS( Government!L:L, Government!C:C, "Region 11",Government!K:K, "Level 2")</f>
        <v>200</v>
      </c>
      <c r="F17" s="139">
        <f>SUMIFS( Government!L:L, Government!C:C, "Region 11",Government!K:K, "Level 3")</f>
        <v>1800</v>
      </c>
      <c r="G17" s="140">
        <f t="shared" si="2"/>
        <v>2561</v>
      </c>
      <c r="H17" s="139">
        <f>SUMIFS( Private!L:L, Private!C:C, "Region 11",Private!K:K, "Level 1")</f>
        <v>976</v>
      </c>
      <c r="I17" s="139">
        <f>SUMIFS( Private!L:L, Private!C:C, "Region 11",Private!K:K, "Level 2")</f>
        <v>1949</v>
      </c>
      <c r="J17" s="139">
        <f>SUMIFS( Private!L:L, Private!C:C, "Region 11",Private!K:K, "Level 3")</f>
        <v>700</v>
      </c>
      <c r="K17" s="143">
        <f t="shared" si="3"/>
        <v>3625</v>
      </c>
      <c r="L17" s="139">
        <f t="shared" ref="L17:N17" si="16">SUM(D17,H17)</f>
        <v>1537</v>
      </c>
      <c r="M17" s="144">
        <f t="shared" si="16"/>
        <v>2149</v>
      </c>
      <c r="N17" s="139">
        <f t="shared" si="16"/>
        <v>2500</v>
      </c>
      <c r="O17" s="145">
        <f t="shared" si="5"/>
        <v>6186</v>
      </c>
      <c r="Q17" s="123"/>
      <c r="R17" s="123"/>
      <c r="S17" s="123"/>
      <c r="T17" s="123"/>
      <c r="U17" s="123"/>
      <c r="V17" s="123"/>
      <c r="W17" s="123"/>
      <c r="X17" s="123"/>
      <c r="Y17" s="123"/>
      <c r="Z17" s="123"/>
      <c r="AA17" s="123"/>
    </row>
    <row r="18">
      <c r="B18" s="135" t="s">
        <v>1026</v>
      </c>
      <c r="C18" s="136" t="s">
        <v>1028</v>
      </c>
      <c r="D18" s="139">
        <f>SUMIFS( Government!L:L, Government!C:C, "Region 12",Government!K:K, "Level 1")</f>
        <v>445</v>
      </c>
      <c r="E18" s="139">
        <f>SUMIFS( Government!L:L, Government!C:C, "Region 12",Government!K:K, "Level 2")</f>
        <v>1100</v>
      </c>
      <c r="F18" s="139">
        <f>SUMIFS( Government!L:L, Government!C:C, "Region 12",Government!K:K, "Level 3")</f>
        <v>602</v>
      </c>
      <c r="G18" s="140">
        <f t="shared" si="2"/>
        <v>2147</v>
      </c>
      <c r="H18" s="139">
        <f>SUMIFS( Private!L:L, Private!C:C, "Region 12",Private!K:K, "Level 1")</f>
        <v>1817</v>
      </c>
      <c r="I18" s="139">
        <f>SUMIFS( Private!L:L, Private!C:C, "Region 12",Private!K:K, "Level 2")</f>
        <v>1895</v>
      </c>
      <c r="J18" s="139">
        <f>SUMIFS( Private!L:L, Private!C:C, "Region 12",Private!K:K, "Level 3")</f>
        <v>553</v>
      </c>
      <c r="K18" s="143">
        <f t="shared" si="3"/>
        <v>4265</v>
      </c>
      <c r="L18" s="139">
        <f t="shared" ref="L18:N18" si="17">SUM(D18,H18)</f>
        <v>2262</v>
      </c>
      <c r="M18" s="144">
        <f t="shared" si="17"/>
        <v>2995</v>
      </c>
      <c r="N18" s="139">
        <f t="shared" si="17"/>
        <v>1155</v>
      </c>
      <c r="O18" s="145">
        <f t="shared" si="5"/>
        <v>6412</v>
      </c>
      <c r="Q18" s="123"/>
      <c r="R18" s="123"/>
      <c r="S18" s="123"/>
      <c r="T18" s="123"/>
      <c r="U18" s="123"/>
      <c r="V18" s="123"/>
      <c r="W18" s="123"/>
      <c r="X18" s="123"/>
      <c r="Y18" s="123"/>
      <c r="Z18" s="123"/>
      <c r="AA18" s="123"/>
    </row>
    <row r="19">
      <c r="B19" s="135" t="s">
        <v>1098</v>
      </c>
      <c r="C19" s="136" t="s">
        <v>1099</v>
      </c>
      <c r="D19" s="139">
        <f>SUMIFS( Government!L:L, Government!C:C, "Region 13",Government!K:K, "Level 1")</f>
        <v>455</v>
      </c>
      <c r="E19" s="139">
        <f>SUMIFS( Government!L:L, Government!C:C, "Region 13",Government!K:K, "Level 2")</f>
        <v>550</v>
      </c>
      <c r="F19" s="139">
        <f>SUMIFS( Government!L:L, Government!C:C, "Region 13",Government!K:K, "Level 3")</f>
        <v>200</v>
      </c>
      <c r="G19" s="140">
        <f t="shared" si="2"/>
        <v>1205</v>
      </c>
      <c r="H19" s="139">
        <f>SUMIFS( Private!L:L, Private!C:C, "Region 13",Private!K:K, "Level 1")</f>
        <v>184</v>
      </c>
      <c r="I19" s="139">
        <f>SUMIFS( Private!L:L, Private!C:C, "Region 13",Private!K:K, "Level 2")</f>
        <v>575</v>
      </c>
      <c r="J19" s="139">
        <f>SUMIFS( Private!L:L, Private!C:C, "Region 13",Private!K:K, "Level 3")</f>
        <v>0</v>
      </c>
      <c r="K19" s="143">
        <f t="shared" si="3"/>
        <v>759</v>
      </c>
      <c r="L19" s="139">
        <f t="shared" ref="L19:N19" si="18">SUM(D19,H19)</f>
        <v>639</v>
      </c>
      <c r="M19" s="144">
        <f t="shared" si="18"/>
        <v>1125</v>
      </c>
      <c r="N19" s="139">
        <f t="shared" si="18"/>
        <v>200</v>
      </c>
      <c r="O19" s="145">
        <f t="shared" si="5"/>
        <v>1964</v>
      </c>
      <c r="Q19" s="123"/>
      <c r="R19" s="123"/>
      <c r="S19" s="123"/>
      <c r="T19" s="123"/>
      <c r="U19" s="123"/>
      <c r="V19" s="123"/>
      <c r="W19" s="123"/>
      <c r="X19" s="123"/>
      <c r="Y19" s="123"/>
      <c r="Z19" s="123"/>
      <c r="AA19" s="123"/>
    </row>
    <row r="20">
      <c r="B20" s="149" t="s">
        <v>1215</v>
      </c>
      <c r="C20" s="150" t="s">
        <v>1229</v>
      </c>
      <c r="D20" s="139">
        <f>SUMIFS( Government!L:L, Government!C:C, "NIR",Government!K:K, "Level 1")</f>
        <v>732</v>
      </c>
      <c r="E20" s="139">
        <f>SUMIFS( Government!L:L, Government!C:C, "NIR",Government!K:K, "Level 2")</f>
        <v>456</v>
      </c>
      <c r="F20" s="139">
        <f>SUMIFS( Government!L:L, Government!C:C, "NIR",Government!K:K, "Level 3")</f>
        <v>400</v>
      </c>
      <c r="G20" s="140">
        <f t="shared" si="2"/>
        <v>1588</v>
      </c>
      <c r="H20" s="139">
        <f>SUMIFS( Private!L:L, Private!C:C, "NIR",Private!K:K, "Level 1")</f>
        <v>227</v>
      </c>
      <c r="I20" s="139">
        <f>SUMIFS( Private!L:L, Private!C:C, "NIR",Private!K:K, "Level 2")</f>
        <v>673</v>
      </c>
      <c r="J20" s="139">
        <f>SUMIFS( Private!L:L, Private!C:C, "NIR",Private!K:K, "Level 3")</f>
        <v>922</v>
      </c>
      <c r="K20" s="143">
        <f t="shared" si="3"/>
        <v>1822</v>
      </c>
      <c r="L20" s="139">
        <f t="shared" ref="L20:N20" si="19">SUM(D20,H20)</f>
        <v>959</v>
      </c>
      <c r="M20" s="144">
        <f t="shared" si="19"/>
        <v>1129</v>
      </c>
      <c r="N20" s="139">
        <f t="shared" si="19"/>
        <v>1322</v>
      </c>
      <c r="O20" s="145">
        <f t="shared" si="5"/>
        <v>3410</v>
      </c>
      <c r="Q20" s="123"/>
      <c r="R20" s="123"/>
      <c r="S20" s="123"/>
      <c r="T20" s="123"/>
      <c r="U20" s="123"/>
      <c r="V20" s="123"/>
      <c r="W20" s="123"/>
      <c r="X20" s="123"/>
      <c r="Y20" s="123"/>
      <c r="Z20" s="123"/>
      <c r="AA20" s="123"/>
    </row>
    <row r="21">
      <c r="B21" s="135" t="s">
        <v>1323</v>
      </c>
      <c r="C21" s="136" t="s">
        <v>4380</v>
      </c>
      <c r="D21" s="139">
        <f>SUMIFS( Government!L:L, Government!C:C, "Cordillera",Government!K:K, "Level 1")</f>
        <v>484</v>
      </c>
      <c r="E21" s="139">
        <f>SUMIFS( Government!L:L, Government!C:C, "Cordillera",Government!K:K, "Level 2")</f>
        <v>650</v>
      </c>
      <c r="F21" s="139">
        <f>SUMIFS( Government!L:L, Government!C:C, "Cordillera",Government!K:K, "Level 3")</f>
        <v>600</v>
      </c>
      <c r="G21" s="140">
        <f t="shared" si="2"/>
        <v>1734</v>
      </c>
      <c r="H21" s="139">
        <f>SUMIFS( Private!L:L, Private!C:C, "Cordillera",Private!K:K, "Level 1")</f>
        <v>260</v>
      </c>
      <c r="I21" s="139">
        <f>SUMIFS( Private!L:L, Private!C:C, "Cordillera",Private!K:K, "Level 2")</f>
        <v>345</v>
      </c>
      <c r="J21" s="139">
        <f>SUMIFS( Private!L:L, Private!C:C, "Cordillera",Private!K:K, "Level 3")</f>
        <v>140</v>
      </c>
      <c r="K21" s="143">
        <f t="shared" si="3"/>
        <v>745</v>
      </c>
      <c r="L21" s="139">
        <f t="shared" ref="L21:N21" si="20">SUM(D21,H21)</f>
        <v>744</v>
      </c>
      <c r="M21" s="144">
        <f t="shared" si="20"/>
        <v>995</v>
      </c>
      <c r="N21" s="139">
        <f t="shared" si="20"/>
        <v>740</v>
      </c>
      <c r="O21" s="145">
        <f t="shared" si="5"/>
        <v>2479</v>
      </c>
      <c r="Q21" s="123"/>
      <c r="R21" s="123"/>
      <c r="S21" s="123"/>
      <c r="T21" s="123"/>
      <c r="U21" s="123"/>
      <c r="V21" s="123"/>
      <c r="W21" s="123"/>
      <c r="X21" s="123"/>
      <c r="Y21" s="123"/>
      <c r="Z21" s="123"/>
      <c r="AA21" s="123"/>
    </row>
    <row r="22">
      <c r="B22" s="135" t="s">
        <v>1418</v>
      </c>
      <c r="C22" s="136" t="s">
        <v>1420</v>
      </c>
      <c r="D22" s="139">
        <f>SUMIFS( Government!L:L, Government!C:C, "Barmm",Government!K:K, "Level 1")</f>
        <v>750</v>
      </c>
      <c r="E22" s="139">
        <f>SUMIFS( Government!L:L, Government!C:C, "Barmm",Government!K:K, "Level 2")</f>
        <v>299</v>
      </c>
      <c r="F22" s="139">
        <f>SUMIFS( Government!L:L, Government!C:C, "Barmm",Government!K:K, "Level 3")</f>
        <v>0</v>
      </c>
      <c r="G22" s="140">
        <f t="shared" si="2"/>
        <v>1049</v>
      </c>
      <c r="H22" s="139">
        <f>SUMIFS( Private!L:L, Private!C:C, "BARMM",Private!K:K, "Level 1")</f>
        <v>388</v>
      </c>
      <c r="I22" s="139">
        <f>SUMIFS( Private!L:L, Private!C:C, "BARMM",Private!K:K, "Level 2")</f>
        <v>0</v>
      </c>
      <c r="J22" s="139">
        <f>SUMIFS( Private!L:L, Private!C:C, "BARMM",Private!K:K, "Level 3")</f>
        <v>0</v>
      </c>
      <c r="K22" s="143">
        <f t="shared" si="3"/>
        <v>388</v>
      </c>
      <c r="L22" s="139">
        <f t="shared" ref="L22:N22" si="21">SUM(D22,H22)</f>
        <v>1138</v>
      </c>
      <c r="M22" s="144">
        <f t="shared" si="21"/>
        <v>299</v>
      </c>
      <c r="N22" s="139">
        <f t="shared" si="21"/>
        <v>0</v>
      </c>
      <c r="O22" s="145">
        <f t="shared" si="5"/>
        <v>1437</v>
      </c>
      <c r="Q22" s="123"/>
      <c r="R22" s="123"/>
      <c r="S22" s="123"/>
      <c r="T22" s="123"/>
      <c r="U22" s="123"/>
      <c r="V22" s="123"/>
      <c r="W22" s="123"/>
      <c r="X22" s="123"/>
      <c r="Y22" s="123"/>
      <c r="Z22" s="123"/>
      <c r="AA22" s="123"/>
    </row>
    <row r="23">
      <c r="B23" s="153" t="s">
        <v>4597</v>
      </c>
      <c r="C23" s="19"/>
      <c r="D23" s="154">
        <f t="shared" ref="D23:E23" si="22">SUM(D5:D22)</f>
        <v>16398</v>
      </c>
      <c r="E23" s="154">
        <f t="shared" si="22"/>
        <v>10873</v>
      </c>
      <c r="F23" s="154">
        <f>SUM(F5:F21)</f>
        <v>34217</v>
      </c>
      <c r="G23" s="155">
        <f t="shared" ref="G23:O23" si="23">SUM(G5:G22)</f>
        <v>61488</v>
      </c>
      <c r="H23" s="156">
        <f t="shared" si="23"/>
        <v>14603</v>
      </c>
      <c r="I23" s="156">
        <f t="shared" si="23"/>
        <v>29295</v>
      </c>
      <c r="J23" s="156">
        <f t="shared" si="23"/>
        <v>15529</v>
      </c>
      <c r="K23" s="157">
        <f t="shared" si="23"/>
        <v>59427</v>
      </c>
      <c r="L23" s="158">
        <f t="shared" si="23"/>
        <v>31001</v>
      </c>
      <c r="M23" s="158">
        <f t="shared" si="23"/>
        <v>40168</v>
      </c>
      <c r="N23" s="158">
        <f t="shared" si="23"/>
        <v>49746</v>
      </c>
      <c r="O23" s="159">
        <f t="shared" si="23"/>
        <v>120915</v>
      </c>
      <c r="Q23" s="123"/>
      <c r="R23" s="123"/>
      <c r="S23" s="123"/>
      <c r="T23" s="123"/>
      <c r="U23" s="123"/>
      <c r="V23" s="123"/>
      <c r="W23" s="123"/>
      <c r="X23" s="123"/>
      <c r="Y23" s="123"/>
      <c r="Z23" s="123"/>
      <c r="AA23" s="123"/>
    </row>
    <row r="24">
      <c r="B24" s="160"/>
      <c r="Q24" s="123"/>
      <c r="R24" s="123"/>
      <c r="S24" s="123"/>
      <c r="T24" s="123"/>
      <c r="U24" s="123"/>
      <c r="V24" s="123"/>
      <c r="W24" s="123"/>
      <c r="X24" s="123"/>
      <c r="Y24" s="123"/>
      <c r="Z24" s="123"/>
      <c r="AA24" s="123"/>
    </row>
    <row r="25">
      <c r="B25" s="160"/>
      <c r="C25" s="160"/>
      <c r="D25" s="123"/>
      <c r="E25" s="123"/>
      <c r="F25" s="123"/>
      <c r="G25" s="123"/>
      <c r="H25" s="123"/>
      <c r="I25" s="123"/>
      <c r="J25" s="123"/>
      <c r="K25" s="123"/>
      <c r="L25" s="123"/>
      <c r="M25" s="123"/>
      <c r="N25" s="123"/>
      <c r="O25" s="123"/>
      <c r="Q25" s="123"/>
      <c r="R25" s="123"/>
      <c r="S25" s="123"/>
      <c r="T25" s="123"/>
      <c r="U25" s="123"/>
      <c r="V25" s="123"/>
      <c r="W25" s="123"/>
      <c r="X25" s="123"/>
      <c r="Y25" s="123"/>
      <c r="Z25" s="123"/>
      <c r="AA25" s="123"/>
    </row>
    <row r="26">
      <c r="B26" s="160"/>
      <c r="C26" s="160"/>
      <c r="D26" s="123"/>
      <c r="E26" s="123"/>
      <c r="F26" s="123"/>
      <c r="G26" s="123"/>
      <c r="H26" s="123"/>
      <c r="I26" s="123"/>
      <c r="J26" s="123"/>
      <c r="K26" s="123"/>
      <c r="L26" s="123"/>
      <c r="M26" s="123"/>
      <c r="N26" s="123"/>
      <c r="O26" s="123"/>
      <c r="Q26" s="123"/>
      <c r="R26" s="123"/>
      <c r="S26" s="123"/>
      <c r="T26" s="123"/>
      <c r="U26" s="123"/>
      <c r="V26" s="123"/>
      <c r="W26" s="123"/>
      <c r="X26" s="123"/>
      <c r="Y26" s="123"/>
      <c r="Z26" s="123"/>
      <c r="AA26" s="123"/>
    </row>
    <row r="27">
      <c r="B27" s="160"/>
      <c r="C27" s="160"/>
      <c r="D27" s="123"/>
      <c r="E27" s="123"/>
      <c r="F27" s="123"/>
      <c r="G27" s="123"/>
      <c r="H27" s="123"/>
      <c r="I27" s="123"/>
      <c r="J27" s="123"/>
      <c r="K27" s="123"/>
      <c r="L27" s="123"/>
      <c r="M27" s="123"/>
      <c r="N27" s="123"/>
      <c r="O27" s="123"/>
      <c r="Q27" s="123"/>
      <c r="R27" s="123"/>
      <c r="S27" s="123"/>
      <c r="T27" s="123"/>
      <c r="U27" s="123"/>
      <c r="V27" s="123"/>
      <c r="W27" s="123"/>
      <c r="X27" s="123"/>
      <c r="Y27" s="123"/>
      <c r="Z27" s="123"/>
      <c r="AA27" s="123"/>
    </row>
    <row r="28">
      <c r="B28" s="160"/>
      <c r="C28" s="160"/>
      <c r="D28" s="123"/>
      <c r="E28" s="123"/>
      <c r="F28" s="123"/>
      <c r="G28" s="123"/>
      <c r="H28" s="123"/>
      <c r="I28" s="123"/>
      <c r="J28" s="123"/>
      <c r="K28" s="123"/>
      <c r="L28" s="123"/>
      <c r="M28" s="123"/>
      <c r="N28" s="123"/>
      <c r="O28" s="123"/>
      <c r="Q28" s="123"/>
      <c r="R28" s="123"/>
      <c r="S28" s="123"/>
      <c r="T28" s="123"/>
      <c r="U28" s="123"/>
      <c r="V28" s="123"/>
      <c r="W28" s="123"/>
      <c r="X28" s="123"/>
      <c r="Y28" s="123"/>
      <c r="Z28" s="123"/>
      <c r="AA28" s="123"/>
    </row>
    <row r="29">
      <c r="B29" s="160"/>
      <c r="C29" s="160"/>
      <c r="D29" s="123"/>
      <c r="E29" s="123"/>
      <c r="F29" s="123"/>
      <c r="G29" s="123"/>
      <c r="H29" s="123"/>
      <c r="I29" s="123"/>
      <c r="J29" s="123"/>
      <c r="K29" s="123"/>
      <c r="L29" s="123"/>
      <c r="M29" s="123"/>
      <c r="N29" s="123"/>
      <c r="O29" s="123"/>
      <c r="Q29" s="123"/>
      <c r="R29" s="123"/>
      <c r="S29" s="123"/>
      <c r="T29" s="123"/>
      <c r="U29" s="123"/>
      <c r="V29" s="123"/>
      <c r="W29" s="123"/>
      <c r="X29" s="123"/>
      <c r="Y29" s="123"/>
      <c r="Z29" s="123"/>
      <c r="AA29" s="123"/>
    </row>
    <row r="30">
      <c r="B30" s="160"/>
      <c r="C30" s="160"/>
      <c r="D30" s="123"/>
      <c r="E30" s="123"/>
      <c r="F30" s="123"/>
      <c r="G30" s="123"/>
      <c r="H30" s="123"/>
      <c r="I30" s="123"/>
      <c r="J30" s="123"/>
      <c r="K30" s="123"/>
      <c r="L30" s="123"/>
      <c r="M30" s="123"/>
      <c r="N30" s="123"/>
      <c r="O30" s="123"/>
      <c r="Q30" s="123"/>
      <c r="R30" s="123"/>
      <c r="S30" s="123"/>
      <c r="T30" s="123"/>
      <c r="U30" s="123"/>
      <c r="V30" s="123"/>
      <c r="W30" s="123"/>
      <c r="X30" s="123"/>
      <c r="Y30" s="123"/>
      <c r="Z30" s="123"/>
      <c r="AA30" s="123"/>
    </row>
    <row r="31">
      <c r="B31" s="160"/>
      <c r="C31" s="160"/>
      <c r="D31" s="123"/>
      <c r="E31" s="123"/>
      <c r="F31" s="123"/>
      <c r="G31" s="123"/>
      <c r="H31" s="123"/>
      <c r="I31" s="123"/>
      <c r="J31" s="123"/>
      <c r="K31" s="123"/>
      <c r="L31" s="123"/>
      <c r="M31" s="123"/>
      <c r="N31" s="123"/>
      <c r="O31" s="123"/>
      <c r="Q31" s="123"/>
      <c r="R31" s="123"/>
      <c r="S31" s="123"/>
      <c r="T31" s="123"/>
      <c r="U31" s="123"/>
      <c r="V31" s="123"/>
      <c r="W31" s="123"/>
      <c r="X31" s="123"/>
      <c r="Y31" s="123"/>
      <c r="Z31" s="123"/>
      <c r="AA31" s="123"/>
    </row>
    <row r="32">
      <c r="B32" s="160"/>
      <c r="C32" s="160"/>
      <c r="D32" s="123"/>
      <c r="E32" s="123"/>
      <c r="F32" s="123"/>
      <c r="G32" s="123"/>
      <c r="H32" s="123"/>
      <c r="I32" s="123"/>
      <c r="J32" s="123"/>
      <c r="K32" s="123"/>
      <c r="L32" s="123"/>
      <c r="M32" s="123"/>
      <c r="N32" s="123"/>
      <c r="O32" s="123"/>
      <c r="Q32" s="123"/>
      <c r="R32" s="123"/>
      <c r="S32" s="123"/>
      <c r="T32" s="123"/>
      <c r="U32" s="123"/>
      <c r="V32" s="123"/>
      <c r="W32" s="123"/>
      <c r="X32" s="123"/>
      <c r="Y32" s="123"/>
      <c r="Z32" s="123"/>
      <c r="AA32" s="123"/>
    </row>
    <row r="33">
      <c r="B33" s="160"/>
      <c r="C33" s="160"/>
      <c r="D33" s="123"/>
      <c r="E33" s="123"/>
      <c r="F33" s="123"/>
      <c r="G33" s="123"/>
      <c r="H33" s="123"/>
      <c r="I33" s="123"/>
      <c r="J33" s="123"/>
      <c r="K33" s="123"/>
      <c r="L33" s="123"/>
      <c r="M33" s="123"/>
      <c r="N33" s="123"/>
      <c r="O33" s="123"/>
      <c r="Q33" s="123"/>
      <c r="R33" s="123"/>
      <c r="S33" s="123"/>
      <c r="T33" s="123"/>
      <c r="U33" s="123"/>
      <c r="V33" s="123"/>
      <c r="W33" s="123"/>
      <c r="X33" s="123"/>
      <c r="Y33" s="123"/>
      <c r="Z33" s="123"/>
      <c r="AA33" s="123"/>
    </row>
    <row r="34">
      <c r="B34" s="160"/>
      <c r="C34" s="160"/>
      <c r="D34" s="123"/>
      <c r="E34" s="123"/>
      <c r="F34" s="123"/>
      <c r="G34" s="123"/>
      <c r="H34" s="123"/>
      <c r="I34" s="123"/>
      <c r="J34" s="123"/>
      <c r="K34" s="123"/>
      <c r="L34" s="123"/>
      <c r="M34" s="123"/>
      <c r="N34" s="123"/>
      <c r="O34" s="123"/>
      <c r="Q34" s="123"/>
      <c r="R34" s="123"/>
      <c r="S34" s="123"/>
      <c r="T34" s="123"/>
      <c r="U34" s="123"/>
      <c r="V34" s="123"/>
      <c r="W34" s="123"/>
      <c r="X34" s="123"/>
      <c r="Y34" s="123"/>
      <c r="Z34" s="123"/>
      <c r="AA34" s="123"/>
    </row>
    <row r="35">
      <c r="B35" s="160"/>
      <c r="C35" s="160"/>
      <c r="D35" s="123"/>
      <c r="E35" s="123"/>
      <c r="F35" s="123"/>
      <c r="G35" s="123"/>
      <c r="H35" s="123"/>
      <c r="I35" s="123"/>
      <c r="J35" s="123"/>
      <c r="K35" s="123"/>
      <c r="L35" s="123"/>
      <c r="M35" s="123"/>
      <c r="N35" s="123"/>
      <c r="O35" s="123"/>
      <c r="Q35" s="123"/>
      <c r="R35" s="123"/>
      <c r="S35" s="123"/>
      <c r="T35" s="123"/>
      <c r="U35" s="123"/>
      <c r="V35" s="123"/>
      <c r="W35" s="123"/>
      <c r="X35" s="123"/>
      <c r="Y35" s="123"/>
      <c r="Z35" s="123"/>
      <c r="AA35" s="123"/>
    </row>
    <row r="36">
      <c r="B36" s="160"/>
      <c r="C36" s="160"/>
      <c r="D36" s="123"/>
      <c r="E36" s="123"/>
      <c r="F36" s="123"/>
      <c r="G36" s="123"/>
      <c r="H36" s="123"/>
      <c r="I36" s="123"/>
      <c r="J36" s="123"/>
      <c r="K36" s="123"/>
      <c r="L36" s="123"/>
      <c r="M36" s="123"/>
      <c r="N36" s="123"/>
      <c r="O36" s="123"/>
      <c r="Q36" s="123"/>
      <c r="R36" s="123"/>
      <c r="S36" s="123"/>
      <c r="T36" s="123"/>
      <c r="U36" s="123"/>
      <c r="V36" s="123"/>
      <c r="W36" s="123"/>
      <c r="X36" s="123"/>
      <c r="Y36" s="123"/>
      <c r="Z36" s="123"/>
      <c r="AA36" s="123"/>
    </row>
    <row r="37">
      <c r="B37" s="160"/>
      <c r="C37" s="160"/>
      <c r="D37" s="123"/>
      <c r="E37" s="123"/>
      <c r="F37" s="123"/>
      <c r="G37" s="123"/>
      <c r="H37" s="123"/>
      <c r="I37" s="123"/>
      <c r="J37" s="123"/>
      <c r="K37" s="123"/>
      <c r="L37" s="123"/>
      <c r="M37" s="123"/>
      <c r="N37" s="123"/>
      <c r="O37" s="123"/>
      <c r="Q37" s="123"/>
      <c r="R37" s="123"/>
      <c r="S37" s="123"/>
      <c r="T37" s="123"/>
      <c r="U37" s="123"/>
      <c r="V37" s="123"/>
      <c r="W37" s="123"/>
      <c r="X37" s="123"/>
      <c r="Y37" s="123"/>
      <c r="Z37" s="123"/>
      <c r="AA37" s="123"/>
    </row>
    <row r="38">
      <c r="B38" s="160"/>
      <c r="C38" s="160"/>
      <c r="D38" s="123"/>
      <c r="E38" s="123"/>
      <c r="F38" s="123"/>
      <c r="G38" s="123"/>
      <c r="H38" s="123"/>
      <c r="I38" s="123"/>
      <c r="J38" s="123"/>
      <c r="K38" s="123"/>
      <c r="L38" s="123"/>
      <c r="M38" s="123"/>
      <c r="N38" s="123"/>
      <c r="O38" s="123"/>
      <c r="Q38" s="123"/>
      <c r="R38" s="123"/>
      <c r="S38" s="123"/>
      <c r="T38" s="123"/>
      <c r="U38" s="123"/>
      <c r="V38" s="123"/>
      <c r="W38" s="123"/>
      <c r="X38" s="123"/>
      <c r="Y38" s="123"/>
      <c r="Z38" s="123"/>
      <c r="AA38" s="123"/>
    </row>
    <row r="39">
      <c r="B39" s="160"/>
      <c r="C39" s="160"/>
      <c r="D39" s="123"/>
      <c r="E39" s="123"/>
      <c r="F39" s="123"/>
      <c r="G39" s="123"/>
      <c r="H39" s="123"/>
      <c r="I39" s="123"/>
      <c r="J39" s="123"/>
      <c r="K39" s="123"/>
      <c r="L39" s="123"/>
      <c r="M39" s="123"/>
      <c r="N39" s="123"/>
      <c r="O39" s="123"/>
      <c r="Q39" s="123"/>
      <c r="R39" s="123"/>
      <c r="S39" s="123"/>
      <c r="T39" s="123"/>
      <c r="U39" s="123"/>
      <c r="V39" s="123"/>
      <c r="W39" s="123"/>
      <c r="X39" s="123"/>
      <c r="Y39" s="123"/>
      <c r="Z39" s="123"/>
      <c r="AA39" s="123"/>
    </row>
    <row r="40">
      <c r="B40" s="160"/>
      <c r="C40" s="160"/>
      <c r="D40" s="123"/>
      <c r="E40" s="123"/>
      <c r="F40" s="123"/>
      <c r="G40" s="123"/>
      <c r="H40" s="123"/>
      <c r="I40" s="123"/>
      <c r="J40" s="123"/>
      <c r="K40" s="123"/>
      <c r="L40" s="123"/>
      <c r="M40" s="123"/>
      <c r="N40" s="123"/>
      <c r="O40" s="123"/>
      <c r="Q40" s="123"/>
      <c r="R40" s="123"/>
      <c r="S40" s="123"/>
      <c r="T40" s="123"/>
      <c r="U40" s="123"/>
      <c r="V40" s="123"/>
      <c r="W40" s="123"/>
      <c r="X40" s="123"/>
      <c r="Y40" s="123"/>
      <c r="Z40" s="123"/>
      <c r="AA40" s="123"/>
    </row>
    <row r="41">
      <c r="B41" s="160"/>
      <c r="C41" s="160"/>
      <c r="D41" s="123"/>
      <c r="E41" s="123"/>
      <c r="F41" s="123"/>
      <c r="G41" s="123"/>
      <c r="H41" s="123"/>
      <c r="I41" s="123"/>
      <c r="J41" s="123"/>
      <c r="K41" s="123"/>
      <c r="L41" s="123"/>
      <c r="M41" s="123"/>
      <c r="N41" s="123"/>
      <c r="O41" s="123"/>
      <c r="Q41" s="123"/>
      <c r="R41" s="123"/>
      <c r="S41" s="123"/>
      <c r="T41" s="123"/>
      <c r="U41" s="123"/>
      <c r="V41" s="123"/>
      <c r="W41" s="123"/>
      <c r="X41" s="123"/>
      <c r="Y41" s="123"/>
      <c r="Z41" s="123"/>
      <c r="AA41" s="123"/>
    </row>
    <row r="42">
      <c r="B42" s="160"/>
      <c r="C42" s="160"/>
      <c r="D42" s="123"/>
      <c r="E42" s="123"/>
      <c r="F42" s="123"/>
      <c r="G42" s="123"/>
      <c r="H42" s="123"/>
      <c r="I42" s="123"/>
      <c r="J42" s="123"/>
      <c r="K42" s="123"/>
      <c r="L42" s="123"/>
      <c r="M42" s="123"/>
      <c r="N42" s="123"/>
      <c r="O42" s="123"/>
      <c r="Q42" s="123"/>
      <c r="R42" s="123"/>
      <c r="S42" s="123"/>
      <c r="T42" s="123"/>
      <c r="U42" s="123"/>
      <c r="V42" s="123"/>
      <c r="W42" s="123"/>
      <c r="X42" s="123"/>
      <c r="Y42" s="123"/>
      <c r="Z42" s="123"/>
      <c r="AA42" s="123"/>
    </row>
    <row r="43">
      <c r="B43" s="160"/>
      <c r="C43" s="160"/>
      <c r="D43" s="123"/>
      <c r="E43" s="123"/>
      <c r="F43" s="123"/>
      <c r="G43" s="123"/>
      <c r="H43" s="123"/>
      <c r="I43" s="123"/>
      <c r="J43" s="123"/>
      <c r="K43" s="123"/>
      <c r="L43" s="123"/>
      <c r="M43" s="123"/>
      <c r="N43" s="123"/>
      <c r="O43" s="123"/>
      <c r="Q43" s="123"/>
      <c r="R43" s="123"/>
      <c r="S43" s="123"/>
      <c r="T43" s="123"/>
      <c r="U43" s="123"/>
      <c r="V43" s="123"/>
      <c r="W43" s="123"/>
      <c r="X43" s="123"/>
      <c r="Y43" s="123"/>
      <c r="Z43" s="123"/>
      <c r="AA43" s="123"/>
    </row>
    <row r="44">
      <c r="B44" s="160"/>
      <c r="C44" s="160"/>
      <c r="D44" s="123"/>
      <c r="E44" s="123"/>
      <c r="F44" s="123"/>
      <c r="G44" s="123"/>
      <c r="H44" s="123"/>
      <c r="I44" s="123"/>
      <c r="J44" s="123"/>
      <c r="K44" s="123"/>
      <c r="L44" s="123"/>
      <c r="M44" s="123"/>
      <c r="N44" s="123"/>
      <c r="O44" s="123"/>
      <c r="Q44" s="123"/>
      <c r="R44" s="123"/>
      <c r="S44" s="123"/>
      <c r="T44" s="123"/>
      <c r="U44" s="123"/>
      <c r="V44" s="123"/>
      <c r="W44" s="123"/>
      <c r="X44" s="123"/>
      <c r="Y44" s="123"/>
      <c r="Z44" s="123"/>
      <c r="AA44" s="123"/>
    </row>
    <row r="45">
      <c r="B45" s="160"/>
      <c r="C45" s="160"/>
      <c r="D45" s="123"/>
      <c r="E45" s="123"/>
      <c r="F45" s="123"/>
      <c r="G45" s="123"/>
      <c r="H45" s="123"/>
      <c r="I45" s="123"/>
      <c r="J45" s="123"/>
      <c r="K45" s="123"/>
      <c r="L45" s="123"/>
      <c r="M45" s="123"/>
      <c r="N45" s="123"/>
      <c r="O45" s="123"/>
      <c r="Q45" s="123"/>
      <c r="R45" s="123"/>
      <c r="S45" s="123"/>
      <c r="T45" s="123"/>
      <c r="U45" s="123"/>
      <c r="V45" s="123"/>
      <c r="W45" s="123"/>
      <c r="X45" s="123"/>
      <c r="Y45" s="123"/>
      <c r="Z45" s="123"/>
      <c r="AA45" s="123"/>
    </row>
    <row r="46">
      <c r="B46" s="160"/>
      <c r="C46" s="160"/>
      <c r="D46" s="123"/>
      <c r="E46" s="123"/>
      <c r="F46" s="123"/>
      <c r="G46" s="123"/>
      <c r="H46" s="123"/>
      <c r="I46" s="123"/>
      <c r="J46" s="123"/>
      <c r="K46" s="123"/>
      <c r="L46" s="123"/>
      <c r="M46" s="123"/>
      <c r="N46" s="123"/>
      <c r="O46" s="123"/>
      <c r="Q46" s="123"/>
      <c r="R46" s="123"/>
      <c r="S46" s="123"/>
      <c r="T46" s="123"/>
      <c r="U46" s="123"/>
      <c r="V46" s="123"/>
      <c r="W46" s="123"/>
      <c r="X46" s="123"/>
      <c r="Y46" s="123"/>
      <c r="Z46" s="123"/>
      <c r="AA46" s="123"/>
    </row>
    <row r="47">
      <c r="B47" s="160"/>
      <c r="C47" s="160"/>
      <c r="D47" s="123"/>
      <c r="E47" s="123"/>
      <c r="F47" s="123"/>
      <c r="G47" s="123"/>
      <c r="H47" s="123"/>
      <c r="I47" s="123"/>
      <c r="J47" s="123"/>
      <c r="K47" s="123"/>
      <c r="L47" s="123"/>
      <c r="M47" s="123"/>
      <c r="N47" s="123"/>
      <c r="O47" s="123"/>
      <c r="Q47" s="123"/>
      <c r="R47" s="123"/>
      <c r="S47" s="123"/>
      <c r="T47" s="123"/>
      <c r="U47" s="123"/>
      <c r="V47" s="123"/>
      <c r="W47" s="123"/>
      <c r="X47" s="123"/>
      <c r="Y47" s="123"/>
      <c r="Z47" s="123"/>
      <c r="AA47" s="123"/>
    </row>
    <row r="48">
      <c r="B48" s="160"/>
      <c r="C48" s="160"/>
      <c r="D48" s="123"/>
      <c r="E48" s="123"/>
      <c r="F48" s="123"/>
      <c r="G48" s="123"/>
      <c r="H48" s="123"/>
      <c r="I48" s="123"/>
      <c r="J48" s="123"/>
      <c r="K48" s="123"/>
      <c r="L48" s="123"/>
      <c r="M48" s="123"/>
      <c r="N48" s="123"/>
      <c r="O48" s="123"/>
      <c r="Q48" s="123"/>
      <c r="R48" s="123"/>
      <c r="S48" s="123"/>
      <c r="T48" s="123"/>
      <c r="U48" s="123"/>
      <c r="V48" s="123"/>
      <c r="W48" s="123"/>
      <c r="X48" s="123"/>
      <c r="Y48" s="123"/>
      <c r="Z48" s="123"/>
      <c r="AA48" s="123"/>
    </row>
    <row r="49">
      <c r="B49" s="160"/>
      <c r="C49" s="160"/>
      <c r="D49" s="123"/>
      <c r="E49" s="123"/>
      <c r="F49" s="123"/>
      <c r="G49" s="123"/>
      <c r="H49" s="123"/>
      <c r="I49" s="123"/>
      <c r="J49" s="123"/>
      <c r="K49" s="123"/>
      <c r="L49" s="123"/>
      <c r="M49" s="123"/>
      <c r="N49" s="123"/>
      <c r="O49" s="123"/>
      <c r="Q49" s="123"/>
      <c r="R49" s="123"/>
      <c r="S49" s="123"/>
      <c r="T49" s="123"/>
      <c r="U49" s="123"/>
      <c r="V49" s="123"/>
      <c r="W49" s="123"/>
      <c r="X49" s="123"/>
      <c r="Y49" s="123"/>
      <c r="Z49" s="123"/>
      <c r="AA49" s="123"/>
    </row>
    <row r="50">
      <c r="B50" s="160"/>
      <c r="C50" s="160"/>
      <c r="D50" s="123"/>
      <c r="E50" s="123"/>
      <c r="F50" s="123"/>
      <c r="G50" s="123"/>
      <c r="H50" s="123"/>
      <c r="I50" s="123"/>
      <c r="J50" s="123"/>
      <c r="K50" s="123"/>
      <c r="L50" s="123"/>
      <c r="M50" s="123"/>
      <c r="N50" s="123"/>
      <c r="O50" s="123"/>
      <c r="Q50" s="123"/>
      <c r="R50" s="123"/>
      <c r="S50" s="123"/>
      <c r="T50" s="123"/>
      <c r="U50" s="123"/>
      <c r="V50" s="123"/>
      <c r="W50" s="123"/>
      <c r="X50" s="123"/>
      <c r="Y50" s="123"/>
      <c r="Z50" s="123"/>
      <c r="AA50" s="123"/>
    </row>
    <row r="51">
      <c r="B51" s="160"/>
      <c r="C51" s="160"/>
      <c r="D51" s="123"/>
      <c r="E51" s="123"/>
      <c r="F51" s="123"/>
      <c r="G51" s="123"/>
      <c r="H51" s="123"/>
      <c r="I51" s="123"/>
      <c r="J51" s="123"/>
      <c r="K51" s="123"/>
      <c r="L51" s="123"/>
      <c r="M51" s="123"/>
      <c r="N51" s="123"/>
      <c r="O51" s="123"/>
      <c r="Q51" s="123"/>
      <c r="R51" s="123"/>
      <c r="S51" s="123"/>
      <c r="T51" s="123"/>
      <c r="U51" s="123"/>
      <c r="V51" s="123"/>
      <c r="W51" s="123"/>
      <c r="X51" s="123"/>
      <c r="Y51" s="123"/>
      <c r="Z51" s="123"/>
      <c r="AA51" s="123"/>
    </row>
    <row r="52">
      <c r="B52" s="160"/>
      <c r="C52" s="160"/>
      <c r="D52" s="123"/>
      <c r="E52" s="123"/>
      <c r="F52" s="123"/>
      <c r="G52" s="123"/>
      <c r="H52" s="123"/>
      <c r="I52" s="123"/>
      <c r="J52" s="123"/>
      <c r="K52" s="123"/>
      <c r="L52" s="123"/>
      <c r="M52" s="123"/>
      <c r="N52" s="123"/>
      <c r="O52" s="123"/>
      <c r="Q52" s="123"/>
      <c r="R52" s="123"/>
      <c r="S52" s="123"/>
      <c r="T52" s="123"/>
      <c r="U52" s="123"/>
      <c r="V52" s="123"/>
      <c r="W52" s="123"/>
      <c r="X52" s="123"/>
      <c r="Y52" s="123"/>
      <c r="Z52" s="123"/>
      <c r="AA52" s="123"/>
    </row>
    <row r="53">
      <c r="B53" s="160"/>
      <c r="C53" s="160"/>
      <c r="D53" s="123"/>
      <c r="E53" s="123"/>
      <c r="F53" s="123"/>
      <c r="G53" s="123"/>
      <c r="H53" s="123"/>
      <c r="I53" s="123"/>
      <c r="J53" s="123"/>
      <c r="K53" s="123"/>
      <c r="L53" s="123"/>
      <c r="M53" s="123"/>
      <c r="N53" s="123"/>
      <c r="O53" s="123"/>
      <c r="Q53" s="123"/>
      <c r="R53" s="123"/>
      <c r="S53" s="123"/>
      <c r="T53" s="123"/>
      <c r="U53" s="123"/>
      <c r="V53" s="123"/>
      <c r="W53" s="123"/>
      <c r="X53" s="123"/>
      <c r="Y53" s="123"/>
      <c r="Z53" s="123"/>
      <c r="AA53" s="123"/>
    </row>
    <row r="54">
      <c r="B54" s="160"/>
      <c r="C54" s="160"/>
      <c r="D54" s="123"/>
      <c r="E54" s="123"/>
      <c r="F54" s="123"/>
      <c r="G54" s="123"/>
      <c r="H54" s="123"/>
      <c r="I54" s="123"/>
      <c r="J54" s="123"/>
      <c r="K54" s="123"/>
      <c r="L54" s="123"/>
      <c r="M54" s="123"/>
      <c r="N54" s="123"/>
      <c r="O54" s="123"/>
      <c r="Q54" s="123"/>
      <c r="R54" s="123"/>
      <c r="S54" s="123"/>
      <c r="T54" s="123"/>
      <c r="U54" s="123"/>
      <c r="V54" s="123"/>
      <c r="W54" s="123"/>
      <c r="X54" s="123"/>
      <c r="Y54" s="123"/>
      <c r="Z54" s="123"/>
      <c r="AA54" s="123"/>
    </row>
    <row r="55">
      <c r="B55" s="160"/>
      <c r="C55" s="160"/>
      <c r="D55" s="123"/>
      <c r="E55" s="123"/>
      <c r="F55" s="123"/>
      <c r="G55" s="123"/>
      <c r="H55" s="123"/>
      <c r="I55" s="123"/>
      <c r="J55" s="123"/>
      <c r="K55" s="123"/>
      <c r="L55" s="123"/>
      <c r="M55" s="123"/>
      <c r="N55" s="123"/>
      <c r="O55" s="123"/>
      <c r="Q55" s="123"/>
      <c r="R55" s="123"/>
      <c r="S55" s="123"/>
      <c r="T55" s="123"/>
      <c r="U55" s="123"/>
      <c r="V55" s="123"/>
      <c r="W55" s="123"/>
      <c r="X55" s="123"/>
      <c r="Y55" s="123"/>
      <c r="Z55" s="123"/>
      <c r="AA55" s="123"/>
    </row>
    <row r="56">
      <c r="B56" s="160"/>
      <c r="C56" s="160"/>
      <c r="D56" s="123"/>
      <c r="E56" s="123"/>
      <c r="F56" s="123"/>
      <c r="G56" s="123"/>
      <c r="H56" s="123"/>
      <c r="I56" s="123"/>
      <c r="J56" s="123"/>
      <c r="K56" s="123"/>
      <c r="L56" s="123"/>
      <c r="M56" s="123"/>
      <c r="N56" s="123"/>
      <c r="O56" s="123"/>
      <c r="Q56" s="123"/>
      <c r="R56" s="123"/>
      <c r="S56" s="123"/>
      <c r="T56" s="123"/>
      <c r="U56" s="123"/>
      <c r="V56" s="123"/>
      <c r="W56" s="123"/>
      <c r="X56" s="123"/>
      <c r="Y56" s="123"/>
      <c r="Z56" s="123"/>
      <c r="AA56" s="123"/>
    </row>
    <row r="57">
      <c r="B57" s="160"/>
      <c r="C57" s="160"/>
      <c r="D57" s="123"/>
      <c r="E57" s="123"/>
      <c r="F57" s="123"/>
      <c r="G57" s="123"/>
      <c r="H57" s="123"/>
      <c r="I57" s="123"/>
      <c r="J57" s="123"/>
      <c r="K57" s="123"/>
      <c r="L57" s="123"/>
      <c r="M57" s="123"/>
      <c r="N57" s="123"/>
      <c r="O57" s="123"/>
      <c r="Q57" s="123"/>
      <c r="R57" s="123"/>
      <c r="S57" s="123"/>
      <c r="T57" s="123"/>
      <c r="U57" s="123"/>
      <c r="V57" s="123"/>
      <c r="W57" s="123"/>
      <c r="X57" s="123"/>
      <c r="Y57" s="123"/>
      <c r="Z57" s="123"/>
      <c r="AA57" s="123"/>
    </row>
    <row r="58">
      <c r="B58" s="160"/>
      <c r="C58" s="160"/>
      <c r="D58" s="123"/>
      <c r="E58" s="123"/>
      <c r="F58" s="123"/>
      <c r="G58" s="123"/>
      <c r="H58" s="123"/>
      <c r="I58" s="123"/>
      <c r="J58" s="123"/>
      <c r="K58" s="123"/>
      <c r="L58" s="123"/>
      <c r="M58" s="123"/>
      <c r="N58" s="123"/>
      <c r="O58" s="123"/>
      <c r="Q58" s="123"/>
      <c r="R58" s="123"/>
      <c r="S58" s="123"/>
      <c r="T58" s="123"/>
      <c r="U58" s="123"/>
      <c r="V58" s="123"/>
      <c r="W58" s="123"/>
      <c r="X58" s="123"/>
      <c r="Y58" s="123"/>
      <c r="Z58" s="123"/>
      <c r="AA58" s="123"/>
    </row>
    <row r="59">
      <c r="B59" s="160"/>
      <c r="C59" s="160"/>
      <c r="D59" s="123"/>
      <c r="E59" s="123"/>
      <c r="F59" s="123"/>
      <c r="G59" s="123"/>
      <c r="H59" s="123"/>
      <c r="I59" s="123"/>
      <c r="J59" s="123"/>
      <c r="K59" s="123"/>
      <c r="L59" s="123"/>
      <c r="M59" s="123"/>
      <c r="N59" s="123"/>
      <c r="O59" s="123"/>
      <c r="Q59" s="123"/>
      <c r="R59" s="123"/>
      <c r="S59" s="123"/>
      <c r="T59" s="123"/>
      <c r="U59" s="123"/>
      <c r="V59" s="123"/>
      <c r="W59" s="123"/>
      <c r="X59" s="123"/>
      <c r="Y59" s="123"/>
      <c r="Z59" s="123"/>
      <c r="AA59" s="123"/>
    </row>
    <row r="60">
      <c r="B60" s="160"/>
      <c r="C60" s="160"/>
      <c r="D60" s="123"/>
      <c r="E60" s="123"/>
      <c r="F60" s="123"/>
      <c r="G60" s="123"/>
      <c r="H60" s="123"/>
      <c r="I60" s="123"/>
      <c r="J60" s="123"/>
      <c r="K60" s="123"/>
      <c r="L60" s="123"/>
      <c r="M60" s="123"/>
      <c r="N60" s="123"/>
      <c r="O60" s="123"/>
      <c r="Q60" s="123"/>
      <c r="R60" s="123"/>
      <c r="S60" s="123"/>
      <c r="T60" s="123"/>
      <c r="U60" s="123"/>
      <c r="V60" s="123"/>
      <c r="W60" s="123"/>
      <c r="X60" s="123"/>
      <c r="Y60" s="123"/>
      <c r="Z60" s="123"/>
      <c r="AA60" s="123"/>
    </row>
    <row r="61">
      <c r="B61" s="160"/>
      <c r="C61" s="160"/>
      <c r="D61" s="123"/>
      <c r="E61" s="123"/>
      <c r="F61" s="123"/>
      <c r="G61" s="123"/>
      <c r="H61" s="123"/>
      <c r="I61" s="123"/>
      <c r="J61" s="123"/>
      <c r="K61" s="123"/>
      <c r="L61" s="123"/>
      <c r="M61" s="123"/>
      <c r="N61" s="123"/>
      <c r="O61" s="123"/>
      <c r="Q61" s="123"/>
      <c r="R61" s="123"/>
      <c r="S61" s="123"/>
      <c r="T61" s="123"/>
      <c r="U61" s="123"/>
      <c r="V61" s="123"/>
      <c r="W61" s="123"/>
      <c r="X61" s="123"/>
      <c r="Y61" s="123"/>
      <c r="Z61" s="123"/>
      <c r="AA61" s="123"/>
    </row>
    <row r="62">
      <c r="B62" s="160"/>
      <c r="C62" s="160"/>
      <c r="D62" s="123"/>
      <c r="E62" s="123"/>
      <c r="F62" s="123"/>
      <c r="G62" s="123"/>
      <c r="H62" s="123"/>
      <c r="I62" s="123"/>
      <c r="J62" s="123"/>
      <c r="K62" s="123"/>
      <c r="L62" s="123"/>
      <c r="M62" s="123"/>
      <c r="N62" s="123"/>
      <c r="O62" s="123"/>
      <c r="Q62" s="123"/>
      <c r="R62" s="123"/>
      <c r="S62" s="123"/>
      <c r="T62" s="123"/>
      <c r="U62" s="123"/>
      <c r="V62" s="123"/>
      <c r="W62" s="123"/>
      <c r="X62" s="123"/>
      <c r="Y62" s="123"/>
      <c r="Z62" s="123"/>
      <c r="AA62" s="123"/>
    </row>
    <row r="63">
      <c r="B63" s="160"/>
      <c r="C63" s="160"/>
      <c r="D63" s="123"/>
      <c r="E63" s="123"/>
      <c r="F63" s="123"/>
      <c r="G63" s="123"/>
      <c r="H63" s="123"/>
      <c r="I63" s="123"/>
      <c r="J63" s="123"/>
      <c r="K63" s="123"/>
      <c r="L63" s="123"/>
      <c r="M63" s="123"/>
      <c r="N63" s="123"/>
      <c r="O63" s="123"/>
      <c r="Q63" s="123"/>
      <c r="R63" s="123"/>
      <c r="S63" s="123"/>
      <c r="T63" s="123"/>
      <c r="U63" s="123"/>
      <c r="V63" s="123"/>
      <c r="W63" s="123"/>
      <c r="X63" s="123"/>
      <c r="Y63" s="123"/>
      <c r="Z63" s="123"/>
      <c r="AA63" s="123"/>
    </row>
    <row r="64">
      <c r="B64" s="160"/>
      <c r="C64" s="160"/>
      <c r="D64" s="123"/>
      <c r="E64" s="123"/>
      <c r="F64" s="123"/>
      <c r="G64" s="123"/>
      <c r="H64" s="123"/>
      <c r="I64" s="123"/>
      <c r="J64" s="123"/>
      <c r="K64" s="123"/>
      <c r="L64" s="123"/>
      <c r="M64" s="123"/>
      <c r="N64" s="123"/>
      <c r="O64" s="123"/>
      <c r="Q64" s="123"/>
      <c r="R64" s="123"/>
      <c r="S64" s="123"/>
      <c r="T64" s="123"/>
      <c r="U64" s="123"/>
      <c r="V64" s="123"/>
      <c r="W64" s="123"/>
      <c r="X64" s="123"/>
      <c r="Y64" s="123"/>
      <c r="Z64" s="123"/>
      <c r="AA64" s="123"/>
    </row>
    <row r="65">
      <c r="B65" s="160"/>
      <c r="C65" s="160"/>
      <c r="D65" s="123"/>
      <c r="E65" s="123"/>
      <c r="F65" s="123"/>
      <c r="G65" s="123"/>
      <c r="H65" s="123"/>
      <c r="I65" s="123"/>
      <c r="J65" s="123"/>
      <c r="K65" s="123"/>
      <c r="L65" s="123"/>
      <c r="M65" s="123"/>
      <c r="N65" s="123"/>
      <c r="O65" s="123"/>
      <c r="Q65" s="123"/>
      <c r="R65" s="123"/>
      <c r="S65" s="123"/>
      <c r="T65" s="123"/>
      <c r="U65" s="123"/>
      <c r="V65" s="123"/>
      <c r="W65" s="123"/>
      <c r="X65" s="123"/>
      <c r="Y65" s="123"/>
      <c r="Z65" s="123"/>
      <c r="AA65" s="123"/>
    </row>
    <row r="66">
      <c r="B66" s="160"/>
      <c r="C66" s="160"/>
      <c r="D66" s="123"/>
      <c r="E66" s="123"/>
      <c r="F66" s="123"/>
      <c r="G66" s="123"/>
      <c r="H66" s="123"/>
      <c r="I66" s="123"/>
      <c r="J66" s="123"/>
      <c r="K66" s="123"/>
      <c r="L66" s="123"/>
      <c r="M66" s="123"/>
      <c r="N66" s="123"/>
      <c r="O66" s="123"/>
      <c r="Q66" s="123"/>
      <c r="R66" s="123"/>
      <c r="S66" s="123"/>
      <c r="T66" s="123"/>
      <c r="U66" s="123"/>
      <c r="V66" s="123"/>
      <c r="W66" s="123"/>
      <c r="X66" s="123"/>
      <c r="Y66" s="123"/>
      <c r="Z66" s="123"/>
      <c r="AA66" s="123"/>
    </row>
    <row r="67">
      <c r="B67" s="160"/>
      <c r="C67" s="160"/>
      <c r="D67" s="123"/>
      <c r="E67" s="123"/>
      <c r="F67" s="123"/>
      <c r="G67" s="123"/>
      <c r="H67" s="123"/>
      <c r="I67" s="123"/>
      <c r="J67" s="123"/>
      <c r="K67" s="123"/>
      <c r="L67" s="123"/>
      <c r="M67" s="123"/>
      <c r="N67" s="123"/>
      <c r="O67" s="123"/>
      <c r="Q67" s="123"/>
      <c r="R67" s="123"/>
      <c r="S67" s="123"/>
      <c r="T67" s="123"/>
      <c r="U67" s="123"/>
      <c r="V67" s="123"/>
      <c r="W67" s="123"/>
      <c r="X67" s="123"/>
      <c r="Y67" s="123"/>
      <c r="Z67" s="123"/>
      <c r="AA67" s="123"/>
    </row>
    <row r="68">
      <c r="B68" s="160"/>
      <c r="C68" s="160"/>
      <c r="D68" s="123"/>
      <c r="E68" s="123"/>
      <c r="F68" s="123"/>
      <c r="G68" s="123"/>
      <c r="H68" s="123"/>
      <c r="I68" s="123"/>
      <c r="J68" s="123"/>
      <c r="K68" s="123"/>
      <c r="L68" s="123"/>
      <c r="M68" s="123"/>
      <c r="N68" s="123"/>
      <c r="O68" s="123"/>
      <c r="Q68" s="123"/>
      <c r="R68" s="123"/>
      <c r="S68" s="123"/>
      <c r="T68" s="123"/>
      <c r="U68" s="123"/>
      <c r="V68" s="123"/>
      <c r="W68" s="123"/>
      <c r="X68" s="123"/>
      <c r="Y68" s="123"/>
      <c r="Z68" s="123"/>
      <c r="AA68" s="123"/>
    </row>
    <row r="69">
      <c r="B69" s="160"/>
      <c r="C69" s="160"/>
      <c r="D69" s="123"/>
      <c r="E69" s="123"/>
      <c r="F69" s="123"/>
      <c r="G69" s="123"/>
      <c r="H69" s="123"/>
      <c r="I69" s="123"/>
      <c r="J69" s="123"/>
      <c r="K69" s="123"/>
      <c r="L69" s="123"/>
      <c r="M69" s="123"/>
      <c r="N69" s="123"/>
      <c r="O69" s="123"/>
      <c r="Q69" s="123"/>
      <c r="R69" s="123"/>
      <c r="S69" s="123"/>
      <c r="T69" s="123"/>
      <c r="U69" s="123"/>
      <c r="V69" s="123"/>
      <c r="W69" s="123"/>
      <c r="X69" s="123"/>
      <c r="Y69" s="123"/>
      <c r="Z69" s="123"/>
      <c r="AA69" s="123"/>
    </row>
    <row r="70">
      <c r="B70" s="160"/>
      <c r="C70" s="160"/>
      <c r="D70" s="123"/>
      <c r="E70" s="123"/>
      <c r="F70" s="123"/>
      <c r="G70" s="123"/>
      <c r="H70" s="123"/>
      <c r="I70" s="123"/>
      <c r="J70" s="123"/>
      <c r="K70" s="123"/>
      <c r="L70" s="123"/>
      <c r="M70" s="123"/>
      <c r="N70" s="123"/>
      <c r="O70" s="123"/>
      <c r="Q70" s="123"/>
      <c r="R70" s="123"/>
      <c r="S70" s="123"/>
      <c r="T70" s="123"/>
      <c r="U70" s="123"/>
      <c r="V70" s="123"/>
      <c r="W70" s="123"/>
      <c r="X70" s="123"/>
      <c r="Y70" s="123"/>
      <c r="Z70" s="123"/>
      <c r="AA70" s="123"/>
    </row>
    <row r="71">
      <c r="B71" s="160"/>
      <c r="C71" s="160"/>
      <c r="D71" s="123"/>
      <c r="E71" s="123"/>
      <c r="F71" s="123"/>
      <c r="G71" s="123"/>
      <c r="H71" s="123"/>
      <c r="I71" s="123"/>
      <c r="J71" s="123"/>
      <c r="K71" s="123"/>
      <c r="L71" s="123"/>
      <c r="M71" s="123"/>
      <c r="N71" s="123"/>
      <c r="O71" s="123"/>
      <c r="Q71" s="123"/>
      <c r="R71" s="123"/>
      <c r="S71" s="123"/>
      <c r="T71" s="123"/>
      <c r="U71" s="123"/>
      <c r="V71" s="123"/>
      <c r="W71" s="123"/>
      <c r="X71" s="123"/>
      <c r="Y71" s="123"/>
      <c r="Z71" s="123"/>
      <c r="AA71" s="123"/>
    </row>
    <row r="72">
      <c r="B72" s="160"/>
      <c r="C72" s="160"/>
      <c r="D72" s="123"/>
      <c r="E72" s="123"/>
      <c r="F72" s="123"/>
      <c r="G72" s="123"/>
      <c r="H72" s="123"/>
      <c r="I72" s="123"/>
      <c r="J72" s="123"/>
      <c r="K72" s="123"/>
      <c r="L72" s="123"/>
      <c r="M72" s="123"/>
      <c r="N72" s="123"/>
      <c r="O72" s="123"/>
      <c r="Q72" s="123"/>
      <c r="R72" s="123"/>
      <c r="S72" s="123"/>
      <c r="T72" s="123"/>
      <c r="U72" s="123"/>
      <c r="V72" s="123"/>
      <c r="W72" s="123"/>
      <c r="X72" s="123"/>
      <c r="Y72" s="123"/>
      <c r="Z72" s="123"/>
      <c r="AA72" s="123"/>
    </row>
    <row r="73">
      <c r="B73" s="160"/>
      <c r="C73" s="160"/>
      <c r="D73" s="123"/>
      <c r="E73" s="123"/>
      <c r="F73" s="123"/>
      <c r="G73" s="123"/>
      <c r="H73" s="123"/>
      <c r="I73" s="123"/>
      <c r="J73" s="123"/>
      <c r="K73" s="123"/>
      <c r="L73" s="123"/>
      <c r="M73" s="123"/>
      <c r="N73" s="123"/>
      <c r="O73" s="123"/>
      <c r="Q73" s="123"/>
      <c r="R73" s="123"/>
      <c r="S73" s="123"/>
      <c r="T73" s="123"/>
      <c r="U73" s="123"/>
      <c r="V73" s="123"/>
      <c r="W73" s="123"/>
      <c r="X73" s="123"/>
      <c r="Y73" s="123"/>
      <c r="Z73" s="123"/>
      <c r="AA73" s="123"/>
    </row>
    <row r="74">
      <c r="B74" s="160"/>
      <c r="C74" s="160"/>
      <c r="D74" s="123"/>
      <c r="E74" s="123"/>
      <c r="F74" s="123"/>
      <c r="G74" s="123"/>
      <c r="H74" s="123"/>
      <c r="I74" s="123"/>
      <c r="J74" s="123"/>
      <c r="K74" s="123"/>
      <c r="L74" s="123"/>
      <c r="M74" s="123"/>
      <c r="N74" s="123"/>
      <c r="O74" s="123"/>
      <c r="Q74" s="123"/>
      <c r="R74" s="123"/>
      <c r="S74" s="123"/>
      <c r="T74" s="123"/>
      <c r="U74" s="123"/>
      <c r="V74" s="123"/>
      <c r="W74" s="123"/>
      <c r="X74" s="123"/>
      <c r="Y74" s="123"/>
      <c r="Z74" s="123"/>
      <c r="AA74" s="123"/>
    </row>
    <row r="75">
      <c r="B75" s="160"/>
      <c r="C75" s="160"/>
      <c r="D75" s="123"/>
      <c r="E75" s="123"/>
      <c r="F75" s="123"/>
      <c r="G75" s="123"/>
      <c r="H75" s="123"/>
      <c r="I75" s="123"/>
      <c r="J75" s="123"/>
      <c r="K75" s="123"/>
      <c r="L75" s="123"/>
      <c r="M75" s="123"/>
      <c r="N75" s="123"/>
      <c r="O75" s="123"/>
      <c r="Q75" s="123"/>
      <c r="R75" s="123"/>
      <c r="S75" s="123"/>
      <c r="T75" s="123"/>
      <c r="U75" s="123"/>
      <c r="V75" s="123"/>
      <c r="W75" s="123"/>
      <c r="X75" s="123"/>
      <c r="Y75" s="123"/>
      <c r="Z75" s="123"/>
      <c r="AA75" s="123"/>
    </row>
    <row r="76">
      <c r="B76" s="160"/>
      <c r="C76" s="160"/>
      <c r="D76" s="123"/>
      <c r="E76" s="123"/>
      <c r="F76" s="123"/>
      <c r="G76" s="123"/>
      <c r="H76" s="123"/>
      <c r="I76" s="123"/>
      <c r="J76" s="123"/>
      <c r="K76" s="123"/>
      <c r="L76" s="123"/>
      <c r="M76" s="123"/>
      <c r="N76" s="123"/>
      <c r="O76" s="123"/>
      <c r="Q76" s="123"/>
      <c r="R76" s="123"/>
      <c r="S76" s="123"/>
      <c r="T76" s="123"/>
      <c r="U76" s="123"/>
      <c r="V76" s="123"/>
      <c r="W76" s="123"/>
      <c r="X76" s="123"/>
      <c r="Y76" s="123"/>
      <c r="Z76" s="123"/>
      <c r="AA76" s="123"/>
    </row>
    <row r="77">
      <c r="B77" s="160"/>
      <c r="C77" s="160"/>
      <c r="D77" s="123"/>
      <c r="E77" s="123"/>
      <c r="F77" s="123"/>
      <c r="G77" s="123"/>
      <c r="H77" s="123"/>
      <c r="I77" s="123"/>
      <c r="J77" s="123"/>
      <c r="K77" s="123"/>
      <c r="L77" s="123"/>
      <c r="M77" s="123"/>
      <c r="N77" s="123"/>
      <c r="O77" s="123"/>
      <c r="Q77" s="123"/>
      <c r="R77" s="123"/>
      <c r="S77" s="123"/>
      <c r="T77" s="123"/>
      <c r="U77" s="123"/>
      <c r="V77" s="123"/>
      <c r="W77" s="123"/>
      <c r="X77" s="123"/>
      <c r="Y77" s="123"/>
      <c r="Z77" s="123"/>
      <c r="AA77" s="123"/>
    </row>
    <row r="78">
      <c r="B78" s="160"/>
      <c r="C78" s="160"/>
      <c r="D78" s="123"/>
      <c r="E78" s="123"/>
      <c r="F78" s="123"/>
      <c r="G78" s="123"/>
      <c r="H78" s="123"/>
      <c r="I78" s="123"/>
      <c r="J78" s="123"/>
      <c r="K78" s="123"/>
      <c r="L78" s="123"/>
      <c r="M78" s="123"/>
      <c r="N78" s="123"/>
      <c r="O78" s="123"/>
      <c r="Q78" s="123"/>
      <c r="R78" s="123"/>
      <c r="S78" s="123"/>
      <c r="T78" s="123"/>
      <c r="U78" s="123"/>
      <c r="V78" s="123"/>
      <c r="W78" s="123"/>
      <c r="X78" s="123"/>
      <c r="Y78" s="123"/>
      <c r="Z78" s="123"/>
      <c r="AA78" s="123"/>
    </row>
    <row r="79">
      <c r="B79" s="160"/>
      <c r="C79" s="160"/>
      <c r="D79" s="123"/>
      <c r="E79" s="123"/>
      <c r="F79" s="123"/>
      <c r="G79" s="123"/>
      <c r="H79" s="123"/>
      <c r="I79" s="123"/>
      <c r="J79" s="123"/>
      <c r="K79" s="123"/>
      <c r="L79" s="123"/>
      <c r="M79" s="123"/>
      <c r="N79" s="123"/>
      <c r="O79" s="123"/>
      <c r="Q79" s="123"/>
      <c r="R79" s="123"/>
      <c r="S79" s="123"/>
      <c r="T79" s="123"/>
      <c r="U79" s="123"/>
      <c r="V79" s="123"/>
      <c r="W79" s="123"/>
      <c r="X79" s="123"/>
      <c r="Y79" s="123"/>
      <c r="Z79" s="123"/>
      <c r="AA79" s="123"/>
    </row>
    <row r="80">
      <c r="B80" s="160"/>
      <c r="C80" s="160"/>
      <c r="D80" s="123"/>
      <c r="E80" s="123"/>
      <c r="F80" s="123"/>
      <c r="G80" s="123"/>
      <c r="H80" s="123"/>
      <c r="I80" s="123"/>
      <c r="J80" s="123"/>
      <c r="K80" s="123"/>
      <c r="L80" s="123"/>
      <c r="M80" s="123"/>
      <c r="N80" s="123"/>
      <c r="O80" s="123"/>
      <c r="Q80" s="123"/>
      <c r="R80" s="123"/>
      <c r="S80" s="123"/>
      <c r="T80" s="123"/>
      <c r="U80" s="123"/>
      <c r="V80" s="123"/>
      <c r="W80" s="123"/>
      <c r="X80" s="123"/>
      <c r="Y80" s="123"/>
      <c r="Z80" s="123"/>
      <c r="AA80" s="123"/>
    </row>
    <row r="81">
      <c r="B81" s="160"/>
      <c r="C81" s="160"/>
      <c r="D81" s="123"/>
      <c r="E81" s="123"/>
      <c r="F81" s="123"/>
      <c r="G81" s="123"/>
      <c r="H81" s="123"/>
      <c r="I81" s="123"/>
      <c r="J81" s="123"/>
      <c r="K81" s="123"/>
      <c r="L81" s="123"/>
      <c r="M81" s="123"/>
      <c r="N81" s="123"/>
      <c r="O81" s="123"/>
      <c r="Q81" s="123"/>
      <c r="R81" s="123"/>
      <c r="S81" s="123"/>
      <c r="T81" s="123"/>
      <c r="U81" s="123"/>
      <c r="V81" s="123"/>
      <c r="W81" s="123"/>
      <c r="X81" s="123"/>
      <c r="Y81" s="123"/>
      <c r="Z81" s="123"/>
      <c r="AA81" s="123"/>
    </row>
    <row r="82">
      <c r="B82" s="160"/>
      <c r="C82" s="160"/>
      <c r="D82" s="123"/>
      <c r="E82" s="123"/>
      <c r="F82" s="123"/>
      <c r="G82" s="123"/>
      <c r="H82" s="123"/>
      <c r="I82" s="123"/>
      <c r="J82" s="123"/>
      <c r="K82" s="123"/>
      <c r="L82" s="123"/>
      <c r="M82" s="123"/>
      <c r="N82" s="123"/>
      <c r="O82" s="123"/>
      <c r="Q82" s="123"/>
      <c r="R82" s="123"/>
      <c r="S82" s="123"/>
      <c r="T82" s="123"/>
      <c r="U82" s="123"/>
      <c r="V82" s="123"/>
      <c r="W82" s="123"/>
      <c r="X82" s="123"/>
      <c r="Y82" s="123"/>
      <c r="Z82" s="123"/>
      <c r="AA82" s="123"/>
    </row>
    <row r="83">
      <c r="B83" s="160"/>
      <c r="C83" s="160"/>
      <c r="D83" s="123"/>
      <c r="E83" s="123"/>
      <c r="F83" s="123"/>
      <c r="G83" s="123"/>
      <c r="H83" s="123"/>
      <c r="I83" s="123"/>
      <c r="J83" s="123"/>
      <c r="K83" s="123"/>
      <c r="L83" s="123"/>
      <c r="M83" s="123"/>
      <c r="N83" s="123"/>
      <c r="O83" s="123"/>
      <c r="Q83" s="123"/>
      <c r="R83" s="123"/>
      <c r="S83" s="123"/>
      <c r="T83" s="123"/>
      <c r="U83" s="123"/>
      <c r="V83" s="123"/>
      <c r="W83" s="123"/>
      <c r="X83" s="123"/>
      <c r="Y83" s="123"/>
      <c r="Z83" s="123"/>
      <c r="AA83" s="123"/>
    </row>
    <row r="84">
      <c r="B84" s="160"/>
      <c r="C84" s="160"/>
      <c r="D84" s="123"/>
      <c r="E84" s="123"/>
      <c r="F84" s="123"/>
      <c r="G84" s="123"/>
      <c r="H84" s="123"/>
      <c r="I84" s="123"/>
      <c r="J84" s="123"/>
      <c r="K84" s="123"/>
      <c r="L84" s="123"/>
      <c r="M84" s="123"/>
      <c r="N84" s="123"/>
      <c r="O84" s="123"/>
      <c r="Q84" s="123"/>
      <c r="R84" s="123"/>
      <c r="S84" s="123"/>
      <c r="T84" s="123"/>
      <c r="U84" s="123"/>
      <c r="V84" s="123"/>
      <c r="W84" s="123"/>
      <c r="X84" s="123"/>
      <c r="Y84" s="123"/>
      <c r="Z84" s="123"/>
      <c r="AA84" s="123"/>
    </row>
    <row r="85">
      <c r="B85" s="160"/>
      <c r="C85" s="160"/>
      <c r="D85" s="123"/>
      <c r="E85" s="123"/>
      <c r="F85" s="123"/>
      <c r="G85" s="123"/>
      <c r="H85" s="123"/>
      <c r="I85" s="123"/>
      <c r="J85" s="123"/>
      <c r="K85" s="123"/>
      <c r="L85" s="123"/>
      <c r="M85" s="123"/>
      <c r="N85" s="123"/>
      <c r="O85" s="123"/>
      <c r="Q85" s="123"/>
      <c r="R85" s="123"/>
      <c r="S85" s="123"/>
      <c r="T85" s="123"/>
      <c r="U85" s="123"/>
      <c r="V85" s="123"/>
      <c r="W85" s="123"/>
      <c r="X85" s="123"/>
      <c r="Y85" s="123"/>
      <c r="Z85" s="123"/>
      <c r="AA85" s="123"/>
    </row>
    <row r="86">
      <c r="B86" s="160"/>
      <c r="C86" s="160"/>
      <c r="D86" s="123"/>
      <c r="E86" s="123"/>
      <c r="F86" s="123"/>
      <c r="G86" s="123"/>
      <c r="H86" s="123"/>
      <c r="I86" s="123"/>
      <c r="J86" s="123"/>
      <c r="K86" s="123"/>
      <c r="L86" s="123"/>
      <c r="M86" s="123"/>
      <c r="N86" s="123"/>
      <c r="O86" s="123"/>
      <c r="Q86" s="123"/>
      <c r="R86" s="123"/>
      <c r="S86" s="123"/>
      <c r="T86" s="123"/>
      <c r="U86" s="123"/>
      <c r="V86" s="123"/>
      <c r="W86" s="123"/>
      <c r="X86" s="123"/>
      <c r="Y86" s="123"/>
      <c r="Z86" s="123"/>
      <c r="AA86" s="123"/>
    </row>
    <row r="87">
      <c r="B87" s="160"/>
      <c r="C87" s="160"/>
      <c r="D87" s="123"/>
      <c r="E87" s="123"/>
      <c r="F87" s="123"/>
      <c r="G87" s="123"/>
      <c r="H87" s="123"/>
      <c r="I87" s="123"/>
      <c r="J87" s="123"/>
      <c r="K87" s="123"/>
      <c r="L87" s="123"/>
      <c r="M87" s="123"/>
      <c r="N87" s="123"/>
      <c r="O87" s="123"/>
      <c r="Q87" s="123"/>
      <c r="R87" s="123"/>
      <c r="S87" s="123"/>
      <c r="T87" s="123"/>
      <c r="U87" s="123"/>
      <c r="V87" s="123"/>
      <c r="W87" s="123"/>
      <c r="X87" s="123"/>
      <c r="Y87" s="123"/>
      <c r="Z87" s="123"/>
      <c r="AA87" s="123"/>
    </row>
    <row r="88">
      <c r="B88" s="160"/>
      <c r="C88" s="160"/>
      <c r="D88" s="123"/>
      <c r="E88" s="123"/>
      <c r="F88" s="123"/>
      <c r="G88" s="123"/>
      <c r="H88" s="123"/>
      <c r="I88" s="123"/>
      <c r="J88" s="123"/>
      <c r="K88" s="123"/>
      <c r="L88" s="123"/>
      <c r="M88" s="123"/>
      <c r="N88" s="123"/>
      <c r="O88" s="123"/>
      <c r="Q88" s="123"/>
      <c r="R88" s="123"/>
      <c r="S88" s="123"/>
      <c r="T88" s="123"/>
      <c r="U88" s="123"/>
      <c r="V88" s="123"/>
      <c r="W88" s="123"/>
      <c r="X88" s="123"/>
      <c r="Y88" s="123"/>
      <c r="Z88" s="123"/>
      <c r="AA88" s="123"/>
    </row>
    <row r="89">
      <c r="B89" s="160"/>
      <c r="C89" s="160"/>
      <c r="D89" s="123"/>
      <c r="E89" s="123"/>
      <c r="F89" s="123"/>
      <c r="G89" s="123"/>
      <c r="H89" s="123"/>
      <c r="I89" s="123"/>
      <c r="J89" s="123"/>
      <c r="K89" s="123"/>
      <c r="L89" s="123"/>
      <c r="M89" s="123"/>
      <c r="N89" s="123"/>
      <c r="O89" s="123"/>
      <c r="Q89" s="123"/>
      <c r="R89" s="123"/>
      <c r="S89" s="123"/>
      <c r="T89" s="123"/>
      <c r="U89" s="123"/>
      <c r="V89" s="123"/>
      <c r="W89" s="123"/>
      <c r="X89" s="123"/>
      <c r="Y89" s="123"/>
      <c r="Z89" s="123"/>
      <c r="AA89" s="123"/>
    </row>
    <row r="90">
      <c r="B90" s="160"/>
      <c r="C90" s="160"/>
      <c r="D90" s="123"/>
      <c r="E90" s="123"/>
      <c r="F90" s="123"/>
      <c r="G90" s="123"/>
      <c r="H90" s="123"/>
      <c r="I90" s="123"/>
      <c r="J90" s="123"/>
      <c r="K90" s="123"/>
      <c r="L90" s="123"/>
      <c r="M90" s="123"/>
      <c r="N90" s="123"/>
      <c r="O90" s="123"/>
      <c r="Q90" s="123"/>
      <c r="R90" s="123"/>
      <c r="S90" s="123"/>
      <c r="T90" s="123"/>
      <c r="U90" s="123"/>
      <c r="V90" s="123"/>
      <c r="W90" s="123"/>
      <c r="X90" s="123"/>
      <c r="Y90" s="123"/>
      <c r="Z90" s="123"/>
      <c r="AA90" s="123"/>
    </row>
    <row r="91">
      <c r="B91" s="160"/>
      <c r="C91" s="160"/>
      <c r="D91" s="123"/>
      <c r="E91" s="123"/>
      <c r="F91" s="123"/>
      <c r="G91" s="123"/>
      <c r="H91" s="123"/>
      <c r="I91" s="123"/>
      <c r="J91" s="123"/>
      <c r="K91" s="123"/>
      <c r="L91" s="123"/>
      <c r="M91" s="123"/>
      <c r="N91" s="123"/>
      <c r="O91" s="123"/>
      <c r="Q91" s="123"/>
      <c r="R91" s="123"/>
      <c r="S91" s="123"/>
      <c r="T91" s="123"/>
      <c r="U91" s="123"/>
      <c r="V91" s="123"/>
      <c r="W91" s="123"/>
      <c r="X91" s="123"/>
      <c r="Y91" s="123"/>
      <c r="Z91" s="123"/>
      <c r="AA91" s="123"/>
    </row>
    <row r="92">
      <c r="B92" s="160"/>
      <c r="C92" s="160"/>
      <c r="D92" s="123"/>
      <c r="E92" s="123"/>
      <c r="F92" s="123"/>
      <c r="G92" s="123"/>
      <c r="H92" s="123"/>
      <c r="I92" s="123"/>
      <c r="J92" s="123"/>
      <c r="K92" s="123"/>
      <c r="L92" s="123"/>
      <c r="M92" s="123"/>
      <c r="N92" s="123"/>
      <c r="O92" s="123"/>
      <c r="Q92" s="123"/>
      <c r="R92" s="123"/>
      <c r="S92" s="123"/>
      <c r="T92" s="123"/>
      <c r="U92" s="123"/>
      <c r="V92" s="123"/>
      <c r="W92" s="123"/>
      <c r="X92" s="123"/>
      <c r="Y92" s="123"/>
      <c r="Z92" s="123"/>
      <c r="AA92" s="123"/>
    </row>
    <row r="93">
      <c r="B93" s="160"/>
      <c r="C93" s="160"/>
      <c r="D93" s="123"/>
      <c r="E93" s="123"/>
      <c r="F93" s="123"/>
      <c r="G93" s="123"/>
      <c r="H93" s="123"/>
      <c r="I93" s="123"/>
      <c r="J93" s="123"/>
      <c r="K93" s="123"/>
      <c r="L93" s="123"/>
      <c r="M93" s="123"/>
      <c r="N93" s="123"/>
      <c r="O93" s="123"/>
      <c r="Q93" s="123"/>
      <c r="R93" s="123"/>
      <c r="S93" s="123"/>
      <c r="T93" s="123"/>
      <c r="U93" s="123"/>
      <c r="V93" s="123"/>
      <c r="W93" s="123"/>
      <c r="X93" s="123"/>
      <c r="Y93" s="123"/>
      <c r="Z93" s="123"/>
      <c r="AA93" s="123"/>
    </row>
    <row r="94">
      <c r="B94" s="160"/>
      <c r="C94" s="160"/>
      <c r="D94" s="123"/>
      <c r="E94" s="123"/>
      <c r="F94" s="123"/>
      <c r="G94" s="123"/>
      <c r="H94" s="123"/>
      <c r="I94" s="123"/>
      <c r="J94" s="123"/>
      <c r="K94" s="123"/>
      <c r="L94" s="123"/>
      <c r="M94" s="123"/>
      <c r="N94" s="123"/>
      <c r="O94" s="123"/>
      <c r="Q94" s="123"/>
      <c r="R94" s="123"/>
      <c r="S94" s="123"/>
      <c r="T94" s="123"/>
      <c r="U94" s="123"/>
      <c r="V94" s="123"/>
      <c r="W94" s="123"/>
      <c r="X94" s="123"/>
      <c r="Y94" s="123"/>
      <c r="Z94" s="123"/>
      <c r="AA94" s="123"/>
    </row>
    <row r="95">
      <c r="B95" s="160"/>
      <c r="C95" s="160"/>
      <c r="D95" s="123"/>
      <c r="E95" s="123"/>
      <c r="F95" s="123"/>
      <c r="G95" s="123"/>
      <c r="H95" s="123"/>
      <c r="I95" s="123"/>
      <c r="J95" s="123"/>
      <c r="K95" s="123"/>
      <c r="L95" s="123"/>
      <c r="M95" s="123"/>
      <c r="N95" s="123"/>
      <c r="O95" s="123"/>
      <c r="Q95" s="123"/>
      <c r="R95" s="123"/>
      <c r="S95" s="123"/>
      <c r="T95" s="123"/>
      <c r="U95" s="123"/>
      <c r="V95" s="123"/>
      <c r="W95" s="123"/>
      <c r="X95" s="123"/>
      <c r="Y95" s="123"/>
      <c r="Z95" s="123"/>
      <c r="AA95" s="123"/>
    </row>
    <row r="96">
      <c r="B96" s="160"/>
      <c r="C96" s="160"/>
      <c r="D96" s="123"/>
      <c r="E96" s="123"/>
      <c r="F96" s="123"/>
      <c r="G96" s="123"/>
      <c r="H96" s="123"/>
      <c r="I96" s="123"/>
      <c r="J96" s="123"/>
      <c r="K96" s="123"/>
      <c r="L96" s="123"/>
      <c r="M96" s="123"/>
      <c r="N96" s="123"/>
      <c r="O96" s="123"/>
      <c r="Q96" s="123"/>
      <c r="R96" s="123"/>
      <c r="S96" s="123"/>
      <c r="T96" s="123"/>
      <c r="U96" s="123"/>
      <c r="V96" s="123"/>
      <c r="W96" s="123"/>
      <c r="X96" s="123"/>
      <c r="Y96" s="123"/>
      <c r="Z96" s="123"/>
      <c r="AA96" s="123"/>
    </row>
    <row r="97">
      <c r="B97" s="160"/>
      <c r="C97" s="160"/>
      <c r="D97" s="123"/>
      <c r="E97" s="123"/>
      <c r="F97" s="123"/>
      <c r="G97" s="123"/>
      <c r="H97" s="123"/>
      <c r="I97" s="123"/>
      <c r="J97" s="123"/>
      <c r="K97" s="123"/>
      <c r="L97" s="123"/>
      <c r="M97" s="123"/>
      <c r="N97" s="123"/>
      <c r="O97" s="123"/>
      <c r="Q97" s="123"/>
      <c r="R97" s="123"/>
      <c r="S97" s="123"/>
      <c r="T97" s="123"/>
      <c r="U97" s="123"/>
      <c r="V97" s="123"/>
      <c r="W97" s="123"/>
      <c r="X97" s="123"/>
      <c r="Y97" s="123"/>
      <c r="Z97" s="123"/>
      <c r="AA97" s="123"/>
    </row>
    <row r="98">
      <c r="B98" s="160"/>
      <c r="C98" s="160"/>
      <c r="D98" s="123"/>
      <c r="E98" s="123"/>
      <c r="F98" s="123"/>
      <c r="G98" s="123"/>
      <c r="H98" s="123"/>
      <c r="I98" s="123"/>
      <c r="J98" s="123"/>
      <c r="K98" s="123"/>
      <c r="L98" s="123"/>
      <c r="M98" s="123"/>
      <c r="N98" s="123"/>
      <c r="O98" s="123"/>
      <c r="Q98" s="123"/>
      <c r="R98" s="123"/>
      <c r="S98" s="123"/>
      <c r="T98" s="123"/>
      <c r="U98" s="123"/>
      <c r="V98" s="123"/>
      <c r="W98" s="123"/>
      <c r="X98" s="123"/>
      <c r="Y98" s="123"/>
      <c r="Z98" s="123"/>
      <c r="AA98" s="123"/>
    </row>
    <row r="99">
      <c r="B99" s="160"/>
      <c r="C99" s="160"/>
      <c r="D99" s="123"/>
      <c r="E99" s="123"/>
      <c r="F99" s="123"/>
      <c r="G99" s="123"/>
      <c r="H99" s="123"/>
      <c r="I99" s="123"/>
      <c r="J99" s="123"/>
      <c r="K99" s="123"/>
      <c r="L99" s="123"/>
      <c r="M99" s="123"/>
      <c r="N99" s="123"/>
      <c r="O99" s="123"/>
      <c r="Q99" s="123"/>
      <c r="R99" s="123"/>
      <c r="S99" s="123"/>
      <c r="T99" s="123"/>
      <c r="U99" s="123"/>
      <c r="V99" s="123"/>
      <c r="W99" s="123"/>
      <c r="X99" s="123"/>
      <c r="Y99" s="123"/>
      <c r="Z99" s="123"/>
      <c r="AA99" s="123"/>
    </row>
    <row r="100">
      <c r="B100" s="160"/>
      <c r="C100" s="160"/>
      <c r="D100" s="123"/>
      <c r="E100" s="123"/>
      <c r="F100" s="123"/>
      <c r="G100" s="123"/>
      <c r="H100" s="123"/>
      <c r="I100" s="123"/>
      <c r="J100" s="123"/>
      <c r="K100" s="123"/>
      <c r="L100" s="123"/>
      <c r="M100" s="123"/>
      <c r="N100" s="123"/>
      <c r="O100" s="123"/>
      <c r="Q100" s="123"/>
      <c r="R100" s="123"/>
      <c r="S100" s="123"/>
      <c r="T100" s="123"/>
      <c r="U100" s="123"/>
      <c r="V100" s="123"/>
      <c r="W100" s="123"/>
      <c r="X100" s="123"/>
      <c r="Y100" s="123"/>
      <c r="Z100" s="123"/>
      <c r="AA100" s="123"/>
    </row>
    <row r="101">
      <c r="B101" s="160"/>
      <c r="C101" s="160"/>
      <c r="D101" s="123"/>
      <c r="E101" s="123"/>
      <c r="F101" s="123"/>
      <c r="G101" s="123"/>
      <c r="H101" s="123"/>
      <c r="I101" s="123"/>
      <c r="J101" s="123"/>
      <c r="K101" s="123"/>
      <c r="L101" s="123"/>
      <c r="M101" s="123"/>
      <c r="N101" s="123"/>
      <c r="O101" s="123"/>
      <c r="Q101" s="123"/>
      <c r="R101" s="123"/>
      <c r="S101" s="123"/>
      <c r="T101" s="123"/>
      <c r="U101" s="123"/>
      <c r="V101" s="123"/>
      <c r="W101" s="123"/>
      <c r="X101" s="123"/>
      <c r="Y101" s="123"/>
      <c r="Z101" s="123"/>
      <c r="AA101" s="123"/>
    </row>
    <row r="102">
      <c r="B102" s="160"/>
      <c r="C102" s="160"/>
      <c r="D102" s="123"/>
      <c r="E102" s="123"/>
      <c r="F102" s="123"/>
      <c r="G102" s="123"/>
      <c r="H102" s="123"/>
      <c r="I102" s="123"/>
      <c r="J102" s="123"/>
      <c r="K102" s="123"/>
      <c r="L102" s="123"/>
      <c r="M102" s="123"/>
      <c r="N102" s="123"/>
      <c r="O102" s="123"/>
      <c r="Q102" s="123"/>
      <c r="R102" s="123"/>
      <c r="S102" s="123"/>
      <c r="T102" s="123"/>
      <c r="U102" s="123"/>
      <c r="V102" s="123"/>
      <c r="W102" s="123"/>
      <c r="X102" s="123"/>
      <c r="Y102" s="123"/>
      <c r="Z102" s="123"/>
      <c r="AA102" s="123"/>
    </row>
    <row r="103">
      <c r="B103" s="160"/>
      <c r="C103" s="160"/>
      <c r="D103" s="123"/>
      <c r="E103" s="123"/>
      <c r="F103" s="123"/>
      <c r="G103" s="123"/>
      <c r="H103" s="123"/>
      <c r="I103" s="123"/>
      <c r="J103" s="123"/>
      <c r="K103" s="123"/>
      <c r="L103" s="123"/>
      <c r="M103" s="123"/>
      <c r="N103" s="123"/>
      <c r="O103" s="123"/>
      <c r="Q103" s="123"/>
      <c r="R103" s="123"/>
      <c r="S103" s="123"/>
      <c r="T103" s="123"/>
      <c r="U103" s="123"/>
      <c r="V103" s="123"/>
      <c r="W103" s="123"/>
      <c r="X103" s="123"/>
      <c r="Y103" s="123"/>
      <c r="Z103" s="123"/>
      <c r="AA103" s="123"/>
    </row>
    <row r="104">
      <c r="B104" s="160"/>
      <c r="C104" s="160"/>
      <c r="D104" s="123"/>
      <c r="E104" s="123"/>
      <c r="F104" s="123"/>
      <c r="G104" s="123"/>
      <c r="H104" s="123"/>
      <c r="I104" s="123"/>
      <c r="J104" s="123"/>
      <c r="K104" s="123"/>
      <c r="L104" s="123"/>
      <c r="M104" s="123"/>
      <c r="N104" s="123"/>
      <c r="O104" s="123"/>
      <c r="Q104" s="123"/>
      <c r="R104" s="123"/>
      <c r="S104" s="123"/>
      <c r="T104" s="123"/>
      <c r="U104" s="123"/>
      <c r="V104" s="123"/>
      <c r="W104" s="123"/>
      <c r="X104" s="123"/>
      <c r="Y104" s="123"/>
      <c r="Z104" s="123"/>
      <c r="AA104" s="123"/>
    </row>
    <row r="105">
      <c r="B105" s="160"/>
      <c r="C105" s="160"/>
      <c r="D105" s="123"/>
      <c r="E105" s="123"/>
      <c r="F105" s="123"/>
      <c r="G105" s="123"/>
      <c r="H105" s="123"/>
      <c r="I105" s="123"/>
      <c r="J105" s="123"/>
      <c r="K105" s="123"/>
      <c r="L105" s="123"/>
      <c r="M105" s="123"/>
      <c r="N105" s="123"/>
      <c r="O105" s="123"/>
      <c r="Q105" s="123"/>
      <c r="R105" s="123"/>
      <c r="S105" s="123"/>
      <c r="T105" s="123"/>
      <c r="U105" s="123"/>
      <c r="V105" s="123"/>
      <c r="W105" s="123"/>
      <c r="X105" s="123"/>
      <c r="Y105" s="123"/>
      <c r="Z105" s="123"/>
      <c r="AA105" s="123"/>
    </row>
    <row r="106">
      <c r="B106" s="160"/>
      <c r="C106" s="160"/>
      <c r="D106" s="123"/>
      <c r="E106" s="123"/>
      <c r="F106" s="123"/>
      <c r="G106" s="123"/>
      <c r="H106" s="123"/>
      <c r="I106" s="123"/>
      <c r="J106" s="123"/>
      <c r="K106" s="123"/>
      <c r="L106" s="123"/>
      <c r="M106" s="123"/>
      <c r="N106" s="123"/>
      <c r="O106" s="123"/>
      <c r="Q106" s="123"/>
      <c r="R106" s="123"/>
      <c r="S106" s="123"/>
      <c r="T106" s="123"/>
      <c r="U106" s="123"/>
      <c r="V106" s="123"/>
      <c r="W106" s="123"/>
      <c r="X106" s="123"/>
      <c r="Y106" s="123"/>
      <c r="Z106" s="123"/>
      <c r="AA106" s="123"/>
    </row>
    <row r="107">
      <c r="B107" s="160"/>
      <c r="C107" s="160"/>
      <c r="D107" s="123"/>
      <c r="E107" s="123"/>
      <c r="F107" s="123"/>
      <c r="G107" s="123"/>
      <c r="H107" s="123"/>
      <c r="I107" s="123"/>
      <c r="J107" s="123"/>
      <c r="K107" s="123"/>
      <c r="L107" s="123"/>
      <c r="M107" s="123"/>
      <c r="N107" s="123"/>
      <c r="O107" s="123"/>
      <c r="Q107" s="123"/>
      <c r="R107" s="123"/>
      <c r="S107" s="123"/>
      <c r="T107" s="123"/>
      <c r="U107" s="123"/>
      <c r="V107" s="123"/>
      <c r="W107" s="123"/>
      <c r="X107" s="123"/>
      <c r="Y107" s="123"/>
      <c r="Z107" s="123"/>
      <c r="AA107" s="123"/>
    </row>
    <row r="108">
      <c r="B108" s="160"/>
      <c r="C108" s="160"/>
      <c r="D108" s="123"/>
      <c r="E108" s="123"/>
      <c r="F108" s="123"/>
      <c r="G108" s="123"/>
      <c r="H108" s="123"/>
      <c r="I108" s="123"/>
      <c r="J108" s="123"/>
      <c r="K108" s="123"/>
      <c r="L108" s="123"/>
      <c r="M108" s="123"/>
      <c r="N108" s="123"/>
      <c r="O108" s="123"/>
      <c r="Q108" s="123"/>
      <c r="R108" s="123"/>
      <c r="S108" s="123"/>
      <c r="T108" s="123"/>
      <c r="U108" s="123"/>
      <c r="V108" s="123"/>
      <c r="W108" s="123"/>
      <c r="X108" s="123"/>
      <c r="Y108" s="123"/>
      <c r="Z108" s="123"/>
      <c r="AA108" s="123"/>
    </row>
    <row r="109">
      <c r="B109" s="160"/>
      <c r="C109" s="160"/>
      <c r="D109" s="123"/>
      <c r="E109" s="123"/>
      <c r="F109" s="123"/>
      <c r="G109" s="123"/>
      <c r="H109" s="123"/>
      <c r="I109" s="123"/>
      <c r="J109" s="123"/>
      <c r="K109" s="123"/>
      <c r="L109" s="123"/>
      <c r="M109" s="123"/>
      <c r="N109" s="123"/>
      <c r="O109" s="123"/>
      <c r="Q109" s="123"/>
      <c r="R109" s="123"/>
      <c r="S109" s="123"/>
      <c r="T109" s="123"/>
      <c r="U109" s="123"/>
      <c r="V109" s="123"/>
      <c r="W109" s="123"/>
      <c r="X109" s="123"/>
      <c r="Y109" s="123"/>
      <c r="Z109" s="123"/>
      <c r="AA109" s="123"/>
    </row>
    <row r="110">
      <c r="B110" s="160"/>
      <c r="C110" s="160"/>
      <c r="D110" s="123"/>
      <c r="E110" s="123"/>
      <c r="F110" s="123"/>
      <c r="G110" s="123"/>
      <c r="H110" s="123"/>
      <c r="I110" s="123"/>
      <c r="J110" s="123"/>
      <c r="K110" s="123"/>
      <c r="L110" s="123"/>
      <c r="M110" s="123"/>
      <c r="N110" s="123"/>
      <c r="O110" s="123"/>
      <c r="Q110" s="123"/>
      <c r="R110" s="123"/>
      <c r="S110" s="123"/>
      <c r="T110" s="123"/>
      <c r="U110" s="123"/>
      <c r="V110" s="123"/>
      <c r="W110" s="123"/>
      <c r="X110" s="123"/>
      <c r="Y110" s="123"/>
      <c r="Z110" s="123"/>
      <c r="AA110" s="123"/>
    </row>
    <row r="111">
      <c r="B111" s="160"/>
      <c r="C111" s="160"/>
      <c r="D111" s="123"/>
      <c r="E111" s="123"/>
      <c r="F111" s="123"/>
      <c r="G111" s="123"/>
      <c r="H111" s="123"/>
      <c r="I111" s="123"/>
      <c r="J111" s="123"/>
      <c r="K111" s="123"/>
      <c r="L111" s="123"/>
      <c r="M111" s="123"/>
      <c r="N111" s="123"/>
      <c r="O111" s="123"/>
      <c r="Q111" s="123"/>
      <c r="R111" s="123"/>
      <c r="S111" s="123"/>
      <c r="T111" s="123"/>
      <c r="U111" s="123"/>
      <c r="V111" s="123"/>
      <c r="W111" s="123"/>
      <c r="X111" s="123"/>
      <c r="Y111" s="123"/>
      <c r="Z111" s="123"/>
      <c r="AA111" s="123"/>
    </row>
    <row r="112">
      <c r="B112" s="160"/>
      <c r="C112" s="160"/>
      <c r="D112" s="123"/>
      <c r="E112" s="123"/>
      <c r="F112" s="123"/>
      <c r="G112" s="123"/>
      <c r="H112" s="123"/>
      <c r="I112" s="123"/>
      <c r="J112" s="123"/>
      <c r="K112" s="123"/>
      <c r="L112" s="123"/>
      <c r="M112" s="123"/>
      <c r="N112" s="123"/>
      <c r="O112" s="123"/>
      <c r="Q112" s="123"/>
      <c r="R112" s="123"/>
      <c r="S112" s="123"/>
      <c r="T112" s="123"/>
      <c r="U112" s="123"/>
      <c r="V112" s="123"/>
      <c r="W112" s="123"/>
      <c r="X112" s="123"/>
      <c r="Y112" s="123"/>
      <c r="Z112" s="123"/>
      <c r="AA112" s="123"/>
    </row>
    <row r="113">
      <c r="B113" s="160"/>
      <c r="C113" s="160"/>
      <c r="D113" s="123"/>
      <c r="E113" s="123"/>
      <c r="F113" s="123"/>
      <c r="G113" s="123"/>
      <c r="H113" s="123"/>
      <c r="I113" s="123"/>
      <c r="J113" s="123"/>
      <c r="K113" s="123"/>
      <c r="L113" s="123"/>
      <c r="M113" s="123"/>
      <c r="N113" s="123"/>
      <c r="O113" s="123"/>
      <c r="Q113" s="123"/>
      <c r="R113" s="123"/>
      <c r="S113" s="123"/>
      <c r="T113" s="123"/>
      <c r="U113" s="123"/>
      <c r="V113" s="123"/>
      <c r="W113" s="123"/>
      <c r="X113" s="123"/>
      <c r="Y113" s="123"/>
      <c r="Z113" s="123"/>
      <c r="AA113" s="123"/>
    </row>
    <row r="114">
      <c r="B114" s="160"/>
      <c r="C114" s="160"/>
      <c r="D114" s="123"/>
      <c r="E114" s="123"/>
      <c r="F114" s="123"/>
      <c r="G114" s="123"/>
      <c r="H114" s="123"/>
      <c r="I114" s="123"/>
      <c r="J114" s="123"/>
      <c r="K114" s="123"/>
      <c r="L114" s="123"/>
      <c r="M114" s="123"/>
      <c r="N114" s="123"/>
      <c r="O114" s="123"/>
      <c r="Q114" s="123"/>
      <c r="R114" s="123"/>
      <c r="S114" s="123"/>
      <c r="T114" s="123"/>
      <c r="U114" s="123"/>
      <c r="V114" s="123"/>
      <c r="W114" s="123"/>
      <c r="X114" s="123"/>
      <c r="Y114" s="123"/>
      <c r="Z114" s="123"/>
      <c r="AA114" s="123"/>
    </row>
    <row r="115">
      <c r="B115" s="160"/>
      <c r="C115" s="160"/>
      <c r="D115" s="123"/>
      <c r="E115" s="123"/>
      <c r="F115" s="123"/>
      <c r="G115" s="123"/>
      <c r="H115" s="123"/>
      <c r="I115" s="123"/>
      <c r="J115" s="123"/>
      <c r="K115" s="123"/>
      <c r="L115" s="123"/>
      <c r="M115" s="123"/>
      <c r="N115" s="123"/>
      <c r="O115" s="123"/>
      <c r="Q115" s="123"/>
      <c r="R115" s="123"/>
      <c r="S115" s="123"/>
      <c r="T115" s="123"/>
      <c r="U115" s="123"/>
      <c r="V115" s="123"/>
      <c r="W115" s="123"/>
      <c r="X115" s="123"/>
      <c r="Y115" s="123"/>
      <c r="Z115" s="123"/>
      <c r="AA115" s="123"/>
    </row>
    <row r="116">
      <c r="B116" s="160"/>
      <c r="C116" s="160"/>
      <c r="D116" s="123"/>
      <c r="E116" s="123"/>
      <c r="F116" s="123"/>
      <c r="G116" s="123"/>
      <c r="H116" s="123"/>
      <c r="I116" s="123"/>
      <c r="J116" s="123"/>
      <c r="K116" s="123"/>
      <c r="L116" s="123"/>
      <c r="M116" s="123"/>
      <c r="N116" s="123"/>
      <c r="O116" s="123"/>
      <c r="Q116" s="123"/>
      <c r="R116" s="123"/>
      <c r="S116" s="123"/>
      <c r="T116" s="123"/>
      <c r="U116" s="123"/>
      <c r="V116" s="123"/>
      <c r="W116" s="123"/>
      <c r="X116" s="123"/>
      <c r="Y116" s="123"/>
      <c r="Z116" s="123"/>
      <c r="AA116" s="123"/>
    </row>
    <row r="117">
      <c r="B117" s="160"/>
      <c r="C117" s="160"/>
      <c r="D117" s="123"/>
      <c r="E117" s="123"/>
      <c r="F117" s="123"/>
      <c r="G117" s="123"/>
      <c r="H117" s="123"/>
      <c r="I117" s="123"/>
      <c r="J117" s="123"/>
      <c r="K117" s="123"/>
      <c r="L117" s="123"/>
      <c r="M117" s="123"/>
      <c r="N117" s="123"/>
      <c r="O117" s="123"/>
      <c r="Q117" s="123"/>
      <c r="R117" s="123"/>
      <c r="S117" s="123"/>
      <c r="T117" s="123"/>
      <c r="U117" s="123"/>
      <c r="V117" s="123"/>
      <c r="W117" s="123"/>
      <c r="X117" s="123"/>
      <c r="Y117" s="123"/>
      <c r="Z117" s="123"/>
      <c r="AA117" s="123"/>
    </row>
    <row r="118">
      <c r="B118" s="160"/>
      <c r="C118" s="160"/>
      <c r="D118" s="123"/>
      <c r="E118" s="123"/>
      <c r="F118" s="123"/>
      <c r="G118" s="123"/>
      <c r="H118" s="123"/>
      <c r="I118" s="123"/>
      <c r="J118" s="123"/>
      <c r="K118" s="123"/>
      <c r="L118" s="123"/>
      <c r="M118" s="123"/>
      <c r="N118" s="123"/>
      <c r="O118" s="123"/>
      <c r="Q118" s="123"/>
      <c r="R118" s="123"/>
      <c r="S118" s="123"/>
      <c r="T118" s="123"/>
      <c r="U118" s="123"/>
      <c r="V118" s="123"/>
      <c r="W118" s="123"/>
      <c r="X118" s="123"/>
      <c r="Y118" s="123"/>
      <c r="Z118" s="123"/>
      <c r="AA118" s="123"/>
    </row>
    <row r="119">
      <c r="B119" s="160"/>
      <c r="C119" s="160"/>
      <c r="D119" s="123"/>
      <c r="E119" s="123"/>
      <c r="F119" s="123"/>
      <c r="G119" s="123"/>
      <c r="H119" s="123"/>
      <c r="I119" s="123"/>
      <c r="J119" s="123"/>
      <c r="K119" s="123"/>
      <c r="L119" s="123"/>
      <c r="M119" s="123"/>
      <c r="N119" s="123"/>
      <c r="O119" s="123"/>
      <c r="Q119" s="123"/>
      <c r="R119" s="123"/>
      <c r="S119" s="123"/>
      <c r="T119" s="123"/>
      <c r="U119" s="123"/>
      <c r="V119" s="123"/>
      <c r="W119" s="123"/>
      <c r="X119" s="123"/>
      <c r="Y119" s="123"/>
      <c r="Z119" s="123"/>
      <c r="AA119" s="123"/>
    </row>
    <row r="120">
      <c r="B120" s="160"/>
      <c r="C120" s="160"/>
      <c r="D120" s="123"/>
      <c r="E120" s="123"/>
      <c r="F120" s="123"/>
      <c r="G120" s="123"/>
      <c r="H120" s="123"/>
      <c r="I120" s="123"/>
      <c r="J120" s="123"/>
      <c r="K120" s="123"/>
      <c r="L120" s="123"/>
      <c r="M120" s="123"/>
      <c r="N120" s="123"/>
      <c r="O120" s="123"/>
      <c r="Q120" s="123"/>
      <c r="R120" s="123"/>
      <c r="S120" s="123"/>
      <c r="T120" s="123"/>
      <c r="U120" s="123"/>
      <c r="V120" s="123"/>
      <c r="W120" s="123"/>
      <c r="X120" s="123"/>
      <c r="Y120" s="123"/>
      <c r="Z120" s="123"/>
      <c r="AA120" s="123"/>
    </row>
    <row r="121">
      <c r="B121" s="160"/>
      <c r="C121" s="160"/>
      <c r="D121" s="123"/>
      <c r="E121" s="123"/>
      <c r="F121" s="123"/>
      <c r="G121" s="123"/>
      <c r="H121" s="123"/>
      <c r="I121" s="123"/>
      <c r="J121" s="123"/>
      <c r="K121" s="123"/>
      <c r="L121" s="123"/>
      <c r="M121" s="123"/>
      <c r="N121" s="123"/>
      <c r="O121" s="123"/>
      <c r="Q121" s="123"/>
      <c r="R121" s="123"/>
      <c r="S121" s="123"/>
      <c r="T121" s="123"/>
      <c r="U121" s="123"/>
      <c r="V121" s="123"/>
      <c r="W121" s="123"/>
      <c r="X121" s="123"/>
      <c r="Y121" s="123"/>
      <c r="Z121" s="123"/>
      <c r="AA121" s="123"/>
    </row>
    <row r="122">
      <c r="B122" s="160"/>
      <c r="C122" s="160"/>
      <c r="D122" s="123"/>
      <c r="E122" s="123"/>
      <c r="F122" s="123"/>
      <c r="G122" s="123"/>
      <c r="H122" s="123"/>
      <c r="I122" s="123"/>
      <c r="J122" s="123"/>
      <c r="K122" s="123"/>
      <c r="L122" s="123"/>
      <c r="M122" s="123"/>
      <c r="N122" s="123"/>
      <c r="O122" s="123"/>
      <c r="Q122" s="123"/>
      <c r="R122" s="123"/>
      <c r="S122" s="123"/>
      <c r="T122" s="123"/>
      <c r="U122" s="123"/>
      <c r="V122" s="123"/>
      <c r="W122" s="123"/>
      <c r="X122" s="123"/>
      <c r="Y122" s="123"/>
      <c r="Z122" s="123"/>
      <c r="AA122" s="123"/>
    </row>
    <row r="123">
      <c r="B123" s="160"/>
      <c r="C123" s="160"/>
      <c r="D123" s="123"/>
      <c r="E123" s="123"/>
      <c r="F123" s="123"/>
      <c r="G123" s="123"/>
      <c r="H123" s="123"/>
      <c r="I123" s="123"/>
      <c r="J123" s="123"/>
      <c r="K123" s="123"/>
      <c r="L123" s="123"/>
      <c r="M123" s="123"/>
      <c r="N123" s="123"/>
      <c r="O123" s="123"/>
      <c r="Q123" s="123"/>
      <c r="R123" s="123"/>
      <c r="S123" s="123"/>
      <c r="T123" s="123"/>
      <c r="U123" s="123"/>
      <c r="V123" s="123"/>
      <c r="W123" s="123"/>
      <c r="X123" s="123"/>
      <c r="Y123" s="123"/>
      <c r="Z123" s="123"/>
      <c r="AA123" s="123"/>
    </row>
    <row r="124">
      <c r="B124" s="160"/>
      <c r="C124" s="160"/>
      <c r="D124" s="123"/>
      <c r="E124" s="123"/>
      <c r="F124" s="123"/>
      <c r="G124" s="123"/>
      <c r="H124" s="123"/>
      <c r="I124" s="123"/>
      <c r="J124" s="123"/>
      <c r="K124" s="123"/>
      <c r="L124" s="123"/>
      <c r="M124" s="123"/>
      <c r="N124" s="123"/>
      <c r="O124" s="123"/>
      <c r="Q124" s="123"/>
      <c r="R124" s="123"/>
      <c r="S124" s="123"/>
      <c r="T124" s="123"/>
      <c r="U124" s="123"/>
      <c r="V124" s="123"/>
      <c r="W124" s="123"/>
      <c r="X124" s="123"/>
      <c r="Y124" s="123"/>
      <c r="Z124" s="123"/>
      <c r="AA124" s="123"/>
    </row>
    <row r="125">
      <c r="B125" s="160"/>
      <c r="C125" s="160"/>
      <c r="D125" s="123"/>
      <c r="E125" s="123"/>
      <c r="F125" s="123"/>
      <c r="G125" s="123"/>
      <c r="H125" s="123"/>
      <c r="I125" s="123"/>
      <c r="J125" s="123"/>
      <c r="K125" s="123"/>
      <c r="L125" s="123"/>
      <c r="M125" s="123"/>
      <c r="N125" s="123"/>
      <c r="O125" s="123"/>
      <c r="Q125" s="123"/>
      <c r="R125" s="123"/>
      <c r="S125" s="123"/>
      <c r="T125" s="123"/>
      <c r="U125" s="123"/>
      <c r="V125" s="123"/>
      <c r="W125" s="123"/>
      <c r="X125" s="123"/>
      <c r="Y125" s="123"/>
      <c r="Z125" s="123"/>
      <c r="AA125" s="123"/>
    </row>
    <row r="126">
      <c r="B126" s="160"/>
      <c r="C126" s="160"/>
      <c r="D126" s="123"/>
      <c r="E126" s="123"/>
      <c r="F126" s="123"/>
      <c r="G126" s="123"/>
      <c r="H126" s="123"/>
      <c r="I126" s="123"/>
      <c r="J126" s="123"/>
      <c r="K126" s="123"/>
      <c r="L126" s="123"/>
      <c r="M126" s="123"/>
      <c r="N126" s="123"/>
      <c r="O126" s="123"/>
      <c r="Q126" s="123"/>
      <c r="R126" s="123"/>
      <c r="S126" s="123"/>
      <c r="T126" s="123"/>
      <c r="U126" s="123"/>
      <c r="V126" s="123"/>
      <c r="W126" s="123"/>
      <c r="X126" s="123"/>
      <c r="Y126" s="123"/>
      <c r="Z126" s="123"/>
      <c r="AA126" s="123"/>
    </row>
    <row r="127">
      <c r="B127" s="160"/>
      <c r="C127" s="160"/>
      <c r="D127" s="123"/>
      <c r="E127" s="123"/>
      <c r="F127" s="123"/>
      <c r="G127" s="123"/>
      <c r="H127" s="123"/>
      <c r="I127" s="123"/>
      <c r="J127" s="123"/>
      <c r="K127" s="123"/>
      <c r="L127" s="123"/>
      <c r="M127" s="123"/>
      <c r="N127" s="123"/>
      <c r="O127" s="123"/>
      <c r="Q127" s="123"/>
      <c r="R127" s="123"/>
      <c r="S127" s="123"/>
      <c r="T127" s="123"/>
      <c r="U127" s="123"/>
      <c r="V127" s="123"/>
      <c r="W127" s="123"/>
      <c r="X127" s="123"/>
      <c r="Y127" s="123"/>
      <c r="Z127" s="123"/>
      <c r="AA127" s="123"/>
    </row>
    <row r="128">
      <c r="B128" s="160"/>
      <c r="C128" s="160"/>
      <c r="D128" s="123"/>
      <c r="E128" s="123"/>
      <c r="F128" s="123"/>
      <c r="G128" s="123"/>
      <c r="H128" s="123"/>
      <c r="I128" s="123"/>
      <c r="J128" s="123"/>
      <c r="K128" s="123"/>
      <c r="L128" s="123"/>
      <c r="M128" s="123"/>
      <c r="N128" s="123"/>
      <c r="O128" s="123"/>
      <c r="Q128" s="123"/>
      <c r="R128" s="123"/>
      <c r="S128" s="123"/>
      <c r="T128" s="123"/>
      <c r="U128" s="123"/>
      <c r="V128" s="123"/>
      <c r="W128" s="123"/>
      <c r="X128" s="123"/>
      <c r="Y128" s="123"/>
      <c r="Z128" s="123"/>
      <c r="AA128" s="123"/>
    </row>
    <row r="129">
      <c r="B129" s="160"/>
      <c r="C129" s="160"/>
      <c r="D129" s="123"/>
      <c r="E129" s="123"/>
      <c r="F129" s="123"/>
      <c r="G129" s="123"/>
      <c r="H129" s="123"/>
      <c r="I129" s="123"/>
      <c r="J129" s="123"/>
      <c r="K129" s="123"/>
      <c r="L129" s="123"/>
      <c r="M129" s="123"/>
      <c r="N129" s="123"/>
      <c r="O129" s="123"/>
      <c r="Q129" s="123"/>
      <c r="R129" s="123"/>
      <c r="S129" s="123"/>
      <c r="T129" s="123"/>
      <c r="U129" s="123"/>
      <c r="V129" s="123"/>
      <c r="W129" s="123"/>
      <c r="X129" s="123"/>
      <c r="Y129" s="123"/>
      <c r="Z129" s="123"/>
      <c r="AA129" s="123"/>
    </row>
    <row r="130">
      <c r="B130" s="160"/>
      <c r="C130" s="160"/>
      <c r="D130" s="123"/>
      <c r="E130" s="123"/>
      <c r="F130" s="123"/>
      <c r="G130" s="123"/>
      <c r="H130" s="123"/>
      <c r="I130" s="123"/>
      <c r="J130" s="123"/>
      <c r="K130" s="123"/>
      <c r="L130" s="123"/>
      <c r="M130" s="123"/>
      <c r="N130" s="123"/>
      <c r="O130" s="123"/>
      <c r="Q130" s="123"/>
      <c r="R130" s="123"/>
      <c r="S130" s="123"/>
      <c r="T130" s="123"/>
      <c r="U130" s="123"/>
      <c r="V130" s="123"/>
      <c r="W130" s="123"/>
      <c r="X130" s="123"/>
      <c r="Y130" s="123"/>
      <c r="Z130" s="123"/>
      <c r="AA130" s="123"/>
    </row>
    <row r="131">
      <c r="B131" s="160"/>
      <c r="C131" s="160"/>
      <c r="D131" s="123"/>
      <c r="E131" s="123"/>
      <c r="F131" s="123"/>
      <c r="G131" s="123"/>
      <c r="H131" s="123"/>
      <c r="I131" s="123"/>
      <c r="J131" s="123"/>
      <c r="K131" s="123"/>
      <c r="L131" s="123"/>
      <c r="M131" s="123"/>
      <c r="N131" s="123"/>
      <c r="O131" s="123"/>
      <c r="Q131" s="123"/>
      <c r="R131" s="123"/>
      <c r="S131" s="123"/>
      <c r="T131" s="123"/>
      <c r="U131" s="123"/>
      <c r="V131" s="123"/>
      <c r="W131" s="123"/>
      <c r="X131" s="123"/>
      <c r="Y131" s="123"/>
      <c r="Z131" s="123"/>
      <c r="AA131" s="123"/>
    </row>
    <row r="132">
      <c r="B132" s="160"/>
      <c r="C132" s="160"/>
      <c r="D132" s="123"/>
      <c r="E132" s="123"/>
      <c r="F132" s="123"/>
      <c r="G132" s="123"/>
      <c r="H132" s="123"/>
      <c r="I132" s="123"/>
      <c r="J132" s="123"/>
      <c r="K132" s="123"/>
      <c r="L132" s="123"/>
      <c r="M132" s="123"/>
      <c r="N132" s="123"/>
      <c r="O132" s="123"/>
      <c r="Q132" s="123"/>
      <c r="R132" s="123"/>
      <c r="S132" s="123"/>
      <c r="T132" s="123"/>
      <c r="U132" s="123"/>
      <c r="V132" s="123"/>
      <c r="W132" s="123"/>
      <c r="X132" s="123"/>
      <c r="Y132" s="123"/>
      <c r="Z132" s="123"/>
      <c r="AA132" s="123"/>
    </row>
    <row r="133">
      <c r="B133" s="160"/>
      <c r="C133" s="160"/>
      <c r="D133" s="123"/>
      <c r="E133" s="123"/>
      <c r="F133" s="123"/>
      <c r="G133" s="123"/>
      <c r="H133" s="123"/>
      <c r="I133" s="123"/>
      <c r="J133" s="123"/>
      <c r="K133" s="123"/>
      <c r="L133" s="123"/>
      <c r="M133" s="123"/>
      <c r="N133" s="123"/>
      <c r="O133" s="123"/>
      <c r="Q133" s="123"/>
      <c r="R133" s="123"/>
      <c r="S133" s="123"/>
      <c r="T133" s="123"/>
      <c r="U133" s="123"/>
      <c r="V133" s="123"/>
      <c r="W133" s="123"/>
      <c r="X133" s="123"/>
      <c r="Y133" s="123"/>
      <c r="Z133" s="123"/>
      <c r="AA133" s="123"/>
    </row>
    <row r="134">
      <c r="B134" s="160"/>
      <c r="C134" s="160"/>
      <c r="D134" s="123"/>
      <c r="E134" s="123"/>
      <c r="F134" s="123"/>
      <c r="G134" s="123"/>
      <c r="H134" s="123"/>
      <c r="I134" s="123"/>
      <c r="J134" s="123"/>
      <c r="K134" s="123"/>
      <c r="L134" s="123"/>
      <c r="M134" s="123"/>
      <c r="N134" s="123"/>
      <c r="O134" s="123"/>
      <c r="Q134" s="123"/>
      <c r="R134" s="123"/>
      <c r="S134" s="123"/>
      <c r="T134" s="123"/>
      <c r="U134" s="123"/>
      <c r="V134" s="123"/>
      <c r="W134" s="123"/>
      <c r="X134" s="123"/>
      <c r="Y134" s="123"/>
      <c r="Z134" s="123"/>
      <c r="AA134" s="123"/>
    </row>
    <row r="135">
      <c r="B135" s="160"/>
      <c r="C135" s="160"/>
      <c r="D135" s="123"/>
      <c r="E135" s="123"/>
      <c r="F135" s="123"/>
      <c r="G135" s="123"/>
      <c r="H135" s="123"/>
      <c r="I135" s="123"/>
      <c r="J135" s="123"/>
      <c r="K135" s="123"/>
      <c r="L135" s="123"/>
      <c r="M135" s="123"/>
      <c r="N135" s="123"/>
      <c r="O135" s="123"/>
      <c r="Q135" s="123"/>
      <c r="R135" s="123"/>
      <c r="S135" s="123"/>
      <c r="T135" s="123"/>
      <c r="U135" s="123"/>
      <c r="V135" s="123"/>
      <c r="W135" s="123"/>
      <c r="X135" s="123"/>
      <c r="Y135" s="123"/>
      <c r="Z135" s="123"/>
      <c r="AA135" s="123"/>
    </row>
    <row r="136">
      <c r="B136" s="160"/>
      <c r="C136" s="160"/>
      <c r="D136" s="123"/>
      <c r="E136" s="123"/>
      <c r="F136" s="123"/>
      <c r="G136" s="123"/>
      <c r="H136" s="123"/>
      <c r="I136" s="123"/>
      <c r="J136" s="123"/>
      <c r="K136" s="123"/>
      <c r="L136" s="123"/>
      <c r="M136" s="123"/>
      <c r="N136" s="123"/>
      <c r="O136" s="123"/>
      <c r="Q136" s="123"/>
      <c r="R136" s="123"/>
      <c r="S136" s="123"/>
      <c r="T136" s="123"/>
      <c r="U136" s="123"/>
      <c r="V136" s="123"/>
      <c r="W136" s="123"/>
      <c r="X136" s="123"/>
      <c r="Y136" s="123"/>
      <c r="Z136" s="123"/>
      <c r="AA136" s="123"/>
    </row>
    <row r="137">
      <c r="B137" s="160"/>
      <c r="C137" s="160"/>
      <c r="D137" s="123"/>
      <c r="E137" s="123"/>
      <c r="F137" s="123"/>
      <c r="G137" s="123"/>
      <c r="H137" s="123"/>
      <c r="I137" s="123"/>
      <c r="J137" s="123"/>
      <c r="K137" s="123"/>
      <c r="L137" s="123"/>
      <c r="M137" s="123"/>
      <c r="N137" s="123"/>
      <c r="O137" s="123"/>
      <c r="Q137" s="123"/>
      <c r="R137" s="123"/>
      <c r="S137" s="123"/>
      <c r="T137" s="123"/>
      <c r="U137" s="123"/>
      <c r="V137" s="123"/>
      <c r="W137" s="123"/>
      <c r="X137" s="123"/>
      <c r="Y137" s="123"/>
      <c r="Z137" s="123"/>
      <c r="AA137" s="123"/>
    </row>
    <row r="138">
      <c r="B138" s="160"/>
      <c r="C138" s="160"/>
      <c r="D138" s="123"/>
      <c r="E138" s="123"/>
      <c r="F138" s="123"/>
      <c r="G138" s="123"/>
      <c r="H138" s="123"/>
      <c r="I138" s="123"/>
      <c r="J138" s="123"/>
      <c r="K138" s="123"/>
      <c r="L138" s="123"/>
      <c r="M138" s="123"/>
      <c r="N138" s="123"/>
      <c r="O138" s="123"/>
      <c r="Q138" s="123"/>
      <c r="R138" s="123"/>
      <c r="S138" s="123"/>
      <c r="T138" s="123"/>
      <c r="U138" s="123"/>
      <c r="V138" s="123"/>
      <c r="W138" s="123"/>
      <c r="X138" s="123"/>
      <c r="Y138" s="123"/>
      <c r="Z138" s="123"/>
      <c r="AA138" s="123"/>
    </row>
    <row r="139">
      <c r="B139" s="160"/>
      <c r="C139" s="160"/>
      <c r="D139" s="123"/>
      <c r="E139" s="123"/>
      <c r="F139" s="123"/>
      <c r="G139" s="123"/>
      <c r="H139" s="123"/>
      <c r="I139" s="123"/>
      <c r="J139" s="123"/>
      <c r="K139" s="123"/>
      <c r="L139" s="123"/>
      <c r="M139" s="123"/>
      <c r="N139" s="123"/>
      <c r="O139" s="123"/>
      <c r="Q139" s="123"/>
      <c r="R139" s="123"/>
      <c r="S139" s="123"/>
      <c r="T139" s="123"/>
      <c r="U139" s="123"/>
      <c r="V139" s="123"/>
      <c r="W139" s="123"/>
      <c r="X139" s="123"/>
      <c r="Y139" s="123"/>
      <c r="Z139" s="123"/>
      <c r="AA139" s="123"/>
    </row>
    <row r="140">
      <c r="B140" s="160"/>
      <c r="C140" s="160"/>
      <c r="D140" s="123"/>
      <c r="E140" s="123"/>
      <c r="F140" s="123"/>
      <c r="G140" s="123"/>
      <c r="H140" s="123"/>
      <c r="I140" s="123"/>
      <c r="J140" s="123"/>
      <c r="K140" s="123"/>
      <c r="L140" s="123"/>
      <c r="M140" s="123"/>
      <c r="N140" s="123"/>
      <c r="O140" s="123"/>
      <c r="Q140" s="123"/>
      <c r="R140" s="123"/>
      <c r="S140" s="123"/>
      <c r="T140" s="123"/>
      <c r="U140" s="123"/>
      <c r="V140" s="123"/>
      <c r="W140" s="123"/>
      <c r="X140" s="123"/>
      <c r="Y140" s="123"/>
      <c r="Z140" s="123"/>
      <c r="AA140" s="123"/>
    </row>
    <row r="141">
      <c r="B141" s="160"/>
      <c r="C141" s="160"/>
      <c r="D141" s="123"/>
      <c r="E141" s="123"/>
      <c r="F141" s="123"/>
      <c r="G141" s="123"/>
      <c r="H141" s="123"/>
      <c r="I141" s="123"/>
      <c r="J141" s="123"/>
      <c r="K141" s="123"/>
      <c r="L141" s="123"/>
      <c r="M141" s="123"/>
      <c r="N141" s="123"/>
      <c r="O141" s="123"/>
      <c r="Q141" s="123"/>
      <c r="R141" s="123"/>
      <c r="S141" s="123"/>
      <c r="T141" s="123"/>
      <c r="U141" s="123"/>
      <c r="V141" s="123"/>
      <c r="W141" s="123"/>
      <c r="X141" s="123"/>
      <c r="Y141" s="123"/>
      <c r="Z141" s="123"/>
      <c r="AA141" s="123"/>
    </row>
    <row r="142">
      <c r="B142" s="160"/>
      <c r="C142" s="160"/>
      <c r="D142" s="123"/>
      <c r="E142" s="123"/>
      <c r="F142" s="123"/>
      <c r="G142" s="123"/>
      <c r="H142" s="123"/>
      <c r="I142" s="123"/>
      <c r="J142" s="123"/>
      <c r="K142" s="123"/>
      <c r="L142" s="123"/>
      <c r="M142" s="123"/>
      <c r="N142" s="123"/>
      <c r="O142" s="123"/>
      <c r="Q142" s="123"/>
      <c r="R142" s="123"/>
      <c r="S142" s="123"/>
      <c r="T142" s="123"/>
      <c r="U142" s="123"/>
      <c r="V142" s="123"/>
      <c r="W142" s="123"/>
      <c r="X142" s="123"/>
      <c r="Y142" s="123"/>
      <c r="Z142" s="123"/>
      <c r="AA142" s="123"/>
    </row>
    <row r="143">
      <c r="B143" s="160"/>
      <c r="C143" s="160"/>
      <c r="D143" s="123"/>
      <c r="E143" s="123"/>
      <c r="F143" s="123"/>
      <c r="G143" s="123"/>
      <c r="H143" s="123"/>
      <c r="I143" s="123"/>
      <c r="J143" s="123"/>
      <c r="K143" s="123"/>
      <c r="L143" s="123"/>
      <c r="M143" s="123"/>
      <c r="N143" s="123"/>
      <c r="O143" s="123"/>
      <c r="Q143" s="123"/>
      <c r="R143" s="123"/>
      <c r="S143" s="123"/>
      <c r="T143" s="123"/>
      <c r="U143" s="123"/>
      <c r="V143" s="123"/>
      <c r="W143" s="123"/>
      <c r="X143" s="123"/>
      <c r="Y143" s="123"/>
      <c r="Z143" s="123"/>
      <c r="AA143" s="123"/>
    </row>
    <row r="144">
      <c r="B144" s="160"/>
      <c r="C144" s="160"/>
      <c r="D144" s="123"/>
      <c r="E144" s="123"/>
      <c r="F144" s="123"/>
      <c r="G144" s="123"/>
      <c r="H144" s="123"/>
      <c r="I144" s="123"/>
      <c r="J144" s="123"/>
      <c r="K144" s="123"/>
      <c r="L144" s="123"/>
      <c r="M144" s="123"/>
      <c r="N144" s="123"/>
      <c r="O144" s="123"/>
      <c r="Q144" s="123"/>
      <c r="R144" s="123"/>
      <c r="S144" s="123"/>
      <c r="T144" s="123"/>
      <c r="U144" s="123"/>
      <c r="V144" s="123"/>
      <c r="W144" s="123"/>
      <c r="X144" s="123"/>
      <c r="Y144" s="123"/>
      <c r="Z144" s="123"/>
      <c r="AA144" s="123"/>
    </row>
    <row r="145">
      <c r="B145" s="160"/>
      <c r="C145" s="160"/>
      <c r="D145" s="123"/>
      <c r="E145" s="123"/>
      <c r="F145" s="123"/>
      <c r="G145" s="123"/>
      <c r="H145" s="123"/>
      <c r="I145" s="123"/>
      <c r="J145" s="123"/>
      <c r="K145" s="123"/>
      <c r="L145" s="123"/>
      <c r="M145" s="123"/>
      <c r="N145" s="123"/>
      <c r="O145" s="123"/>
      <c r="Q145" s="123"/>
      <c r="R145" s="123"/>
      <c r="S145" s="123"/>
      <c r="T145" s="123"/>
      <c r="U145" s="123"/>
      <c r="V145" s="123"/>
      <c r="W145" s="123"/>
      <c r="X145" s="123"/>
      <c r="Y145" s="123"/>
      <c r="Z145" s="123"/>
      <c r="AA145" s="123"/>
    </row>
    <row r="146">
      <c r="B146" s="160"/>
      <c r="C146" s="160"/>
      <c r="D146" s="123"/>
      <c r="E146" s="123"/>
      <c r="F146" s="123"/>
      <c r="G146" s="123"/>
      <c r="H146" s="123"/>
      <c r="I146" s="123"/>
      <c r="J146" s="123"/>
      <c r="K146" s="123"/>
      <c r="L146" s="123"/>
      <c r="M146" s="123"/>
      <c r="N146" s="123"/>
      <c r="O146" s="123"/>
      <c r="Q146" s="123"/>
      <c r="R146" s="123"/>
      <c r="S146" s="123"/>
      <c r="T146" s="123"/>
      <c r="U146" s="123"/>
      <c r="V146" s="123"/>
      <c r="W146" s="123"/>
      <c r="X146" s="123"/>
      <c r="Y146" s="123"/>
      <c r="Z146" s="123"/>
      <c r="AA146" s="123"/>
    </row>
    <row r="147">
      <c r="B147" s="160"/>
      <c r="C147" s="160"/>
      <c r="D147" s="123"/>
      <c r="E147" s="123"/>
      <c r="F147" s="123"/>
      <c r="G147" s="123"/>
      <c r="H147" s="123"/>
      <c r="I147" s="123"/>
      <c r="J147" s="123"/>
      <c r="K147" s="123"/>
      <c r="L147" s="123"/>
      <c r="M147" s="123"/>
      <c r="N147" s="123"/>
      <c r="O147" s="123"/>
      <c r="Q147" s="123"/>
      <c r="R147" s="123"/>
      <c r="S147" s="123"/>
      <c r="T147" s="123"/>
      <c r="U147" s="123"/>
      <c r="V147" s="123"/>
      <c r="W147" s="123"/>
      <c r="X147" s="123"/>
      <c r="Y147" s="123"/>
      <c r="Z147" s="123"/>
      <c r="AA147" s="123"/>
    </row>
    <row r="148">
      <c r="B148" s="160"/>
      <c r="C148" s="160"/>
      <c r="D148" s="123"/>
      <c r="E148" s="123"/>
      <c r="F148" s="123"/>
      <c r="G148" s="123"/>
      <c r="H148" s="123"/>
      <c r="I148" s="123"/>
      <c r="J148" s="123"/>
      <c r="K148" s="123"/>
      <c r="L148" s="123"/>
      <c r="M148" s="123"/>
      <c r="N148" s="123"/>
      <c r="O148" s="123"/>
      <c r="Q148" s="123"/>
      <c r="R148" s="123"/>
      <c r="S148" s="123"/>
      <c r="T148" s="123"/>
      <c r="U148" s="123"/>
      <c r="V148" s="123"/>
      <c r="W148" s="123"/>
      <c r="X148" s="123"/>
      <c r="Y148" s="123"/>
      <c r="Z148" s="123"/>
      <c r="AA148" s="123"/>
    </row>
    <row r="149">
      <c r="B149" s="160"/>
      <c r="C149" s="160"/>
      <c r="D149" s="123"/>
      <c r="E149" s="123"/>
      <c r="F149" s="123"/>
      <c r="G149" s="123"/>
      <c r="H149" s="123"/>
      <c r="I149" s="123"/>
      <c r="J149" s="123"/>
      <c r="K149" s="123"/>
      <c r="L149" s="123"/>
      <c r="M149" s="123"/>
      <c r="N149" s="123"/>
      <c r="O149" s="123"/>
      <c r="Q149" s="123"/>
      <c r="R149" s="123"/>
      <c r="S149" s="123"/>
      <c r="T149" s="123"/>
      <c r="U149" s="123"/>
      <c r="V149" s="123"/>
      <c r="W149" s="123"/>
      <c r="X149" s="123"/>
      <c r="Y149" s="123"/>
      <c r="Z149" s="123"/>
      <c r="AA149" s="123"/>
    </row>
    <row r="150">
      <c r="B150" s="160"/>
      <c r="C150" s="160"/>
      <c r="D150" s="123"/>
      <c r="E150" s="123"/>
      <c r="F150" s="123"/>
      <c r="G150" s="123"/>
      <c r="H150" s="123"/>
      <c r="I150" s="123"/>
      <c r="J150" s="123"/>
      <c r="K150" s="123"/>
      <c r="L150" s="123"/>
      <c r="M150" s="123"/>
      <c r="N150" s="123"/>
      <c r="O150" s="123"/>
      <c r="Q150" s="123"/>
      <c r="R150" s="123"/>
      <c r="S150" s="123"/>
      <c r="T150" s="123"/>
      <c r="U150" s="123"/>
      <c r="V150" s="123"/>
      <c r="W150" s="123"/>
      <c r="X150" s="123"/>
      <c r="Y150" s="123"/>
      <c r="Z150" s="123"/>
      <c r="AA150" s="123"/>
    </row>
    <row r="151">
      <c r="B151" s="160"/>
      <c r="C151" s="160"/>
      <c r="D151" s="123"/>
      <c r="E151" s="123"/>
      <c r="F151" s="123"/>
      <c r="G151" s="123"/>
      <c r="H151" s="123"/>
      <c r="I151" s="123"/>
      <c r="J151" s="123"/>
      <c r="K151" s="123"/>
      <c r="L151" s="123"/>
      <c r="M151" s="123"/>
      <c r="N151" s="123"/>
      <c r="O151" s="123"/>
      <c r="Q151" s="123"/>
      <c r="R151" s="123"/>
      <c r="S151" s="123"/>
      <c r="T151" s="123"/>
      <c r="U151" s="123"/>
      <c r="V151" s="123"/>
      <c r="W151" s="123"/>
      <c r="X151" s="123"/>
      <c r="Y151" s="123"/>
      <c r="Z151" s="123"/>
      <c r="AA151" s="123"/>
    </row>
    <row r="152">
      <c r="B152" s="160"/>
      <c r="C152" s="160"/>
      <c r="D152" s="123"/>
      <c r="E152" s="123"/>
      <c r="F152" s="123"/>
      <c r="G152" s="123"/>
      <c r="H152" s="123"/>
      <c r="I152" s="123"/>
      <c r="J152" s="123"/>
      <c r="K152" s="123"/>
      <c r="L152" s="123"/>
      <c r="M152" s="123"/>
      <c r="N152" s="123"/>
      <c r="O152" s="123"/>
      <c r="Q152" s="123"/>
      <c r="R152" s="123"/>
      <c r="S152" s="123"/>
      <c r="T152" s="123"/>
      <c r="U152" s="123"/>
      <c r="V152" s="123"/>
      <c r="W152" s="123"/>
      <c r="X152" s="123"/>
      <c r="Y152" s="123"/>
      <c r="Z152" s="123"/>
      <c r="AA152" s="123"/>
    </row>
    <row r="153">
      <c r="B153" s="160"/>
      <c r="C153" s="160"/>
      <c r="D153" s="123"/>
      <c r="E153" s="123"/>
      <c r="F153" s="123"/>
      <c r="G153" s="123"/>
      <c r="H153" s="123"/>
      <c r="I153" s="123"/>
      <c r="J153" s="123"/>
      <c r="K153" s="123"/>
      <c r="L153" s="123"/>
      <c r="M153" s="123"/>
      <c r="N153" s="123"/>
      <c r="O153" s="123"/>
      <c r="Q153" s="123"/>
      <c r="R153" s="123"/>
      <c r="S153" s="123"/>
      <c r="T153" s="123"/>
      <c r="U153" s="123"/>
      <c r="V153" s="123"/>
      <c r="W153" s="123"/>
      <c r="X153" s="123"/>
      <c r="Y153" s="123"/>
      <c r="Z153" s="123"/>
      <c r="AA153" s="123"/>
    </row>
    <row r="154">
      <c r="B154" s="160"/>
      <c r="C154" s="160"/>
      <c r="D154" s="123"/>
      <c r="E154" s="123"/>
      <c r="F154" s="123"/>
      <c r="G154" s="123"/>
      <c r="H154" s="123"/>
      <c r="I154" s="123"/>
      <c r="J154" s="123"/>
      <c r="K154" s="123"/>
      <c r="L154" s="123"/>
      <c r="M154" s="123"/>
      <c r="N154" s="123"/>
      <c r="O154" s="123"/>
      <c r="Q154" s="123"/>
      <c r="R154" s="123"/>
      <c r="S154" s="123"/>
      <c r="T154" s="123"/>
      <c r="U154" s="123"/>
      <c r="V154" s="123"/>
      <c r="W154" s="123"/>
      <c r="X154" s="123"/>
      <c r="Y154" s="123"/>
      <c r="Z154" s="123"/>
      <c r="AA154" s="123"/>
    </row>
    <row r="155">
      <c r="B155" s="160"/>
      <c r="C155" s="160"/>
      <c r="D155" s="123"/>
      <c r="E155" s="123"/>
      <c r="F155" s="123"/>
      <c r="G155" s="123"/>
      <c r="H155" s="123"/>
      <c r="I155" s="123"/>
      <c r="J155" s="123"/>
      <c r="K155" s="123"/>
      <c r="L155" s="123"/>
      <c r="M155" s="123"/>
      <c r="N155" s="123"/>
      <c r="O155" s="123"/>
      <c r="Q155" s="123"/>
      <c r="R155" s="123"/>
      <c r="S155" s="123"/>
      <c r="T155" s="123"/>
      <c r="U155" s="123"/>
      <c r="V155" s="123"/>
      <c r="W155" s="123"/>
      <c r="X155" s="123"/>
      <c r="Y155" s="123"/>
      <c r="Z155" s="123"/>
      <c r="AA155" s="123"/>
    </row>
    <row r="156">
      <c r="B156" s="160"/>
      <c r="C156" s="160"/>
      <c r="D156" s="123"/>
      <c r="E156" s="123"/>
      <c r="F156" s="123"/>
      <c r="G156" s="123"/>
      <c r="H156" s="123"/>
      <c r="I156" s="123"/>
      <c r="J156" s="123"/>
      <c r="K156" s="123"/>
      <c r="L156" s="123"/>
      <c r="M156" s="123"/>
      <c r="N156" s="123"/>
      <c r="O156" s="123"/>
      <c r="Q156" s="123"/>
      <c r="R156" s="123"/>
      <c r="S156" s="123"/>
      <c r="T156" s="123"/>
      <c r="U156" s="123"/>
      <c r="V156" s="123"/>
      <c r="W156" s="123"/>
      <c r="X156" s="123"/>
      <c r="Y156" s="123"/>
      <c r="Z156" s="123"/>
      <c r="AA156" s="123"/>
    </row>
    <row r="157">
      <c r="B157" s="160"/>
      <c r="C157" s="160"/>
      <c r="D157" s="123"/>
      <c r="E157" s="123"/>
      <c r="F157" s="123"/>
      <c r="G157" s="123"/>
      <c r="H157" s="123"/>
      <c r="I157" s="123"/>
      <c r="J157" s="123"/>
      <c r="K157" s="123"/>
      <c r="L157" s="123"/>
      <c r="M157" s="123"/>
      <c r="N157" s="123"/>
      <c r="O157" s="123"/>
      <c r="Q157" s="123"/>
      <c r="R157" s="123"/>
      <c r="S157" s="123"/>
      <c r="T157" s="123"/>
      <c r="U157" s="123"/>
      <c r="V157" s="123"/>
      <c r="W157" s="123"/>
      <c r="X157" s="123"/>
      <c r="Y157" s="123"/>
      <c r="Z157" s="123"/>
      <c r="AA157" s="123"/>
    </row>
    <row r="158">
      <c r="B158" s="160"/>
      <c r="C158" s="160"/>
      <c r="D158" s="123"/>
      <c r="E158" s="123"/>
      <c r="F158" s="123"/>
      <c r="G158" s="123"/>
      <c r="H158" s="123"/>
      <c r="I158" s="123"/>
      <c r="J158" s="123"/>
      <c r="K158" s="123"/>
      <c r="L158" s="123"/>
      <c r="M158" s="123"/>
      <c r="N158" s="123"/>
      <c r="O158" s="123"/>
      <c r="Q158" s="123"/>
      <c r="R158" s="123"/>
      <c r="S158" s="123"/>
      <c r="T158" s="123"/>
      <c r="U158" s="123"/>
      <c r="V158" s="123"/>
      <c r="W158" s="123"/>
      <c r="X158" s="123"/>
      <c r="Y158" s="123"/>
      <c r="Z158" s="123"/>
      <c r="AA158" s="123"/>
    </row>
    <row r="159">
      <c r="B159" s="160"/>
      <c r="C159" s="160"/>
      <c r="D159" s="123"/>
      <c r="E159" s="123"/>
      <c r="F159" s="123"/>
      <c r="G159" s="123"/>
      <c r="H159" s="123"/>
      <c r="I159" s="123"/>
      <c r="J159" s="123"/>
      <c r="K159" s="123"/>
      <c r="L159" s="123"/>
      <c r="M159" s="123"/>
      <c r="N159" s="123"/>
      <c r="O159" s="123"/>
      <c r="Q159" s="123"/>
      <c r="R159" s="123"/>
      <c r="S159" s="123"/>
      <c r="T159" s="123"/>
      <c r="U159" s="123"/>
      <c r="V159" s="123"/>
      <c r="W159" s="123"/>
      <c r="X159" s="123"/>
      <c r="Y159" s="123"/>
      <c r="Z159" s="123"/>
      <c r="AA159" s="123"/>
    </row>
    <row r="160">
      <c r="B160" s="160"/>
      <c r="C160" s="160"/>
      <c r="D160" s="123"/>
      <c r="E160" s="123"/>
      <c r="F160" s="123"/>
      <c r="G160" s="123"/>
      <c r="H160" s="123"/>
      <c r="I160" s="123"/>
      <c r="J160" s="123"/>
      <c r="K160" s="123"/>
      <c r="L160" s="123"/>
      <c r="M160" s="123"/>
      <c r="N160" s="123"/>
      <c r="O160" s="123"/>
      <c r="Q160" s="123"/>
      <c r="R160" s="123"/>
      <c r="S160" s="123"/>
      <c r="T160" s="123"/>
      <c r="U160" s="123"/>
      <c r="V160" s="123"/>
      <c r="W160" s="123"/>
      <c r="X160" s="123"/>
      <c r="Y160" s="123"/>
      <c r="Z160" s="123"/>
      <c r="AA160" s="123"/>
    </row>
    <row r="161">
      <c r="B161" s="160"/>
      <c r="C161" s="160"/>
      <c r="D161" s="123"/>
      <c r="E161" s="123"/>
      <c r="F161" s="123"/>
      <c r="G161" s="123"/>
      <c r="H161" s="123"/>
      <c r="I161" s="123"/>
      <c r="J161" s="123"/>
      <c r="K161" s="123"/>
      <c r="L161" s="123"/>
      <c r="M161" s="123"/>
      <c r="N161" s="123"/>
      <c r="O161" s="123"/>
      <c r="Q161" s="123"/>
      <c r="R161" s="123"/>
      <c r="S161" s="123"/>
      <c r="T161" s="123"/>
      <c r="U161" s="123"/>
      <c r="V161" s="123"/>
      <c r="W161" s="123"/>
      <c r="X161" s="123"/>
      <c r="Y161" s="123"/>
      <c r="Z161" s="123"/>
      <c r="AA161" s="123"/>
    </row>
    <row r="162">
      <c r="B162" s="160"/>
      <c r="C162" s="160"/>
      <c r="D162" s="123"/>
      <c r="E162" s="123"/>
      <c r="F162" s="123"/>
      <c r="G162" s="123"/>
      <c r="H162" s="123"/>
      <c r="I162" s="123"/>
      <c r="J162" s="123"/>
      <c r="K162" s="123"/>
      <c r="L162" s="123"/>
      <c r="M162" s="123"/>
      <c r="N162" s="123"/>
      <c r="O162" s="123"/>
      <c r="Q162" s="123"/>
      <c r="R162" s="123"/>
      <c r="S162" s="123"/>
      <c r="T162" s="123"/>
      <c r="U162" s="123"/>
      <c r="V162" s="123"/>
      <c r="W162" s="123"/>
      <c r="X162" s="123"/>
      <c r="Y162" s="123"/>
      <c r="Z162" s="123"/>
      <c r="AA162" s="123"/>
    </row>
    <row r="163">
      <c r="B163" s="160"/>
      <c r="C163" s="160"/>
      <c r="D163" s="123"/>
      <c r="E163" s="123"/>
      <c r="F163" s="123"/>
      <c r="G163" s="123"/>
      <c r="H163" s="123"/>
      <c r="I163" s="123"/>
      <c r="J163" s="123"/>
      <c r="K163" s="123"/>
      <c r="L163" s="123"/>
      <c r="M163" s="123"/>
      <c r="N163" s="123"/>
      <c r="O163" s="123"/>
      <c r="Q163" s="123"/>
      <c r="R163" s="123"/>
      <c r="S163" s="123"/>
      <c r="T163" s="123"/>
      <c r="U163" s="123"/>
      <c r="V163" s="123"/>
      <c r="W163" s="123"/>
      <c r="X163" s="123"/>
      <c r="Y163" s="123"/>
      <c r="Z163" s="123"/>
      <c r="AA163" s="123"/>
    </row>
    <row r="164">
      <c r="B164" s="160"/>
      <c r="C164" s="160"/>
      <c r="D164" s="123"/>
      <c r="E164" s="123"/>
      <c r="F164" s="123"/>
      <c r="G164" s="123"/>
      <c r="H164" s="123"/>
      <c r="I164" s="123"/>
      <c r="J164" s="123"/>
      <c r="K164" s="123"/>
      <c r="L164" s="123"/>
      <c r="M164" s="123"/>
      <c r="N164" s="123"/>
      <c r="O164" s="123"/>
      <c r="Q164" s="123"/>
      <c r="R164" s="123"/>
      <c r="S164" s="123"/>
      <c r="T164" s="123"/>
      <c r="U164" s="123"/>
      <c r="V164" s="123"/>
      <c r="W164" s="123"/>
      <c r="X164" s="123"/>
      <c r="Y164" s="123"/>
      <c r="Z164" s="123"/>
      <c r="AA164" s="123"/>
    </row>
    <row r="165">
      <c r="B165" s="160"/>
      <c r="C165" s="160"/>
      <c r="D165" s="123"/>
      <c r="E165" s="123"/>
      <c r="F165" s="123"/>
      <c r="G165" s="123"/>
      <c r="H165" s="123"/>
      <c r="I165" s="123"/>
      <c r="J165" s="123"/>
      <c r="K165" s="123"/>
      <c r="L165" s="123"/>
      <c r="M165" s="123"/>
      <c r="N165" s="123"/>
      <c r="O165" s="123"/>
      <c r="Q165" s="123"/>
      <c r="R165" s="123"/>
      <c r="S165" s="123"/>
      <c r="T165" s="123"/>
      <c r="U165" s="123"/>
      <c r="V165" s="123"/>
      <c r="W165" s="123"/>
      <c r="X165" s="123"/>
      <c r="Y165" s="123"/>
      <c r="Z165" s="123"/>
      <c r="AA165" s="123"/>
    </row>
    <row r="166">
      <c r="B166" s="160"/>
      <c r="C166" s="160"/>
      <c r="D166" s="123"/>
      <c r="E166" s="123"/>
      <c r="F166" s="123"/>
      <c r="G166" s="123"/>
      <c r="H166" s="123"/>
      <c r="I166" s="123"/>
      <c r="J166" s="123"/>
      <c r="K166" s="123"/>
      <c r="L166" s="123"/>
      <c r="M166" s="123"/>
      <c r="N166" s="123"/>
      <c r="O166" s="123"/>
      <c r="Q166" s="123"/>
      <c r="R166" s="123"/>
      <c r="S166" s="123"/>
      <c r="T166" s="123"/>
      <c r="U166" s="123"/>
      <c r="V166" s="123"/>
      <c r="W166" s="123"/>
      <c r="X166" s="123"/>
      <c r="Y166" s="123"/>
      <c r="Z166" s="123"/>
      <c r="AA166" s="123"/>
    </row>
    <row r="167">
      <c r="B167" s="160"/>
      <c r="C167" s="160"/>
      <c r="D167" s="123"/>
      <c r="E167" s="123"/>
      <c r="F167" s="123"/>
      <c r="G167" s="123"/>
      <c r="H167" s="123"/>
      <c r="I167" s="123"/>
      <c r="J167" s="123"/>
      <c r="K167" s="123"/>
      <c r="L167" s="123"/>
      <c r="M167" s="123"/>
      <c r="N167" s="123"/>
      <c r="O167" s="123"/>
      <c r="Q167" s="123"/>
      <c r="R167" s="123"/>
      <c r="S167" s="123"/>
      <c r="T167" s="123"/>
      <c r="U167" s="123"/>
      <c r="V167" s="123"/>
      <c r="W167" s="123"/>
      <c r="X167" s="123"/>
      <c r="Y167" s="123"/>
      <c r="Z167" s="123"/>
      <c r="AA167" s="123"/>
    </row>
    <row r="168">
      <c r="B168" s="160"/>
      <c r="C168" s="160"/>
      <c r="D168" s="123"/>
      <c r="E168" s="123"/>
      <c r="F168" s="123"/>
      <c r="G168" s="123"/>
      <c r="H168" s="123"/>
      <c r="I168" s="123"/>
      <c r="J168" s="123"/>
      <c r="K168" s="123"/>
      <c r="L168" s="123"/>
      <c r="M168" s="123"/>
      <c r="N168" s="123"/>
      <c r="O168" s="123"/>
      <c r="Q168" s="123"/>
      <c r="R168" s="123"/>
      <c r="S168" s="123"/>
      <c r="T168" s="123"/>
      <c r="U168" s="123"/>
      <c r="V168" s="123"/>
      <c r="W168" s="123"/>
      <c r="X168" s="123"/>
      <c r="Y168" s="123"/>
      <c r="Z168" s="123"/>
      <c r="AA168" s="123"/>
    </row>
    <row r="169">
      <c r="B169" s="160"/>
      <c r="C169" s="160"/>
      <c r="D169" s="123"/>
      <c r="E169" s="123"/>
      <c r="F169" s="123"/>
      <c r="G169" s="123"/>
      <c r="H169" s="123"/>
      <c r="I169" s="123"/>
      <c r="J169" s="123"/>
      <c r="K169" s="123"/>
      <c r="L169" s="123"/>
      <c r="M169" s="123"/>
      <c r="N169" s="123"/>
      <c r="O169" s="123"/>
      <c r="Q169" s="123"/>
      <c r="R169" s="123"/>
      <c r="S169" s="123"/>
      <c r="T169" s="123"/>
      <c r="U169" s="123"/>
      <c r="V169" s="123"/>
      <c r="W169" s="123"/>
      <c r="X169" s="123"/>
      <c r="Y169" s="123"/>
      <c r="Z169" s="123"/>
      <c r="AA169" s="123"/>
    </row>
    <row r="170">
      <c r="B170" s="160"/>
      <c r="C170" s="160"/>
      <c r="D170" s="123"/>
      <c r="E170" s="123"/>
      <c r="F170" s="123"/>
      <c r="G170" s="123"/>
      <c r="H170" s="123"/>
      <c r="I170" s="123"/>
      <c r="J170" s="123"/>
      <c r="K170" s="123"/>
      <c r="L170" s="123"/>
      <c r="M170" s="123"/>
      <c r="N170" s="123"/>
      <c r="O170" s="123"/>
      <c r="Q170" s="123"/>
      <c r="R170" s="123"/>
      <c r="S170" s="123"/>
      <c r="T170" s="123"/>
      <c r="U170" s="123"/>
      <c r="V170" s="123"/>
      <c r="W170" s="123"/>
      <c r="X170" s="123"/>
      <c r="Y170" s="123"/>
      <c r="Z170" s="123"/>
      <c r="AA170" s="123"/>
    </row>
    <row r="171">
      <c r="B171" s="160"/>
      <c r="C171" s="160"/>
      <c r="D171" s="123"/>
      <c r="E171" s="123"/>
      <c r="F171" s="123"/>
      <c r="G171" s="123"/>
      <c r="H171" s="123"/>
      <c r="I171" s="123"/>
      <c r="J171" s="123"/>
      <c r="K171" s="123"/>
      <c r="L171" s="123"/>
      <c r="M171" s="123"/>
      <c r="N171" s="123"/>
      <c r="O171" s="123"/>
      <c r="Q171" s="123"/>
      <c r="R171" s="123"/>
      <c r="S171" s="123"/>
      <c r="T171" s="123"/>
      <c r="U171" s="123"/>
      <c r="V171" s="123"/>
      <c r="W171" s="123"/>
      <c r="X171" s="123"/>
      <c r="Y171" s="123"/>
      <c r="Z171" s="123"/>
      <c r="AA171" s="123"/>
    </row>
    <row r="172">
      <c r="B172" s="160"/>
      <c r="C172" s="160"/>
      <c r="D172" s="123"/>
      <c r="E172" s="123"/>
      <c r="F172" s="123"/>
      <c r="G172" s="123"/>
      <c r="H172" s="123"/>
      <c r="I172" s="123"/>
      <c r="J172" s="123"/>
      <c r="K172" s="123"/>
      <c r="L172" s="123"/>
      <c r="M172" s="123"/>
      <c r="N172" s="123"/>
      <c r="O172" s="123"/>
      <c r="Q172" s="123"/>
      <c r="R172" s="123"/>
      <c r="S172" s="123"/>
      <c r="T172" s="123"/>
      <c r="U172" s="123"/>
      <c r="V172" s="123"/>
      <c r="W172" s="123"/>
      <c r="X172" s="123"/>
      <c r="Y172" s="123"/>
      <c r="Z172" s="123"/>
      <c r="AA172" s="123"/>
    </row>
    <row r="173">
      <c r="B173" s="160"/>
      <c r="C173" s="160"/>
      <c r="D173" s="123"/>
      <c r="E173" s="123"/>
      <c r="F173" s="123"/>
      <c r="G173" s="123"/>
      <c r="H173" s="123"/>
      <c r="I173" s="123"/>
      <c r="J173" s="123"/>
      <c r="K173" s="123"/>
      <c r="L173" s="123"/>
      <c r="M173" s="123"/>
      <c r="N173" s="123"/>
      <c r="O173" s="123"/>
      <c r="Q173" s="123"/>
      <c r="R173" s="123"/>
      <c r="S173" s="123"/>
      <c r="T173" s="123"/>
      <c r="U173" s="123"/>
      <c r="V173" s="123"/>
      <c r="W173" s="123"/>
      <c r="X173" s="123"/>
      <c r="Y173" s="123"/>
      <c r="Z173" s="123"/>
      <c r="AA173" s="123"/>
    </row>
    <row r="174">
      <c r="B174" s="160"/>
      <c r="C174" s="160"/>
      <c r="D174" s="123"/>
      <c r="E174" s="123"/>
      <c r="F174" s="123"/>
      <c r="G174" s="123"/>
      <c r="H174" s="123"/>
      <c r="I174" s="123"/>
      <c r="J174" s="123"/>
      <c r="K174" s="123"/>
      <c r="L174" s="123"/>
      <c r="M174" s="123"/>
      <c r="N174" s="123"/>
      <c r="O174" s="123"/>
      <c r="Q174" s="123"/>
      <c r="R174" s="123"/>
      <c r="S174" s="123"/>
      <c r="T174" s="123"/>
      <c r="U174" s="123"/>
      <c r="V174" s="123"/>
      <c r="W174" s="123"/>
      <c r="X174" s="123"/>
      <c r="Y174" s="123"/>
      <c r="Z174" s="123"/>
      <c r="AA174" s="123"/>
    </row>
    <row r="175">
      <c r="B175" s="160"/>
      <c r="C175" s="160"/>
      <c r="D175" s="123"/>
      <c r="E175" s="123"/>
      <c r="F175" s="123"/>
      <c r="G175" s="123"/>
      <c r="H175" s="123"/>
      <c r="I175" s="123"/>
      <c r="J175" s="123"/>
      <c r="K175" s="123"/>
      <c r="L175" s="123"/>
      <c r="M175" s="123"/>
      <c r="N175" s="123"/>
      <c r="O175" s="123"/>
      <c r="Q175" s="123"/>
      <c r="R175" s="123"/>
      <c r="S175" s="123"/>
      <c r="T175" s="123"/>
      <c r="U175" s="123"/>
      <c r="V175" s="123"/>
      <c r="W175" s="123"/>
      <c r="X175" s="123"/>
      <c r="Y175" s="123"/>
      <c r="Z175" s="123"/>
      <c r="AA175" s="123"/>
    </row>
    <row r="176">
      <c r="B176" s="160"/>
      <c r="C176" s="160"/>
      <c r="D176" s="123"/>
      <c r="E176" s="123"/>
      <c r="F176" s="123"/>
      <c r="G176" s="123"/>
      <c r="H176" s="123"/>
      <c r="I176" s="123"/>
      <c r="J176" s="123"/>
      <c r="K176" s="123"/>
      <c r="L176" s="123"/>
      <c r="M176" s="123"/>
      <c r="N176" s="123"/>
      <c r="O176" s="123"/>
      <c r="Q176" s="123"/>
      <c r="R176" s="123"/>
      <c r="S176" s="123"/>
      <c r="T176" s="123"/>
      <c r="U176" s="123"/>
      <c r="V176" s="123"/>
      <c r="W176" s="123"/>
      <c r="X176" s="123"/>
      <c r="Y176" s="123"/>
      <c r="Z176" s="123"/>
      <c r="AA176" s="123"/>
    </row>
    <row r="177">
      <c r="B177" s="160"/>
      <c r="C177" s="160"/>
      <c r="D177" s="123"/>
      <c r="E177" s="123"/>
      <c r="F177" s="123"/>
      <c r="G177" s="123"/>
      <c r="H177" s="123"/>
      <c r="I177" s="123"/>
      <c r="J177" s="123"/>
      <c r="K177" s="123"/>
      <c r="L177" s="123"/>
      <c r="M177" s="123"/>
      <c r="N177" s="123"/>
      <c r="O177" s="123"/>
      <c r="Q177" s="123"/>
      <c r="R177" s="123"/>
      <c r="S177" s="123"/>
      <c r="T177" s="123"/>
      <c r="U177" s="123"/>
      <c r="V177" s="123"/>
      <c r="W177" s="123"/>
      <c r="X177" s="123"/>
      <c r="Y177" s="123"/>
      <c r="Z177" s="123"/>
      <c r="AA177" s="123"/>
    </row>
    <row r="178">
      <c r="B178" s="160"/>
      <c r="C178" s="160"/>
      <c r="D178" s="123"/>
      <c r="E178" s="123"/>
      <c r="F178" s="123"/>
      <c r="G178" s="123"/>
      <c r="H178" s="123"/>
      <c r="I178" s="123"/>
      <c r="J178" s="123"/>
      <c r="K178" s="123"/>
      <c r="L178" s="123"/>
      <c r="M178" s="123"/>
      <c r="N178" s="123"/>
      <c r="O178" s="123"/>
      <c r="Q178" s="123"/>
      <c r="R178" s="123"/>
      <c r="S178" s="123"/>
      <c r="T178" s="123"/>
      <c r="U178" s="123"/>
      <c r="V178" s="123"/>
      <c r="W178" s="123"/>
      <c r="X178" s="123"/>
      <c r="Y178" s="123"/>
      <c r="Z178" s="123"/>
      <c r="AA178" s="123"/>
    </row>
    <row r="179">
      <c r="B179" s="160"/>
      <c r="C179" s="160"/>
      <c r="D179" s="123"/>
      <c r="E179" s="123"/>
      <c r="F179" s="123"/>
      <c r="G179" s="123"/>
      <c r="H179" s="123"/>
      <c r="I179" s="123"/>
      <c r="J179" s="123"/>
      <c r="K179" s="123"/>
      <c r="L179" s="123"/>
      <c r="M179" s="123"/>
      <c r="N179" s="123"/>
      <c r="O179" s="123"/>
      <c r="Q179" s="123"/>
      <c r="R179" s="123"/>
      <c r="S179" s="123"/>
      <c r="T179" s="123"/>
      <c r="U179" s="123"/>
      <c r="V179" s="123"/>
      <c r="W179" s="123"/>
      <c r="X179" s="123"/>
      <c r="Y179" s="123"/>
      <c r="Z179" s="123"/>
      <c r="AA179" s="123"/>
    </row>
    <row r="180">
      <c r="B180" s="160"/>
      <c r="C180" s="160"/>
      <c r="D180" s="123"/>
      <c r="E180" s="123"/>
      <c r="F180" s="123"/>
      <c r="G180" s="123"/>
      <c r="H180" s="123"/>
      <c r="I180" s="123"/>
      <c r="J180" s="123"/>
      <c r="K180" s="123"/>
      <c r="L180" s="123"/>
      <c r="M180" s="123"/>
      <c r="N180" s="123"/>
      <c r="O180" s="123"/>
      <c r="Q180" s="123"/>
      <c r="R180" s="123"/>
      <c r="S180" s="123"/>
      <c r="T180" s="123"/>
      <c r="U180" s="123"/>
      <c r="V180" s="123"/>
      <c r="W180" s="123"/>
      <c r="X180" s="123"/>
      <c r="Y180" s="123"/>
      <c r="Z180" s="123"/>
      <c r="AA180" s="123"/>
    </row>
    <row r="181">
      <c r="B181" s="160"/>
      <c r="C181" s="160"/>
      <c r="D181" s="123"/>
      <c r="E181" s="123"/>
      <c r="F181" s="123"/>
      <c r="G181" s="123"/>
      <c r="H181" s="123"/>
      <c r="I181" s="123"/>
      <c r="J181" s="123"/>
      <c r="K181" s="123"/>
      <c r="L181" s="123"/>
      <c r="M181" s="123"/>
      <c r="N181" s="123"/>
      <c r="O181" s="123"/>
      <c r="Q181" s="123"/>
      <c r="R181" s="123"/>
      <c r="S181" s="123"/>
      <c r="T181" s="123"/>
      <c r="U181" s="123"/>
      <c r="V181" s="123"/>
      <c r="W181" s="123"/>
      <c r="X181" s="123"/>
      <c r="Y181" s="123"/>
      <c r="Z181" s="123"/>
      <c r="AA181" s="123"/>
    </row>
    <row r="182">
      <c r="B182" s="160"/>
      <c r="C182" s="160"/>
      <c r="D182" s="123"/>
      <c r="E182" s="123"/>
      <c r="F182" s="123"/>
      <c r="G182" s="123"/>
      <c r="H182" s="123"/>
      <c r="I182" s="123"/>
      <c r="J182" s="123"/>
      <c r="K182" s="123"/>
      <c r="L182" s="123"/>
      <c r="M182" s="123"/>
      <c r="N182" s="123"/>
      <c r="O182" s="123"/>
      <c r="Q182" s="123"/>
      <c r="R182" s="123"/>
      <c r="S182" s="123"/>
      <c r="T182" s="123"/>
      <c r="U182" s="123"/>
      <c r="V182" s="123"/>
      <c r="W182" s="123"/>
      <c r="X182" s="123"/>
      <c r="Y182" s="123"/>
      <c r="Z182" s="123"/>
      <c r="AA182" s="123"/>
    </row>
    <row r="183">
      <c r="B183" s="160"/>
      <c r="C183" s="160"/>
      <c r="D183" s="123"/>
      <c r="E183" s="123"/>
      <c r="F183" s="123"/>
      <c r="G183" s="123"/>
      <c r="H183" s="123"/>
      <c r="I183" s="123"/>
      <c r="J183" s="123"/>
      <c r="K183" s="123"/>
      <c r="L183" s="123"/>
      <c r="M183" s="123"/>
      <c r="N183" s="123"/>
      <c r="O183" s="123"/>
      <c r="Q183" s="123"/>
      <c r="R183" s="123"/>
      <c r="S183" s="123"/>
      <c r="T183" s="123"/>
      <c r="U183" s="123"/>
      <c r="V183" s="123"/>
      <c r="W183" s="123"/>
      <c r="X183" s="123"/>
      <c r="Y183" s="123"/>
      <c r="Z183" s="123"/>
      <c r="AA183" s="123"/>
    </row>
    <row r="184">
      <c r="B184" s="160"/>
      <c r="C184" s="160"/>
      <c r="D184" s="123"/>
      <c r="E184" s="123"/>
      <c r="F184" s="123"/>
      <c r="G184" s="123"/>
      <c r="H184" s="123"/>
      <c r="I184" s="123"/>
      <c r="J184" s="123"/>
      <c r="K184" s="123"/>
      <c r="L184" s="123"/>
      <c r="M184" s="123"/>
      <c r="N184" s="123"/>
      <c r="O184" s="123"/>
      <c r="Q184" s="123"/>
      <c r="R184" s="123"/>
      <c r="S184" s="123"/>
      <c r="T184" s="123"/>
      <c r="U184" s="123"/>
      <c r="V184" s="123"/>
      <c r="W184" s="123"/>
      <c r="X184" s="123"/>
      <c r="Y184" s="123"/>
      <c r="Z184" s="123"/>
      <c r="AA184" s="123"/>
    </row>
    <row r="185">
      <c r="B185" s="160"/>
      <c r="C185" s="160"/>
      <c r="D185" s="123"/>
      <c r="E185" s="123"/>
      <c r="F185" s="123"/>
      <c r="G185" s="123"/>
      <c r="H185" s="123"/>
      <c r="I185" s="123"/>
      <c r="J185" s="123"/>
      <c r="K185" s="123"/>
      <c r="L185" s="123"/>
      <c r="M185" s="123"/>
      <c r="N185" s="123"/>
      <c r="O185" s="123"/>
      <c r="Q185" s="123"/>
      <c r="R185" s="123"/>
      <c r="S185" s="123"/>
      <c r="T185" s="123"/>
      <c r="U185" s="123"/>
      <c r="V185" s="123"/>
      <c r="W185" s="123"/>
      <c r="X185" s="123"/>
      <c r="Y185" s="123"/>
      <c r="Z185" s="123"/>
      <c r="AA185" s="123"/>
    </row>
    <row r="186">
      <c r="B186" s="160"/>
      <c r="C186" s="160"/>
      <c r="D186" s="123"/>
      <c r="E186" s="123"/>
      <c r="F186" s="123"/>
      <c r="G186" s="123"/>
      <c r="H186" s="123"/>
      <c r="I186" s="123"/>
      <c r="J186" s="123"/>
      <c r="K186" s="123"/>
      <c r="L186" s="123"/>
      <c r="M186" s="123"/>
      <c r="N186" s="123"/>
      <c r="O186" s="123"/>
      <c r="Q186" s="123"/>
      <c r="R186" s="123"/>
      <c r="S186" s="123"/>
      <c r="T186" s="123"/>
      <c r="U186" s="123"/>
      <c r="V186" s="123"/>
      <c r="W186" s="123"/>
      <c r="X186" s="123"/>
      <c r="Y186" s="123"/>
      <c r="Z186" s="123"/>
      <c r="AA186" s="123"/>
    </row>
    <row r="187">
      <c r="B187" s="160"/>
      <c r="C187" s="160"/>
      <c r="D187" s="123"/>
      <c r="E187" s="123"/>
      <c r="F187" s="123"/>
      <c r="G187" s="123"/>
      <c r="H187" s="123"/>
      <c r="I187" s="123"/>
      <c r="J187" s="123"/>
      <c r="K187" s="123"/>
      <c r="L187" s="123"/>
      <c r="M187" s="123"/>
      <c r="N187" s="123"/>
      <c r="O187" s="123"/>
      <c r="Q187" s="123"/>
      <c r="R187" s="123"/>
      <c r="S187" s="123"/>
      <c r="T187" s="123"/>
      <c r="U187" s="123"/>
      <c r="V187" s="123"/>
      <c r="W187" s="123"/>
      <c r="X187" s="123"/>
      <c r="Y187" s="123"/>
      <c r="Z187" s="123"/>
      <c r="AA187" s="123"/>
    </row>
    <row r="188">
      <c r="B188" s="160"/>
      <c r="C188" s="160"/>
      <c r="D188" s="123"/>
      <c r="E188" s="123"/>
      <c r="F188" s="123"/>
      <c r="G188" s="123"/>
      <c r="H188" s="123"/>
      <c r="I188" s="123"/>
      <c r="J188" s="123"/>
      <c r="K188" s="123"/>
      <c r="L188" s="123"/>
      <c r="M188" s="123"/>
      <c r="N188" s="123"/>
      <c r="O188" s="123"/>
      <c r="Q188" s="123"/>
      <c r="R188" s="123"/>
      <c r="S188" s="123"/>
      <c r="T188" s="123"/>
      <c r="U188" s="123"/>
      <c r="V188" s="123"/>
      <c r="W188" s="123"/>
      <c r="X188" s="123"/>
      <c r="Y188" s="123"/>
      <c r="Z188" s="123"/>
      <c r="AA188" s="123"/>
    </row>
    <row r="189">
      <c r="B189" s="160"/>
      <c r="C189" s="160"/>
      <c r="D189" s="123"/>
      <c r="E189" s="123"/>
      <c r="F189" s="123"/>
      <c r="G189" s="123"/>
      <c r="H189" s="123"/>
      <c r="I189" s="123"/>
      <c r="J189" s="123"/>
      <c r="K189" s="123"/>
      <c r="L189" s="123"/>
      <c r="M189" s="123"/>
      <c r="N189" s="123"/>
      <c r="O189" s="123"/>
      <c r="Q189" s="123"/>
      <c r="R189" s="123"/>
      <c r="S189" s="123"/>
      <c r="T189" s="123"/>
      <c r="U189" s="123"/>
      <c r="V189" s="123"/>
      <c r="W189" s="123"/>
      <c r="X189" s="123"/>
      <c r="Y189" s="123"/>
      <c r="Z189" s="123"/>
      <c r="AA189" s="123"/>
    </row>
    <row r="190">
      <c r="B190" s="160"/>
      <c r="C190" s="160"/>
      <c r="D190" s="123"/>
      <c r="E190" s="123"/>
      <c r="F190" s="123"/>
      <c r="G190" s="123"/>
      <c r="H190" s="123"/>
      <c r="I190" s="123"/>
      <c r="J190" s="123"/>
      <c r="K190" s="123"/>
      <c r="L190" s="123"/>
      <c r="M190" s="123"/>
      <c r="N190" s="123"/>
      <c r="O190" s="123"/>
      <c r="Q190" s="123"/>
      <c r="R190" s="123"/>
      <c r="S190" s="123"/>
      <c r="T190" s="123"/>
      <c r="U190" s="123"/>
      <c r="V190" s="123"/>
      <c r="W190" s="123"/>
      <c r="X190" s="123"/>
      <c r="Y190" s="123"/>
      <c r="Z190" s="123"/>
      <c r="AA190" s="123"/>
    </row>
    <row r="191">
      <c r="B191" s="160"/>
      <c r="C191" s="160"/>
      <c r="D191" s="123"/>
      <c r="E191" s="123"/>
      <c r="F191" s="123"/>
      <c r="G191" s="123"/>
      <c r="H191" s="123"/>
      <c r="I191" s="123"/>
      <c r="J191" s="123"/>
      <c r="K191" s="123"/>
      <c r="L191" s="123"/>
      <c r="M191" s="123"/>
      <c r="N191" s="123"/>
      <c r="O191" s="123"/>
      <c r="Q191" s="123"/>
      <c r="R191" s="123"/>
      <c r="S191" s="123"/>
      <c r="T191" s="123"/>
      <c r="U191" s="123"/>
      <c r="V191" s="123"/>
      <c r="W191" s="123"/>
      <c r="X191" s="123"/>
      <c r="Y191" s="123"/>
      <c r="Z191" s="123"/>
      <c r="AA191" s="123"/>
    </row>
    <row r="192">
      <c r="B192" s="160"/>
      <c r="C192" s="160"/>
      <c r="D192" s="123"/>
      <c r="E192" s="123"/>
      <c r="F192" s="123"/>
      <c r="G192" s="123"/>
      <c r="H192" s="123"/>
      <c r="I192" s="123"/>
      <c r="J192" s="123"/>
      <c r="K192" s="123"/>
      <c r="L192" s="123"/>
      <c r="M192" s="123"/>
      <c r="N192" s="123"/>
      <c r="O192" s="123"/>
      <c r="Q192" s="123"/>
      <c r="R192" s="123"/>
      <c r="S192" s="123"/>
      <c r="T192" s="123"/>
      <c r="U192" s="123"/>
      <c r="V192" s="123"/>
      <c r="W192" s="123"/>
      <c r="X192" s="123"/>
      <c r="Y192" s="123"/>
      <c r="Z192" s="123"/>
      <c r="AA192" s="123"/>
    </row>
    <row r="193">
      <c r="B193" s="160"/>
      <c r="C193" s="160"/>
      <c r="D193" s="123"/>
      <c r="E193" s="123"/>
      <c r="F193" s="123"/>
      <c r="G193" s="123"/>
      <c r="H193" s="123"/>
      <c r="I193" s="123"/>
      <c r="J193" s="123"/>
      <c r="K193" s="123"/>
      <c r="L193" s="123"/>
      <c r="M193" s="123"/>
      <c r="N193" s="123"/>
      <c r="O193" s="123"/>
      <c r="Q193" s="123"/>
      <c r="R193" s="123"/>
      <c r="S193" s="123"/>
      <c r="T193" s="123"/>
      <c r="U193" s="123"/>
      <c r="V193" s="123"/>
      <c r="W193" s="123"/>
      <c r="X193" s="123"/>
      <c r="Y193" s="123"/>
      <c r="Z193" s="123"/>
      <c r="AA193" s="123"/>
    </row>
    <row r="194">
      <c r="B194" s="160"/>
      <c r="C194" s="160"/>
      <c r="D194" s="123"/>
      <c r="E194" s="123"/>
      <c r="F194" s="123"/>
      <c r="G194" s="123"/>
      <c r="H194" s="123"/>
      <c r="I194" s="123"/>
      <c r="J194" s="123"/>
      <c r="K194" s="123"/>
      <c r="L194" s="123"/>
      <c r="M194" s="123"/>
      <c r="N194" s="123"/>
      <c r="O194" s="123"/>
      <c r="Q194" s="123"/>
      <c r="R194" s="123"/>
      <c r="S194" s="123"/>
      <c r="T194" s="123"/>
      <c r="U194" s="123"/>
      <c r="V194" s="123"/>
      <c r="W194" s="123"/>
      <c r="X194" s="123"/>
      <c r="Y194" s="123"/>
      <c r="Z194" s="123"/>
      <c r="AA194" s="123"/>
    </row>
    <row r="195">
      <c r="B195" s="160"/>
      <c r="C195" s="160"/>
      <c r="D195" s="123"/>
      <c r="E195" s="123"/>
      <c r="F195" s="123"/>
      <c r="G195" s="123"/>
      <c r="H195" s="123"/>
      <c r="I195" s="123"/>
      <c r="J195" s="123"/>
      <c r="K195" s="123"/>
      <c r="L195" s="123"/>
      <c r="M195" s="123"/>
      <c r="N195" s="123"/>
      <c r="O195" s="123"/>
      <c r="Q195" s="123"/>
      <c r="R195" s="123"/>
      <c r="S195" s="123"/>
      <c r="T195" s="123"/>
      <c r="U195" s="123"/>
      <c r="V195" s="123"/>
      <c r="W195" s="123"/>
      <c r="X195" s="123"/>
      <c r="Y195" s="123"/>
      <c r="Z195" s="123"/>
      <c r="AA195" s="123"/>
    </row>
    <row r="196">
      <c r="B196" s="160"/>
      <c r="C196" s="160"/>
      <c r="D196" s="123"/>
      <c r="E196" s="123"/>
      <c r="F196" s="123"/>
      <c r="G196" s="123"/>
      <c r="H196" s="123"/>
      <c r="I196" s="123"/>
      <c r="J196" s="123"/>
      <c r="K196" s="123"/>
      <c r="L196" s="123"/>
      <c r="M196" s="123"/>
      <c r="N196" s="123"/>
      <c r="O196" s="123"/>
      <c r="Q196" s="123"/>
      <c r="R196" s="123"/>
      <c r="S196" s="123"/>
      <c r="T196" s="123"/>
      <c r="U196" s="123"/>
      <c r="V196" s="123"/>
      <c r="W196" s="123"/>
      <c r="X196" s="123"/>
      <c r="Y196" s="123"/>
      <c r="Z196" s="123"/>
      <c r="AA196" s="123"/>
    </row>
    <row r="197">
      <c r="B197" s="160"/>
      <c r="C197" s="160"/>
      <c r="D197" s="123"/>
      <c r="E197" s="123"/>
      <c r="F197" s="123"/>
      <c r="G197" s="123"/>
      <c r="H197" s="123"/>
      <c r="I197" s="123"/>
      <c r="J197" s="123"/>
      <c r="K197" s="123"/>
      <c r="L197" s="123"/>
      <c r="M197" s="123"/>
      <c r="N197" s="123"/>
      <c r="O197" s="123"/>
      <c r="Q197" s="123"/>
      <c r="R197" s="123"/>
      <c r="S197" s="123"/>
      <c r="T197" s="123"/>
      <c r="U197" s="123"/>
      <c r="V197" s="123"/>
      <c r="W197" s="123"/>
      <c r="X197" s="123"/>
      <c r="Y197" s="123"/>
      <c r="Z197" s="123"/>
      <c r="AA197" s="123"/>
    </row>
    <row r="198">
      <c r="B198" s="160"/>
      <c r="C198" s="160"/>
      <c r="D198" s="123"/>
      <c r="E198" s="123"/>
      <c r="F198" s="123"/>
      <c r="G198" s="123"/>
      <c r="H198" s="123"/>
      <c r="I198" s="123"/>
      <c r="J198" s="123"/>
      <c r="K198" s="123"/>
      <c r="L198" s="123"/>
      <c r="M198" s="123"/>
      <c r="N198" s="123"/>
      <c r="O198" s="123"/>
      <c r="Q198" s="123"/>
      <c r="R198" s="123"/>
      <c r="S198" s="123"/>
      <c r="T198" s="123"/>
      <c r="U198" s="123"/>
      <c r="V198" s="123"/>
      <c r="W198" s="123"/>
      <c r="X198" s="123"/>
      <c r="Y198" s="123"/>
      <c r="Z198" s="123"/>
      <c r="AA198" s="123"/>
    </row>
    <row r="199">
      <c r="B199" s="160"/>
      <c r="C199" s="160"/>
      <c r="D199" s="123"/>
      <c r="E199" s="123"/>
      <c r="F199" s="123"/>
      <c r="G199" s="123"/>
      <c r="H199" s="123"/>
      <c r="I199" s="123"/>
      <c r="J199" s="123"/>
      <c r="K199" s="123"/>
      <c r="L199" s="123"/>
      <c r="M199" s="123"/>
      <c r="N199" s="123"/>
      <c r="O199" s="123"/>
      <c r="Q199" s="123"/>
      <c r="R199" s="123"/>
      <c r="S199" s="123"/>
      <c r="T199" s="123"/>
      <c r="U199" s="123"/>
      <c r="V199" s="123"/>
      <c r="W199" s="123"/>
      <c r="X199" s="123"/>
      <c r="Y199" s="123"/>
      <c r="Z199" s="123"/>
      <c r="AA199" s="123"/>
    </row>
    <row r="200">
      <c r="B200" s="160"/>
      <c r="C200" s="160"/>
      <c r="D200" s="123"/>
      <c r="E200" s="123"/>
      <c r="F200" s="123"/>
      <c r="G200" s="123"/>
      <c r="H200" s="123"/>
      <c r="I200" s="123"/>
      <c r="J200" s="123"/>
      <c r="K200" s="123"/>
      <c r="L200" s="123"/>
      <c r="M200" s="123"/>
      <c r="N200" s="123"/>
      <c r="O200" s="123"/>
      <c r="Q200" s="123"/>
      <c r="R200" s="123"/>
      <c r="S200" s="123"/>
      <c r="T200" s="123"/>
      <c r="U200" s="123"/>
      <c r="V200" s="123"/>
      <c r="W200" s="123"/>
      <c r="X200" s="123"/>
      <c r="Y200" s="123"/>
      <c r="Z200" s="123"/>
      <c r="AA200" s="123"/>
    </row>
    <row r="201">
      <c r="B201" s="160"/>
      <c r="C201" s="160"/>
      <c r="D201" s="123"/>
      <c r="E201" s="123"/>
      <c r="F201" s="123"/>
      <c r="G201" s="123"/>
      <c r="H201" s="123"/>
      <c r="I201" s="123"/>
      <c r="J201" s="123"/>
      <c r="K201" s="123"/>
      <c r="L201" s="123"/>
      <c r="M201" s="123"/>
      <c r="N201" s="123"/>
      <c r="O201" s="123"/>
      <c r="Q201" s="123"/>
      <c r="R201" s="123"/>
      <c r="S201" s="123"/>
      <c r="T201" s="123"/>
      <c r="U201" s="123"/>
      <c r="V201" s="123"/>
      <c r="W201" s="123"/>
      <c r="X201" s="123"/>
      <c r="Y201" s="123"/>
      <c r="Z201" s="123"/>
      <c r="AA201" s="123"/>
    </row>
    <row r="202">
      <c r="B202" s="160"/>
      <c r="C202" s="160"/>
      <c r="D202" s="123"/>
      <c r="E202" s="123"/>
      <c r="F202" s="123"/>
      <c r="G202" s="123"/>
      <c r="H202" s="123"/>
      <c r="I202" s="123"/>
      <c r="J202" s="123"/>
      <c r="K202" s="123"/>
      <c r="L202" s="123"/>
      <c r="M202" s="123"/>
      <c r="N202" s="123"/>
      <c r="O202" s="123"/>
      <c r="Q202" s="123"/>
      <c r="R202" s="123"/>
      <c r="S202" s="123"/>
      <c r="T202" s="123"/>
      <c r="U202" s="123"/>
      <c r="V202" s="123"/>
      <c r="W202" s="123"/>
      <c r="X202" s="123"/>
      <c r="Y202" s="123"/>
      <c r="Z202" s="123"/>
      <c r="AA202" s="123"/>
    </row>
    <row r="203">
      <c r="B203" s="160"/>
      <c r="C203" s="160"/>
      <c r="D203" s="123"/>
      <c r="E203" s="123"/>
      <c r="F203" s="123"/>
      <c r="G203" s="123"/>
      <c r="H203" s="123"/>
      <c r="I203" s="123"/>
      <c r="J203" s="123"/>
      <c r="K203" s="123"/>
      <c r="L203" s="123"/>
      <c r="M203" s="123"/>
      <c r="N203" s="123"/>
      <c r="O203" s="123"/>
      <c r="Q203" s="123"/>
      <c r="R203" s="123"/>
      <c r="S203" s="123"/>
      <c r="T203" s="123"/>
      <c r="U203" s="123"/>
      <c r="V203" s="123"/>
      <c r="W203" s="123"/>
      <c r="X203" s="123"/>
      <c r="Y203" s="123"/>
      <c r="Z203" s="123"/>
      <c r="AA203" s="123"/>
    </row>
    <row r="204">
      <c r="B204" s="160"/>
      <c r="C204" s="160"/>
      <c r="D204" s="123"/>
      <c r="E204" s="123"/>
      <c r="F204" s="123"/>
      <c r="G204" s="123"/>
      <c r="H204" s="123"/>
      <c r="I204" s="123"/>
      <c r="J204" s="123"/>
      <c r="K204" s="123"/>
      <c r="L204" s="123"/>
      <c r="M204" s="123"/>
      <c r="N204" s="123"/>
      <c r="O204" s="123"/>
      <c r="Q204" s="123"/>
      <c r="R204" s="123"/>
      <c r="S204" s="123"/>
      <c r="T204" s="123"/>
      <c r="U204" s="123"/>
      <c r="V204" s="123"/>
      <c r="W204" s="123"/>
      <c r="X204" s="123"/>
      <c r="Y204" s="123"/>
      <c r="Z204" s="123"/>
      <c r="AA204" s="123"/>
    </row>
    <row r="205">
      <c r="B205" s="160"/>
      <c r="C205" s="160"/>
      <c r="D205" s="123"/>
      <c r="E205" s="123"/>
      <c r="F205" s="123"/>
      <c r="G205" s="123"/>
      <c r="H205" s="123"/>
      <c r="I205" s="123"/>
      <c r="J205" s="123"/>
      <c r="K205" s="123"/>
      <c r="L205" s="123"/>
      <c r="M205" s="123"/>
      <c r="N205" s="123"/>
      <c r="O205" s="123"/>
      <c r="Q205" s="123"/>
      <c r="R205" s="123"/>
      <c r="S205" s="123"/>
      <c r="T205" s="123"/>
      <c r="U205" s="123"/>
      <c r="V205" s="123"/>
      <c r="W205" s="123"/>
      <c r="X205" s="123"/>
      <c r="Y205" s="123"/>
      <c r="Z205" s="123"/>
      <c r="AA205" s="123"/>
    </row>
    <row r="206">
      <c r="B206" s="160"/>
      <c r="C206" s="160"/>
      <c r="D206" s="123"/>
      <c r="E206" s="123"/>
      <c r="F206" s="123"/>
      <c r="G206" s="123"/>
      <c r="H206" s="123"/>
      <c r="I206" s="123"/>
      <c r="J206" s="123"/>
      <c r="K206" s="123"/>
      <c r="L206" s="123"/>
      <c r="M206" s="123"/>
      <c r="N206" s="123"/>
      <c r="O206" s="123"/>
      <c r="Q206" s="123"/>
      <c r="R206" s="123"/>
      <c r="S206" s="123"/>
      <c r="T206" s="123"/>
      <c r="U206" s="123"/>
      <c r="V206" s="123"/>
      <c r="W206" s="123"/>
      <c r="X206" s="123"/>
      <c r="Y206" s="123"/>
      <c r="Z206" s="123"/>
      <c r="AA206" s="123"/>
    </row>
    <row r="207">
      <c r="B207" s="160"/>
      <c r="C207" s="160"/>
      <c r="D207" s="123"/>
      <c r="E207" s="123"/>
      <c r="F207" s="123"/>
      <c r="G207" s="123"/>
      <c r="H207" s="123"/>
      <c r="I207" s="123"/>
      <c r="J207" s="123"/>
      <c r="K207" s="123"/>
      <c r="L207" s="123"/>
      <c r="M207" s="123"/>
      <c r="N207" s="123"/>
      <c r="O207" s="123"/>
      <c r="Q207" s="123"/>
      <c r="R207" s="123"/>
      <c r="S207" s="123"/>
      <c r="T207" s="123"/>
      <c r="U207" s="123"/>
      <c r="V207" s="123"/>
      <c r="W207" s="123"/>
      <c r="X207" s="123"/>
      <c r="Y207" s="123"/>
      <c r="Z207" s="123"/>
      <c r="AA207" s="123"/>
    </row>
    <row r="208">
      <c r="B208" s="160"/>
      <c r="C208" s="160"/>
      <c r="D208" s="123"/>
      <c r="E208" s="123"/>
      <c r="F208" s="123"/>
      <c r="G208" s="123"/>
      <c r="H208" s="123"/>
      <c r="I208" s="123"/>
      <c r="J208" s="123"/>
      <c r="K208" s="123"/>
      <c r="L208" s="123"/>
      <c r="M208" s="123"/>
      <c r="N208" s="123"/>
      <c r="O208" s="123"/>
      <c r="Q208" s="123"/>
      <c r="R208" s="123"/>
      <c r="S208" s="123"/>
      <c r="T208" s="123"/>
      <c r="U208" s="123"/>
      <c r="V208" s="123"/>
      <c r="W208" s="123"/>
      <c r="X208" s="123"/>
      <c r="Y208" s="123"/>
      <c r="Z208" s="123"/>
      <c r="AA208" s="123"/>
    </row>
    <row r="209">
      <c r="B209" s="160"/>
      <c r="C209" s="160"/>
      <c r="D209" s="123"/>
      <c r="E209" s="123"/>
      <c r="F209" s="123"/>
      <c r="G209" s="123"/>
      <c r="H209" s="123"/>
      <c r="I209" s="123"/>
      <c r="J209" s="123"/>
      <c r="K209" s="123"/>
      <c r="L209" s="123"/>
      <c r="M209" s="123"/>
      <c r="N209" s="123"/>
      <c r="O209" s="123"/>
      <c r="Q209" s="123"/>
      <c r="R209" s="123"/>
      <c r="S209" s="123"/>
      <c r="T209" s="123"/>
      <c r="U209" s="123"/>
      <c r="V209" s="123"/>
      <c r="W209" s="123"/>
      <c r="X209" s="123"/>
      <c r="Y209" s="123"/>
      <c r="Z209" s="123"/>
      <c r="AA209" s="123"/>
    </row>
    <row r="210">
      <c r="B210" s="160"/>
      <c r="C210" s="160"/>
      <c r="D210" s="123"/>
      <c r="E210" s="123"/>
      <c r="F210" s="123"/>
      <c r="G210" s="123"/>
      <c r="H210" s="123"/>
      <c r="I210" s="123"/>
      <c r="J210" s="123"/>
      <c r="K210" s="123"/>
      <c r="L210" s="123"/>
      <c r="M210" s="123"/>
      <c r="N210" s="123"/>
      <c r="O210" s="123"/>
      <c r="Q210" s="123"/>
      <c r="R210" s="123"/>
      <c r="S210" s="123"/>
      <c r="T210" s="123"/>
      <c r="U210" s="123"/>
      <c r="V210" s="123"/>
      <c r="W210" s="123"/>
      <c r="X210" s="123"/>
      <c r="Y210" s="123"/>
      <c r="Z210" s="123"/>
      <c r="AA210" s="123"/>
    </row>
    <row r="211">
      <c r="B211" s="160"/>
      <c r="C211" s="160"/>
      <c r="D211" s="123"/>
      <c r="E211" s="123"/>
      <c r="F211" s="123"/>
      <c r="G211" s="123"/>
      <c r="H211" s="123"/>
      <c r="I211" s="123"/>
      <c r="J211" s="123"/>
      <c r="K211" s="123"/>
      <c r="L211" s="123"/>
      <c r="M211" s="123"/>
      <c r="N211" s="123"/>
      <c r="O211" s="123"/>
      <c r="Q211" s="123"/>
      <c r="R211" s="123"/>
      <c r="S211" s="123"/>
      <c r="T211" s="123"/>
      <c r="U211" s="123"/>
      <c r="V211" s="123"/>
      <c r="W211" s="123"/>
      <c r="X211" s="123"/>
      <c r="Y211" s="123"/>
      <c r="Z211" s="123"/>
      <c r="AA211" s="123"/>
    </row>
    <row r="212">
      <c r="B212" s="160"/>
      <c r="C212" s="160"/>
      <c r="D212" s="123"/>
      <c r="E212" s="123"/>
      <c r="F212" s="123"/>
      <c r="G212" s="123"/>
      <c r="H212" s="123"/>
      <c r="I212" s="123"/>
      <c r="J212" s="123"/>
      <c r="K212" s="123"/>
      <c r="L212" s="123"/>
      <c r="M212" s="123"/>
      <c r="N212" s="123"/>
      <c r="O212" s="123"/>
      <c r="Q212" s="123"/>
      <c r="R212" s="123"/>
      <c r="S212" s="123"/>
      <c r="T212" s="123"/>
      <c r="U212" s="123"/>
      <c r="V212" s="123"/>
      <c r="W212" s="123"/>
      <c r="X212" s="123"/>
      <c r="Y212" s="123"/>
      <c r="Z212" s="123"/>
      <c r="AA212" s="123"/>
    </row>
    <row r="213">
      <c r="B213" s="160"/>
      <c r="C213" s="160"/>
      <c r="D213" s="123"/>
      <c r="E213" s="123"/>
      <c r="F213" s="123"/>
      <c r="G213" s="123"/>
      <c r="H213" s="123"/>
      <c r="I213" s="123"/>
      <c r="J213" s="123"/>
      <c r="K213" s="123"/>
      <c r="L213" s="123"/>
      <c r="M213" s="123"/>
      <c r="N213" s="123"/>
      <c r="O213" s="123"/>
      <c r="Q213" s="123"/>
      <c r="R213" s="123"/>
      <c r="S213" s="123"/>
      <c r="T213" s="123"/>
      <c r="U213" s="123"/>
      <c r="V213" s="123"/>
      <c r="W213" s="123"/>
      <c r="X213" s="123"/>
      <c r="Y213" s="123"/>
      <c r="Z213" s="123"/>
      <c r="AA213" s="123"/>
    </row>
    <row r="214">
      <c r="B214" s="160"/>
      <c r="C214" s="160"/>
      <c r="D214" s="123"/>
      <c r="E214" s="123"/>
      <c r="F214" s="123"/>
      <c r="G214" s="123"/>
      <c r="H214" s="123"/>
      <c r="I214" s="123"/>
      <c r="J214" s="123"/>
      <c r="K214" s="123"/>
      <c r="L214" s="123"/>
      <c r="M214" s="123"/>
      <c r="N214" s="123"/>
      <c r="O214" s="123"/>
      <c r="Q214" s="123"/>
      <c r="R214" s="123"/>
      <c r="S214" s="123"/>
      <c r="T214" s="123"/>
      <c r="U214" s="123"/>
      <c r="V214" s="123"/>
      <c r="W214" s="123"/>
      <c r="X214" s="123"/>
      <c r="Y214" s="123"/>
      <c r="Z214" s="123"/>
      <c r="AA214" s="123"/>
    </row>
    <row r="215">
      <c r="B215" s="160"/>
      <c r="C215" s="160"/>
      <c r="D215" s="123"/>
      <c r="E215" s="123"/>
      <c r="F215" s="123"/>
      <c r="G215" s="123"/>
      <c r="H215" s="123"/>
      <c r="I215" s="123"/>
      <c r="J215" s="123"/>
      <c r="K215" s="123"/>
      <c r="L215" s="123"/>
      <c r="M215" s="123"/>
      <c r="N215" s="123"/>
      <c r="O215" s="123"/>
      <c r="Q215" s="123"/>
      <c r="R215" s="123"/>
      <c r="S215" s="123"/>
      <c r="T215" s="123"/>
      <c r="U215" s="123"/>
      <c r="V215" s="123"/>
      <c r="W215" s="123"/>
      <c r="X215" s="123"/>
      <c r="Y215" s="123"/>
      <c r="Z215" s="123"/>
      <c r="AA215" s="123"/>
    </row>
    <row r="216">
      <c r="B216" s="160"/>
      <c r="C216" s="160"/>
      <c r="D216" s="123"/>
      <c r="E216" s="123"/>
      <c r="F216" s="123"/>
      <c r="G216" s="123"/>
      <c r="H216" s="123"/>
      <c r="I216" s="123"/>
      <c r="J216" s="123"/>
      <c r="K216" s="123"/>
      <c r="L216" s="123"/>
      <c r="M216" s="123"/>
      <c r="N216" s="123"/>
      <c r="O216" s="123"/>
      <c r="Q216" s="123"/>
      <c r="R216" s="123"/>
      <c r="S216" s="123"/>
      <c r="T216" s="123"/>
      <c r="U216" s="123"/>
      <c r="V216" s="123"/>
      <c r="W216" s="123"/>
      <c r="X216" s="123"/>
      <c r="Y216" s="123"/>
      <c r="Z216" s="123"/>
      <c r="AA216" s="123"/>
    </row>
    <row r="217">
      <c r="B217" s="160"/>
      <c r="C217" s="160"/>
      <c r="D217" s="123"/>
      <c r="E217" s="123"/>
      <c r="F217" s="123"/>
      <c r="G217" s="123"/>
      <c r="H217" s="123"/>
      <c r="I217" s="123"/>
      <c r="J217" s="123"/>
      <c r="K217" s="123"/>
      <c r="L217" s="123"/>
      <c r="M217" s="123"/>
      <c r="N217" s="123"/>
      <c r="O217" s="123"/>
      <c r="Q217" s="123"/>
      <c r="R217" s="123"/>
      <c r="S217" s="123"/>
      <c r="T217" s="123"/>
      <c r="U217" s="123"/>
      <c r="V217" s="123"/>
      <c r="W217" s="123"/>
      <c r="X217" s="123"/>
      <c r="Y217" s="123"/>
      <c r="Z217" s="123"/>
      <c r="AA217" s="123"/>
    </row>
    <row r="218">
      <c r="B218" s="160"/>
      <c r="C218" s="160"/>
      <c r="D218" s="123"/>
      <c r="E218" s="123"/>
      <c r="F218" s="123"/>
      <c r="G218" s="123"/>
      <c r="H218" s="123"/>
      <c r="I218" s="123"/>
      <c r="J218" s="123"/>
      <c r="K218" s="123"/>
      <c r="L218" s="123"/>
      <c r="M218" s="123"/>
      <c r="N218" s="123"/>
      <c r="O218" s="123"/>
      <c r="Q218" s="123"/>
      <c r="R218" s="123"/>
      <c r="S218" s="123"/>
      <c r="T218" s="123"/>
      <c r="U218" s="123"/>
      <c r="V218" s="123"/>
      <c r="W218" s="123"/>
      <c r="X218" s="123"/>
      <c r="Y218" s="123"/>
      <c r="Z218" s="123"/>
      <c r="AA218" s="123"/>
    </row>
    <row r="219">
      <c r="B219" s="160"/>
      <c r="C219" s="160"/>
      <c r="D219" s="123"/>
      <c r="E219" s="123"/>
      <c r="F219" s="123"/>
      <c r="G219" s="123"/>
      <c r="H219" s="123"/>
      <c r="I219" s="123"/>
      <c r="J219" s="123"/>
      <c r="K219" s="123"/>
      <c r="L219" s="123"/>
      <c r="M219" s="123"/>
      <c r="N219" s="123"/>
      <c r="O219" s="123"/>
      <c r="Q219" s="123"/>
      <c r="R219" s="123"/>
      <c r="S219" s="123"/>
      <c r="T219" s="123"/>
      <c r="U219" s="123"/>
      <c r="V219" s="123"/>
      <c r="W219" s="123"/>
      <c r="X219" s="123"/>
      <c r="Y219" s="123"/>
      <c r="Z219" s="123"/>
      <c r="AA219" s="123"/>
    </row>
    <row r="220">
      <c r="B220" s="160"/>
      <c r="C220" s="160"/>
      <c r="D220" s="123"/>
      <c r="E220" s="123"/>
      <c r="F220" s="123"/>
      <c r="G220" s="123"/>
      <c r="H220" s="123"/>
      <c r="I220" s="123"/>
      <c r="J220" s="123"/>
      <c r="K220" s="123"/>
      <c r="L220" s="123"/>
      <c r="M220" s="123"/>
      <c r="N220" s="123"/>
      <c r="O220" s="123"/>
      <c r="Q220" s="123"/>
      <c r="R220" s="123"/>
      <c r="S220" s="123"/>
      <c r="T220" s="123"/>
      <c r="U220" s="123"/>
      <c r="V220" s="123"/>
      <c r="W220" s="123"/>
      <c r="X220" s="123"/>
      <c r="Y220" s="123"/>
      <c r="Z220" s="123"/>
      <c r="AA220" s="123"/>
    </row>
    <row r="221">
      <c r="B221" s="160"/>
      <c r="C221" s="160"/>
      <c r="D221" s="123"/>
      <c r="E221" s="123"/>
      <c r="F221" s="123"/>
      <c r="G221" s="123"/>
      <c r="H221" s="123"/>
      <c r="I221" s="123"/>
      <c r="J221" s="123"/>
      <c r="K221" s="123"/>
      <c r="L221" s="123"/>
      <c r="M221" s="123"/>
      <c r="N221" s="123"/>
      <c r="O221" s="123"/>
      <c r="Q221" s="123"/>
      <c r="R221" s="123"/>
      <c r="S221" s="123"/>
      <c r="T221" s="123"/>
      <c r="U221" s="123"/>
      <c r="V221" s="123"/>
      <c r="W221" s="123"/>
      <c r="X221" s="123"/>
      <c r="Y221" s="123"/>
      <c r="Z221" s="123"/>
      <c r="AA221" s="123"/>
    </row>
    <row r="222">
      <c r="B222" s="160"/>
      <c r="C222" s="160"/>
      <c r="D222" s="123"/>
      <c r="E222" s="123"/>
      <c r="F222" s="123"/>
      <c r="G222" s="123"/>
      <c r="H222" s="123"/>
      <c r="I222" s="123"/>
      <c r="J222" s="123"/>
      <c r="K222" s="123"/>
      <c r="L222" s="123"/>
      <c r="M222" s="123"/>
      <c r="N222" s="123"/>
      <c r="O222" s="123"/>
      <c r="Q222" s="123"/>
      <c r="R222" s="123"/>
      <c r="S222" s="123"/>
      <c r="T222" s="123"/>
      <c r="U222" s="123"/>
      <c r="V222" s="123"/>
      <c r="W222" s="123"/>
      <c r="X222" s="123"/>
      <c r="Y222" s="123"/>
      <c r="Z222" s="123"/>
      <c r="AA222" s="123"/>
    </row>
    <row r="223">
      <c r="B223" s="160"/>
      <c r="C223" s="160"/>
      <c r="D223" s="123"/>
      <c r="E223" s="123"/>
      <c r="F223" s="123"/>
      <c r="G223" s="123"/>
      <c r="H223" s="123"/>
      <c r="I223" s="123"/>
      <c r="J223" s="123"/>
      <c r="K223" s="123"/>
      <c r="L223" s="123"/>
      <c r="M223" s="123"/>
      <c r="N223" s="123"/>
      <c r="O223" s="123"/>
      <c r="Q223" s="123"/>
      <c r="R223" s="123"/>
      <c r="S223" s="123"/>
      <c r="T223" s="123"/>
      <c r="U223" s="123"/>
      <c r="V223" s="123"/>
      <c r="W223" s="123"/>
      <c r="X223" s="123"/>
      <c r="Y223" s="123"/>
      <c r="Z223" s="123"/>
      <c r="AA223" s="123"/>
    </row>
    <row r="224">
      <c r="B224" s="160"/>
      <c r="C224" s="160"/>
      <c r="D224" s="123"/>
      <c r="E224" s="123"/>
      <c r="F224" s="123"/>
      <c r="G224" s="123"/>
      <c r="H224" s="123"/>
      <c r="I224" s="123"/>
      <c r="J224" s="123"/>
      <c r="K224" s="123"/>
      <c r="L224" s="123"/>
      <c r="M224" s="123"/>
      <c r="N224" s="123"/>
      <c r="O224" s="123"/>
      <c r="Q224" s="123"/>
      <c r="R224" s="123"/>
      <c r="S224" s="123"/>
      <c r="T224" s="123"/>
      <c r="U224" s="123"/>
      <c r="V224" s="123"/>
      <c r="W224" s="123"/>
      <c r="X224" s="123"/>
      <c r="Y224" s="123"/>
      <c r="Z224" s="123"/>
      <c r="AA224" s="123"/>
    </row>
    <row r="225">
      <c r="B225" s="160"/>
      <c r="C225" s="160"/>
      <c r="D225" s="123"/>
      <c r="E225" s="123"/>
      <c r="F225" s="123"/>
      <c r="G225" s="123"/>
      <c r="H225" s="123"/>
      <c r="I225" s="123"/>
      <c r="J225" s="123"/>
      <c r="K225" s="123"/>
      <c r="L225" s="123"/>
      <c r="M225" s="123"/>
      <c r="N225" s="123"/>
      <c r="O225" s="123"/>
      <c r="Q225" s="123"/>
      <c r="R225" s="123"/>
      <c r="S225" s="123"/>
      <c r="T225" s="123"/>
      <c r="U225" s="123"/>
      <c r="V225" s="123"/>
      <c r="W225" s="123"/>
      <c r="X225" s="123"/>
      <c r="Y225" s="123"/>
      <c r="Z225" s="123"/>
      <c r="AA225" s="123"/>
    </row>
    <row r="226">
      <c r="B226" s="160"/>
      <c r="C226" s="160"/>
      <c r="D226" s="123"/>
      <c r="E226" s="123"/>
      <c r="F226" s="123"/>
      <c r="G226" s="123"/>
      <c r="H226" s="123"/>
      <c r="I226" s="123"/>
      <c r="J226" s="123"/>
      <c r="K226" s="123"/>
      <c r="L226" s="123"/>
      <c r="M226" s="123"/>
      <c r="N226" s="123"/>
      <c r="O226" s="123"/>
      <c r="Q226" s="123"/>
      <c r="R226" s="123"/>
      <c r="S226" s="123"/>
      <c r="T226" s="123"/>
      <c r="U226" s="123"/>
      <c r="V226" s="123"/>
      <c r="W226" s="123"/>
      <c r="X226" s="123"/>
      <c r="Y226" s="123"/>
      <c r="Z226" s="123"/>
      <c r="AA226" s="123"/>
    </row>
    <row r="227">
      <c r="B227" s="160"/>
      <c r="C227" s="160"/>
      <c r="D227" s="123"/>
      <c r="E227" s="123"/>
      <c r="F227" s="123"/>
      <c r="G227" s="123"/>
      <c r="H227" s="123"/>
      <c r="I227" s="123"/>
      <c r="J227" s="123"/>
      <c r="K227" s="123"/>
      <c r="L227" s="123"/>
      <c r="M227" s="123"/>
      <c r="N227" s="123"/>
      <c r="O227" s="123"/>
      <c r="Q227" s="123"/>
      <c r="R227" s="123"/>
      <c r="S227" s="123"/>
      <c r="T227" s="123"/>
      <c r="U227" s="123"/>
      <c r="V227" s="123"/>
      <c r="W227" s="123"/>
      <c r="X227" s="123"/>
      <c r="Y227" s="123"/>
      <c r="Z227" s="123"/>
      <c r="AA227" s="123"/>
    </row>
    <row r="228">
      <c r="B228" s="160"/>
      <c r="C228" s="160"/>
      <c r="D228" s="123"/>
      <c r="E228" s="123"/>
      <c r="F228" s="123"/>
      <c r="G228" s="123"/>
      <c r="H228" s="123"/>
      <c r="I228" s="123"/>
      <c r="J228" s="123"/>
      <c r="K228" s="123"/>
      <c r="L228" s="123"/>
      <c r="M228" s="123"/>
      <c r="N228" s="123"/>
      <c r="O228" s="123"/>
      <c r="Q228" s="123"/>
      <c r="R228" s="123"/>
      <c r="S228" s="123"/>
      <c r="T228" s="123"/>
      <c r="U228" s="123"/>
      <c r="V228" s="123"/>
      <c r="W228" s="123"/>
      <c r="X228" s="123"/>
      <c r="Y228" s="123"/>
      <c r="Z228" s="123"/>
      <c r="AA228" s="123"/>
    </row>
    <row r="229">
      <c r="B229" s="160"/>
      <c r="C229" s="160"/>
      <c r="D229" s="123"/>
      <c r="E229" s="123"/>
      <c r="F229" s="123"/>
      <c r="G229" s="123"/>
      <c r="H229" s="123"/>
      <c r="I229" s="123"/>
      <c r="J229" s="123"/>
      <c r="K229" s="123"/>
      <c r="L229" s="123"/>
      <c r="M229" s="123"/>
      <c r="N229" s="123"/>
      <c r="O229" s="123"/>
      <c r="Q229" s="123"/>
      <c r="R229" s="123"/>
      <c r="S229" s="123"/>
      <c r="T229" s="123"/>
      <c r="U229" s="123"/>
      <c r="V229" s="123"/>
      <c r="W229" s="123"/>
      <c r="X229" s="123"/>
      <c r="Y229" s="123"/>
      <c r="Z229" s="123"/>
      <c r="AA229" s="123"/>
    </row>
    <row r="230">
      <c r="B230" s="160"/>
      <c r="C230" s="160"/>
      <c r="D230" s="123"/>
      <c r="E230" s="123"/>
      <c r="F230" s="123"/>
      <c r="G230" s="123"/>
      <c r="H230" s="123"/>
      <c r="I230" s="123"/>
      <c r="J230" s="123"/>
      <c r="K230" s="123"/>
      <c r="L230" s="123"/>
      <c r="M230" s="123"/>
      <c r="N230" s="123"/>
      <c r="O230" s="123"/>
      <c r="Q230" s="123"/>
      <c r="R230" s="123"/>
      <c r="S230" s="123"/>
      <c r="T230" s="123"/>
      <c r="U230" s="123"/>
      <c r="V230" s="123"/>
      <c r="W230" s="123"/>
      <c r="X230" s="123"/>
      <c r="Y230" s="123"/>
      <c r="Z230" s="123"/>
      <c r="AA230" s="123"/>
    </row>
    <row r="231">
      <c r="B231" s="160"/>
      <c r="C231" s="160"/>
      <c r="D231" s="123"/>
      <c r="E231" s="123"/>
      <c r="F231" s="123"/>
      <c r="G231" s="123"/>
      <c r="H231" s="123"/>
      <c r="I231" s="123"/>
      <c r="J231" s="123"/>
      <c r="K231" s="123"/>
      <c r="L231" s="123"/>
      <c r="M231" s="123"/>
      <c r="N231" s="123"/>
      <c r="O231" s="123"/>
      <c r="Q231" s="123"/>
      <c r="R231" s="123"/>
      <c r="S231" s="123"/>
      <c r="T231" s="123"/>
      <c r="U231" s="123"/>
      <c r="V231" s="123"/>
      <c r="W231" s="123"/>
      <c r="X231" s="123"/>
      <c r="Y231" s="123"/>
      <c r="Z231" s="123"/>
      <c r="AA231" s="123"/>
    </row>
    <row r="232">
      <c r="B232" s="160"/>
      <c r="C232" s="160"/>
      <c r="D232" s="123"/>
      <c r="E232" s="123"/>
      <c r="F232" s="123"/>
      <c r="G232" s="123"/>
      <c r="H232" s="123"/>
      <c r="I232" s="123"/>
      <c r="J232" s="123"/>
      <c r="K232" s="123"/>
      <c r="L232" s="123"/>
      <c r="M232" s="123"/>
      <c r="N232" s="123"/>
      <c r="O232" s="123"/>
      <c r="Q232" s="123"/>
      <c r="R232" s="123"/>
      <c r="S232" s="123"/>
      <c r="T232" s="123"/>
      <c r="U232" s="123"/>
      <c r="V232" s="123"/>
      <c r="W232" s="123"/>
      <c r="X232" s="123"/>
      <c r="Y232" s="123"/>
      <c r="Z232" s="123"/>
      <c r="AA232" s="123"/>
    </row>
    <row r="233">
      <c r="B233" s="160"/>
      <c r="C233" s="160"/>
      <c r="D233" s="123"/>
      <c r="E233" s="123"/>
      <c r="F233" s="123"/>
      <c r="G233" s="123"/>
      <c r="H233" s="123"/>
      <c r="I233" s="123"/>
      <c r="J233" s="123"/>
      <c r="K233" s="123"/>
      <c r="L233" s="123"/>
      <c r="M233" s="123"/>
      <c r="N233" s="123"/>
      <c r="O233" s="123"/>
      <c r="Q233" s="123"/>
      <c r="R233" s="123"/>
      <c r="S233" s="123"/>
      <c r="T233" s="123"/>
      <c r="U233" s="123"/>
      <c r="V233" s="123"/>
      <c r="W233" s="123"/>
      <c r="X233" s="123"/>
      <c r="Y233" s="123"/>
      <c r="Z233" s="123"/>
      <c r="AA233" s="123"/>
    </row>
    <row r="234">
      <c r="B234" s="160"/>
      <c r="C234" s="160"/>
      <c r="D234" s="123"/>
      <c r="E234" s="123"/>
      <c r="F234" s="123"/>
      <c r="G234" s="123"/>
      <c r="H234" s="123"/>
      <c r="I234" s="123"/>
      <c r="J234" s="123"/>
      <c r="K234" s="123"/>
      <c r="L234" s="123"/>
      <c r="M234" s="123"/>
      <c r="N234" s="123"/>
      <c r="O234" s="123"/>
      <c r="Q234" s="123"/>
      <c r="R234" s="123"/>
      <c r="S234" s="123"/>
      <c r="T234" s="123"/>
      <c r="U234" s="123"/>
      <c r="V234" s="123"/>
      <c r="W234" s="123"/>
      <c r="X234" s="123"/>
      <c r="Y234" s="123"/>
      <c r="Z234" s="123"/>
      <c r="AA234" s="123"/>
    </row>
    <row r="235">
      <c r="B235" s="160"/>
      <c r="C235" s="160"/>
      <c r="D235" s="123"/>
      <c r="E235" s="123"/>
      <c r="F235" s="123"/>
      <c r="G235" s="123"/>
      <c r="H235" s="123"/>
      <c r="I235" s="123"/>
      <c r="J235" s="123"/>
      <c r="K235" s="123"/>
      <c r="L235" s="123"/>
      <c r="M235" s="123"/>
      <c r="N235" s="123"/>
      <c r="O235" s="123"/>
      <c r="Q235" s="123"/>
      <c r="R235" s="123"/>
      <c r="S235" s="123"/>
      <c r="T235" s="123"/>
      <c r="U235" s="123"/>
      <c r="V235" s="123"/>
      <c r="W235" s="123"/>
      <c r="X235" s="123"/>
      <c r="Y235" s="123"/>
      <c r="Z235" s="123"/>
      <c r="AA235" s="123"/>
    </row>
    <row r="236">
      <c r="B236" s="160"/>
      <c r="C236" s="160"/>
      <c r="D236" s="123"/>
      <c r="E236" s="123"/>
      <c r="F236" s="123"/>
      <c r="G236" s="123"/>
      <c r="H236" s="123"/>
      <c r="I236" s="123"/>
      <c r="J236" s="123"/>
      <c r="K236" s="123"/>
      <c r="L236" s="123"/>
      <c r="M236" s="123"/>
      <c r="N236" s="123"/>
      <c r="O236" s="123"/>
      <c r="Q236" s="123"/>
      <c r="R236" s="123"/>
      <c r="S236" s="123"/>
      <c r="T236" s="123"/>
      <c r="U236" s="123"/>
      <c r="V236" s="123"/>
      <c r="W236" s="123"/>
      <c r="X236" s="123"/>
      <c r="Y236" s="123"/>
      <c r="Z236" s="123"/>
      <c r="AA236" s="123"/>
    </row>
    <row r="237">
      <c r="B237" s="160"/>
      <c r="C237" s="160"/>
      <c r="D237" s="123"/>
      <c r="E237" s="123"/>
      <c r="F237" s="123"/>
      <c r="G237" s="123"/>
      <c r="H237" s="123"/>
      <c r="I237" s="123"/>
      <c r="J237" s="123"/>
      <c r="K237" s="123"/>
      <c r="L237" s="123"/>
      <c r="M237" s="123"/>
      <c r="N237" s="123"/>
      <c r="O237" s="123"/>
      <c r="Q237" s="123"/>
      <c r="R237" s="123"/>
      <c r="S237" s="123"/>
      <c r="T237" s="123"/>
      <c r="U237" s="123"/>
      <c r="V237" s="123"/>
      <c r="W237" s="123"/>
      <c r="X237" s="123"/>
      <c r="Y237" s="123"/>
      <c r="Z237" s="123"/>
      <c r="AA237" s="123"/>
    </row>
    <row r="238">
      <c r="B238" s="160"/>
      <c r="C238" s="160"/>
      <c r="D238" s="123"/>
      <c r="E238" s="123"/>
      <c r="F238" s="123"/>
      <c r="G238" s="123"/>
      <c r="H238" s="123"/>
      <c r="I238" s="123"/>
      <c r="J238" s="123"/>
      <c r="K238" s="123"/>
      <c r="L238" s="123"/>
      <c r="M238" s="123"/>
      <c r="N238" s="123"/>
      <c r="O238" s="123"/>
      <c r="Q238" s="123"/>
      <c r="R238" s="123"/>
      <c r="S238" s="123"/>
      <c r="T238" s="123"/>
      <c r="U238" s="123"/>
      <c r="V238" s="123"/>
      <c r="W238" s="123"/>
      <c r="X238" s="123"/>
      <c r="Y238" s="123"/>
      <c r="Z238" s="123"/>
      <c r="AA238" s="123"/>
    </row>
    <row r="239">
      <c r="B239" s="160"/>
      <c r="C239" s="160"/>
      <c r="D239" s="123"/>
      <c r="E239" s="123"/>
      <c r="F239" s="123"/>
      <c r="G239" s="123"/>
      <c r="H239" s="123"/>
      <c r="I239" s="123"/>
      <c r="J239" s="123"/>
      <c r="K239" s="123"/>
      <c r="L239" s="123"/>
      <c r="M239" s="123"/>
      <c r="N239" s="123"/>
      <c r="O239" s="123"/>
      <c r="Q239" s="123"/>
      <c r="R239" s="123"/>
      <c r="S239" s="123"/>
      <c r="T239" s="123"/>
      <c r="U239" s="123"/>
      <c r="V239" s="123"/>
      <c r="W239" s="123"/>
      <c r="X239" s="123"/>
      <c r="Y239" s="123"/>
      <c r="Z239" s="123"/>
      <c r="AA239" s="123"/>
    </row>
    <row r="240">
      <c r="B240" s="160"/>
      <c r="C240" s="160"/>
      <c r="D240" s="123"/>
      <c r="E240" s="123"/>
      <c r="F240" s="123"/>
      <c r="G240" s="123"/>
      <c r="H240" s="123"/>
      <c r="I240" s="123"/>
      <c r="J240" s="123"/>
      <c r="K240" s="123"/>
      <c r="L240" s="123"/>
      <c r="M240" s="123"/>
      <c r="N240" s="123"/>
      <c r="O240" s="123"/>
      <c r="Q240" s="123"/>
      <c r="R240" s="123"/>
      <c r="S240" s="123"/>
      <c r="T240" s="123"/>
      <c r="U240" s="123"/>
      <c r="V240" s="123"/>
      <c r="W240" s="123"/>
      <c r="X240" s="123"/>
      <c r="Y240" s="123"/>
      <c r="Z240" s="123"/>
      <c r="AA240" s="123"/>
    </row>
    <row r="241">
      <c r="B241" s="160"/>
      <c r="C241" s="160"/>
      <c r="D241" s="123"/>
      <c r="E241" s="123"/>
      <c r="F241" s="123"/>
      <c r="G241" s="123"/>
      <c r="H241" s="123"/>
      <c r="I241" s="123"/>
      <c r="J241" s="123"/>
      <c r="K241" s="123"/>
      <c r="L241" s="123"/>
      <c r="M241" s="123"/>
      <c r="N241" s="123"/>
      <c r="O241" s="123"/>
      <c r="Q241" s="123"/>
      <c r="R241" s="123"/>
      <c r="S241" s="123"/>
      <c r="T241" s="123"/>
      <c r="U241" s="123"/>
      <c r="V241" s="123"/>
      <c r="W241" s="123"/>
      <c r="X241" s="123"/>
      <c r="Y241" s="123"/>
      <c r="Z241" s="123"/>
      <c r="AA241" s="123"/>
    </row>
    <row r="242">
      <c r="B242" s="160"/>
      <c r="C242" s="160"/>
      <c r="D242" s="123"/>
      <c r="E242" s="123"/>
      <c r="F242" s="123"/>
      <c r="G242" s="123"/>
      <c r="H242" s="123"/>
      <c r="I242" s="123"/>
      <c r="J242" s="123"/>
      <c r="K242" s="123"/>
      <c r="L242" s="123"/>
      <c r="M242" s="123"/>
      <c r="N242" s="123"/>
      <c r="O242" s="123"/>
      <c r="Q242" s="123"/>
      <c r="R242" s="123"/>
      <c r="S242" s="123"/>
      <c r="T242" s="123"/>
      <c r="U242" s="123"/>
      <c r="V242" s="123"/>
      <c r="W242" s="123"/>
      <c r="X242" s="123"/>
      <c r="Y242" s="123"/>
      <c r="Z242" s="123"/>
      <c r="AA242" s="123"/>
    </row>
    <row r="243">
      <c r="B243" s="160"/>
      <c r="C243" s="160"/>
      <c r="D243" s="123"/>
      <c r="E243" s="123"/>
      <c r="F243" s="123"/>
      <c r="G243" s="123"/>
      <c r="H243" s="123"/>
      <c r="I243" s="123"/>
      <c r="J243" s="123"/>
      <c r="K243" s="123"/>
      <c r="L243" s="123"/>
      <c r="M243" s="123"/>
      <c r="N243" s="123"/>
      <c r="O243" s="123"/>
      <c r="Q243" s="123"/>
      <c r="R243" s="123"/>
      <c r="S243" s="123"/>
      <c r="T243" s="123"/>
      <c r="U243" s="123"/>
      <c r="V243" s="123"/>
      <c r="W243" s="123"/>
      <c r="X243" s="123"/>
      <c r="Y243" s="123"/>
      <c r="Z243" s="123"/>
      <c r="AA243" s="123"/>
    </row>
    <row r="244">
      <c r="B244" s="160"/>
      <c r="C244" s="160"/>
      <c r="D244" s="123"/>
      <c r="E244" s="123"/>
      <c r="F244" s="123"/>
      <c r="G244" s="123"/>
      <c r="H244" s="123"/>
      <c r="I244" s="123"/>
      <c r="J244" s="123"/>
      <c r="K244" s="123"/>
      <c r="L244" s="123"/>
      <c r="M244" s="123"/>
      <c r="N244" s="123"/>
      <c r="O244" s="123"/>
      <c r="Q244" s="123"/>
      <c r="R244" s="123"/>
      <c r="S244" s="123"/>
      <c r="T244" s="123"/>
      <c r="U244" s="123"/>
      <c r="V244" s="123"/>
      <c r="W244" s="123"/>
      <c r="X244" s="123"/>
      <c r="Y244" s="123"/>
      <c r="Z244" s="123"/>
      <c r="AA244" s="123"/>
    </row>
    <row r="245">
      <c r="B245" s="160"/>
      <c r="C245" s="160"/>
      <c r="D245" s="123"/>
      <c r="E245" s="123"/>
      <c r="F245" s="123"/>
      <c r="G245" s="123"/>
      <c r="H245" s="123"/>
      <c r="I245" s="123"/>
      <c r="J245" s="123"/>
      <c r="K245" s="123"/>
      <c r="L245" s="123"/>
      <c r="M245" s="123"/>
      <c r="N245" s="123"/>
      <c r="O245" s="123"/>
      <c r="Q245" s="123"/>
      <c r="R245" s="123"/>
      <c r="S245" s="123"/>
      <c r="T245" s="123"/>
      <c r="U245" s="123"/>
      <c r="V245" s="123"/>
      <c r="W245" s="123"/>
      <c r="X245" s="123"/>
      <c r="Y245" s="123"/>
      <c r="Z245" s="123"/>
      <c r="AA245" s="123"/>
    </row>
    <row r="246">
      <c r="B246" s="160"/>
      <c r="C246" s="160"/>
      <c r="D246" s="123"/>
      <c r="E246" s="123"/>
      <c r="F246" s="123"/>
      <c r="G246" s="123"/>
      <c r="H246" s="123"/>
      <c r="I246" s="123"/>
      <c r="J246" s="123"/>
      <c r="K246" s="123"/>
      <c r="L246" s="123"/>
      <c r="M246" s="123"/>
      <c r="N246" s="123"/>
      <c r="O246" s="123"/>
      <c r="Q246" s="123"/>
      <c r="R246" s="123"/>
      <c r="S246" s="123"/>
      <c r="T246" s="123"/>
      <c r="U246" s="123"/>
      <c r="V246" s="123"/>
      <c r="W246" s="123"/>
      <c r="X246" s="123"/>
      <c r="Y246" s="123"/>
      <c r="Z246" s="123"/>
      <c r="AA246" s="123"/>
    </row>
    <row r="247">
      <c r="B247" s="160"/>
      <c r="C247" s="160"/>
      <c r="D247" s="123"/>
      <c r="E247" s="123"/>
      <c r="F247" s="123"/>
      <c r="G247" s="123"/>
      <c r="H247" s="123"/>
      <c r="I247" s="123"/>
      <c r="J247" s="123"/>
      <c r="K247" s="123"/>
      <c r="L247" s="123"/>
      <c r="M247" s="123"/>
      <c r="N247" s="123"/>
      <c r="O247" s="123"/>
      <c r="Q247" s="123"/>
      <c r="R247" s="123"/>
      <c r="S247" s="123"/>
      <c r="T247" s="123"/>
      <c r="U247" s="123"/>
      <c r="V247" s="123"/>
      <c r="W247" s="123"/>
      <c r="X247" s="123"/>
      <c r="Y247" s="123"/>
      <c r="Z247" s="123"/>
      <c r="AA247" s="123"/>
    </row>
    <row r="248">
      <c r="B248" s="160"/>
      <c r="C248" s="160"/>
      <c r="D248" s="123"/>
      <c r="E248" s="123"/>
      <c r="F248" s="123"/>
      <c r="G248" s="123"/>
      <c r="H248" s="123"/>
      <c r="I248" s="123"/>
      <c r="J248" s="123"/>
      <c r="K248" s="123"/>
      <c r="L248" s="123"/>
      <c r="M248" s="123"/>
      <c r="N248" s="123"/>
      <c r="O248" s="123"/>
      <c r="Q248" s="123"/>
      <c r="R248" s="123"/>
      <c r="S248" s="123"/>
      <c r="T248" s="123"/>
      <c r="U248" s="123"/>
      <c r="V248" s="123"/>
      <c r="W248" s="123"/>
      <c r="X248" s="123"/>
      <c r="Y248" s="123"/>
      <c r="Z248" s="123"/>
      <c r="AA248" s="123"/>
    </row>
    <row r="249">
      <c r="B249" s="160"/>
      <c r="C249" s="160"/>
      <c r="D249" s="123"/>
      <c r="E249" s="123"/>
      <c r="F249" s="123"/>
      <c r="G249" s="123"/>
      <c r="H249" s="123"/>
      <c r="I249" s="123"/>
      <c r="J249" s="123"/>
      <c r="K249" s="123"/>
      <c r="L249" s="123"/>
      <c r="M249" s="123"/>
      <c r="N249" s="123"/>
      <c r="O249" s="123"/>
      <c r="Q249" s="123"/>
      <c r="R249" s="123"/>
      <c r="S249" s="123"/>
      <c r="T249" s="123"/>
      <c r="U249" s="123"/>
      <c r="V249" s="123"/>
      <c r="W249" s="123"/>
      <c r="X249" s="123"/>
      <c r="Y249" s="123"/>
      <c r="Z249" s="123"/>
      <c r="AA249" s="123"/>
    </row>
    <row r="250">
      <c r="B250" s="160"/>
      <c r="C250" s="160"/>
      <c r="D250" s="123"/>
      <c r="E250" s="123"/>
      <c r="F250" s="123"/>
      <c r="G250" s="123"/>
      <c r="H250" s="123"/>
      <c r="I250" s="123"/>
      <c r="J250" s="123"/>
      <c r="K250" s="123"/>
      <c r="L250" s="123"/>
      <c r="M250" s="123"/>
      <c r="N250" s="123"/>
      <c r="O250" s="123"/>
      <c r="Q250" s="123"/>
      <c r="R250" s="123"/>
      <c r="S250" s="123"/>
      <c r="T250" s="123"/>
      <c r="U250" s="123"/>
      <c r="V250" s="123"/>
      <c r="W250" s="123"/>
      <c r="X250" s="123"/>
      <c r="Y250" s="123"/>
      <c r="Z250" s="123"/>
      <c r="AA250" s="123"/>
    </row>
    <row r="251">
      <c r="B251" s="160"/>
      <c r="C251" s="160"/>
      <c r="D251" s="123"/>
      <c r="E251" s="123"/>
      <c r="F251" s="123"/>
      <c r="G251" s="123"/>
      <c r="H251" s="123"/>
      <c r="I251" s="123"/>
      <c r="J251" s="123"/>
      <c r="K251" s="123"/>
      <c r="L251" s="123"/>
      <c r="M251" s="123"/>
      <c r="N251" s="123"/>
      <c r="O251" s="123"/>
      <c r="Q251" s="123"/>
      <c r="R251" s="123"/>
      <c r="S251" s="123"/>
      <c r="T251" s="123"/>
      <c r="U251" s="123"/>
      <c r="V251" s="123"/>
      <c r="W251" s="123"/>
      <c r="X251" s="123"/>
      <c r="Y251" s="123"/>
      <c r="Z251" s="123"/>
      <c r="AA251" s="123"/>
    </row>
    <row r="252">
      <c r="B252" s="160"/>
      <c r="C252" s="160"/>
      <c r="D252" s="123"/>
      <c r="E252" s="123"/>
      <c r="F252" s="123"/>
      <c r="G252" s="123"/>
      <c r="H252" s="123"/>
      <c r="I252" s="123"/>
      <c r="J252" s="123"/>
      <c r="K252" s="123"/>
      <c r="L252" s="123"/>
      <c r="M252" s="123"/>
      <c r="N252" s="123"/>
      <c r="O252" s="123"/>
      <c r="Q252" s="123"/>
      <c r="R252" s="123"/>
      <c r="S252" s="123"/>
      <c r="T252" s="123"/>
      <c r="U252" s="123"/>
      <c r="V252" s="123"/>
      <c r="W252" s="123"/>
      <c r="X252" s="123"/>
      <c r="Y252" s="123"/>
      <c r="Z252" s="123"/>
      <c r="AA252" s="123"/>
    </row>
    <row r="253">
      <c r="B253" s="160"/>
      <c r="C253" s="160"/>
      <c r="D253" s="123"/>
      <c r="E253" s="123"/>
      <c r="F253" s="123"/>
      <c r="G253" s="123"/>
      <c r="H253" s="123"/>
      <c r="I253" s="123"/>
      <c r="J253" s="123"/>
      <c r="K253" s="123"/>
      <c r="L253" s="123"/>
      <c r="M253" s="123"/>
      <c r="N253" s="123"/>
      <c r="O253" s="123"/>
      <c r="Q253" s="123"/>
      <c r="R253" s="123"/>
      <c r="S253" s="123"/>
      <c r="T253" s="123"/>
      <c r="U253" s="123"/>
      <c r="V253" s="123"/>
      <c r="W253" s="123"/>
      <c r="X253" s="123"/>
      <c r="Y253" s="123"/>
      <c r="Z253" s="123"/>
      <c r="AA253" s="123"/>
    </row>
    <row r="254">
      <c r="B254" s="160"/>
      <c r="C254" s="160"/>
      <c r="D254" s="123"/>
      <c r="E254" s="123"/>
      <c r="F254" s="123"/>
      <c r="G254" s="123"/>
      <c r="H254" s="123"/>
      <c r="I254" s="123"/>
      <c r="J254" s="123"/>
      <c r="K254" s="123"/>
      <c r="L254" s="123"/>
      <c r="M254" s="123"/>
      <c r="N254" s="123"/>
      <c r="O254" s="123"/>
      <c r="Q254" s="123"/>
      <c r="R254" s="123"/>
      <c r="S254" s="123"/>
      <c r="T254" s="123"/>
      <c r="U254" s="123"/>
      <c r="V254" s="123"/>
      <c r="W254" s="123"/>
      <c r="X254" s="123"/>
      <c r="Y254" s="123"/>
      <c r="Z254" s="123"/>
      <c r="AA254" s="123"/>
    </row>
    <row r="255">
      <c r="B255" s="160"/>
      <c r="C255" s="160"/>
      <c r="D255" s="123"/>
      <c r="E255" s="123"/>
      <c r="F255" s="123"/>
      <c r="G255" s="123"/>
      <c r="H255" s="123"/>
      <c r="I255" s="123"/>
      <c r="J255" s="123"/>
      <c r="K255" s="123"/>
      <c r="L255" s="123"/>
      <c r="M255" s="123"/>
      <c r="N255" s="123"/>
      <c r="O255" s="123"/>
      <c r="Q255" s="123"/>
      <c r="R255" s="123"/>
      <c r="S255" s="123"/>
      <c r="T255" s="123"/>
      <c r="U255" s="123"/>
      <c r="V255" s="123"/>
      <c r="W255" s="123"/>
      <c r="X255" s="123"/>
      <c r="Y255" s="123"/>
      <c r="Z255" s="123"/>
      <c r="AA255" s="123"/>
    </row>
    <row r="256">
      <c r="B256" s="160"/>
      <c r="C256" s="160"/>
      <c r="D256" s="123"/>
      <c r="E256" s="123"/>
      <c r="F256" s="123"/>
      <c r="G256" s="123"/>
      <c r="H256" s="123"/>
      <c r="I256" s="123"/>
      <c r="J256" s="123"/>
      <c r="K256" s="123"/>
      <c r="L256" s="123"/>
      <c r="M256" s="123"/>
      <c r="N256" s="123"/>
      <c r="O256" s="123"/>
      <c r="Q256" s="123"/>
      <c r="R256" s="123"/>
      <c r="S256" s="123"/>
      <c r="T256" s="123"/>
      <c r="U256" s="123"/>
      <c r="V256" s="123"/>
      <c r="W256" s="123"/>
      <c r="X256" s="123"/>
      <c r="Y256" s="123"/>
      <c r="Z256" s="123"/>
      <c r="AA256" s="123"/>
    </row>
    <row r="257">
      <c r="B257" s="160"/>
      <c r="C257" s="160"/>
      <c r="D257" s="123"/>
      <c r="E257" s="123"/>
      <c r="F257" s="123"/>
      <c r="G257" s="123"/>
      <c r="H257" s="123"/>
      <c r="I257" s="123"/>
      <c r="J257" s="123"/>
      <c r="K257" s="123"/>
      <c r="L257" s="123"/>
      <c r="M257" s="123"/>
      <c r="N257" s="123"/>
      <c r="O257" s="123"/>
      <c r="Q257" s="123"/>
      <c r="R257" s="123"/>
      <c r="S257" s="123"/>
      <c r="T257" s="123"/>
      <c r="U257" s="123"/>
      <c r="V257" s="123"/>
      <c r="W257" s="123"/>
      <c r="X257" s="123"/>
      <c r="Y257" s="123"/>
      <c r="Z257" s="123"/>
      <c r="AA257" s="123"/>
    </row>
    <row r="258">
      <c r="B258" s="160"/>
      <c r="C258" s="160"/>
      <c r="D258" s="123"/>
      <c r="E258" s="123"/>
      <c r="F258" s="123"/>
      <c r="G258" s="123"/>
      <c r="H258" s="123"/>
      <c r="I258" s="123"/>
      <c r="J258" s="123"/>
      <c r="K258" s="123"/>
      <c r="L258" s="123"/>
      <c r="M258" s="123"/>
      <c r="N258" s="123"/>
      <c r="O258" s="123"/>
      <c r="Q258" s="123"/>
      <c r="R258" s="123"/>
      <c r="S258" s="123"/>
      <c r="T258" s="123"/>
      <c r="U258" s="123"/>
      <c r="V258" s="123"/>
      <c r="W258" s="123"/>
      <c r="X258" s="123"/>
      <c r="Y258" s="123"/>
      <c r="Z258" s="123"/>
      <c r="AA258" s="123"/>
    </row>
    <row r="259">
      <c r="B259" s="160"/>
      <c r="C259" s="160"/>
      <c r="D259" s="123"/>
      <c r="E259" s="123"/>
      <c r="F259" s="123"/>
      <c r="G259" s="123"/>
      <c r="H259" s="123"/>
      <c r="I259" s="123"/>
      <c r="J259" s="123"/>
      <c r="K259" s="123"/>
      <c r="L259" s="123"/>
      <c r="M259" s="123"/>
      <c r="N259" s="123"/>
      <c r="O259" s="123"/>
      <c r="Q259" s="123"/>
      <c r="R259" s="123"/>
      <c r="S259" s="123"/>
      <c r="T259" s="123"/>
      <c r="U259" s="123"/>
      <c r="V259" s="123"/>
      <c r="W259" s="123"/>
      <c r="X259" s="123"/>
      <c r="Y259" s="123"/>
      <c r="Z259" s="123"/>
      <c r="AA259" s="123"/>
    </row>
    <row r="260">
      <c r="B260" s="160"/>
      <c r="C260" s="160"/>
      <c r="D260" s="123"/>
      <c r="E260" s="123"/>
      <c r="F260" s="123"/>
      <c r="G260" s="123"/>
      <c r="H260" s="123"/>
      <c r="I260" s="123"/>
      <c r="J260" s="123"/>
      <c r="K260" s="123"/>
      <c r="L260" s="123"/>
      <c r="M260" s="123"/>
      <c r="N260" s="123"/>
      <c r="O260" s="123"/>
      <c r="Q260" s="123"/>
      <c r="R260" s="123"/>
      <c r="S260" s="123"/>
      <c r="T260" s="123"/>
      <c r="U260" s="123"/>
      <c r="V260" s="123"/>
      <c r="W260" s="123"/>
      <c r="X260" s="123"/>
      <c r="Y260" s="123"/>
      <c r="Z260" s="123"/>
      <c r="AA260" s="123"/>
    </row>
    <row r="261">
      <c r="B261" s="160"/>
      <c r="C261" s="160"/>
      <c r="D261" s="123"/>
      <c r="E261" s="123"/>
      <c r="F261" s="123"/>
      <c r="G261" s="123"/>
      <c r="H261" s="123"/>
      <c r="I261" s="123"/>
      <c r="J261" s="123"/>
      <c r="K261" s="123"/>
      <c r="L261" s="123"/>
      <c r="M261" s="123"/>
      <c r="N261" s="123"/>
      <c r="O261" s="123"/>
      <c r="Q261" s="123"/>
      <c r="R261" s="123"/>
      <c r="S261" s="123"/>
      <c r="T261" s="123"/>
      <c r="U261" s="123"/>
      <c r="V261" s="123"/>
      <c r="W261" s="123"/>
      <c r="X261" s="123"/>
      <c r="Y261" s="123"/>
      <c r="Z261" s="123"/>
      <c r="AA261" s="123"/>
    </row>
    <row r="262">
      <c r="B262" s="160"/>
      <c r="C262" s="160"/>
      <c r="D262" s="123"/>
      <c r="E262" s="123"/>
      <c r="F262" s="123"/>
      <c r="G262" s="123"/>
      <c r="H262" s="123"/>
      <c r="I262" s="123"/>
      <c r="J262" s="123"/>
      <c r="K262" s="123"/>
      <c r="L262" s="123"/>
      <c r="M262" s="123"/>
      <c r="N262" s="123"/>
      <c r="O262" s="123"/>
      <c r="Q262" s="123"/>
      <c r="R262" s="123"/>
      <c r="S262" s="123"/>
      <c r="T262" s="123"/>
      <c r="U262" s="123"/>
      <c r="V262" s="123"/>
      <c r="W262" s="123"/>
      <c r="X262" s="123"/>
      <c r="Y262" s="123"/>
      <c r="Z262" s="123"/>
      <c r="AA262" s="123"/>
    </row>
    <row r="263">
      <c r="B263" s="160"/>
      <c r="C263" s="160"/>
      <c r="D263" s="123"/>
      <c r="E263" s="123"/>
      <c r="F263" s="123"/>
      <c r="G263" s="123"/>
      <c r="H263" s="123"/>
      <c r="I263" s="123"/>
      <c r="J263" s="123"/>
      <c r="K263" s="123"/>
      <c r="L263" s="123"/>
      <c r="M263" s="123"/>
      <c r="N263" s="123"/>
      <c r="O263" s="123"/>
      <c r="Q263" s="123"/>
      <c r="R263" s="123"/>
      <c r="S263" s="123"/>
      <c r="T263" s="123"/>
      <c r="U263" s="123"/>
      <c r="V263" s="123"/>
      <c r="W263" s="123"/>
      <c r="X263" s="123"/>
      <c r="Y263" s="123"/>
      <c r="Z263" s="123"/>
      <c r="AA263" s="123"/>
    </row>
    <row r="264">
      <c r="B264" s="160"/>
      <c r="C264" s="160"/>
      <c r="D264" s="123"/>
      <c r="E264" s="123"/>
      <c r="F264" s="123"/>
      <c r="G264" s="123"/>
      <c r="H264" s="123"/>
      <c r="I264" s="123"/>
      <c r="J264" s="123"/>
      <c r="K264" s="123"/>
      <c r="L264" s="123"/>
      <c r="M264" s="123"/>
      <c r="N264" s="123"/>
      <c r="O264" s="123"/>
      <c r="Q264" s="123"/>
      <c r="R264" s="123"/>
      <c r="S264" s="123"/>
      <c r="T264" s="123"/>
      <c r="U264" s="123"/>
      <c r="V264" s="123"/>
      <c r="W264" s="123"/>
      <c r="X264" s="123"/>
      <c r="Y264" s="123"/>
      <c r="Z264" s="123"/>
      <c r="AA264" s="123"/>
    </row>
    <row r="265">
      <c r="B265" s="160"/>
      <c r="C265" s="160"/>
      <c r="D265" s="123"/>
      <c r="E265" s="123"/>
      <c r="F265" s="123"/>
      <c r="G265" s="123"/>
      <c r="H265" s="123"/>
      <c r="I265" s="123"/>
      <c r="J265" s="123"/>
      <c r="K265" s="123"/>
      <c r="L265" s="123"/>
      <c r="M265" s="123"/>
      <c r="N265" s="123"/>
      <c r="O265" s="123"/>
      <c r="Q265" s="123"/>
      <c r="R265" s="123"/>
      <c r="S265" s="123"/>
      <c r="T265" s="123"/>
      <c r="U265" s="123"/>
      <c r="V265" s="123"/>
      <c r="W265" s="123"/>
      <c r="X265" s="123"/>
      <c r="Y265" s="123"/>
      <c r="Z265" s="123"/>
      <c r="AA265" s="123"/>
    </row>
    <row r="266">
      <c r="B266" s="160"/>
      <c r="C266" s="160"/>
      <c r="D266" s="123"/>
      <c r="E266" s="123"/>
      <c r="F266" s="123"/>
      <c r="G266" s="123"/>
      <c r="H266" s="123"/>
      <c r="I266" s="123"/>
      <c r="J266" s="123"/>
      <c r="K266" s="123"/>
      <c r="L266" s="123"/>
      <c r="M266" s="123"/>
      <c r="N266" s="123"/>
      <c r="O266" s="123"/>
      <c r="Q266" s="123"/>
      <c r="R266" s="123"/>
      <c r="S266" s="123"/>
      <c r="T266" s="123"/>
      <c r="U266" s="123"/>
      <c r="V266" s="123"/>
      <c r="W266" s="123"/>
      <c r="X266" s="123"/>
      <c r="Y266" s="123"/>
      <c r="Z266" s="123"/>
      <c r="AA266" s="123"/>
    </row>
    <row r="267">
      <c r="B267" s="160"/>
      <c r="C267" s="160"/>
      <c r="D267" s="123"/>
      <c r="E267" s="123"/>
      <c r="F267" s="123"/>
      <c r="G267" s="123"/>
      <c r="H267" s="123"/>
      <c r="I267" s="123"/>
      <c r="J267" s="123"/>
      <c r="K267" s="123"/>
      <c r="L267" s="123"/>
      <c r="M267" s="123"/>
      <c r="N267" s="123"/>
      <c r="O267" s="123"/>
      <c r="Q267" s="123"/>
      <c r="R267" s="123"/>
      <c r="S267" s="123"/>
      <c r="T267" s="123"/>
      <c r="U267" s="123"/>
      <c r="V267" s="123"/>
      <c r="W267" s="123"/>
      <c r="X267" s="123"/>
      <c r="Y267" s="123"/>
      <c r="Z267" s="123"/>
      <c r="AA267" s="123"/>
    </row>
    <row r="268">
      <c r="B268" s="160"/>
      <c r="C268" s="160"/>
      <c r="D268" s="123"/>
      <c r="E268" s="123"/>
      <c r="F268" s="123"/>
      <c r="G268" s="123"/>
      <c r="H268" s="123"/>
      <c r="I268" s="123"/>
      <c r="J268" s="123"/>
      <c r="K268" s="123"/>
      <c r="L268" s="123"/>
      <c r="M268" s="123"/>
      <c r="N268" s="123"/>
      <c r="O268" s="123"/>
      <c r="Q268" s="123"/>
      <c r="R268" s="123"/>
      <c r="S268" s="123"/>
      <c r="T268" s="123"/>
      <c r="U268" s="123"/>
      <c r="V268" s="123"/>
      <c r="W268" s="123"/>
      <c r="X268" s="123"/>
      <c r="Y268" s="123"/>
      <c r="Z268" s="123"/>
      <c r="AA268" s="123"/>
    </row>
    <row r="269">
      <c r="B269" s="160"/>
      <c r="C269" s="160"/>
      <c r="D269" s="123"/>
      <c r="E269" s="123"/>
      <c r="F269" s="123"/>
      <c r="G269" s="123"/>
      <c r="H269" s="123"/>
      <c r="I269" s="123"/>
      <c r="J269" s="123"/>
      <c r="K269" s="123"/>
      <c r="L269" s="123"/>
      <c r="M269" s="123"/>
      <c r="N269" s="123"/>
      <c r="O269" s="123"/>
      <c r="Q269" s="123"/>
      <c r="R269" s="123"/>
      <c r="S269" s="123"/>
      <c r="T269" s="123"/>
      <c r="U269" s="123"/>
      <c r="V269" s="123"/>
      <c r="W269" s="123"/>
      <c r="X269" s="123"/>
      <c r="Y269" s="123"/>
      <c r="Z269" s="123"/>
      <c r="AA269" s="123"/>
    </row>
    <row r="270">
      <c r="B270" s="160"/>
      <c r="C270" s="160"/>
      <c r="D270" s="123"/>
      <c r="E270" s="123"/>
      <c r="F270" s="123"/>
      <c r="G270" s="123"/>
      <c r="H270" s="123"/>
      <c r="I270" s="123"/>
      <c r="J270" s="123"/>
      <c r="K270" s="123"/>
      <c r="L270" s="123"/>
      <c r="M270" s="123"/>
      <c r="N270" s="123"/>
      <c r="O270" s="123"/>
      <c r="Q270" s="123"/>
      <c r="R270" s="123"/>
      <c r="S270" s="123"/>
      <c r="T270" s="123"/>
      <c r="U270" s="123"/>
      <c r="V270" s="123"/>
      <c r="W270" s="123"/>
      <c r="X270" s="123"/>
      <c r="Y270" s="123"/>
      <c r="Z270" s="123"/>
      <c r="AA270" s="123"/>
    </row>
    <row r="271">
      <c r="B271" s="160"/>
      <c r="C271" s="160"/>
      <c r="D271" s="123"/>
      <c r="E271" s="123"/>
      <c r="F271" s="123"/>
      <c r="G271" s="123"/>
      <c r="H271" s="123"/>
      <c r="I271" s="123"/>
      <c r="J271" s="123"/>
      <c r="K271" s="123"/>
      <c r="L271" s="123"/>
      <c r="M271" s="123"/>
      <c r="N271" s="123"/>
      <c r="O271" s="123"/>
      <c r="Q271" s="123"/>
      <c r="R271" s="123"/>
      <c r="S271" s="123"/>
      <c r="T271" s="123"/>
      <c r="U271" s="123"/>
      <c r="V271" s="123"/>
      <c r="W271" s="123"/>
      <c r="X271" s="123"/>
      <c r="Y271" s="123"/>
      <c r="Z271" s="123"/>
      <c r="AA271" s="123"/>
    </row>
    <row r="272">
      <c r="B272" s="160"/>
      <c r="C272" s="160"/>
      <c r="D272" s="123"/>
      <c r="E272" s="123"/>
      <c r="F272" s="123"/>
      <c r="G272" s="123"/>
      <c r="H272" s="123"/>
      <c r="I272" s="123"/>
      <c r="J272" s="123"/>
      <c r="K272" s="123"/>
      <c r="L272" s="123"/>
      <c r="M272" s="123"/>
      <c r="N272" s="123"/>
      <c r="O272" s="123"/>
      <c r="Q272" s="123"/>
      <c r="R272" s="123"/>
      <c r="S272" s="123"/>
      <c r="T272" s="123"/>
      <c r="U272" s="123"/>
      <c r="V272" s="123"/>
      <c r="W272" s="123"/>
      <c r="X272" s="123"/>
      <c r="Y272" s="123"/>
      <c r="Z272" s="123"/>
      <c r="AA272" s="123"/>
    </row>
    <row r="273">
      <c r="B273" s="160"/>
      <c r="C273" s="160"/>
      <c r="D273" s="123"/>
      <c r="E273" s="123"/>
      <c r="F273" s="123"/>
      <c r="G273" s="123"/>
      <c r="H273" s="123"/>
      <c r="I273" s="123"/>
      <c r="J273" s="123"/>
      <c r="K273" s="123"/>
      <c r="L273" s="123"/>
      <c r="M273" s="123"/>
      <c r="N273" s="123"/>
      <c r="O273" s="123"/>
      <c r="Q273" s="123"/>
      <c r="R273" s="123"/>
      <c r="S273" s="123"/>
      <c r="T273" s="123"/>
      <c r="U273" s="123"/>
      <c r="V273" s="123"/>
      <c r="W273" s="123"/>
      <c r="X273" s="123"/>
      <c r="Y273" s="123"/>
      <c r="Z273" s="123"/>
      <c r="AA273" s="123"/>
    </row>
    <row r="274">
      <c r="B274" s="160"/>
      <c r="C274" s="160"/>
      <c r="D274" s="123"/>
      <c r="E274" s="123"/>
      <c r="F274" s="123"/>
      <c r="G274" s="123"/>
      <c r="H274" s="123"/>
      <c r="I274" s="123"/>
      <c r="J274" s="123"/>
      <c r="K274" s="123"/>
      <c r="L274" s="123"/>
      <c r="M274" s="123"/>
      <c r="N274" s="123"/>
      <c r="O274" s="123"/>
      <c r="Q274" s="123"/>
      <c r="R274" s="123"/>
      <c r="S274" s="123"/>
      <c r="T274" s="123"/>
      <c r="U274" s="123"/>
      <c r="V274" s="123"/>
      <c r="W274" s="123"/>
      <c r="X274" s="123"/>
      <c r="Y274" s="123"/>
      <c r="Z274" s="123"/>
      <c r="AA274" s="123"/>
    </row>
    <row r="275">
      <c r="B275" s="160"/>
      <c r="C275" s="160"/>
      <c r="D275" s="123"/>
      <c r="E275" s="123"/>
      <c r="F275" s="123"/>
      <c r="G275" s="123"/>
      <c r="H275" s="123"/>
      <c r="I275" s="123"/>
      <c r="J275" s="123"/>
      <c r="K275" s="123"/>
      <c r="L275" s="123"/>
      <c r="M275" s="123"/>
      <c r="N275" s="123"/>
      <c r="O275" s="123"/>
      <c r="Q275" s="123"/>
      <c r="R275" s="123"/>
      <c r="S275" s="123"/>
      <c r="T275" s="123"/>
      <c r="U275" s="123"/>
      <c r="V275" s="123"/>
      <c r="W275" s="123"/>
      <c r="X275" s="123"/>
      <c r="Y275" s="123"/>
      <c r="Z275" s="123"/>
      <c r="AA275" s="123"/>
    </row>
    <row r="276">
      <c r="B276" s="160"/>
      <c r="C276" s="160"/>
      <c r="D276" s="123"/>
      <c r="E276" s="123"/>
      <c r="F276" s="123"/>
      <c r="G276" s="123"/>
      <c r="H276" s="123"/>
      <c r="I276" s="123"/>
      <c r="J276" s="123"/>
      <c r="K276" s="123"/>
      <c r="L276" s="123"/>
      <c r="M276" s="123"/>
      <c r="N276" s="123"/>
      <c r="O276" s="123"/>
      <c r="Q276" s="123"/>
      <c r="R276" s="123"/>
      <c r="S276" s="123"/>
      <c r="T276" s="123"/>
      <c r="U276" s="123"/>
      <c r="V276" s="123"/>
      <c r="W276" s="123"/>
      <c r="X276" s="123"/>
      <c r="Y276" s="123"/>
      <c r="Z276" s="123"/>
      <c r="AA276" s="123"/>
    </row>
    <row r="277">
      <c r="B277" s="160"/>
      <c r="C277" s="160"/>
      <c r="D277" s="123"/>
      <c r="E277" s="123"/>
      <c r="F277" s="123"/>
      <c r="G277" s="123"/>
      <c r="H277" s="123"/>
      <c r="I277" s="123"/>
      <c r="J277" s="123"/>
      <c r="K277" s="123"/>
      <c r="L277" s="123"/>
      <c r="M277" s="123"/>
      <c r="N277" s="123"/>
      <c r="O277" s="123"/>
      <c r="Q277" s="123"/>
      <c r="R277" s="123"/>
      <c r="S277" s="123"/>
      <c r="T277" s="123"/>
      <c r="U277" s="123"/>
      <c r="V277" s="123"/>
      <c r="W277" s="123"/>
      <c r="X277" s="123"/>
      <c r="Y277" s="123"/>
      <c r="Z277" s="123"/>
      <c r="AA277" s="123"/>
    </row>
    <row r="278">
      <c r="B278" s="160"/>
      <c r="C278" s="160"/>
      <c r="D278" s="123"/>
      <c r="E278" s="123"/>
      <c r="F278" s="123"/>
      <c r="G278" s="123"/>
      <c r="H278" s="123"/>
      <c r="I278" s="123"/>
      <c r="J278" s="123"/>
      <c r="K278" s="123"/>
      <c r="L278" s="123"/>
      <c r="M278" s="123"/>
      <c r="N278" s="123"/>
      <c r="O278" s="123"/>
      <c r="Q278" s="123"/>
      <c r="R278" s="123"/>
      <c r="S278" s="123"/>
      <c r="T278" s="123"/>
      <c r="U278" s="123"/>
      <c r="V278" s="123"/>
      <c r="W278" s="123"/>
      <c r="X278" s="123"/>
      <c r="Y278" s="123"/>
      <c r="Z278" s="123"/>
      <c r="AA278" s="123"/>
    </row>
    <row r="279">
      <c r="B279" s="160"/>
      <c r="C279" s="160"/>
      <c r="D279" s="123"/>
      <c r="E279" s="123"/>
      <c r="F279" s="123"/>
      <c r="G279" s="123"/>
      <c r="H279" s="123"/>
      <c r="I279" s="123"/>
      <c r="J279" s="123"/>
      <c r="K279" s="123"/>
      <c r="L279" s="123"/>
      <c r="M279" s="123"/>
      <c r="N279" s="123"/>
      <c r="O279" s="123"/>
      <c r="Q279" s="123"/>
      <c r="R279" s="123"/>
      <c r="S279" s="123"/>
      <c r="T279" s="123"/>
      <c r="U279" s="123"/>
      <c r="V279" s="123"/>
      <c r="W279" s="123"/>
      <c r="X279" s="123"/>
      <c r="Y279" s="123"/>
      <c r="Z279" s="123"/>
      <c r="AA279" s="123"/>
    </row>
    <row r="280">
      <c r="B280" s="160"/>
      <c r="C280" s="160"/>
      <c r="D280" s="123"/>
      <c r="E280" s="123"/>
      <c r="F280" s="123"/>
      <c r="G280" s="123"/>
      <c r="H280" s="123"/>
      <c r="I280" s="123"/>
      <c r="J280" s="123"/>
      <c r="K280" s="123"/>
      <c r="L280" s="123"/>
      <c r="M280" s="123"/>
      <c r="N280" s="123"/>
      <c r="O280" s="123"/>
      <c r="Q280" s="123"/>
      <c r="R280" s="123"/>
      <c r="S280" s="123"/>
      <c r="T280" s="123"/>
      <c r="U280" s="123"/>
      <c r="V280" s="123"/>
      <c r="W280" s="123"/>
      <c r="X280" s="123"/>
      <c r="Y280" s="123"/>
      <c r="Z280" s="123"/>
      <c r="AA280" s="123"/>
    </row>
    <row r="281">
      <c r="B281" s="160"/>
      <c r="C281" s="160"/>
      <c r="D281" s="123"/>
      <c r="E281" s="123"/>
      <c r="F281" s="123"/>
      <c r="G281" s="123"/>
      <c r="H281" s="123"/>
      <c r="I281" s="123"/>
      <c r="J281" s="123"/>
      <c r="K281" s="123"/>
      <c r="L281" s="123"/>
      <c r="M281" s="123"/>
      <c r="N281" s="123"/>
      <c r="O281" s="123"/>
      <c r="Q281" s="123"/>
      <c r="R281" s="123"/>
      <c r="S281" s="123"/>
      <c r="T281" s="123"/>
      <c r="U281" s="123"/>
      <c r="V281" s="123"/>
      <c r="W281" s="123"/>
      <c r="X281" s="123"/>
      <c r="Y281" s="123"/>
      <c r="Z281" s="123"/>
      <c r="AA281" s="123"/>
    </row>
    <row r="282">
      <c r="B282" s="160"/>
      <c r="C282" s="160"/>
      <c r="D282" s="123"/>
      <c r="E282" s="123"/>
      <c r="F282" s="123"/>
      <c r="G282" s="123"/>
      <c r="H282" s="123"/>
      <c r="I282" s="123"/>
      <c r="J282" s="123"/>
      <c r="K282" s="123"/>
      <c r="L282" s="123"/>
      <c r="M282" s="123"/>
      <c r="N282" s="123"/>
      <c r="O282" s="123"/>
      <c r="Q282" s="123"/>
      <c r="R282" s="123"/>
      <c r="S282" s="123"/>
      <c r="T282" s="123"/>
      <c r="U282" s="123"/>
      <c r="V282" s="123"/>
      <c r="W282" s="123"/>
      <c r="X282" s="123"/>
      <c r="Y282" s="123"/>
      <c r="Z282" s="123"/>
      <c r="AA282" s="123"/>
    </row>
    <row r="283">
      <c r="B283" s="160"/>
      <c r="C283" s="160"/>
      <c r="D283" s="123"/>
      <c r="E283" s="123"/>
      <c r="F283" s="123"/>
      <c r="G283" s="123"/>
      <c r="H283" s="123"/>
      <c r="I283" s="123"/>
      <c r="J283" s="123"/>
      <c r="K283" s="123"/>
      <c r="L283" s="123"/>
      <c r="M283" s="123"/>
      <c r="N283" s="123"/>
      <c r="O283" s="123"/>
      <c r="Q283" s="123"/>
      <c r="R283" s="123"/>
      <c r="S283" s="123"/>
      <c r="T283" s="123"/>
      <c r="U283" s="123"/>
      <c r="V283" s="123"/>
      <c r="W283" s="123"/>
      <c r="X283" s="123"/>
      <c r="Y283" s="123"/>
      <c r="Z283" s="123"/>
      <c r="AA283" s="123"/>
    </row>
    <row r="284">
      <c r="B284" s="160"/>
      <c r="C284" s="160"/>
      <c r="D284" s="123"/>
      <c r="E284" s="123"/>
      <c r="F284" s="123"/>
      <c r="G284" s="123"/>
      <c r="H284" s="123"/>
      <c r="I284" s="123"/>
      <c r="J284" s="123"/>
      <c r="K284" s="123"/>
      <c r="L284" s="123"/>
      <c r="M284" s="123"/>
      <c r="N284" s="123"/>
      <c r="O284" s="123"/>
      <c r="Q284" s="123"/>
      <c r="R284" s="123"/>
      <c r="S284" s="123"/>
      <c r="T284" s="123"/>
      <c r="U284" s="123"/>
      <c r="V284" s="123"/>
      <c r="W284" s="123"/>
      <c r="X284" s="123"/>
      <c r="Y284" s="123"/>
      <c r="Z284" s="123"/>
      <c r="AA284" s="123"/>
    </row>
    <row r="285">
      <c r="B285" s="160"/>
      <c r="C285" s="160"/>
      <c r="D285" s="123"/>
      <c r="E285" s="123"/>
      <c r="F285" s="123"/>
      <c r="G285" s="123"/>
      <c r="H285" s="123"/>
      <c r="I285" s="123"/>
      <c r="J285" s="123"/>
      <c r="K285" s="123"/>
      <c r="L285" s="123"/>
      <c r="M285" s="123"/>
      <c r="N285" s="123"/>
      <c r="O285" s="123"/>
      <c r="Q285" s="123"/>
      <c r="R285" s="123"/>
      <c r="S285" s="123"/>
      <c r="T285" s="123"/>
      <c r="U285" s="123"/>
      <c r="V285" s="123"/>
      <c r="W285" s="123"/>
      <c r="X285" s="123"/>
      <c r="Y285" s="123"/>
      <c r="Z285" s="123"/>
      <c r="AA285" s="123"/>
    </row>
    <row r="286">
      <c r="B286" s="160"/>
      <c r="C286" s="160"/>
      <c r="D286" s="123"/>
      <c r="E286" s="123"/>
      <c r="F286" s="123"/>
      <c r="G286" s="123"/>
      <c r="H286" s="123"/>
      <c r="I286" s="123"/>
      <c r="J286" s="123"/>
      <c r="K286" s="123"/>
      <c r="L286" s="123"/>
      <c r="M286" s="123"/>
      <c r="N286" s="123"/>
      <c r="O286" s="123"/>
      <c r="Q286" s="123"/>
      <c r="R286" s="123"/>
      <c r="S286" s="123"/>
      <c r="T286" s="123"/>
      <c r="U286" s="123"/>
      <c r="V286" s="123"/>
      <c r="W286" s="123"/>
      <c r="X286" s="123"/>
      <c r="Y286" s="123"/>
      <c r="Z286" s="123"/>
      <c r="AA286" s="123"/>
    </row>
    <row r="287">
      <c r="B287" s="160"/>
      <c r="C287" s="160"/>
      <c r="D287" s="123"/>
      <c r="E287" s="123"/>
      <c r="F287" s="123"/>
      <c r="G287" s="123"/>
      <c r="H287" s="123"/>
      <c r="I287" s="123"/>
      <c r="J287" s="123"/>
      <c r="K287" s="123"/>
      <c r="L287" s="123"/>
      <c r="M287" s="123"/>
      <c r="N287" s="123"/>
      <c r="O287" s="123"/>
      <c r="Q287" s="123"/>
      <c r="R287" s="123"/>
      <c r="S287" s="123"/>
      <c r="T287" s="123"/>
      <c r="U287" s="123"/>
      <c r="V287" s="123"/>
      <c r="W287" s="123"/>
      <c r="X287" s="123"/>
      <c r="Y287" s="123"/>
      <c r="Z287" s="123"/>
      <c r="AA287" s="123"/>
    </row>
    <row r="288">
      <c r="B288" s="160"/>
      <c r="C288" s="160"/>
      <c r="D288" s="123"/>
      <c r="E288" s="123"/>
      <c r="F288" s="123"/>
      <c r="G288" s="123"/>
      <c r="H288" s="123"/>
      <c r="I288" s="123"/>
      <c r="J288" s="123"/>
      <c r="K288" s="123"/>
      <c r="L288" s="123"/>
      <c r="M288" s="123"/>
      <c r="N288" s="123"/>
      <c r="O288" s="123"/>
      <c r="Q288" s="123"/>
      <c r="R288" s="123"/>
      <c r="S288" s="123"/>
      <c r="T288" s="123"/>
      <c r="U288" s="123"/>
      <c r="V288" s="123"/>
      <c r="W288" s="123"/>
      <c r="X288" s="123"/>
      <c r="Y288" s="123"/>
      <c r="Z288" s="123"/>
      <c r="AA288" s="123"/>
    </row>
    <row r="289">
      <c r="B289" s="160"/>
      <c r="C289" s="160"/>
      <c r="D289" s="123"/>
      <c r="E289" s="123"/>
      <c r="F289" s="123"/>
      <c r="G289" s="123"/>
      <c r="H289" s="123"/>
      <c r="I289" s="123"/>
      <c r="J289" s="123"/>
      <c r="K289" s="123"/>
      <c r="L289" s="123"/>
      <c r="M289" s="123"/>
      <c r="N289" s="123"/>
      <c r="O289" s="123"/>
      <c r="Q289" s="123"/>
      <c r="R289" s="123"/>
      <c r="S289" s="123"/>
      <c r="T289" s="123"/>
      <c r="U289" s="123"/>
      <c r="V289" s="123"/>
      <c r="W289" s="123"/>
      <c r="X289" s="123"/>
      <c r="Y289" s="123"/>
      <c r="Z289" s="123"/>
      <c r="AA289" s="123"/>
    </row>
    <row r="290">
      <c r="B290" s="160"/>
      <c r="C290" s="160"/>
      <c r="D290" s="123"/>
      <c r="E290" s="123"/>
      <c r="F290" s="123"/>
      <c r="G290" s="123"/>
      <c r="H290" s="123"/>
      <c r="I290" s="123"/>
      <c r="J290" s="123"/>
      <c r="K290" s="123"/>
      <c r="L290" s="123"/>
      <c r="M290" s="123"/>
      <c r="N290" s="123"/>
      <c r="O290" s="123"/>
      <c r="Q290" s="123"/>
      <c r="R290" s="123"/>
      <c r="S290" s="123"/>
      <c r="T290" s="123"/>
      <c r="U290" s="123"/>
      <c r="V290" s="123"/>
      <c r="W290" s="123"/>
      <c r="X290" s="123"/>
      <c r="Y290" s="123"/>
      <c r="Z290" s="123"/>
      <c r="AA290" s="123"/>
    </row>
    <row r="291">
      <c r="B291" s="160"/>
      <c r="C291" s="160"/>
      <c r="D291" s="123"/>
      <c r="E291" s="123"/>
      <c r="F291" s="123"/>
      <c r="G291" s="123"/>
      <c r="H291" s="123"/>
      <c r="I291" s="123"/>
      <c r="J291" s="123"/>
      <c r="K291" s="123"/>
      <c r="L291" s="123"/>
      <c r="M291" s="123"/>
      <c r="N291" s="123"/>
      <c r="O291" s="123"/>
      <c r="Q291" s="123"/>
      <c r="R291" s="123"/>
      <c r="S291" s="123"/>
      <c r="T291" s="123"/>
      <c r="U291" s="123"/>
      <c r="V291" s="123"/>
      <c r="W291" s="123"/>
      <c r="X291" s="123"/>
      <c r="Y291" s="123"/>
      <c r="Z291" s="123"/>
      <c r="AA291" s="123"/>
    </row>
    <row r="292">
      <c r="B292" s="160"/>
      <c r="C292" s="160"/>
      <c r="D292" s="123"/>
      <c r="E292" s="123"/>
      <c r="F292" s="123"/>
      <c r="G292" s="123"/>
      <c r="H292" s="123"/>
      <c r="I292" s="123"/>
      <c r="J292" s="123"/>
      <c r="K292" s="123"/>
      <c r="L292" s="123"/>
      <c r="M292" s="123"/>
      <c r="N292" s="123"/>
      <c r="O292" s="123"/>
      <c r="Q292" s="123"/>
      <c r="R292" s="123"/>
      <c r="S292" s="123"/>
      <c r="T292" s="123"/>
      <c r="U292" s="123"/>
      <c r="V292" s="123"/>
      <c r="W292" s="123"/>
      <c r="X292" s="123"/>
      <c r="Y292" s="123"/>
      <c r="Z292" s="123"/>
      <c r="AA292" s="123"/>
    </row>
    <row r="293">
      <c r="B293" s="160"/>
      <c r="C293" s="160"/>
      <c r="D293" s="123"/>
      <c r="E293" s="123"/>
      <c r="F293" s="123"/>
      <c r="G293" s="123"/>
      <c r="H293" s="123"/>
      <c r="I293" s="123"/>
      <c r="J293" s="123"/>
      <c r="K293" s="123"/>
      <c r="L293" s="123"/>
      <c r="M293" s="123"/>
      <c r="N293" s="123"/>
      <c r="O293" s="123"/>
      <c r="Q293" s="123"/>
      <c r="R293" s="123"/>
      <c r="S293" s="123"/>
      <c r="T293" s="123"/>
      <c r="U293" s="123"/>
      <c r="V293" s="123"/>
      <c r="W293" s="123"/>
      <c r="X293" s="123"/>
      <c r="Y293" s="123"/>
      <c r="Z293" s="123"/>
      <c r="AA293" s="123"/>
    </row>
    <row r="294">
      <c r="B294" s="160"/>
      <c r="C294" s="160"/>
      <c r="D294" s="123"/>
      <c r="E294" s="123"/>
      <c r="F294" s="123"/>
      <c r="G294" s="123"/>
      <c r="H294" s="123"/>
      <c r="I294" s="123"/>
      <c r="J294" s="123"/>
      <c r="K294" s="123"/>
      <c r="L294" s="123"/>
      <c r="M294" s="123"/>
      <c r="N294" s="123"/>
      <c r="O294" s="123"/>
      <c r="Q294" s="123"/>
      <c r="R294" s="123"/>
      <c r="S294" s="123"/>
      <c r="T294" s="123"/>
      <c r="U294" s="123"/>
      <c r="V294" s="123"/>
      <c r="W294" s="123"/>
      <c r="X294" s="123"/>
      <c r="Y294" s="123"/>
      <c r="Z294" s="123"/>
      <c r="AA294" s="123"/>
    </row>
    <row r="295">
      <c r="B295" s="160"/>
      <c r="C295" s="160"/>
      <c r="D295" s="123"/>
      <c r="E295" s="123"/>
      <c r="F295" s="123"/>
      <c r="G295" s="123"/>
      <c r="H295" s="123"/>
      <c r="I295" s="123"/>
      <c r="J295" s="123"/>
      <c r="K295" s="123"/>
      <c r="L295" s="123"/>
      <c r="M295" s="123"/>
      <c r="N295" s="123"/>
      <c r="O295" s="123"/>
      <c r="Q295" s="123"/>
      <c r="R295" s="123"/>
      <c r="S295" s="123"/>
      <c r="T295" s="123"/>
      <c r="U295" s="123"/>
      <c r="V295" s="123"/>
      <c r="W295" s="123"/>
      <c r="X295" s="123"/>
      <c r="Y295" s="123"/>
      <c r="Z295" s="123"/>
      <c r="AA295" s="123"/>
    </row>
    <row r="296">
      <c r="B296" s="160"/>
      <c r="C296" s="160"/>
      <c r="D296" s="123"/>
      <c r="E296" s="123"/>
      <c r="F296" s="123"/>
      <c r="G296" s="123"/>
      <c r="H296" s="123"/>
      <c r="I296" s="123"/>
      <c r="J296" s="123"/>
      <c r="K296" s="123"/>
      <c r="L296" s="123"/>
      <c r="M296" s="123"/>
      <c r="N296" s="123"/>
      <c r="O296" s="123"/>
      <c r="Q296" s="123"/>
      <c r="R296" s="123"/>
      <c r="S296" s="123"/>
      <c r="T296" s="123"/>
      <c r="U296" s="123"/>
      <c r="V296" s="123"/>
      <c r="W296" s="123"/>
      <c r="X296" s="123"/>
      <c r="Y296" s="123"/>
      <c r="Z296" s="123"/>
      <c r="AA296" s="123"/>
    </row>
    <row r="297">
      <c r="B297" s="160"/>
      <c r="C297" s="160"/>
      <c r="D297" s="123"/>
      <c r="E297" s="123"/>
      <c r="F297" s="123"/>
      <c r="G297" s="123"/>
      <c r="H297" s="123"/>
      <c r="I297" s="123"/>
      <c r="J297" s="123"/>
      <c r="K297" s="123"/>
      <c r="L297" s="123"/>
      <c r="M297" s="123"/>
      <c r="N297" s="123"/>
      <c r="O297" s="123"/>
      <c r="Q297" s="123"/>
      <c r="R297" s="123"/>
      <c r="S297" s="123"/>
      <c r="T297" s="123"/>
      <c r="U297" s="123"/>
      <c r="V297" s="123"/>
      <c r="W297" s="123"/>
      <c r="X297" s="123"/>
      <c r="Y297" s="123"/>
      <c r="Z297" s="123"/>
      <c r="AA297" s="123"/>
    </row>
    <row r="298">
      <c r="B298" s="160"/>
      <c r="C298" s="160"/>
      <c r="D298" s="123"/>
      <c r="E298" s="123"/>
      <c r="F298" s="123"/>
      <c r="G298" s="123"/>
      <c r="H298" s="123"/>
      <c r="I298" s="123"/>
      <c r="J298" s="123"/>
      <c r="K298" s="123"/>
      <c r="L298" s="123"/>
      <c r="M298" s="123"/>
      <c r="N298" s="123"/>
      <c r="O298" s="123"/>
      <c r="Q298" s="123"/>
      <c r="R298" s="123"/>
      <c r="S298" s="123"/>
      <c r="T298" s="123"/>
      <c r="U298" s="123"/>
      <c r="V298" s="123"/>
      <c r="W298" s="123"/>
      <c r="X298" s="123"/>
      <c r="Y298" s="123"/>
      <c r="Z298" s="123"/>
      <c r="AA298" s="123"/>
    </row>
    <row r="299">
      <c r="B299" s="160"/>
      <c r="C299" s="160"/>
      <c r="D299" s="123"/>
      <c r="E299" s="123"/>
      <c r="F299" s="123"/>
      <c r="G299" s="123"/>
      <c r="H299" s="123"/>
      <c r="I299" s="123"/>
      <c r="J299" s="123"/>
      <c r="K299" s="123"/>
      <c r="L299" s="123"/>
      <c r="M299" s="123"/>
      <c r="N299" s="123"/>
      <c r="O299" s="123"/>
      <c r="Q299" s="123"/>
      <c r="R299" s="123"/>
      <c r="S299" s="123"/>
      <c r="T299" s="123"/>
      <c r="U299" s="123"/>
      <c r="V299" s="123"/>
      <c r="W299" s="123"/>
      <c r="X299" s="123"/>
      <c r="Y299" s="123"/>
      <c r="Z299" s="123"/>
      <c r="AA299" s="123"/>
    </row>
    <row r="300">
      <c r="B300" s="160"/>
      <c r="C300" s="160"/>
      <c r="D300" s="123"/>
      <c r="E300" s="123"/>
      <c r="F300" s="123"/>
      <c r="G300" s="123"/>
      <c r="H300" s="123"/>
      <c r="I300" s="123"/>
      <c r="J300" s="123"/>
      <c r="K300" s="123"/>
      <c r="L300" s="123"/>
      <c r="M300" s="123"/>
      <c r="N300" s="123"/>
      <c r="O300" s="123"/>
      <c r="Q300" s="123"/>
      <c r="R300" s="123"/>
      <c r="S300" s="123"/>
      <c r="T300" s="123"/>
      <c r="U300" s="123"/>
      <c r="V300" s="123"/>
      <c r="W300" s="123"/>
      <c r="X300" s="123"/>
      <c r="Y300" s="123"/>
      <c r="Z300" s="123"/>
      <c r="AA300" s="123"/>
    </row>
    <row r="301">
      <c r="B301" s="160"/>
      <c r="C301" s="160"/>
      <c r="D301" s="123"/>
      <c r="E301" s="123"/>
      <c r="F301" s="123"/>
      <c r="G301" s="123"/>
      <c r="H301" s="123"/>
      <c r="I301" s="123"/>
      <c r="J301" s="123"/>
      <c r="K301" s="123"/>
      <c r="L301" s="123"/>
      <c r="M301" s="123"/>
      <c r="N301" s="123"/>
      <c r="O301" s="123"/>
      <c r="Q301" s="123"/>
      <c r="R301" s="123"/>
      <c r="S301" s="123"/>
      <c r="T301" s="123"/>
      <c r="U301" s="123"/>
      <c r="V301" s="123"/>
      <c r="W301" s="123"/>
      <c r="X301" s="123"/>
      <c r="Y301" s="123"/>
      <c r="Z301" s="123"/>
      <c r="AA301" s="123"/>
    </row>
    <row r="302">
      <c r="B302" s="160"/>
      <c r="C302" s="160"/>
      <c r="D302" s="123"/>
      <c r="E302" s="123"/>
      <c r="F302" s="123"/>
      <c r="G302" s="123"/>
      <c r="H302" s="123"/>
      <c r="I302" s="123"/>
      <c r="J302" s="123"/>
      <c r="K302" s="123"/>
      <c r="L302" s="123"/>
      <c r="M302" s="123"/>
      <c r="N302" s="123"/>
      <c r="O302" s="123"/>
      <c r="Q302" s="123"/>
      <c r="R302" s="123"/>
      <c r="S302" s="123"/>
      <c r="T302" s="123"/>
      <c r="U302" s="123"/>
      <c r="V302" s="123"/>
      <c r="W302" s="123"/>
      <c r="X302" s="123"/>
      <c r="Y302" s="123"/>
      <c r="Z302" s="123"/>
      <c r="AA302" s="123"/>
    </row>
    <row r="303">
      <c r="B303" s="160"/>
      <c r="C303" s="160"/>
      <c r="D303" s="123"/>
      <c r="E303" s="123"/>
      <c r="F303" s="123"/>
      <c r="G303" s="123"/>
      <c r="H303" s="123"/>
      <c r="I303" s="123"/>
      <c r="J303" s="123"/>
      <c r="K303" s="123"/>
      <c r="L303" s="123"/>
      <c r="M303" s="123"/>
      <c r="N303" s="123"/>
      <c r="O303" s="123"/>
      <c r="Q303" s="123"/>
      <c r="R303" s="123"/>
      <c r="S303" s="123"/>
      <c r="T303" s="123"/>
      <c r="U303" s="123"/>
      <c r="V303" s="123"/>
      <c r="W303" s="123"/>
      <c r="X303" s="123"/>
      <c r="Y303" s="123"/>
      <c r="Z303" s="123"/>
      <c r="AA303" s="123"/>
    </row>
    <row r="304">
      <c r="B304" s="160"/>
      <c r="C304" s="160"/>
      <c r="D304" s="123"/>
      <c r="E304" s="123"/>
      <c r="F304" s="123"/>
      <c r="G304" s="123"/>
      <c r="H304" s="123"/>
      <c r="I304" s="123"/>
      <c r="J304" s="123"/>
      <c r="K304" s="123"/>
      <c r="L304" s="123"/>
      <c r="M304" s="123"/>
      <c r="N304" s="123"/>
      <c r="O304" s="123"/>
      <c r="Q304" s="123"/>
      <c r="R304" s="123"/>
      <c r="S304" s="123"/>
      <c r="T304" s="123"/>
      <c r="U304" s="123"/>
      <c r="V304" s="123"/>
      <c r="W304" s="123"/>
      <c r="X304" s="123"/>
      <c r="Y304" s="123"/>
      <c r="Z304" s="123"/>
      <c r="AA304" s="123"/>
    </row>
    <row r="305">
      <c r="B305" s="160"/>
      <c r="C305" s="160"/>
      <c r="D305" s="123"/>
      <c r="E305" s="123"/>
      <c r="F305" s="123"/>
      <c r="G305" s="123"/>
      <c r="H305" s="123"/>
      <c r="I305" s="123"/>
      <c r="J305" s="123"/>
      <c r="K305" s="123"/>
      <c r="L305" s="123"/>
      <c r="M305" s="123"/>
      <c r="N305" s="123"/>
      <c r="O305" s="123"/>
      <c r="Q305" s="123"/>
      <c r="R305" s="123"/>
      <c r="S305" s="123"/>
      <c r="T305" s="123"/>
      <c r="U305" s="123"/>
      <c r="V305" s="123"/>
      <c r="W305" s="123"/>
      <c r="X305" s="123"/>
      <c r="Y305" s="123"/>
      <c r="Z305" s="123"/>
      <c r="AA305" s="123"/>
    </row>
    <row r="306">
      <c r="B306" s="160"/>
      <c r="C306" s="160"/>
      <c r="D306" s="123"/>
      <c r="E306" s="123"/>
      <c r="F306" s="123"/>
      <c r="G306" s="123"/>
      <c r="H306" s="123"/>
      <c r="I306" s="123"/>
      <c r="J306" s="123"/>
      <c r="K306" s="123"/>
      <c r="L306" s="123"/>
      <c r="M306" s="123"/>
      <c r="N306" s="123"/>
      <c r="O306" s="123"/>
      <c r="Q306" s="123"/>
      <c r="R306" s="123"/>
      <c r="S306" s="123"/>
      <c r="T306" s="123"/>
      <c r="U306" s="123"/>
      <c r="V306" s="123"/>
      <c r="W306" s="123"/>
      <c r="X306" s="123"/>
      <c r="Y306" s="123"/>
      <c r="Z306" s="123"/>
      <c r="AA306" s="123"/>
    </row>
    <row r="307">
      <c r="B307" s="160"/>
      <c r="C307" s="160"/>
      <c r="D307" s="123"/>
      <c r="E307" s="123"/>
      <c r="F307" s="123"/>
      <c r="G307" s="123"/>
      <c r="H307" s="123"/>
      <c r="I307" s="123"/>
      <c r="J307" s="123"/>
      <c r="K307" s="123"/>
      <c r="L307" s="123"/>
      <c r="M307" s="123"/>
      <c r="N307" s="123"/>
      <c r="O307" s="123"/>
      <c r="Q307" s="123"/>
      <c r="R307" s="123"/>
      <c r="S307" s="123"/>
      <c r="T307" s="123"/>
      <c r="U307" s="123"/>
      <c r="V307" s="123"/>
      <c r="W307" s="123"/>
      <c r="X307" s="123"/>
      <c r="Y307" s="123"/>
      <c r="Z307" s="123"/>
      <c r="AA307" s="123"/>
    </row>
    <row r="308">
      <c r="B308" s="160"/>
      <c r="C308" s="160"/>
      <c r="D308" s="123"/>
      <c r="E308" s="123"/>
      <c r="F308" s="123"/>
      <c r="G308" s="123"/>
      <c r="H308" s="123"/>
      <c r="I308" s="123"/>
      <c r="J308" s="123"/>
      <c r="K308" s="123"/>
      <c r="L308" s="123"/>
      <c r="M308" s="123"/>
      <c r="N308" s="123"/>
      <c r="O308" s="123"/>
      <c r="Q308" s="123"/>
      <c r="R308" s="123"/>
      <c r="S308" s="123"/>
      <c r="T308" s="123"/>
      <c r="U308" s="123"/>
      <c r="V308" s="123"/>
      <c r="W308" s="123"/>
      <c r="X308" s="123"/>
      <c r="Y308" s="123"/>
      <c r="Z308" s="123"/>
      <c r="AA308" s="123"/>
    </row>
    <row r="309">
      <c r="B309" s="160"/>
      <c r="C309" s="160"/>
      <c r="D309" s="123"/>
      <c r="E309" s="123"/>
      <c r="F309" s="123"/>
      <c r="G309" s="123"/>
      <c r="H309" s="123"/>
      <c r="I309" s="123"/>
      <c r="J309" s="123"/>
      <c r="K309" s="123"/>
      <c r="L309" s="123"/>
      <c r="M309" s="123"/>
      <c r="N309" s="123"/>
      <c r="O309" s="123"/>
      <c r="Q309" s="123"/>
      <c r="R309" s="123"/>
      <c r="S309" s="123"/>
      <c r="T309" s="123"/>
      <c r="U309" s="123"/>
      <c r="V309" s="123"/>
      <c r="W309" s="123"/>
      <c r="X309" s="123"/>
      <c r="Y309" s="123"/>
      <c r="Z309" s="123"/>
      <c r="AA309" s="123"/>
    </row>
    <row r="310">
      <c r="B310" s="160"/>
      <c r="C310" s="160"/>
      <c r="D310" s="123"/>
      <c r="E310" s="123"/>
      <c r="F310" s="123"/>
      <c r="G310" s="123"/>
      <c r="H310" s="123"/>
      <c r="I310" s="123"/>
      <c r="J310" s="123"/>
      <c r="K310" s="123"/>
      <c r="L310" s="123"/>
      <c r="M310" s="123"/>
      <c r="N310" s="123"/>
      <c r="O310" s="123"/>
      <c r="Q310" s="123"/>
      <c r="R310" s="123"/>
      <c r="S310" s="123"/>
      <c r="T310" s="123"/>
      <c r="U310" s="123"/>
      <c r="V310" s="123"/>
      <c r="W310" s="123"/>
      <c r="X310" s="123"/>
      <c r="Y310" s="123"/>
      <c r="Z310" s="123"/>
      <c r="AA310" s="123"/>
    </row>
    <row r="311">
      <c r="B311" s="160"/>
      <c r="C311" s="160"/>
      <c r="D311" s="123"/>
      <c r="E311" s="123"/>
      <c r="F311" s="123"/>
      <c r="G311" s="123"/>
      <c r="H311" s="123"/>
      <c r="I311" s="123"/>
      <c r="J311" s="123"/>
      <c r="K311" s="123"/>
      <c r="L311" s="123"/>
      <c r="M311" s="123"/>
      <c r="N311" s="123"/>
      <c r="O311" s="123"/>
      <c r="Q311" s="123"/>
      <c r="R311" s="123"/>
      <c r="S311" s="123"/>
      <c r="T311" s="123"/>
      <c r="U311" s="123"/>
      <c r="V311" s="123"/>
      <c r="W311" s="123"/>
      <c r="X311" s="123"/>
      <c r="Y311" s="123"/>
      <c r="Z311" s="123"/>
      <c r="AA311" s="123"/>
    </row>
    <row r="312">
      <c r="B312" s="160"/>
      <c r="C312" s="160"/>
      <c r="D312" s="123"/>
      <c r="E312" s="123"/>
      <c r="F312" s="123"/>
      <c r="G312" s="123"/>
      <c r="H312" s="123"/>
      <c r="I312" s="123"/>
      <c r="J312" s="123"/>
      <c r="K312" s="123"/>
      <c r="L312" s="123"/>
      <c r="M312" s="123"/>
      <c r="N312" s="123"/>
      <c r="O312" s="123"/>
      <c r="Q312" s="123"/>
      <c r="R312" s="123"/>
      <c r="S312" s="123"/>
      <c r="T312" s="123"/>
      <c r="U312" s="123"/>
      <c r="V312" s="123"/>
      <c r="W312" s="123"/>
      <c r="X312" s="123"/>
      <c r="Y312" s="123"/>
      <c r="Z312" s="123"/>
      <c r="AA312" s="123"/>
    </row>
    <row r="313">
      <c r="B313" s="160"/>
      <c r="C313" s="160"/>
      <c r="D313" s="123"/>
      <c r="E313" s="123"/>
      <c r="F313" s="123"/>
      <c r="G313" s="123"/>
      <c r="H313" s="123"/>
      <c r="I313" s="123"/>
      <c r="J313" s="123"/>
      <c r="K313" s="123"/>
      <c r="L313" s="123"/>
      <c r="M313" s="123"/>
      <c r="N313" s="123"/>
      <c r="O313" s="123"/>
      <c r="Q313" s="123"/>
      <c r="R313" s="123"/>
      <c r="S313" s="123"/>
      <c r="T313" s="123"/>
      <c r="U313" s="123"/>
      <c r="V313" s="123"/>
      <c r="W313" s="123"/>
      <c r="X313" s="123"/>
      <c r="Y313" s="123"/>
      <c r="Z313" s="123"/>
      <c r="AA313" s="123"/>
    </row>
    <row r="314">
      <c r="B314" s="160"/>
      <c r="C314" s="160"/>
      <c r="D314" s="123"/>
      <c r="E314" s="123"/>
      <c r="F314" s="123"/>
      <c r="G314" s="123"/>
      <c r="H314" s="123"/>
      <c r="I314" s="123"/>
      <c r="J314" s="123"/>
      <c r="K314" s="123"/>
      <c r="L314" s="123"/>
      <c r="M314" s="123"/>
      <c r="N314" s="123"/>
      <c r="O314" s="123"/>
      <c r="Q314" s="123"/>
      <c r="R314" s="123"/>
      <c r="S314" s="123"/>
      <c r="T314" s="123"/>
      <c r="U314" s="123"/>
      <c r="V314" s="123"/>
      <c r="W314" s="123"/>
      <c r="X314" s="123"/>
      <c r="Y314" s="123"/>
      <c r="Z314" s="123"/>
      <c r="AA314" s="123"/>
    </row>
    <row r="315">
      <c r="B315" s="160"/>
      <c r="C315" s="160"/>
      <c r="D315" s="123"/>
      <c r="E315" s="123"/>
      <c r="F315" s="123"/>
      <c r="G315" s="123"/>
      <c r="H315" s="123"/>
      <c r="I315" s="123"/>
      <c r="J315" s="123"/>
      <c r="K315" s="123"/>
      <c r="L315" s="123"/>
      <c r="M315" s="123"/>
      <c r="N315" s="123"/>
      <c r="O315" s="123"/>
      <c r="Q315" s="123"/>
      <c r="R315" s="123"/>
      <c r="S315" s="123"/>
      <c r="T315" s="123"/>
      <c r="U315" s="123"/>
      <c r="V315" s="123"/>
      <c r="W315" s="123"/>
      <c r="X315" s="123"/>
      <c r="Y315" s="123"/>
      <c r="Z315" s="123"/>
      <c r="AA315" s="123"/>
    </row>
    <row r="316">
      <c r="B316" s="160"/>
      <c r="C316" s="160"/>
      <c r="D316" s="123"/>
      <c r="E316" s="123"/>
      <c r="F316" s="123"/>
      <c r="G316" s="123"/>
      <c r="H316" s="123"/>
      <c r="I316" s="123"/>
      <c r="J316" s="123"/>
      <c r="K316" s="123"/>
      <c r="L316" s="123"/>
      <c r="M316" s="123"/>
      <c r="N316" s="123"/>
      <c r="O316" s="123"/>
      <c r="Q316" s="123"/>
      <c r="R316" s="123"/>
      <c r="S316" s="123"/>
      <c r="T316" s="123"/>
      <c r="U316" s="123"/>
      <c r="V316" s="123"/>
      <c r="W316" s="123"/>
      <c r="X316" s="123"/>
      <c r="Y316" s="123"/>
      <c r="Z316" s="123"/>
      <c r="AA316" s="123"/>
    </row>
    <row r="317">
      <c r="B317" s="160"/>
      <c r="C317" s="160"/>
      <c r="D317" s="123"/>
      <c r="E317" s="123"/>
      <c r="F317" s="123"/>
      <c r="G317" s="123"/>
      <c r="H317" s="123"/>
      <c r="I317" s="123"/>
      <c r="J317" s="123"/>
      <c r="K317" s="123"/>
      <c r="L317" s="123"/>
      <c r="M317" s="123"/>
      <c r="N317" s="123"/>
      <c r="O317" s="123"/>
      <c r="Q317" s="123"/>
      <c r="R317" s="123"/>
      <c r="S317" s="123"/>
      <c r="T317" s="123"/>
      <c r="U317" s="123"/>
      <c r="V317" s="123"/>
      <c r="W317" s="123"/>
      <c r="X317" s="123"/>
      <c r="Y317" s="123"/>
      <c r="Z317" s="123"/>
      <c r="AA317" s="123"/>
    </row>
    <row r="318">
      <c r="B318" s="160"/>
      <c r="C318" s="160"/>
      <c r="D318" s="123"/>
      <c r="E318" s="123"/>
      <c r="F318" s="123"/>
      <c r="G318" s="123"/>
      <c r="H318" s="123"/>
      <c r="I318" s="123"/>
      <c r="J318" s="123"/>
      <c r="K318" s="123"/>
      <c r="L318" s="123"/>
      <c r="M318" s="123"/>
      <c r="N318" s="123"/>
      <c r="O318" s="123"/>
      <c r="Q318" s="123"/>
      <c r="R318" s="123"/>
      <c r="S318" s="123"/>
      <c r="T318" s="123"/>
      <c r="U318" s="123"/>
      <c r="V318" s="123"/>
      <c r="W318" s="123"/>
      <c r="X318" s="123"/>
      <c r="Y318" s="123"/>
      <c r="Z318" s="123"/>
      <c r="AA318" s="123"/>
    </row>
    <row r="319">
      <c r="B319" s="160"/>
      <c r="C319" s="160"/>
      <c r="D319" s="123"/>
      <c r="E319" s="123"/>
      <c r="F319" s="123"/>
      <c r="G319" s="123"/>
      <c r="H319" s="123"/>
      <c r="I319" s="123"/>
      <c r="J319" s="123"/>
      <c r="K319" s="123"/>
      <c r="L319" s="123"/>
      <c r="M319" s="123"/>
      <c r="N319" s="123"/>
      <c r="O319" s="123"/>
      <c r="Q319" s="123"/>
      <c r="R319" s="123"/>
      <c r="S319" s="123"/>
      <c r="T319" s="123"/>
      <c r="U319" s="123"/>
      <c r="V319" s="123"/>
      <c r="W319" s="123"/>
      <c r="X319" s="123"/>
      <c r="Y319" s="123"/>
      <c r="Z319" s="123"/>
      <c r="AA319" s="123"/>
    </row>
    <row r="320">
      <c r="B320" s="160"/>
      <c r="C320" s="160"/>
      <c r="D320" s="123"/>
      <c r="E320" s="123"/>
      <c r="F320" s="123"/>
      <c r="G320" s="123"/>
      <c r="H320" s="123"/>
      <c r="I320" s="123"/>
      <c r="J320" s="123"/>
      <c r="K320" s="123"/>
      <c r="L320" s="123"/>
      <c r="M320" s="123"/>
      <c r="N320" s="123"/>
      <c r="O320" s="123"/>
      <c r="Q320" s="123"/>
      <c r="R320" s="123"/>
      <c r="S320" s="123"/>
      <c r="T320" s="123"/>
      <c r="U320" s="123"/>
      <c r="V320" s="123"/>
      <c r="W320" s="123"/>
      <c r="X320" s="123"/>
      <c r="Y320" s="123"/>
      <c r="Z320" s="123"/>
      <c r="AA320" s="123"/>
    </row>
    <row r="321">
      <c r="B321" s="160"/>
      <c r="C321" s="160"/>
      <c r="D321" s="123"/>
      <c r="E321" s="123"/>
      <c r="F321" s="123"/>
      <c r="G321" s="123"/>
      <c r="H321" s="123"/>
      <c r="I321" s="123"/>
      <c r="J321" s="123"/>
      <c r="K321" s="123"/>
      <c r="L321" s="123"/>
      <c r="M321" s="123"/>
      <c r="N321" s="123"/>
      <c r="O321" s="123"/>
      <c r="Q321" s="123"/>
      <c r="R321" s="123"/>
      <c r="S321" s="123"/>
      <c r="T321" s="123"/>
      <c r="U321" s="123"/>
      <c r="V321" s="123"/>
      <c r="W321" s="123"/>
      <c r="X321" s="123"/>
      <c r="Y321" s="123"/>
      <c r="Z321" s="123"/>
      <c r="AA321" s="123"/>
    </row>
    <row r="322">
      <c r="B322" s="160"/>
      <c r="C322" s="160"/>
      <c r="D322" s="123"/>
      <c r="E322" s="123"/>
      <c r="F322" s="123"/>
      <c r="G322" s="123"/>
      <c r="H322" s="123"/>
      <c r="I322" s="123"/>
      <c r="J322" s="123"/>
      <c r="K322" s="123"/>
      <c r="L322" s="123"/>
      <c r="M322" s="123"/>
      <c r="N322" s="123"/>
      <c r="O322" s="123"/>
      <c r="Q322" s="123"/>
      <c r="R322" s="123"/>
      <c r="S322" s="123"/>
      <c r="T322" s="123"/>
      <c r="U322" s="123"/>
      <c r="V322" s="123"/>
      <c r="W322" s="123"/>
      <c r="X322" s="123"/>
      <c r="Y322" s="123"/>
      <c r="Z322" s="123"/>
      <c r="AA322" s="123"/>
    </row>
    <row r="323">
      <c r="B323" s="160"/>
      <c r="C323" s="160"/>
      <c r="D323" s="123"/>
      <c r="E323" s="123"/>
      <c r="F323" s="123"/>
      <c r="G323" s="123"/>
      <c r="H323" s="123"/>
      <c r="I323" s="123"/>
      <c r="J323" s="123"/>
      <c r="K323" s="123"/>
      <c r="L323" s="123"/>
      <c r="M323" s="123"/>
      <c r="N323" s="123"/>
      <c r="O323" s="123"/>
      <c r="Q323" s="123"/>
      <c r="R323" s="123"/>
      <c r="S323" s="123"/>
      <c r="T323" s="123"/>
      <c r="U323" s="123"/>
      <c r="V323" s="123"/>
      <c r="W323" s="123"/>
      <c r="X323" s="123"/>
      <c r="Y323" s="123"/>
      <c r="Z323" s="123"/>
      <c r="AA323" s="123"/>
    </row>
    <row r="324">
      <c r="B324" s="160"/>
      <c r="C324" s="160"/>
      <c r="D324" s="123"/>
      <c r="E324" s="123"/>
      <c r="F324" s="123"/>
      <c r="G324" s="123"/>
      <c r="H324" s="123"/>
      <c r="I324" s="123"/>
      <c r="J324" s="123"/>
      <c r="K324" s="123"/>
      <c r="L324" s="123"/>
      <c r="M324" s="123"/>
      <c r="N324" s="123"/>
      <c r="O324" s="123"/>
      <c r="Q324" s="123"/>
      <c r="R324" s="123"/>
      <c r="S324" s="123"/>
      <c r="T324" s="123"/>
      <c r="U324" s="123"/>
      <c r="V324" s="123"/>
      <c r="W324" s="123"/>
      <c r="X324" s="123"/>
      <c r="Y324" s="123"/>
      <c r="Z324" s="123"/>
      <c r="AA324" s="123"/>
    </row>
    <row r="325">
      <c r="B325" s="160"/>
      <c r="C325" s="160"/>
      <c r="D325" s="123"/>
      <c r="E325" s="123"/>
      <c r="F325" s="123"/>
      <c r="G325" s="123"/>
      <c r="H325" s="123"/>
      <c r="I325" s="123"/>
      <c r="J325" s="123"/>
      <c r="K325" s="123"/>
      <c r="L325" s="123"/>
      <c r="M325" s="123"/>
      <c r="N325" s="123"/>
      <c r="O325" s="123"/>
      <c r="Q325" s="123"/>
      <c r="R325" s="123"/>
      <c r="S325" s="123"/>
      <c r="T325" s="123"/>
      <c r="U325" s="123"/>
      <c r="V325" s="123"/>
      <c r="W325" s="123"/>
      <c r="X325" s="123"/>
      <c r="Y325" s="123"/>
      <c r="Z325" s="123"/>
      <c r="AA325" s="123"/>
    </row>
    <row r="326">
      <c r="B326" s="160"/>
      <c r="C326" s="160"/>
      <c r="D326" s="123"/>
      <c r="E326" s="123"/>
      <c r="F326" s="123"/>
      <c r="G326" s="123"/>
      <c r="H326" s="123"/>
      <c r="I326" s="123"/>
      <c r="J326" s="123"/>
      <c r="K326" s="123"/>
      <c r="L326" s="123"/>
      <c r="M326" s="123"/>
      <c r="N326" s="123"/>
      <c r="O326" s="123"/>
      <c r="Q326" s="123"/>
      <c r="R326" s="123"/>
      <c r="S326" s="123"/>
      <c r="T326" s="123"/>
      <c r="U326" s="123"/>
      <c r="V326" s="123"/>
      <c r="W326" s="123"/>
      <c r="X326" s="123"/>
      <c r="Y326" s="123"/>
      <c r="Z326" s="123"/>
      <c r="AA326" s="123"/>
    </row>
    <row r="327">
      <c r="B327" s="160"/>
      <c r="C327" s="160"/>
      <c r="D327" s="123"/>
      <c r="E327" s="123"/>
      <c r="F327" s="123"/>
      <c r="G327" s="123"/>
      <c r="H327" s="123"/>
      <c r="I327" s="123"/>
      <c r="J327" s="123"/>
      <c r="K327" s="123"/>
      <c r="L327" s="123"/>
      <c r="M327" s="123"/>
      <c r="N327" s="123"/>
      <c r="O327" s="123"/>
      <c r="Q327" s="123"/>
      <c r="R327" s="123"/>
      <c r="S327" s="123"/>
      <c r="T327" s="123"/>
      <c r="U327" s="123"/>
      <c r="V327" s="123"/>
      <c r="W327" s="123"/>
      <c r="X327" s="123"/>
      <c r="Y327" s="123"/>
      <c r="Z327" s="123"/>
      <c r="AA327" s="123"/>
    </row>
    <row r="328">
      <c r="B328" s="160"/>
      <c r="C328" s="160"/>
      <c r="D328" s="123"/>
      <c r="E328" s="123"/>
      <c r="F328" s="123"/>
      <c r="G328" s="123"/>
      <c r="H328" s="123"/>
      <c r="I328" s="123"/>
      <c r="J328" s="123"/>
      <c r="K328" s="123"/>
      <c r="L328" s="123"/>
      <c r="M328" s="123"/>
      <c r="N328" s="123"/>
      <c r="O328" s="123"/>
      <c r="Q328" s="123"/>
      <c r="R328" s="123"/>
      <c r="S328" s="123"/>
      <c r="T328" s="123"/>
      <c r="U328" s="123"/>
      <c r="V328" s="123"/>
      <c r="W328" s="123"/>
      <c r="X328" s="123"/>
      <c r="Y328" s="123"/>
      <c r="Z328" s="123"/>
      <c r="AA328" s="123"/>
    </row>
    <row r="329">
      <c r="B329" s="160"/>
      <c r="C329" s="160"/>
      <c r="D329" s="123"/>
      <c r="E329" s="123"/>
      <c r="F329" s="123"/>
      <c r="G329" s="123"/>
      <c r="H329" s="123"/>
      <c r="I329" s="123"/>
      <c r="J329" s="123"/>
      <c r="K329" s="123"/>
      <c r="L329" s="123"/>
      <c r="M329" s="123"/>
      <c r="N329" s="123"/>
      <c r="O329" s="123"/>
      <c r="Q329" s="123"/>
      <c r="R329" s="123"/>
      <c r="S329" s="123"/>
      <c r="T329" s="123"/>
      <c r="U329" s="123"/>
      <c r="V329" s="123"/>
      <c r="W329" s="123"/>
      <c r="X329" s="123"/>
      <c r="Y329" s="123"/>
      <c r="Z329" s="123"/>
      <c r="AA329" s="123"/>
    </row>
    <row r="330">
      <c r="B330" s="160"/>
      <c r="C330" s="160"/>
      <c r="D330" s="123"/>
      <c r="E330" s="123"/>
      <c r="F330" s="123"/>
      <c r="G330" s="123"/>
      <c r="H330" s="123"/>
      <c r="I330" s="123"/>
      <c r="J330" s="123"/>
      <c r="K330" s="123"/>
      <c r="L330" s="123"/>
      <c r="M330" s="123"/>
      <c r="N330" s="123"/>
      <c r="O330" s="123"/>
      <c r="Q330" s="123"/>
      <c r="R330" s="123"/>
      <c r="S330" s="123"/>
      <c r="T330" s="123"/>
      <c r="U330" s="123"/>
      <c r="V330" s="123"/>
      <c r="W330" s="123"/>
      <c r="X330" s="123"/>
      <c r="Y330" s="123"/>
      <c r="Z330" s="123"/>
      <c r="AA330" s="123"/>
    </row>
    <row r="331">
      <c r="B331" s="160"/>
      <c r="C331" s="160"/>
      <c r="D331" s="123"/>
      <c r="E331" s="123"/>
      <c r="F331" s="123"/>
      <c r="G331" s="123"/>
      <c r="H331" s="123"/>
      <c r="I331" s="123"/>
      <c r="J331" s="123"/>
      <c r="K331" s="123"/>
      <c r="L331" s="123"/>
      <c r="M331" s="123"/>
      <c r="N331" s="123"/>
      <c r="O331" s="123"/>
      <c r="Q331" s="123"/>
      <c r="R331" s="123"/>
      <c r="S331" s="123"/>
      <c r="T331" s="123"/>
      <c r="U331" s="123"/>
      <c r="V331" s="123"/>
      <c r="W331" s="123"/>
      <c r="X331" s="123"/>
      <c r="Y331" s="123"/>
      <c r="Z331" s="123"/>
      <c r="AA331" s="123"/>
    </row>
    <row r="332">
      <c r="B332" s="160"/>
      <c r="C332" s="160"/>
      <c r="D332" s="123"/>
      <c r="E332" s="123"/>
      <c r="F332" s="123"/>
      <c r="G332" s="123"/>
      <c r="H332" s="123"/>
      <c r="I332" s="123"/>
      <c r="J332" s="123"/>
      <c r="K332" s="123"/>
      <c r="L332" s="123"/>
      <c r="M332" s="123"/>
      <c r="N332" s="123"/>
      <c r="O332" s="123"/>
      <c r="Q332" s="123"/>
      <c r="R332" s="123"/>
      <c r="S332" s="123"/>
      <c r="T332" s="123"/>
      <c r="U332" s="123"/>
      <c r="V332" s="123"/>
      <c r="W332" s="123"/>
      <c r="X332" s="123"/>
      <c r="Y332" s="123"/>
      <c r="Z332" s="123"/>
      <c r="AA332" s="123"/>
    </row>
    <row r="333">
      <c r="B333" s="160"/>
      <c r="C333" s="160"/>
      <c r="D333" s="123"/>
      <c r="E333" s="123"/>
      <c r="F333" s="123"/>
      <c r="G333" s="123"/>
      <c r="H333" s="123"/>
      <c r="I333" s="123"/>
      <c r="J333" s="123"/>
      <c r="K333" s="123"/>
      <c r="L333" s="123"/>
      <c r="M333" s="123"/>
      <c r="N333" s="123"/>
      <c r="O333" s="123"/>
      <c r="Q333" s="123"/>
      <c r="R333" s="123"/>
      <c r="S333" s="123"/>
      <c r="T333" s="123"/>
      <c r="U333" s="123"/>
      <c r="V333" s="123"/>
      <c r="W333" s="123"/>
      <c r="X333" s="123"/>
      <c r="Y333" s="123"/>
      <c r="Z333" s="123"/>
      <c r="AA333" s="123"/>
    </row>
    <row r="334">
      <c r="B334" s="160"/>
      <c r="C334" s="160"/>
      <c r="D334" s="123"/>
      <c r="E334" s="123"/>
      <c r="F334" s="123"/>
      <c r="G334" s="123"/>
      <c r="H334" s="123"/>
      <c r="I334" s="123"/>
      <c r="J334" s="123"/>
      <c r="K334" s="123"/>
      <c r="L334" s="123"/>
      <c r="M334" s="123"/>
      <c r="N334" s="123"/>
      <c r="O334" s="123"/>
      <c r="Q334" s="123"/>
      <c r="R334" s="123"/>
      <c r="S334" s="123"/>
      <c r="T334" s="123"/>
      <c r="U334" s="123"/>
      <c r="V334" s="123"/>
      <c r="W334" s="123"/>
      <c r="X334" s="123"/>
      <c r="Y334" s="123"/>
      <c r="Z334" s="123"/>
      <c r="AA334" s="123"/>
    </row>
    <row r="335">
      <c r="B335" s="160"/>
      <c r="C335" s="160"/>
      <c r="D335" s="123"/>
      <c r="E335" s="123"/>
      <c r="F335" s="123"/>
      <c r="G335" s="123"/>
      <c r="H335" s="123"/>
      <c r="I335" s="123"/>
      <c r="J335" s="123"/>
      <c r="K335" s="123"/>
      <c r="L335" s="123"/>
      <c r="M335" s="123"/>
      <c r="N335" s="123"/>
      <c r="O335" s="123"/>
      <c r="Q335" s="123"/>
      <c r="R335" s="123"/>
      <c r="S335" s="123"/>
      <c r="T335" s="123"/>
      <c r="U335" s="123"/>
      <c r="V335" s="123"/>
      <c r="W335" s="123"/>
      <c r="X335" s="123"/>
      <c r="Y335" s="123"/>
      <c r="Z335" s="123"/>
      <c r="AA335" s="123"/>
    </row>
    <row r="336">
      <c r="B336" s="160"/>
      <c r="C336" s="160"/>
      <c r="D336" s="123"/>
      <c r="E336" s="123"/>
      <c r="F336" s="123"/>
      <c r="G336" s="123"/>
      <c r="H336" s="123"/>
      <c r="I336" s="123"/>
      <c r="J336" s="123"/>
      <c r="K336" s="123"/>
      <c r="L336" s="123"/>
      <c r="M336" s="123"/>
      <c r="N336" s="123"/>
      <c r="O336" s="123"/>
      <c r="Q336" s="123"/>
      <c r="R336" s="123"/>
      <c r="S336" s="123"/>
      <c r="T336" s="123"/>
      <c r="U336" s="123"/>
      <c r="V336" s="123"/>
      <c r="W336" s="123"/>
      <c r="X336" s="123"/>
      <c r="Y336" s="123"/>
      <c r="Z336" s="123"/>
      <c r="AA336" s="123"/>
    </row>
    <row r="337">
      <c r="B337" s="160"/>
      <c r="C337" s="160"/>
      <c r="D337" s="123"/>
      <c r="E337" s="123"/>
      <c r="F337" s="123"/>
      <c r="G337" s="123"/>
      <c r="H337" s="123"/>
      <c r="I337" s="123"/>
      <c r="J337" s="123"/>
      <c r="K337" s="123"/>
      <c r="L337" s="123"/>
      <c r="M337" s="123"/>
      <c r="N337" s="123"/>
      <c r="O337" s="123"/>
      <c r="Q337" s="123"/>
      <c r="R337" s="123"/>
      <c r="S337" s="123"/>
      <c r="T337" s="123"/>
      <c r="U337" s="123"/>
      <c r="V337" s="123"/>
      <c r="W337" s="123"/>
      <c r="X337" s="123"/>
      <c r="Y337" s="123"/>
      <c r="Z337" s="123"/>
      <c r="AA337" s="123"/>
    </row>
    <row r="338">
      <c r="B338" s="160"/>
      <c r="C338" s="160"/>
      <c r="D338" s="123"/>
      <c r="E338" s="123"/>
      <c r="F338" s="123"/>
      <c r="G338" s="123"/>
      <c r="H338" s="123"/>
      <c r="I338" s="123"/>
      <c r="J338" s="123"/>
      <c r="K338" s="123"/>
      <c r="L338" s="123"/>
      <c r="M338" s="123"/>
      <c r="N338" s="123"/>
      <c r="O338" s="123"/>
      <c r="Q338" s="123"/>
      <c r="R338" s="123"/>
      <c r="S338" s="123"/>
      <c r="T338" s="123"/>
      <c r="U338" s="123"/>
      <c r="V338" s="123"/>
      <c r="W338" s="123"/>
      <c r="X338" s="123"/>
      <c r="Y338" s="123"/>
      <c r="Z338" s="123"/>
      <c r="AA338" s="123"/>
    </row>
    <row r="339">
      <c r="B339" s="160"/>
      <c r="C339" s="160"/>
      <c r="D339" s="123"/>
      <c r="E339" s="123"/>
      <c r="F339" s="123"/>
      <c r="G339" s="123"/>
      <c r="H339" s="123"/>
      <c r="I339" s="123"/>
      <c r="J339" s="123"/>
      <c r="K339" s="123"/>
      <c r="L339" s="123"/>
      <c r="M339" s="123"/>
      <c r="N339" s="123"/>
      <c r="O339" s="123"/>
      <c r="Q339" s="123"/>
      <c r="R339" s="123"/>
      <c r="S339" s="123"/>
      <c r="T339" s="123"/>
      <c r="U339" s="123"/>
      <c r="V339" s="123"/>
      <c r="W339" s="123"/>
      <c r="X339" s="123"/>
      <c r="Y339" s="123"/>
      <c r="Z339" s="123"/>
      <c r="AA339" s="123"/>
    </row>
    <row r="340">
      <c r="B340" s="160"/>
      <c r="C340" s="160"/>
      <c r="D340" s="123"/>
      <c r="E340" s="123"/>
      <c r="F340" s="123"/>
      <c r="G340" s="123"/>
      <c r="H340" s="123"/>
      <c r="I340" s="123"/>
      <c r="J340" s="123"/>
      <c r="K340" s="123"/>
      <c r="L340" s="123"/>
      <c r="M340" s="123"/>
      <c r="N340" s="123"/>
      <c r="O340" s="123"/>
      <c r="Q340" s="123"/>
      <c r="R340" s="123"/>
      <c r="S340" s="123"/>
      <c r="T340" s="123"/>
      <c r="U340" s="123"/>
      <c r="V340" s="123"/>
      <c r="W340" s="123"/>
      <c r="X340" s="123"/>
      <c r="Y340" s="123"/>
      <c r="Z340" s="123"/>
      <c r="AA340" s="123"/>
    </row>
    <row r="341">
      <c r="B341" s="160"/>
      <c r="C341" s="160"/>
      <c r="D341" s="123"/>
      <c r="E341" s="123"/>
      <c r="F341" s="123"/>
      <c r="G341" s="123"/>
      <c r="H341" s="123"/>
      <c r="I341" s="123"/>
      <c r="J341" s="123"/>
      <c r="K341" s="123"/>
      <c r="L341" s="123"/>
      <c r="M341" s="123"/>
      <c r="N341" s="123"/>
      <c r="O341" s="123"/>
      <c r="Q341" s="123"/>
      <c r="R341" s="123"/>
      <c r="S341" s="123"/>
      <c r="T341" s="123"/>
      <c r="U341" s="123"/>
      <c r="V341" s="123"/>
      <c r="W341" s="123"/>
      <c r="X341" s="123"/>
      <c r="Y341" s="123"/>
      <c r="Z341" s="123"/>
      <c r="AA341" s="123"/>
    </row>
    <row r="342">
      <c r="B342" s="160"/>
      <c r="C342" s="160"/>
      <c r="D342" s="123"/>
      <c r="E342" s="123"/>
      <c r="F342" s="123"/>
      <c r="G342" s="123"/>
      <c r="H342" s="123"/>
      <c r="I342" s="123"/>
      <c r="J342" s="123"/>
      <c r="K342" s="123"/>
      <c r="L342" s="123"/>
      <c r="M342" s="123"/>
      <c r="N342" s="123"/>
      <c r="O342" s="123"/>
      <c r="Q342" s="123"/>
      <c r="R342" s="123"/>
      <c r="S342" s="123"/>
      <c r="T342" s="123"/>
      <c r="U342" s="123"/>
      <c r="V342" s="123"/>
      <c r="W342" s="123"/>
      <c r="X342" s="123"/>
      <c r="Y342" s="123"/>
      <c r="Z342" s="123"/>
      <c r="AA342" s="123"/>
    </row>
    <row r="343">
      <c r="B343" s="160"/>
      <c r="C343" s="160"/>
      <c r="D343" s="123"/>
      <c r="E343" s="123"/>
      <c r="F343" s="123"/>
      <c r="G343" s="123"/>
      <c r="H343" s="123"/>
      <c r="I343" s="123"/>
      <c r="J343" s="123"/>
      <c r="K343" s="123"/>
      <c r="L343" s="123"/>
      <c r="M343" s="123"/>
      <c r="N343" s="123"/>
      <c r="O343" s="123"/>
      <c r="Q343" s="123"/>
      <c r="R343" s="123"/>
      <c r="S343" s="123"/>
      <c r="T343" s="123"/>
      <c r="U343" s="123"/>
      <c r="V343" s="123"/>
      <c r="W343" s="123"/>
      <c r="X343" s="123"/>
      <c r="Y343" s="123"/>
      <c r="Z343" s="123"/>
      <c r="AA343" s="123"/>
    </row>
    <row r="344">
      <c r="B344" s="160"/>
      <c r="C344" s="160"/>
      <c r="D344" s="123"/>
      <c r="E344" s="123"/>
      <c r="F344" s="123"/>
      <c r="G344" s="123"/>
      <c r="H344" s="123"/>
      <c r="I344" s="123"/>
      <c r="J344" s="123"/>
      <c r="K344" s="123"/>
      <c r="L344" s="123"/>
      <c r="M344" s="123"/>
      <c r="N344" s="123"/>
      <c r="O344" s="123"/>
      <c r="Q344" s="123"/>
      <c r="R344" s="123"/>
      <c r="S344" s="123"/>
      <c r="T344" s="123"/>
      <c r="U344" s="123"/>
      <c r="V344" s="123"/>
      <c r="W344" s="123"/>
      <c r="X344" s="123"/>
      <c r="Y344" s="123"/>
      <c r="Z344" s="123"/>
      <c r="AA344" s="123"/>
    </row>
    <row r="345">
      <c r="B345" s="160"/>
      <c r="C345" s="160"/>
      <c r="D345" s="123"/>
      <c r="E345" s="123"/>
      <c r="F345" s="123"/>
      <c r="G345" s="123"/>
      <c r="H345" s="123"/>
      <c r="I345" s="123"/>
      <c r="J345" s="123"/>
      <c r="K345" s="123"/>
      <c r="L345" s="123"/>
      <c r="M345" s="123"/>
      <c r="N345" s="123"/>
      <c r="O345" s="123"/>
      <c r="Q345" s="123"/>
      <c r="R345" s="123"/>
      <c r="S345" s="123"/>
      <c r="T345" s="123"/>
      <c r="U345" s="123"/>
      <c r="V345" s="123"/>
      <c r="W345" s="123"/>
      <c r="X345" s="123"/>
      <c r="Y345" s="123"/>
      <c r="Z345" s="123"/>
      <c r="AA345" s="123"/>
    </row>
    <row r="346">
      <c r="B346" s="160"/>
      <c r="C346" s="160"/>
      <c r="D346" s="123"/>
      <c r="E346" s="123"/>
      <c r="F346" s="123"/>
      <c r="G346" s="123"/>
      <c r="H346" s="123"/>
      <c r="I346" s="123"/>
      <c r="J346" s="123"/>
      <c r="K346" s="123"/>
      <c r="L346" s="123"/>
      <c r="M346" s="123"/>
      <c r="N346" s="123"/>
      <c r="O346" s="123"/>
      <c r="Q346" s="123"/>
      <c r="R346" s="123"/>
      <c r="S346" s="123"/>
      <c r="T346" s="123"/>
      <c r="U346" s="123"/>
      <c r="V346" s="123"/>
      <c r="W346" s="123"/>
      <c r="X346" s="123"/>
      <c r="Y346" s="123"/>
      <c r="Z346" s="123"/>
      <c r="AA346" s="123"/>
    </row>
    <row r="347">
      <c r="B347" s="160"/>
      <c r="C347" s="160"/>
      <c r="D347" s="123"/>
      <c r="E347" s="123"/>
      <c r="F347" s="123"/>
      <c r="G347" s="123"/>
      <c r="H347" s="123"/>
      <c r="I347" s="123"/>
      <c r="J347" s="123"/>
      <c r="K347" s="123"/>
      <c r="L347" s="123"/>
      <c r="M347" s="123"/>
      <c r="N347" s="123"/>
      <c r="O347" s="123"/>
      <c r="Q347" s="123"/>
      <c r="R347" s="123"/>
      <c r="S347" s="123"/>
      <c r="T347" s="123"/>
      <c r="U347" s="123"/>
      <c r="V347" s="123"/>
      <c r="W347" s="123"/>
      <c r="X347" s="123"/>
      <c r="Y347" s="123"/>
      <c r="Z347" s="123"/>
      <c r="AA347" s="123"/>
    </row>
    <row r="348">
      <c r="B348" s="160"/>
      <c r="C348" s="160"/>
      <c r="D348" s="123"/>
      <c r="E348" s="123"/>
      <c r="F348" s="123"/>
      <c r="G348" s="123"/>
      <c r="H348" s="123"/>
      <c r="I348" s="123"/>
      <c r="J348" s="123"/>
      <c r="K348" s="123"/>
      <c r="L348" s="123"/>
      <c r="M348" s="123"/>
      <c r="N348" s="123"/>
      <c r="O348" s="123"/>
      <c r="Q348" s="123"/>
      <c r="R348" s="123"/>
      <c r="S348" s="123"/>
      <c r="T348" s="123"/>
      <c r="U348" s="123"/>
      <c r="V348" s="123"/>
      <c r="W348" s="123"/>
      <c r="X348" s="123"/>
      <c r="Y348" s="123"/>
      <c r="Z348" s="123"/>
      <c r="AA348" s="123"/>
    </row>
    <row r="349">
      <c r="B349" s="160"/>
      <c r="C349" s="160"/>
      <c r="D349" s="123"/>
      <c r="E349" s="123"/>
      <c r="F349" s="123"/>
      <c r="G349" s="123"/>
      <c r="H349" s="123"/>
      <c r="I349" s="123"/>
      <c r="J349" s="123"/>
      <c r="K349" s="123"/>
      <c r="L349" s="123"/>
      <c r="M349" s="123"/>
      <c r="N349" s="123"/>
      <c r="O349" s="123"/>
      <c r="Q349" s="123"/>
      <c r="R349" s="123"/>
      <c r="S349" s="123"/>
      <c r="T349" s="123"/>
      <c r="U349" s="123"/>
      <c r="V349" s="123"/>
      <c r="W349" s="123"/>
      <c r="X349" s="123"/>
      <c r="Y349" s="123"/>
      <c r="Z349" s="123"/>
      <c r="AA349" s="123"/>
    </row>
    <row r="350">
      <c r="B350" s="160"/>
      <c r="C350" s="160"/>
      <c r="D350" s="123"/>
      <c r="E350" s="123"/>
      <c r="F350" s="123"/>
      <c r="G350" s="123"/>
      <c r="H350" s="123"/>
      <c r="I350" s="123"/>
      <c r="J350" s="123"/>
      <c r="K350" s="123"/>
      <c r="L350" s="123"/>
      <c r="M350" s="123"/>
      <c r="N350" s="123"/>
      <c r="O350" s="123"/>
      <c r="Q350" s="123"/>
      <c r="R350" s="123"/>
      <c r="S350" s="123"/>
      <c r="T350" s="123"/>
      <c r="U350" s="123"/>
      <c r="V350" s="123"/>
      <c r="W350" s="123"/>
      <c r="X350" s="123"/>
      <c r="Y350" s="123"/>
      <c r="Z350" s="123"/>
      <c r="AA350" s="123"/>
    </row>
    <row r="351">
      <c r="B351" s="160"/>
      <c r="C351" s="160"/>
      <c r="D351" s="123"/>
      <c r="E351" s="123"/>
      <c r="F351" s="123"/>
      <c r="G351" s="123"/>
      <c r="H351" s="123"/>
      <c r="I351" s="123"/>
      <c r="J351" s="123"/>
      <c r="K351" s="123"/>
      <c r="L351" s="123"/>
      <c r="M351" s="123"/>
      <c r="N351" s="123"/>
      <c r="O351" s="123"/>
      <c r="Q351" s="123"/>
      <c r="R351" s="123"/>
      <c r="S351" s="123"/>
      <c r="T351" s="123"/>
      <c r="U351" s="123"/>
      <c r="V351" s="123"/>
      <c r="W351" s="123"/>
      <c r="X351" s="123"/>
      <c r="Y351" s="123"/>
      <c r="Z351" s="123"/>
      <c r="AA351" s="123"/>
    </row>
    <row r="352">
      <c r="B352" s="160"/>
      <c r="C352" s="160"/>
      <c r="D352" s="123"/>
      <c r="E352" s="123"/>
      <c r="F352" s="123"/>
      <c r="G352" s="123"/>
      <c r="H352" s="123"/>
      <c r="I352" s="123"/>
      <c r="J352" s="123"/>
      <c r="K352" s="123"/>
      <c r="L352" s="123"/>
      <c r="M352" s="123"/>
      <c r="N352" s="123"/>
      <c r="O352" s="123"/>
      <c r="Q352" s="123"/>
      <c r="R352" s="123"/>
      <c r="S352" s="123"/>
      <c r="T352" s="123"/>
      <c r="U352" s="123"/>
      <c r="V352" s="123"/>
      <c r="W352" s="123"/>
      <c r="X352" s="123"/>
      <c r="Y352" s="123"/>
      <c r="Z352" s="123"/>
      <c r="AA352" s="123"/>
    </row>
    <row r="353">
      <c r="B353" s="160"/>
      <c r="C353" s="160"/>
      <c r="D353" s="123"/>
      <c r="E353" s="123"/>
      <c r="F353" s="123"/>
      <c r="G353" s="123"/>
      <c r="H353" s="123"/>
      <c r="I353" s="123"/>
      <c r="J353" s="123"/>
      <c r="K353" s="123"/>
      <c r="L353" s="123"/>
      <c r="M353" s="123"/>
      <c r="N353" s="123"/>
      <c r="O353" s="123"/>
      <c r="Q353" s="123"/>
      <c r="R353" s="123"/>
      <c r="S353" s="123"/>
      <c r="T353" s="123"/>
      <c r="U353" s="123"/>
      <c r="V353" s="123"/>
      <c r="W353" s="123"/>
      <c r="X353" s="123"/>
      <c r="Y353" s="123"/>
      <c r="Z353" s="123"/>
      <c r="AA353" s="123"/>
    </row>
    <row r="354">
      <c r="B354" s="160"/>
      <c r="C354" s="160"/>
      <c r="D354" s="123"/>
      <c r="E354" s="123"/>
      <c r="F354" s="123"/>
      <c r="G354" s="123"/>
      <c r="H354" s="123"/>
      <c r="I354" s="123"/>
      <c r="J354" s="123"/>
      <c r="K354" s="123"/>
      <c r="L354" s="123"/>
      <c r="M354" s="123"/>
      <c r="N354" s="123"/>
      <c r="O354" s="123"/>
      <c r="Q354" s="123"/>
      <c r="R354" s="123"/>
      <c r="S354" s="123"/>
      <c r="T354" s="123"/>
      <c r="U354" s="123"/>
      <c r="V354" s="123"/>
      <c r="W354" s="123"/>
      <c r="X354" s="123"/>
      <c r="Y354" s="123"/>
      <c r="Z354" s="123"/>
      <c r="AA354" s="123"/>
    </row>
    <row r="355">
      <c r="B355" s="160"/>
      <c r="C355" s="160"/>
      <c r="D355" s="123"/>
      <c r="E355" s="123"/>
      <c r="F355" s="123"/>
      <c r="G355" s="123"/>
      <c r="H355" s="123"/>
      <c r="I355" s="123"/>
      <c r="J355" s="123"/>
      <c r="K355" s="123"/>
      <c r="L355" s="123"/>
      <c r="M355" s="123"/>
      <c r="N355" s="123"/>
      <c r="O355" s="123"/>
      <c r="Q355" s="123"/>
      <c r="R355" s="123"/>
      <c r="S355" s="123"/>
      <c r="T355" s="123"/>
      <c r="U355" s="123"/>
      <c r="V355" s="123"/>
      <c r="W355" s="123"/>
      <c r="X355" s="123"/>
      <c r="Y355" s="123"/>
      <c r="Z355" s="123"/>
      <c r="AA355" s="123"/>
    </row>
    <row r="356">
      <c r="B356" s="160"/>
      <c r="C356" s="160"/>
      <c r="D356" s="123"/>
      <c r="E356" s="123"/>
      <c r="F356" s="123"/>
      <c r="G356" s="123"/>
      <c r="H356" s="123"/>
      <c r="I356" s="123"/>
      <c r="J356" s="123"/>
      <c r="K356" s="123"/>
      <c r="L356" s="123"/>
      <c r="M356" s="123"/>
      <c r="N356" s="123"/>
      <c r="O356" s="123"/>
      <c r="Q356" s="123"/>
      <c r="R356" s="123"/>
      <c r="S356" s="123"/>
      <c r="T356" s="123"/>
      <c r="U356" s="123"/>
      <c r="V356" s="123"/>
      <c r="W356" s="123"/>
      <c r="X356" s="123"/>
      <c r="Y356" s="123"/>
      <c r="Z356" s="123"/>
      <c r="AA356" s="123"/>
    </row>
    <row r="357">
      <c r="B357" s="160"/>
      <c r="C357" s="160"/>
      <c r="D357" s="123"/>
      <c r="E357" s="123"/>
      <c r="F357" s="123"/>
      <c r="G357" s="123"/>
      <c r="H357" s="123"/>
      <c r="I357" s="123"/>
      <c r="J357" s="123"/>
      <c r="K357" s="123"/>
      <c r="L357" s="123"/>
      <c r="M357" s="123"/>
      <c r="N357" s="123"/>
      <c r="O357" s="123"/>
      <c r="Q357" s="123"/>
      <c r="R357" s="123"/>
      <c r="S357" s="123"/>
      <c r="T357" s="123"/>
      <c r="U357" s="123"/>
      <c r="V357" s="123"/>
      <c r="W357" s="123"/>
      <c r="X357" s="123"/>
      <c r="Y357" s="123"/>
      <c r="Z357" s="123"/>
      <c r="AA357" s="123"/>
    </row>
    <row r="358">
      <c r="B358" s="160"/>
      <c r="C358" s="160"/>
      <c r="D358" s="123"/>
      <c r="E358" s="123"/>
      <c r="F358" s="123"/>
      <c r="G358" s="123"/>
      <c r="H358" s="123"/>
      <c r="I358" s="123"/>
      <c r="J358" s="123"/>
      <c r="K358" s="123"/>
      <c r="L358" s="123"/>
      <c r="M358" s="123"/>
      <c r="N358" s="123"/>
      <c r="O358" s="123"/>
      <c r="Q358" s="123"/>
      <c r="R358" s="123"/>
      <c r="S358" s="123"/>
      <c r="T358" s="123"/>
      <c r="U358" s="123"/>
      <c r="V358" s="123"/>
      <c r="W358" s="123"/>
      <c r="X358" s="123"/>
      <c r="Y358" s="123"/>
      <c r="Z358" s="123"/>
      <c r="AA358" s="123"/>
    </row>
    <row r="359">
      <c r="B359" s="160"/>
      <c r="C359" s="160"/>
      <c r="D359" s="123"/>
      <c r="E359" s="123"/>
      <c r="F359" s="123"/>
      <c r="G359" s="123"/>
      <c r="H359" s="123"/>
      <c r="I359" s="123"/>
      <c r="J359" s="123"/>
      <c r="K359" s="123"/>
      <c r="L359" s="123"/>
      <c r="M359" s="123"/>
      <c r="N359" s="123"/>
      <c r="O359" s="123"/>
      <c r="Q359" s="123"/>
      <c r="R359" s="123"/>
      <c r="S359" s="123"/>
      <c r="T359" s="123"/>
      <c r="U359" s="123"/>
      <c r="V359" s="123"/>
      <c r="W359" s="123"/>
      <c r="X359" s="123"/>
      <c r="Y359" s="123"/>
      <c r="Z359" s="123"/>
      <c r="AA359" s="123"/>
    </row>
    <row r="360">
      <c r="B360" s="160"/>
      <c r="C360" s="160"/>
      <c r="D360" s="123"/>
      <c r="E360" s="123"/>
      <c r="F360" s="123"/>
      <c r="G360" s="123"/>
      <c r="H360" s="123"/>
      <c r="I360" s="123"/>
      <c r="J360" s="123"/>
      <c r="K360" s="123"/>
      <c r="L360" s="123"/>
      <c r="M360" s="123"/>
      <c r="N360" s="123"/>
      <c r="O360" s="123"/>
      <c r="Q360" s="123"/>
      <c r="R360" s="123"/>
      <c r="S360" s="123"/>
      <c r="T360" s="123"/>
      <c r="U360" s="123"/>
      <c r="V360" s="123"/>
      <c r="W360" s="123"/>
      <c r="X360" s="123"/>
      <c r="Y360" s="123"/>
      <c r="Z360" s="123"/>
      <c r="AA360" s="123"/>
    </row>
    <row r="361">
      <c r="B361" s="160"/>
      <c r="C361" s="160"/>
      <c r="D361" s="123"/>
      <c r="E361" s="123"/>
      <c r="F361" s="123"/>
      <c r="G361" s="123"/>
      <c r="H361" s="123"/>
      <c r="I361" s="123"/>
      <c r="J361" s="123"/>
      <c r="K361" s="123"/>
      <c r="L361" s="123"/>
      <c r="M361" s="123"/>
      <c r="N361" s="123"/>
      <c r="O361" s="123"/>
      <c r="Q361" s="123"/>
      <c r="R361" s="123"/>
      <c r="S361" s="123"/>
      <c r="T361" s="123"/>
      <c r="U361" s="123"/>
      <c r="V361" s="123"/>
      <c r="W361" s="123"/>
      <c r="X361" s="123"/>
      <c r="Y361" s="123"/>
      <c r="Z361" s="123"/>
      <c r="AA361" s="123"/>
    </row>
    <row r="362">
      <c r="B362" s="160"/>
      <c r="C362" s="160"/>
      <c r="D362" s="123"/>
      <c r="E362" s="123"/>
      <c r="F362" s="123"/>
      <c r="G362" s="123"/>
      <c r="H362" s="123"/>
      <c r="I362" s="123"/>
      <c r="J362" s="123"/>
      <c r="K362" s="123"/>
      <c r="L362" s="123"/>
      <c r="M362" s="123"/>
      <c r="N362" s="123"/>
      <c r="O362" s="123"/>
      <c r="Q362" s="123"/>
      <c r="R362" s="123"/>
      <c r="S362" s="123"/>
      <c r="T362" s="123"/>
      <c r="U362" s="123"/>
      <c r="V362" s="123"/>
      <c r="W362" s="123"/>
      <c r="X362" s="123"/>
      <c r="Y362" s="123"/>
      <c r="Z362" s="123"/>
      <c r="AA362" s="123"/>
    </row>
    <row r="363">
      <c r="B363" s="160"/>
      <c r="C363" s="160"/>
      <c r="D363" s="123"/>
      <c r="E363" s="123"/>
      <c r="F363" s="123"/>
      <c r="G363" s="123"/>
      <c r="H363" s="123"/>
      <c r="I363" s="123"/>
      <c r="J363" s="123"/>
      <c r="K363" s="123"/>
      <c r="L363" s="123"/>
      <c r="M363" s="123"/>
      <c r="N363" s="123"/>
      <c r="O363" s="123"/>
      <c r="Q363" s="123"/>
      <c r="R363" s="123"/>
      <c r="S363" s="123"/>
      <c r="T363" s="123"/>
      <c r="U363" s="123"/>
      <c r="V363" s="123"/>
      <c r="W363" s="123"/>
      <c r="X363" s="123"/>
      <c r="Y363" s="123"/>
      <c r="Z363" s="123"/>
      <c r="AA363" s="123"/>
    </row>
    <row r="364">
      <c r="B364" s="160"/>
      <c r="C364" s="160"/>
      <c r="D364" s="123"/>
      <c r="E364" s="123"/>
      <c r="F364" s="123"/>
      <c r="G364" s="123"/>
      <c r="H364" s="123"/>
      <c r="I364" s="123"/>
      <c r="J364" s="123"/>
      <c r="K364" s="123"/>
      <c r="L364" s="123"/>
      <c r="M364" s="123"/>
      <c r="N364" s="123"/>
      <c r="O364" s="123"/>
      <c r="Q364" s="123"/>
      <c r="R364" s="123"/>
      <c r="S364" s="123"/>
      <c r="T364" s="123"/>
      <c r="U364" s="123"/>
      <c r="V364" s="123"/>
      <c r="W364" s="123"/>
      <c r="X364" s="123"/>
      <c r="Y364" s="123"/>
      <c r="Z364" s="123"/>
      <c r="AA364" s="123"/>
    </row>
    <row r="365">
      <c r="B365" s="160"/>
      <c r="C365" s="160"/>
      <c r="D365" s="123"/>
      <c r="E365" s="123"/>
      <c r="F365" s="123"/>
      <c r="G365" s="123"/>
      <c r="H365" s="123"/>
      <c r="I365" s="123"/>
      <c r="J365" s="123"/>
      <c r="K365" s="123"/>
      <c r="L365" s="123"/>
      <c r="M365" s="123"/>
      <c r="N365" s="123"/>
      <c r="O365" s="123"/>
      <c r="Q365" s="123"/>
      <c r="R365" s="123"/>
      <c r="S365" s="123"/>
      <c r="T365" s="123"/>
      <c r="U365" s="123"/>
      <c r="V365" s="123"/>
      <c r="W365" s="123"/>
      <c r="X365" s="123"/>
      <c r="Y365" s="123"/>
      <c r="Z365" s="123"/>
      <c r="AA365" s="123"/>
    </row>
    <row r="366">
      <c r="B366" s="160"/>
      <c r="C366" s="160"/>
      <c r="D366" s="123"/>
      <c r="E366" s="123"/>
      <c r="F366" s="123"/>
      <c r="G366" s="123"/>
      <c r="H366" s="123"/>
      <c r="I366" s="123"/>
      <c r="J366" s="123"/>
      <c r="K366" s="123"/>
      <c r="L366" s="123"/>
      <c r="M366" s="123"/>
      <c r="N366" s="123"/>
      <c r="O366" s="123"/>
      <c r="Q366" s="123"/>
      <c r="R366" s="123"/>
      <c r="S366" s="123"/>
      <c r="T366" s="123"/>
      <c r="U366" s="123"/>
      <c r="V366" s="123"/>
      <c r="W366" s="123"/>
      <c r="X366" s="123"/>
      <c r="Y366" s="123"/>
      <c r="Z366" s="123"/>
      <c r="AA366" s="123"/>
    </row>
    <row r="367">
      <c r="B367" s="160"/>
      <c r="C367" s="160"/>
      <c r="D367" s="123"/>
      <c r="E367" s="123"/>
      <c r="F367" s="123"/>
      <c r="G367" s="123"/>
      <c r="H367" s="123"/>
      <c r="I367" s="123"/>
      <c r="J367" s="123"/>
      <c r="K367" s="123"/>
      <c r="L367" s="123"/>
      <c r="M367" s="123"/>
      <c r="N367" s="123"/>
      <c r="O367" s="123"/>
      <c r="Q367" s="123"/>
      <c r="R367" s="123"/>
      <c r="S367" s="123"/>
      <c r="T367" s="123"/>
      <c r="U367" s="123"/>
      <c r="V367" s="123"/>
      <c r="W367" s="123"/>
      <c r="X367" s="123"/>
      <c r="Y367" s="123"/>
      <c r="Z367" s="123"/>
      <c r="AA367" s="123"/>
    </row>
    <row r="368">
      <c r="B368" s="160"/>
      <c r="C368" s="160"/>
      <c r="D368" s="123"/>
      <c r="E368" s="123"/>
      <c r="F368" s="123"/>
      <c r="G368" s="123"/>
      <c r="H368" s="123"/>
      <c r="I368" s="123"/>
      <c r="J368" s="123"/>
      <c r="K368" s="123"/>
      <c r="L368" s="123"/>
      <c r="M368" s="123"/>
      <c r="N368" s="123"/>
      <c r="O368" s="123"/>
      <c r="Q368" s="123"/>
      <c r="R368" s="123"/>
      <c r="S368" s="123"/>
      <c r="T368" s="123"/>
      <c r="U368" s="123"/>
      <c r="V368" s="123"/>
      <c r="W368" s="123"/>
      <c r="X368" s="123"/>
      <c r="Y368" s="123"/>
      <c r="Z368" s="123"/>
      <c r="AA368" s="123"/>
    </row>
    <row r="369">
      <c r="B369" s="160"/>
      <c r="C369" s="160"/>
      <c r="D369" s="123"/>
      <c r="E369" s="123"/>
      <c r="F369" s="123"/>
      <c r="G369" s="123"/>
      <c r="H369" s="123"/>
      <c r="I369" s="123"/>
      <c r="J369" s="123"/>
      <c r="K369" s="123"/>
      <c r="L369" s="123"/>
      <c r="M369" s="123"/>
      <c r="N369" s="123"/>
      <c r="O369" s="123"/>
      <c r="Q369" s="123"/>
      <c r="R369" s="123"/>
      <c r="S369" s="123"/>
      <c r="T369" s="123"/>
      <c r="U369" s="123"/>
      <c r="V369" s="123"/>
      <c r="W369" s="123"/>
      <c r="X369" s="123"/>
      <c r="Y369" s="123"/>
      <c r="Z369" s="123"/>
      <c r="AA369" s="123"/>
    </row>
    <row r="370">
      <c r="B370" s="160"/>
      <c r="C370" s="160"/>
      <c r="D370" s="123"/>
      <c r="E370" s="123"/>
      <c r="F370" s="123"/>
      <c r="G370" s="123"/>
      <c r="H370" s="123"/>
      <c r="I370" s="123"/>
      <c r="J370" s="123"/>
      <c r="K370" s="123"/>
      <c r="L370" s="123"/>
      <c r="M370" s="123"/>
      <c r="N370" s="123"/>
      <c r="O370" s="123"/>
      <c r="Q370" s="123"/>
      <c r="R370" s="123"/>
      <c r="S370" s="123"/>
      <c r="T370" s="123"/>
      <c r="U370" s="123"/>
      <c r="V370" s="123"/>
      <c r="W370" s="123"/>
      <c r="X370" s="123"/>
      <c r="Y370" s="123"/>
      <c r="Z370" s="123"/>
      <c r="AA370" s="123"/>
    </row>
    <row r="371">
      <c r="B371" s="160"/>
      <c r="C371" s="160"/>
      <c r="D371" s="123"/>
      <c r="E371" s="123"/>
      <c r="F371" s="123"/>
      <c r="G371" s="123"/>
      <c r="H371" s="123"/>
      <c r="I371" s="123"/>
      <c r="J371" s="123"/>
      <c r="K371" s="123"/>
      <c r="L371" s="123"/>
      <c r="M371" s="123"/>
      <c r="N371" s="123"/>
      <c r="O371" s="123"/>
      <c r="Q371" s="123"/>
      <c r="R371" s="123"/>
      <c r="S371" s="123"/>
      <c r="T371" s="123"/>
      <c r="U371" s="123"/>
      <c r="V371" s="123"/>
      <c r="W371" s="123"/>
      <c r="X371" s="123"/>
      <c r="Y371" s="123"/>
      <c r="Z371" s="123"/>
      <c r="AA371" s="123"/>
    </row>
    <row r="372">
      <c r="B372" s="160"/>
      <c r="C372" s="160"/>
      <c r="D372" s="123"/>
      <c r="E372" s="123"/>
      <c r="F372" s="123"/>
      <c r="G372" s="123"/>
      <c r="H372" s="123"/>
      <c r="I372" s="123"/>
      <c r="J372" s="123"/>
      <c r="K372" s="123"/>
      <c r="L372" s="123"/>
      <c r="M372" s="123"/>
      <c r="N372" s="123"/>
      <c r="O372" s="123"/>
      <c r="Q372" s="123"/>
      <c r="R372" s="123"/>
      <c r="S372" s="123"/>
      <c r="T372" s="123"/>
      <c r="U372" s="123"/>
      <c r="V372" s="123"/>
      <c r="W372" s="123"/>
      <c r="X372" s="123"/>
      <c r="Y372" s="123"/>
      <c r="Z372" s="123"/>
      <c r="AA372" s="123"/>
    </row>
    <row r="373">
      <c r="B373" s="160"/>
      <c r="C373" s="160"/>
      <c r="D373" s="123"/>
      <c r="E373" s="123"/>
      <c r="F373" s="123"/>
      <c r="G373" s="123"/>
      <c r="H373" s="123"/>
      <c r="I373" s="123"/>
      <c r="J373" s="123"/>
      <c r="K373" s="123"/>
      <c r="L373" s="123"/>
      <c r="M373" s="123"/>
      <c r="N373" s="123"/>
      <c r="O373" s="123"/>
      <c r="Q373" s="123"/>
      <c r="R373" s="123"/>
      <c r="S373" s="123"/>
      <c r="T373" s="123"/>
      <c r="U373" s="123"/>
      <c r="V373" s="123"/>
      <c r="W373" s="123"/>
      <c r="X373" s="123"/>
      <c r="Y373" s="123"/>
      <c r="Z373" s="123"/>
      <c r="AA373" s="123"/>
    </row>
    <row r="374">
      <c r="B374" s="160"/>
      <c r="C374" s="160"/>
      <c r="D374" s="123"/>
      <c r="E374" s="123"/>
      <c r="F374" s="123"/>
      <c r="G374" s="123"/>
      <c r="H374" s="123"/>
      <c r="I374" s="123"/>
      <c r="J374" s="123"/>
      <c r="K374" s="123"/>
      <c r="L374" s="123"/>
      <c r="M374" s="123"/>
      <c r="N374" s="123"/>
      <c r="O374" s="123"/>
      <c r="Q374" s="123"/>
      <c r="R374" s="123"/>
      <c r="S374" s="123"/>
      <c r="T374" s="123"/>
      <c r="U374" s="123"/>
      <c r="V374" s="123"/>
      <c r="W374" s="123"/>
      <c r="X374" s="123"/>
      <c r="Y374" s="123"/>
      <c r="Z374" s="123"/>
      <c r="AA374" s="123"/>
    </row>
    <row r="375">
      <c r="B375" s="160"/>
      <c r="C375" s="160"/>
      <c r="D375" s="123"/>
      <c r="E375" s="123"/>
      <c r="F375" s="123"/>
      <c r="G375" s="123"/>
      <c r="H375" s="123"/>
      <c r="I375" s="123"/>
      <c r="J375" s="123"/>
      <c r="K375" s="123"/>
      <c r="L375" s="123"/>
      <c r="M375" s="123"/>
      <c r="N375" s="123"/>
      <c r="O375" s="123"/>
      <c r="Q375" s="123"/>
      <c r="R375" s="123"/>
      <c r="S375" s="123"/>
      <c r="T375" s="123"/>
      <c r="U375" s="123"/>
      <c r="V375" s="123"/>
      <c r="W375" s="123"/>
      <c r="X375" s="123"/>
      <c r="Y375" s="123"/>
      <c r="Z375" s="123"/>
      <c r="AA375" s="123"/>
    </row>
    <row r="376">
      <c r="B376" s="160"/>
      <c r="C376" s="160"/>
      <c r="D376" s="123"/>
      <c r="E376" s="123"/>
      <c r="F376" s="123"/>
      <c r="G376" s="123"/>
      <c r="H376" s="123"/>
      <c r="I376" s="123"/>
      <c r="J376" s="123"/>
      <c r="K376" s="123"/>
      <c r="L376" s="123"/>
      <c r="M376" s="123"/>
      <c r="N376" s="123"/>
      <c r="O376" s="123"/>
      <c r="Q376" s="123"/>
      <c r="R376" s="123"/>
      <c r="S376" s="123"/>
      <c r="T376" s="123"/>
      <c r="U376" s="123"/>
      <c r="V376" s="123"/>
      <c r="W376" s="123"/>
      <c r="X376" s="123"/>
      <c r="Y376" s="123"/>
      <c r="Z376" s="123"/>
      <c r="AA376" s="123"/>
    </row>
    <row r="377">
      <c r="B377" s="160"/>
      <c r="C377" s="160"/>
      <c r="D377" s="123"/>
      <c r="E377" s="123"/>
      <c r="F377" s="123"/>
      <c r="G377" s="123"/>
      <c r="H377" s="123"/>
      <c r="I377" s="123"/>
      <c r="J377" s="123"/>
      <c r="K377" s="123"/>
      <c r="L377" s="123"/>
      <c r="M377" s="123"/>
      <c r="N377" s="123"/>
      <c r="O377" s="123"/>
      <c r="Q377" s="123"/>
      <c r="R377" s="123"/>
      <c r="S377" s="123"/>
      <c r="T377" s="123"/>
      <c r="U377" s="123"/>
      <c r="V377" s="123"/>
      <c r="W377" s="123"/>
      <c r="X377" s="123"/>
      <c r="Y377" s="123"/>
      <c r="Z377" s="123"/>
      <c r="AA377" s="123"/>
    </row>
    <row r="378">
      <c r="B378" s="160"/>
      <c r="C378" s="160"/>
      <c r="D378" s="123"/>
      <c r="E378" s="123"/>
      <c r="F378" s="123"/>
      <c r="G378" s="123"/>
      <c r="H378" s="123"/>
      <c r="I378" s="123"/>
      <c r="J378" s="123"/>
      <c r="K378" s="123"/>
      <c r="L378" s="123"/>
      <c r="M378" s="123"/>
      <c r="N378" s="123"/>
      <c r="O378" s="123"/>
      <c r="Q378" s="123"/>
      <c r="R378" s="123"/>
      <c r="S378" s="123"/>
      <c r="T378" s="123"/>
      <c r="U378" s="123"/>
      <c r="V378" s="123"/>
      <c r="W378" s="123"/>
      <c r="X378" s="123"/>
      <c r="Y378" s="123"/>
      <c r="Z378" s="123"/>
      <c r="AA378" s="123"/>
    </row>
    <row r="379">
      <c r="B379" s="160"/>
      <c r="C379" s="160"/>
      <c r="D379" s="123"/>
      <c r="E379" s="123"/>
      <c r="F379" s="123"/>
      <c r="G379" s="123"/>
      <c r="H379" s="123"/>
      <c r="I379" s="123"/>
      <c r="J379" s="123"/>
      <c r="K379" s="123"/>
      <c r="L379" s="123"/>
      <c r="M379" s="123"/>
      <c r="N379" s="123"/>
      <c r="O379" s="123"/>
      <c r="Q379" s="123"/>
      <c r="R379" s="123"/>
      <c r="S379" s="123"/>
      <c r="T379" s="123"/>
      <c r="U379" s="123"/>
      <c r="V379" s="123"/>
      <c r="W379" s="123"/>
      <c r="X379" s="123"/>
      <c r="Y379" s="123"/>
      <c r="Z379" s="123"/>
      <c r="AA379" s="123"/>
    </row>
    <row r="380">
      <c r="B380" s="160"/>
      <c r="C380" s="160"/>
      <c r="D380" s="123"/>
      <c r="E380" s="123"/>
      <c r="F380" s="123"/>
      <c r="G380" s="123"/>
      <c r="H380" s="123"/>
      <c r="I380" s="123"/>
      <c r="J380" s="123"/>
      <c r="K380" s="123"/>
      <c r="L380" s="123"/>
      <c r="M380" s="123"/>
      <c r="N380" s="123"/>
      <c r="O380" s="123"/>
      <c r="Q380" s="123"/>
      <c r="R380" s="123"/>
      <c r="S380" s="123"/>
      <c r="T380" s="123"/>
      <c r="U380" s="123"/>
      <c r="V380" s="123"/>
      <c r="W380" s="123"/>
      <c r="X380" s="123"/>
      <c r="Y380" s="123"/>
      <c r="Z380" s="123"/>
      <c r="AA380" s="123"/>
    </row>
    <row r="381">
      <c r="B381" s="160"/>
      <c r="C381" s="160"/>
      <c r="D381" s="123"/>
      <c r="E381" s="123"/>
      <c r="F381" s="123"/>
      <c r="G381" s="123"/>
      <c r="H381" s="123"/>
      <c r="I381" s="123"/>
      <c r="J381" s="123"/>
      <c r="K381" s="123"/>
      <c r="L381" s="123"/>
      <c r="M381" s="123"/>
      <c r="N381" s="123"/>
      <c r="O381" s="123"/>
      <c r="Q381" s="123"/>
      <c r="R381" s="123"/>
      <c r="S381" s="123"/>
      <c r="T381" s="123"/>
      <c r="U381" s="123"/>
      <c r="V381" s="123"/>
      <c r="W381" s="123"/>
      <c r="X381" s="123"/>
      <c r="Y381" s="123"/>
      <c r="Z381" s="123"/>
      <c r="AA381" s="123"/>
    </row>
    <row r="382">
      <c r="B382" s="160"/>
      <c r="C382" s="160"/>
      <c r="D382" s="123"/>
      <c r="E382" s="123"/>
      <c r="F382" s="123"/>
      <c r="G382" s="123"/>
      <c r="H382" s="123"/>
      <c r="I382" s="123"/>
      <c r="J382" s="123"/>
      <c r="K382" s="123"/>
      <c r="L382" s="123"/>
      <c r="M382" s="123"/>
      <c r="N382" s="123"/>
      <c r="O382" s="123"/>
      <c r="Q382" s="123"/>
      <c r="R382" s="123"/>
      <c r="S382" s="123"/>
      <c r="T382" s="123"/>
      <c r="U382" s="123"/>
      <c r="V382" s="123"/>
      <c r="W382" s="123"/>
      <c r="X382" s="123"/>
      <c r="Y382" s="123"/>
      <c r="Z382" s="123"/>
      <c r="AA382" s="123"/>
    </row>
    <row r="383">
      <c r="B383" s="160"/>
      <c r="C383" s="160"/>
      <c r="D383" s="123"/>
      <c r="E383" s="123"/>
      <c r="F383" s="123"/>
      <c r="G383" s="123"/>
      <c r="H383" s="123"/>
      <c r="I383" s="123"/>
      <c r="J383" s="123"/>
      <c r="K383" s="123"/>
      <c r="L383" s="123"/>
      <c r="M383" s="123"/>
      <c r="N383" s="123"/>
      <c r="O383" s="123"/>
      <c r="Q383" s="123"/>
      <c r="R383" s="123"/>
      <c r="S383" s="123"/>
      <c r="T383" s="123"/>
      <c r="U383" s="123"/>
      <c r="V383" s="123"/>
      <c r="W383" s="123"/>
      <c r="X383" s="123"/>
      <c r="Y383" s="123"/>
      <c r="Z383" s="123"/>
      <c r="AA383" s="123"/>
    </row>
    <row r="384">
      <c r="B384" s="160"/>
      <c r="C384" s="160"/>
      <c r="D384" s="123"/>
      <c r="E384" s="123"/>
      <c r="F384" s="123"/>
      <c r="G384" s="123"/>
      <c r="H384" s="123"/>
      <c r="I384" s="123"/>
      <c r="J384" s="123"/>
      <c r="K384" s="123"/>
      <c r="L384" s="123"/>
      <c r="M384" s="123"/>
      <c r="N384" s="123"/>
      <c r="O384" s="123"/>
      <c r="Q384" s="123"/>
      <c r="R384" s="123"/>
      <c r="S384" s="123"/>
      <c r="T384" s="123"/>
      <c r="U384" s="123"/>
      <c r="V384" s="123"/>
      <c r="W384" s="123"/>
      <c r="X384" s="123"/>
      <c r="Y384" s="123"/>
      <c r="Z384" s="123"/>
      <c r="AA384" s="123"/>
    </row>
    <row r="385">
      <c r="B385" s="160"/>
      <c r="C385" s="160"/>
      <c r="D385" s="123"/>
      <c r="E385" s="123"/>
      <c r="F385" s="123"/>
      <c r="G385" s="123"/>
      <c r="H385" s="123"/>
      <c r="I385" s="123"/>
      <c r="J385" s="123"/>
      <c r="K385" s="123"/>
      <c r="L385" s="123"/>
      <c r="M385" s="123"/>
      <c r="N385" s="123"/>
      <c r="O385" s="123"/>
      <c r="Q385" s="123"/>
      <c r="R385" s="123"/>
      <c r="S385" s="123"/>
      <c r="T385" s="123"/>
      <c r="U385" s="123"/>
      <c r="V385" s="123"/>
      <c r="W385" s="123"/>
      <c r="X385" s="123"/>
      <c r="Y385" s="123"/>
      <c r="Z385" s="123"/>
      <c r="AA385" s="123"/>
    </row>
    <row r="386">
      <c r="B386" s="160"/>
      <c r="C386" s="160"/>
      <c r="D386" s="123"/>
      <c r="E386" s="123"/>
      <c r="F386" s="123"/>
      <c r="G386" s="123"/>
      <c r="H386" s="123"/>
      <c r="I386" s="123"/>
      <c r="J386" s="123"/>
      <c r="K386" s="123"/>
      <c r="L386" s="123"/>
      <c r="M386" s="123"/>
      <c r="N386" s="123"/>
      <c r="O386" s="123"/>
      <c r="Q386" s="123"/>
      <c r="R386" s="123"/>
      <c r="S386" s="123"/>
      <c r="T386" s="123"/>
      <c r="U386" s="123"/>
      <c r="V386" s="123"/>
      <c r="W386" s="123"/>
      <c r="X386" s="123"/>
      <c r="Y386" s="123"/>
      <c r="Z386" s="123"/>
      <c r="AA386" s="123"/>
    </row>
    <row r="387">
      <c r="B387" s="160"/>
      <c r="C387" s="160"/>
      <c r="D387" s="123"/>
      <c r="E387" s="123"/>
      <c r="F387" s="123"/>
      <c r="G387" s="123"/>
      <c r="H387" s="123"/>
      <c r="I387" s="123"/>
      <c r="J387" s="123"/>
      <c r="K387" s="123"/>
      <c r="L387" s="123"/>
      <c r="M387" s="123"/>
      <c r="N387" s="123"/>
      <c r="O387" s="123"/>
      <c r="Q387" s="123"/>
      <c r="R387" s="123"/>
      <c r="S387" s="123"/>
      <c r="T387" s="123"/>
      <c r="U387" s="123"/>
      <c r="V387" s="123"/>
      <c r="W387" s="123"/>
      <c r="X387" s="123"/>
      <c r="Y387" s="123"/>
      <c r="Z387" s="123"/>
      <c r="AA387" s="123"/>
    </row>
    <row r="388">
      <c r="B388" s="160"/>
      <c r="C388" s="160"/>
      <c r="D388" s="123"/>
      <c r="E388" s="123"/>
      <c r="F388" s="123"/>
      <c r="G388" s="123"/>
      <c r="H388" s="123"/>
      <c r="I388" s="123"/>
      <c r="J388" s="123"/>
      <c r="K388" s="123"/>
      <c r="L388" s="123"/>
      <c r="M388" s="123"/>
      <c r="N388" s="123"/>
      <c r="O388" s="123"/>
      <c r="Q388" s="123"/>
      <c r="R388" s="123"/>
      <c r="S388" s="123"/>
      <c r="T388" s="123"/>
      <c r="U388" s="123"/>
      <c r="V388" s="123"/>
      <c r="W388" s="123"/>
      <c r="X388" s="123"/>
      <c r="Y388" s="123"/>
      <c r="Z388" s="123"/>
      <c r="AA388" s="123"/>
    </row>
    <row r="389">
      <c r="B389" s="160"/>
      <c r="C389" s="160"/>
      <c r="D389" s="123"/>
      <c r="E389" s="123"/>
      <c r="F389" s="123"/>
      <c r="G389" s="123"/>
      <c r="H389" s="123"/>
      <c r="I389" s="123"/>
      <c r="J389" s="123"/>
      <c r="K389" s="123"/>
      <c r="L389" s="123"/>
      <c r="M389" s="123"/>
      <c r="N389" s="123"/>
      <c r="O389" s="123"/>
      <c r="Q389" s="123"/>
      <c r="R389" s="123"/>
      <c r="S389" s="123"/>
      <c r="T389" s="123"/>
      <c r="U389" s="123"/>
      <c r="V389" s="123"/>
      <c r="W389" s="123"/>
      <c r="X389" s="123"/>
      <c r="Y389" s="123"/>
      <c r="Z389" s="123"/>
      <c r="AA389" s="123"/>
    </row>
    <row r="390">
      <c r="B390" s="160"/>
      <c r="C390" s="160"/>
      <c r="D390" s="123"/>
      <c r="E390" s="123"/>
      <c r="F390" s="123"/>
      <c r="G390" s="123"/>
      <c r="H390" s="123"/>
      <c r="I390" s="123"/>
      <c r="J390" s="123"/>
      <c r="K390" s="123"/>
      <c r="L390" s="123"/>
      <c r="M390" s="123"/>
      <c r="N390" s="123"/>
      <c r="O390" s="123"/>
      <c r="Q390" s="123"/>
      <c r="R390" s="123"/>
      <c r="S390" s="123"/>
      <c r="T390" s="123"/>
      <c r="U390" s="123"/>
      <c r="V390" s="123"/>
      <c r="W390" s="123"/>
      <c r="X390" s="123"/>
      <c r="Y390" s="123"/>
      <c r="Z390" s="123"/>
      <c r="AA390" s="123"/>
    </row>
    <row r="391">
      <c r="B391" s="160"/>
      <c r="C391" s="160"/>
      <c r="D391" s="123"/>
      <c r="E391" s="123"/>
      <c r="F391" s="123"/>
      <c r="G391" s="123"/>
      <c r="H391" s="123"/>
      <c r="I391" s="123"/>
      <c r="J391" s="123"/>
      <c r="K391" s="123"/>
      <c r="L391" s="123"/>
      <c r="M391" s="123"/>
      <c r="N391" s="123"/>
      <c r="O391" s="123"/>
      <c r="Q391" s="123"/>
      <c r="R391" s="123"/>
      <c r="S391" s="123"/>
      <c r="T391" s="123"/>
      <c r="U391" s="123"/>
      <c r="V391" s="123"/>
      <c r="W391" s="123"/>
      <c r="X391" s="123"/>
      <c r="Y391" s="123"/>
      <c r="Z391" s="123"/>
      <c r="AA391" s="123"/>
    </row>
    <row r="392">
      <c r="B392" s="160"/>
      <c r="C392" s="160"/>
      <c r="D392" s="123"/>
      <c r="E392" s="123"/>
      <c r="F392" s="123"/>
      <c r="G392" s="123"/>
      <c r="H392" s="123"/>
      <c r="I392" s="123"/>
      <c r="J392" s="123"/>
      <c r="K392" s="123"/>
      <c r="L392" s="123"/>
      <c r="M392" s="123"/>
      <c r="N392" s="123"/>
      <c r="O392" s="123"/>
      <c r="Q392" s="123"/>
      <c r="R392" s="123"/>
      <c r="S392" s="123"/>
      <c r="T392" s="123"/>
      <c r="U392" s="123"/>
      <c r="V392" s="123"/>
      <c r="W392" s="123"/>
      <c r="X392" s="123"/>
      <c r="Y392" s="123"/>
      <c r="Z392" s="123"/>
      <c r="AA392" s="123"/>
    </row>
    <row r="393">
      <c r="B393" s="160"/>
      <c r="C393" s="160"/>
      <c r="D393" s="123"/>
      <c r="E393" s="123"/>
      <c r="F393" s="123"/>
      <c r="G393" s="123"/>
      <c r="H393" s="123"/>
      <c r="I393" s="123"/>
      <c r="J393" s="123"/>
      <c r="K393" s="123"/>
      <c r="L393" s="123"/>
      <c r="M393" s="123"/>
      <c r="N393" s="123"/>
      <c r="O393" s="123"/>
      <c r="Q393" s="123"/>
      <c r="R393" s="123"/>
      <c r="S393" s="123"/>
      <c r="T393" s="123"/>
      <c r="U393" s="123"/>
      <c r="V393" s="123"/>
      <c r="W393" s="123"/>
      <c r="X393" s="123"/>
      <c r="Y393" s="123"/>
      <c r="Z393" s="123"/>
      <c r="AA393" s="123"/>
    </row>
    <row r="394">
      <c r="B394" s="160"/>
      <c r="C394" s="160"/>
      <c r="D394" s="123"/>
      <c r="E394" s="123"/>
      <c r="F394" s="123"/>
      <c r="G394" s="123"/>
      <c r="H394" s="123"/>
      <c r="I394" s="123"/>
      <c r="J394" s="123"/>
      <c r="K394" s="123"/>
      <c r="L394" s="123"/>
      <c r="M394" s="123"/>
      <c r="N394" s="123"/>
      <c r="O394" s="123"/>
      <c r="Q394" s="123"/>
      <c r="R394" s="123"/>
      <c r="S394" s="123"/>
      <c r="T394" s="123"/>
      <c r="U394" s="123"/>
      <c r="V394" s="123"/>
      <c r="W394" s="123"/>
      <c r="X394" s="123"/>
      <c r="Y394" s="123"/>
      <c r="Z394" s="123"/>
      <c r="AA394" s="123"/>
    </row>
    <row r="395">
      <c r="B395" s="160"/>
      <c r="C395" s="160"/>
      <c r="D395" s="123"/>
      <c r="E395" s="123"/>
      <c r="F395" s="123"/>
      <c r="G395" s="123"/>
      <c r="H395" s="123"/>
      <c r="I395" s="123"/>
      <c r="J395" s="123"/>
      <c r="K395" s="123"/>
      <c r="L395" s="123"/>
      <c r="M395" s="123"/>
      <c r="N395" s="123"/>
      <c r="O395" s="123"/>
      <c r="Q395" s="123"/>
      <c r="R395" s="123"/>
      <c r="S395" s="123"/>
      <c r="T395" s="123"/>
      <c r="U395" s="123"/>
      <c r="V395" s="123"/>
      <c r="W395" s="123"/>
      <c r="X395" s="123"/>
      <c r="Y395" s="123"/>
      <c r="Z395" s="123"/>
      <c r="AA395" s="123"/>
    </row>
    <row r="396">
      <c r="B396" s="160"/>
      <c r="C396" s="160"/>
      <c r="D396" s="123"/>
      <c r="E396" s="123"/>
      <c r="F396" s="123"/>
      <c r="G396" s="123"/>
      <c r="H396" s="123"/>
      <c r="I396" s="123"/>
      <c r="J396" s="123"/>
      <c r="K396" s="123"/>
      <c r="L396" s="123"/>
      <c r="M396" s="123"/>
      <c r="N396" s="123"/>
      <c r="O396" s="123"/>
      <c r="Q396" s="123"/>
      <c r="R396" s="123"/>
      <c r="S396" s="123"/>
      <c r="T396" s="123"/>
      <c r="U396" s="123"/>
      <c r="V396" s="123"/>
      <c r="W396" s="123"/>
      <c r="X396" s="123"/>
      <c r="Y396" s="123"/>
      <c r="Z396" s="123"/>
      <c r="AA396" s="123"/>
    </row>
    <row r="397">
      <c r="B397" s="160"/>
      <c r="C397" s="160"/>
      <c r="D397" s="123"/>
      <c r="E397" s="123"/>
      <c r="F397" s="123"/>
      <c r="G397" s="123"/>
      <c r="H397" s="123"/>
      <c r="I397" s="123"/>
      <c r="J397" s="123"/>
      <c r="K397" s="123"/>
      <c r="L397" s="123"/>
      <c r="M397" s="123"/>
      <c r="N397" s="123"/>
      <c r="O397" s="123"/>
      <c r="Q397" s="123"/>
      <c r="R397" s="123"/>
      <c r="S397" s="123"/>
      <c r="T397" s="123"/>
      <c r="U397" s="123"/>
      <c r="V397" s="123"/>
      <c r="W397" s="123"/>
      <c r="X397" s="123"/>
      <c r="Y397" s="123"/>
      <c r="Z397" s="123"/>
      <c r="AA397" s="123"/>
    </row>
    <row r="398">
      <c r="B398" s="160"/>
      <c r="C398" s="160"/>
      <c r="D398" s="123"/>
      <c r="E398" s="123"/>
      <c r="F398" s="123"/>
      <c r="G398" s="123"/>
      <c r="H398" s="123"/>
      <c r="I398" s="123"/>
      <c r="J398" s="123"/>
      <c r="K398" s="123"/>
      <c r="L398" s="123"/>
      <c r="M398" s="123"/>
      <c r="N398" s="123"/>
      <c r="O398" s="123"/>
      <c r="Q398" s="123"/>
      <c r="R398" s="123"/>
      <c r="S398" s="123"/>
      <c r="T398" s="123"/>
      <c r="U398" s="123"/>
      <c r="V398" s="123"/>
      <c r="W398" s="123"/>
      <c r="X398" s="123"/>
      <c r="Y398" s="123"/>
      <c r="Z398" s="123"/>
      <c r="AA398" s="123"/>
    </row>
    <row r="399">
      <c r="B399" s="160"/>
      <c r="C399" s="160"/>
      <c r="D399" s="123"/>
      <c r="E399" s="123"/>
      <c r="F399" s="123"/>
      <c r="G399" s="123"/>
      <c r="H399" s="123"/>
      <c r="I399" s="123"/>
      <c r="J399" s="123"/>
      <c r="K399" s="123"/>
      <c r="L399" s="123"/>
      <c r="M399" s="123"/>
      <c r="N399" s="123"/>
      <c r="O399" s="123"/>
      <c r="Q399" s="123"/>
      <c r="R399" s="123"/>
      <c r="S399" s="123"/>
      <c r="T399" s="123"/>
      <c r="U399" s="123"/>
      <c r="V399" s="123"/>
      <c r="W399" s="123"/>
      <c r="X399" s="123"/>
      <c r="Y399" s="123"/>
      <c r="Z399" s="123"/>
      <c r="AA399" s="123"/>
    </row>
    <row r="400">
      <c r="B400" s="160"/>
      <c r="C400" s="160"/>
      <c r="D400" s="123"/>
      <c r="E400" s="123"/>
      <c r="F400" s="123"/>
      <c r="G400" s="123"/>
      <c r="H400" s="123"/>
      <c r="I400" s="123"/>
      <c r="J400" s="123"/>
      <c r="K400" s="123"/>
      <c r="L400" s="123"/>
      <c r="M400" s="123"/>
      <c r="N400" s="123"/>
      <c r="O400" s="123"/>
      <c r="Q400" s="123"/>
      <c r="R400" s="123"/>
      <c r="S400" s="123"/>
      <c r="T400" s="123"/>
      <c r="U400" s="123"/>
      <c r="V400" s="123"/>
      <c r="W400" s="123"/>
      <c r="X400" s="123"/>
      <c r="Y400" s="123"/>
      <c r="Z400" s="123"/>
      <c r="AA400" s="123"/>
    </row>
    <row r="401">
      <c r="B401" s="160"/>
      <c r="C401" s="160"/>
      <c r="D401" s="123"/>
      <c r="E401" s="123"/>
      <c r="F401" s="123"/>
      <c r="G401" s="123"/>
      <c r="H401" s="123"/>
      <c r="I401" s="123"/>
      <c r="J401" s="123"/>
      <c r="K401" s="123"/>
      <c r="L401" s="123"/>
      <c r="M401" s="123"/>
      <c r="N401" s="123"/>
      <c r="O401" s="123"/>
      <c r="Q401" s="123"/>
      <c r="R401" s="123"/>
      <c r="S401" s="123"/>
      <c r="T401" s="123"/>
      <c r="U401" s="123"/>
      <c r="V401" s="123"/>
      <c r="W401" s="123"/>
      <c r="X401" s="123"/>
      <c r="Y401" s="123"/>
      <c r="Z401" s="123"/>
      <c r="AA401" s="123"/>
    </row>
    <row r="402">
      <c r="B402" s="160"/>
      <c r="C402" s="160"/>
      <c r="D402" s="123"/>
      <c r="E402" s="123"/>
      <c r="F402" s="123"/>
      <c r="G402" s="123"/>
      <c r="H402" s="123"/>
      <c r="I402" s="123"/>
      <c r="J402" s="123"/>
      <c r="K402" s="123"/>
      <c r="L402" s="123"/>
      <c r="M402" s="123"/>
      <c r="N402" s="123"/>
      <c r="O402" s="123"/>
      <c r="Q402" s="123"/>
      <c r="R402" s="123"/>
      <c r="S402" s="123"/>
      <c r="T402" s="123"/>
      <c r="U402" s="123"/>
      <c r="V402" s="123"/>
      <c r="W402" s="123"/>
      <c r="X402" s="123"/>
      <c r="Y402" s="123"/>
      <c r="Z402" s="123"/>
      <c r="AA402" s="123"/>
    </row>
    <row r="403">
      <c r="B403" s="160"/>
      <c r="C403" s="160"/>
      <c r="D403" s="123"/>
      <c r="E403" s="123"/>
      <c r="F403" s="123"/>
      <c r="G403" s="123"/>
      <c r="H403" s="123"/>
      <c r="I403" s="123"/>
      <c r="J403" s="123"/>
      <c r="K403" s="123"/>
      <c r="L403" s="123"/>
      <c r="M403" s="123"/>
      <c r="N403" s="123"/>
      <c r="O403" s="123"/>
      <c r="Q403" s="123"/>
      <c r="R403" s="123"/>
      <c r="S403" s="123"/>
      <c r="T403" s="123"/>
      <c r="U403" s="123"/>
      <c r="V403" s="123"/>
      <c r="W403" s="123"/>
      <c r="X403" s="123"/>
      <c r="Y403" s="123"/>
      <c r="Z403" s="123"/>
      <c r="AA403" s="123"/>
    </row>
    <row r="404">
      <c r="B404" s="160"/>
      <c r="C404" s="160"/>
      <c r="D404" s="123"/>
      <c r="E404" s="123"/>
      <c r="F404" s="123"/>
      <c r="G404" s="123"/>
      <c r="H404" s="123"/>
      <c r="I404" s="123"/>
      <c r="J404" s="123"/>
      <c r="K404" s="123"/>
      <c r="L404" s="123"/>
      <c r="M404" s="123"/>
      <c r="N404" s="123"/>
      <c r="O404" s="123"/>
      <c r="Q404" s="123"/>
      <c r="R404" s="123"/>
      <c r="S404" s="123"/>
      <c r="T404" s="123"/>
      <c r="U404" s="123"/>
      <c r="V404" s="123"/>
      <c r="W404" s="123"/>
      <c r="X404" s="123"/>
      <c r="Y404" s="123"/>
      <c r="Z404" s="123"/>
      <c r="AA404" s="123"/>
    </row>
    <row r="405">
      <c r="B405" s="160"/>
      <c r="C405" s="160"/>
      <c r="D405" s="123"/>
      <c r="E405" s="123"/>
      <c r="F405" s="123"/>
      <c r="G405" s="123"/>
      <c r="H405" s="123"/>
      <c r="I405" s="123"/>
      <c r="J405" s="123"/>
      <c r="K405" s="123"/>
      <c r="L405" s="123"/>
      <c r="M405" s="123"/>
      <c r="N405" s="123"/>
      <c r="O405" s="123"/>
      <c r="Q405" s="123"/>
      <c r="R405" s="123"/>
      <c r="S405" s="123"/>
      <c r="T405" s="123"/>
      <c r="U405" s="123"/>
      <c r="V405" s="123"/>
      <c r="W405" s="123"/>
      <c r="X405" s="123"/>
      <c r="Y405" s="123"/>
      <c r="Z405" s="123"/>
      <c r="AA405" s="123"/>
    </row>
    <row r="406">
      <c r="B406" s="160"/>
      <c r="C406" s="160"/>
      <c r="D406" s="123"/>
      <c r="E406" s="123"/>
      <c r="F406" s="123"/>
      <c r="G406" s="123"/>
      <c r="H406" s="123"/>
      <c r="I406" s="123"/>
      <c r="J406" s="123"/>
      <c r="K406" s="123"/>
      <c r="L406" s="123"/>
      <c r="M406" s="123"/>
      <c r="N406" s="123"/>
      <c r="O406" s="123"/>
      <c r="Q406" s="123"/>
      <c r="R406" s="123"/>
      <c r="S406" s="123"/>
      <c r="T406" s="123"/>
      <c r="U406" s="123"/>
      <c r="V406" s="123"/>
      <c r="W406" s="123"/>
      <c r="X406" s="123"/>
      <c r="Y406" s="123"/>
      <c r="Z406" s="123"/>
      <c r="AA406" s="123"/>
    </row>
    <row r="407">
      <c r="B407" s="160"/>
      <c r="C407" s="160"/>
      <c r="D407" s="123"/>
      <c r="E407" s="123"/>
      <c r="F407" s="123"/>
      <c r="G407" s="123"/>
      <c r="H407" s="123"/>
      <c r="I407" s="123"/>
      <c r="J407" s="123"/>
      <c r="K407" s="123"/>
      <c r="L407" s="123"/>
      <c r="M407" s="123"/>
      <c r="N407" s="123"/>
      <c r="O407" s="123"/>
      <c r="Q407" s="123"/>
      <c r="R407" s="123"/>
      <c r="S407" s="123"/>
      <c r="T407" s="123"/>
      <c r="U407" s="123"/>
      <c r="V407" s="123"/>
      <c r="W407" s="123"/>
      <c r="X407" s="123"/>
      <c r="Y407" s="123"/>
      <c r="Z407" s="123"/>
      <c r="AA407" s="123"/>
    </row>
    <row r="408">
      <c r="B408" s="160"/>
      <c r="C408" s="160"/>
      <c r="D408" s="123"/>
      <c r="E408" s="123"/>
      <c r="F408" s="123"/>
      <c r="G408" s="123"/>
      <c r="H408" s="123"/>
      <c r="I408" s="123"/>
      <c r="J408" s="123"/>
      <c r="K408" s="123"/>
      <c r="L408" s="123"/>
      <c r="M408" s="123"/>
      <c r="N408" s="123"/>
      <c r="O408" s="123"/>
      <c r="Q408" s="123"/>
      <c r="R408" s="123"/>
      <c r="S408" s="123"/>
      <c r="T408" s="123"/>
      <c r="U408" s="123"/>
      <c r="V408" s="123"/>
      <c r="W408" s="123"/>
      <c r="X408" s="123"/>
      <c r="Y408" s="123"/>
      <c r="Z408" s="123"/>
      <c r="AA408" s="123"/>
    </row>
    <row r="409">
      <c r="B409" s="160"/>
      <c r="C409" s="160"/>
      <c r="D409" s="123"/>
      <c r="E409" s="123"/>
      <c r="F409" s="123"/>
      <c r="G409" s="123"/>
      <c r="H409" s="123"/>
      <c r="I409" s="123"/>
      <c r="J409" s="123"/>
      <c r="K409" s="123"/>
      <c r="L409" s="123"/>
      <c r="M409" s="123"/>
      <c r="N409" s="123"/>
      <c r="O409" s="123"/>
      <c r="Q409" s="123"/>
      <c r="R409" s="123"/>
      <c r="S409" s="123"/>
      <c r="T409" s="123"/>
      <c r="U409" s="123"/>
      <c r="V409" s="123"/>
      <c r="W409" s="123"/>
      <c r="X409" s="123"/>
      <c r="Y409" s="123"/>
      <c r="Z409" s="123"/>
      <c r="AA409" s="123"/>
    </row>
    <row r="410">
      <c r="B410" s="160"/>
      <c r="C410" s="160"/>
      <c r="D410" s="123"/>
      <c r="E410" s="123"/>
      <c r="F410" s="123"/>
      <c r="G410" s="123"/>
      <c r="H410" s="123"/>
      <c r="I410" s="123"/>
      <c r="J410" s="123"/>
      <c r="K410" s="123"/>
      <c r="L410" s="123"/>
      <c r="M410" s="123"/>
      <c r="N410" s="123"/>
      <c r="O410" s="123"/>
      <c r="Q410" s="123"/>
      <c r="R410" s="123"/>
      <c r="S410" s="123"/>
      <c r="T410" s="123"/>
      <c r="U410" s="123"/>
      <c r="V410" s="123"/>
      <c r="W410" s="123"/>
      <c r="X410" s="123"/>
      <c r="Y410" s="123"/>
      <c r="Z410" s="123"/>
      <c r="AA410" s="123"/>
    </row>
    <row r="411">
      <c r="B411" s="160"/>
      <c r="C411" s="160"/>
      <c r="D411" s="123"/>
      <c r="E411" s="123"/>
      <c r="F411" s="123"/>
      <c r="G411" s="123"/>
      <c r="H411" s="123"/>
      <c r="I411" s="123"/>
      <c r="J411" s="123"/>
      <c r="K411" s="123"/>
      <c r="L411" s="123"/>
      <c r="M411" s="123"/>
      <c r="N411" s="123"/>
      <c r="O411" s="123"/>
      <c r="Q411" s="123"/>
      <c r="R411" s="123"/>
      <c r="S411" s="123"/>
      <c r="T411" s="123"/>
      <c r="U411" s="123"/>
      <c r="V411" s="123"/>
      <c r="W411" s="123"/>
      <c r="X411" s="123"/>
      <c r="Y411" s="123"/>
      <c r="Z411" s="123"/>
      <c r="AA411" s="123"/>
    </row>
    <row r="412">
      <c r="B412" s="160"/>
      <c r="C412" s="160"/>
      <c r="D412" s="123"/>
      <c r="E412" s="123"/>
      <c r="F412" s="123"/>
      <c r="G412" s="123"/>
      <c r="H412" s="123"/>
      <c r="I412" s="123"/>
      <c r="J412" s="123"/>
      <c r="K412" s="123"/>
      <c r="L412" s="123"/>
      <c r="M412" s="123"/>
      <c r="N412" s="123"/>
      <c r="O412" s="123"/>
      <c r="Q412" s="123"/>
      <c r="R412" s="123"/>
      <c r="S412" s="123"/>
      <c r="T412" s="123"/>
      <c r="U412" s="123"/>
      <c r="V412" s="123"/>
      <c r="W412" s="123"/>
      <c r="X412" s="123"/>
      <c r="Y412" s="123"/>
      <c r="Z412" s="123"/>
      <c r="AA412" s="123"/>
    </row>
    <row r="413">
      <c r="B413" s="160"/>
      <c r="C413" s="160"/>
      <c r="D413" s="123"/>
      <c r="E413" s="123"/>
      <c r="F413" s="123"/>
      <c r="G413" s="123"/>
      <c r="H413" s="123"/>
      <c r="I413" s="123"/>
      <c r="J413" s="123"/>
      <c r="K413" s="123"/>
      <c r="L413" s="123"/>
      <c r="M413" s="123"/>
      <c r="N413" s="123"/>
      <c r="O413" s="123"/>
      <c r="Q413" s="123"/>
      <c r="R413" s="123"/>
      <c r="S413" s="123"/>
      <c r="T413" s="123"/>
      <c r="U413" s="123"/>
      <c r="V413" s="123"/>
      <c r="W413" s="123"/>
      <c r="X413" s="123"/>
      <c r="Y413" s="123"/>
      <c r="Z413" s="123"/>
      <c r="AA413" s="123"/>
    </row>
    <row r="414">
      <c r="B414" s="160"/>
      <c r="C414" s="160"/>
      <c r="D414" s="123"/>
      <c r="E414" s="123"/>
      <c r="F414" s="123"/>
      <c r="G414" s="123"/>
      <c r="H414" s="123"/>
      <c r="I414" s="123"/>
      <c r="J414" s="123"/>
      <c r="K414" s="123"/>
      <c r="L414" s="123"/>
      <c r="M414" s="123"/>
      <c r="N414" s="123"/>
      <c r="O414" s="123"/>
      <c r="Q414" s="123"/>
      <c r="R414" s="123"/>
      <c r="S414" s="123"/>
      <c r="T414" s="123"/>
      <c r="U414" s="123"/>
      <c r="V414" s="123"/>
      <c r="W414" s="123"/>
      <c r="X414" s="123"/>
      <c r="Y414" s="123"/>
      <c r="Z414" s="123"/>
      <c r="AA414" s="123"/>
    </row>
    <row r="415">
      <c r="B415" s="160"/>
      <c r="C415" s="160"/>
      <c r="D415" s="123"/>
      <c r="E415" s="123"/>
      <c r="F415" s="123"/>
      <c r="G415" s="123"/>
      <c r="H415" s="123"/>
      <c r="I415" s="123"/>
      <c r="J415" s="123"/>
      <c r="K415" s="123"/>
      <c r="L415" s="123"/>
      <c r="M415" s="123"/>
      <c r="N415" s="123"/>
      <c r="O415" s="123"/>
      <c r="Q415" s="123"/>
      <c r="R415" s="123"/>
      <c r="S415" s="123"/>
      <c r="T415" s="123"/>
      <c r="U415" s="123"/>
      <c r="V415" s="123"/>
      <c r="W415" s="123"/>
      <c r="X415" s="123"/>
      <c r="Y415" s="123"/>
      <c r="Z415" s="123"/>
      <c r="AA415" s="123"/>
    </row>
    <row r="416">
      <c r="B416" s="160"/>
      <c r="C416" s="160"/>
      <c r="D416" s="123"/>
      <c r="E416" s="123"/>
      <c r="F416" s="123"/>
      <c r="G416" s="123"/>
      <c r="H416" s="123"/>
      <c r="I416" s="123"/>
      <c r="J416" s="123"/>
      <c r="K416" s="123"/>
      <c r="L416" s="123"/>
      <c r="M416" s="123"/>
      <c r="N416" s="123"/>
      <c r="O416" s="123"/>
      <c r="Q416" s="123"/>
      <c r="R416" s="123"/>
      <c r="S416" s="123"/>
      <c r="T416" s="123"/>
      <c r="U416" s="123"/>
      <c r="V416" s="123"/>
      <c r="W416" s="123"/>
      <c r="X416" s="123"/>
      <c r="Y416" s="123"/>
      <c r="Z416" s="123"/>
      <c r="AA416" s="123"/>
    </row>
    <row r="417">
      <c r="B417" s="160"/>
      <c r="C417" s="160"/>
      <c r="D417" s="123"/>
      <c r="E417" s="123"/>
      <c r="F417" s="123"/>
      <c r="G417" s="123"/>
      <c r="H417" s="123"/>
      <c r="I417" s="123"/>
      <c r="J417" s="123"/>
      <c r="K417" s="123"/>
      <c r="L417" s="123"/>
      <c r="M417" s="123"/>
      <c r="N417" s="123"/>
      <c r="O417" s="123"/>
      <c r="Q417" s="123"/>
      <c r="R417" s="123"/>
      <c r="S417" s="123"/>
      <c r="T417" s="123"/>
      <c r="U417" s="123"/>
      <c r="V417" s="123"/>
      <c r="W417" s="123"/>
      <c r="X417" s="123"/>
      <c r="Y417" s="123"/>
      <c r="Z417" s="123"/>
      <c r="AA417" s="123"/>
    </row>
    <row r="418">
      <c r="B418" s="160"/>
      <c r="C418" s="160"/>
      <c r="D418" s="123"/>
      <c r="E418" s="123"/>
      <c r="F418" s="123"/>
      <c r="G418" s="123"/>
      <c r="H418" s="123"/>
      <c r="I418" s="123"/>
      <c r="J418" s="123"/>
      <c r="K418" s="123"/>
      <c r="L418" s="123"/>
      <c r="M418" s="123"/>
      <c r="N418" s="123"/>
      <c r="O418" s="123"/>
      <c r="Q418" s="123"/>
      <c r="R418" s="123"/>
      <c r="S418" s="123"/>
      <c r="T418" s="123"/>
      <c r="U418" s="123"/>
      <c r="V418" s="123"/>
      <c r="W418" s="123"/>
      <c r="X418" s="123"/>
      <c r="Y418" s="123"/>
      <c r="Z418" s="123"/>
      <c r="AA418" s="123"/>
    </row>
    <row r="419">
      <c r="B419" s="160"/>
      <c r="C419" s="160"/>
      <c r="D419" s="123"/>
      <c r="E419" s="123"/>
      <c r="F419" s="123"/>
      <c r="G419" s="123"/>
      <c r="H419" s="123"/>
      <c r="I419" s="123"/>
      <c r="J419" s="123"/>
      <c r="K419" s="123"/>
      <c r="L419" s="123"/>
      <c r="M419" s="123"/>
      <c r="N419" s="123"/>
      <c r="O419" s="123"/>
      <c r="Q419" s="123"/>
      <c r="R419" s="123"/>
      <c r="S419" s="123"/>
      <c r="T419" s="123"/>
      <c r="U419" s="123"/>
      <c r="V419" s="123"/>
      <c r="W419" s="123"/>
      <c r="X419" s="123"/>
      <c r="Y419" s="123"/>
      <c r="Z419" s="123"/>
      <c r="AA419" s="123"/>
    </row>
    <row r="420">
      <c r="B420" s="160"/>
      <c r="C420" s="160"/>
      <c r="D420" s="123"/>
      <c r="E420" s="123"/>
      <c r="F420" s="123"/>
      <c r="G420" s="123"/>
      <c r="H420" s="123"/>
      <c r="I420" s="123"/>
      <c r="J420" s="123"/>
      <c r="K420" s="123"/>
      <c r="L420" s="123"/>
      <c r="M420" s="123"/>
      <c r="N420" s="123"/>
      <c r="O420" s="123"/>
      <c r="Q420" s="123"/>
      <c r="R420" s="123"/>
      <c r="S420" s="123"/>
      <c r="T420" s="123"/>
      <c r="U420" s="123"/>
      <c r="V420" s="123"/>
      <c r="W420" s="123"/>
      <c r="X420" s="123"/>
      <c r="Y420" s="123"/>
      <c r="Z420" s="123"/>
      <c r="AA420" s="123"/>
    </row>
    <row r="421">
      <c r="B421" s="160"/>
      <c r="C421" s="160"/>
      <c r="D421" s="123"/>
      <c r="E421" s="123"/>
      <c r="F421" s="123"/>
      <c r="G421" s="123"/>
      <c r="H421" s="123"/>
      <c r="I421" s="123"/>
      <c r="J421" s="123"/>
      <c r="K421" s="123"/>
      <c r="L421" s="123"/>
      <c r="M421" s="123"/>
      <c r="N421" s="123"/>
      <c r="O421" s="123"/>
      <c r="Q421" s="123"/>
      <c r="R421" s="123"/>
      <c r="S421" s="123"/>
      <c r="T421" s="123"/>
      <c r="U421" s="123"/>
      <c r="V421" s="123"/>
      <c r="W421" s="123"/>
      <c r="X421" s="123"/>
      <c r="Y421" s="123"/>
      <c r="Z421" s="123"/>
      <c r="AA421" s="123"/>
    </row>
    <row r="422">
      <c r="B422" s="160"/>
      <c r="C422" s="160"/>
      <c r="D422" s="123"/>
      <c r="E422" s="123"/>
      <c r="F422" s="123"/>
      <c r="G422" s="123"/>
      <c r="H422" s="123"/>
      <c r="I422" s="123"/>
      <c r="J422" s="123"/>
      <c r="K422" s="123"/>
      <c r="L422" s="123"/>
      <c r="M422" s="123"/>
      <c r="N422" s="123"/>
      <c r="O422" s="123"/>
      <c r="Q422" s="123"/>
      <c r="R422" s="123"/>
      <c r="S422" s="123"/>
      <c r="T422" s="123"/>
      <c r="U422" s="123"/>
      <c r="V422" s="123"/>
      <c r="W422" s="123"/>
      <c r="X422" s="123"/>
      <c r="Y422" s="123"/>
      <c r="Z422" s="123"/>
      <c r="AA422" s="123"/>
    </row>
    <row r="423">
      <c r="B423" s="160"/>
      <c r="C423" s="160"/>
      <c r="D423" s="123"/>
      <c r="E423" s="123"/>
      <c r="F423" s="123"/>
      <c r="G423" s="123"/>
      <c r="H423" s="123"/>
      <c r="I423" s="123"/>
      <c r="J423" s="123"/>
      <c r="K423" s="123"/>
      <c r="L423" s="123"/>
      <c r="M423" s="123"/>
      <c r="N423" s="123"/>
      <c r="O423" s="123"/>
      <c r="Q423" s="123"/>
      <c r="R423" s="123"/>
      <c r="S423" s="123"/>
      <c r="T423" s="123"/>
      <c r="U423" s="123"/>
      <c r="V423" s="123"/>
      <c r="W423" s="123"/>
      <c r="X423" s="123"/>
      <c r="Y423" s="123"/>
      <c r="Z423" s="123"/>
      <c r="AA423" s="123"/>
    </row>
    <row r="424">
      <c r="B424" s="160"/>
      <c r="C424" s="160"/>
      <c r="D424" s="123"/>
      <c r="E424" s="123"/>
      <c r="F424" s="123"/>
      <c r="G424" s="123"/>
      <c r="H424" s="123"/>
      <c r="I424" s="123"/>
      <c r="J424" s="123"/>
      <c r="K424" s="123"/>
      <c r="L424" s="123"/>
      <c r="M424" s="123"/>
      <c r="N424" s="123"/>
      <c r="O424" s="123"/>
      <c r="Q424" s="123"/>
      <c r="R424" s="123"/>
      <c r="S424" s="123"/>
      <c r="T424" s="123"/>
      <c r="U424" s="123"/>
      <c r="V424" s="123"/>
      <c r="W424" s="123"/>
      <c r="X424" s="123"/>
      <c r="Y424" s="123"/>
      <c r="Z424" s="123"/>
      <c r="AA424" s="123"/>
    </row>
    <row r="425">
      <c r="B425" s="160"/>
      <c r="C425" s="160"/>
      <c r="D425" s="123"/>
      <c r="E425" s="123"/>
      <c r="F425" s="123"/>
      <c r="G425" s="123"/>
      <c r="H425" s="123"/>
      <c r="I425" s="123"/>
      <c r="J425" s="123"/>
      <c r="K425" s="123"/>
      <c r="L425" s="123"/>
      <c r="M425" s="123"/>
      <c r="N425" s="123"/>
      <c r="O425" s="123"/>
      <c r="Q425" s="123"/>
      <c r="R425" s="123"/>
      <c r="S425" s="123"/>
      <c r="T425" s="123"/>
      <c r="U425" s="123"/>
      <c r="V425" s="123"/>
      <c r="W425" s="123"/>
      <c r="X425" s="123"/>
      <c r="Y425" s="123"/>
      <c r="Z425" s="123"/>
      <c r="AA425" s="123"/>
    </row>
    <row r="426">
      <c r="B426" s="160"/>
      <c r="C426" s="160"/>
      <c r="D426" s="123"/>
      <c r="E426" s="123"/>
      <c r="F426" s="123"/>
      <c r="G426" s="123"/>
      <c r="H426" s="123"/>
      <c r="I426" s="123"/>
      <c r="J426" s="123"/>
      <c r="K426" s="123"/>
      <c r="L426" s="123"/>
      <c r="M426" s="123"/>
      <c r="N426" s="123"/>
      <c r="O426" s="123"/>
      <c r="Q426" s="123"/>
      <c r="R426" s="123"/>
      <c r="S426" s="123"/>
      <c r="T426" s="123"/>
      <c r="U426" s="123"/>
      <c r="V426" s="123"/>
      <c r="W426" s="123"/>
      <c r="X426" s="123"/>
      <c r="Y426" s="123"/>
      <c r="Z426" s="123"/>
      <c r="AA426" s="123"/>
    </row>
    <row r="427">
      <c r="B427" s="160"/>
      <c r="C427" s="160"/>
      <c r="D427" s="123"/>
      <c r="E427" s="123"/>
      <c r="F427" s="123"/>
      <c r="G427" s="123"/>
      <c r="H427" s="123"/>
      <c r="I427" s="123"/>
      <c r="J427" s="123"/>
      <c r="K427" s="123"/>
      <c r="L427" s="123"/>
      <c r="M427" s="123"/>
      <c r="N427" s="123"/>
      <c r="O427" s="123"/>
      <c r="Q427" s="123"/>
      <c r="R427" s="123"/>
      <c r="S427" s="123"/>
      <c r="T427" s="123"/>
      <c r="U427" s="123"/>
      <c r="V427" s="123"/>
      <c r="W427" s="123"/>
      <c r="X427" s="123"/>
      <c r="Y427" s="123"/>
      <c r="Z427" s="123"/>
      <c r="AA427" s="123"/>
    </row>
    <row r="428">
      <c r="B428" s="160"/>
      <c r="C428" s="160"/>
      <c r="D428" s="123"/>
      <c r="E428" s="123"/>
      <c r="F428" s="123"/>
      <c r="G428" s="123"/>
      <c r="H428" s="123"/>
      <c r="I428" s="123"/>
      <c r="J428" s="123"/>
      <c r="K428" s="123"/>
      <c r="L428" s="123"/>
      <c r="M428" s="123"/>
      <c r="N428" s="123"/>
      <c r="O428" s="123"/>
      <c r="Q428" s="123"/>
      <c r="R428" s="123"/>
      <c r="S428" s="123"/>
      <c r="T428" s="123"/>
      <c r="U428" s="123"/>
      <c r="V428" s="123"/>
      <c r="W428" s="123"/>
      <c r="X428" s="123"/>
      <c r="Y428" s="123"/>
      <c r="Z428" s="123"/>
      <c r="AA428" s="123"/>
    </row>
    <row r="429">
      <c r="B429" s="160"/>
      <c r="C429" s="160"/>
      <c r="D429" s="123"/>
      <c r="E429" s="123"/>
      <c r="F429" s="123"/>
      <c r="G429" s="123"/>
      <c r="H429" s="123"/>
      <c r="I429" s="123"/>
      <c r="J429" s="123"/>
      <c r="K429" s="123"/>
      <c r="L429" s="123"/>
      <c r="M429" s="123"/>
      <c r="N429" s="123"/>
      <c r="O429" s="123"/>
      <c r="Q429" s="123"/>
      <c r="R429" s="123"/>
      <c r="S429" s="123"/>
      <c r="T429" s="123"/>
      <c r="U429" s="123"/>
      <c r="V429" s="123"/>
      <c r="W429" s="123"/>
      <c r="X429" s="123"/>
      <c r="Y429" s="123"/>
      <c r="Z429" s="123"/>
      <c r="AA429" s="123"/>
    </row>
    <row r="430">
      <c r="B430" s="160"/>
      <c r="C430" s="160"/>
      <c r="D430" s="123"/>
      <c r="E430" s="123"/>
      <c r="F430" s="123"/>
      <c r="G430" s="123"/>
      <c r="H430" s="123"/>
      <c r="I430" s="123"/>
      <c r="J430" s="123"/>
      <c r="K430" s="123"/>
      <c r="L430" s="123"/>
      <c r="M430" s="123"/>
      <c r="N430" s="123"/>
      <c r="O430" s="123"/>
      <c r="Q430" s="123"/>
      <c r="R430" s="123"/>
      <c r="S430" s="123"/>
      <c r="T430" s="123"/>
      <c r="U430" s="123"/>
      <c r="V430" s="123"/>
      <c r="W430" s="123"/>
      <c r="X430" s="123"/>
      <c r="Y430" s="123"/>
      <c r="Z430" s="123"/>
      <c r="AA430" s="123"/>
    </row>
    <row r="431">
      <c r="B431" s="160"/>
      <c r="C431" s="160"/>
      <c r="D431" s="123"/>
      <c r="E431" s="123"/>
      <c r="F431" s="123"/>
      <c r="G431" s="123"/>
      <c r="H431" s="123"/>
      <c r="I431" s="123"/>
      <c r="J431" s="123"/>
      <c r="K431" s="123"/>
      <c r="L431" s="123"/>
      <c r="M431" s="123"/>
      <c r="N431" s="123"/>
      <c r="O431" s="123"/>
      <c r="Q431" s="123"/>
      <c r="R431" s="123"/>
      <c r="S431" s="123"/>
      <c r="T431" s="123"/>
      <c r="U431" s="123"/>
      <c r="V431" s="123"/>
      <c r="W431" s="123"/>
      <c r="X431" s="123"/>
      <c r="Y431" s="123"/>
      <c r="Z431" s="123"/>
      <c r="AA431" s="123"/>
    </row>
    <row r="432">
      <c r="B432" s="160"/>
      <c r="C432" s="160"/>
      <c r="D432" s="123"/>
      <c r="E432" s="123"/>
      <c r="F432" s="123"/>
      <c r="G432" s="123"/>
      <c r="H432" s="123"/>
      <c r="I432" s="123"/>
      <c r="J432" s="123"/>
      <c r="K432" s="123"/>
      <c r="L432" s="123"/>
      <c r="M432" s="123"/>
      <c r="N432" s="123"/>
      <c r="O432" s="123"/>
      <c r="Q432" s="123"/>
      <c r="R432" s="123"/>
      <c r="S432" s="123"/>
      <c r="T432" s="123"/>
      <c r="U432" s="123"/>
      <c r="V432" s="123"/>
      <c r="W432" s="123"/>
      <c r="X432" s="123"/>
      <c r="Y432" s="123"/>
      <c r="Z432" s="123"/>
      <c r="AA432" s="123"/>
    </row>
    <row r="433">
      <c r="B433" s="160"/>
      <c r="C433" s="160"/>
      <c r="D433" s="123"/>
      <c r="E433" s="123"/>
      <c r="F433" s="123"/>
      <c r="G433" s="123"/>
      <c r="H433" s="123"/>
      <c r="I433" s="123"/>
      <c r="J433" s="123"/>
      <c r="K433" s="123"/>
      <c r="L433" s="123"/>
      <c r="M433" s="123"/>
      <c r="N433" s="123"/>
      <c r="O433" s="123"/>
      <c r="Q433" s="123"/>
      <c r="R433" s="123"/>
      <c r="S433" s="123"/>
      <c r="T433" s="123"/>
      <c r="U433" s="123"/>
      <c r="V433" s="123"/>
      <c r="W433" s="123"/>
      <c r="X433" s="123"/>
      <c r="Y433" s="123"/>
      <c r="Z433" s="123"/>
      <c r="AA433" s="123"/>
    </row>
    <row r="434">
      <c r="B434" s="160"/>
      <c r="C434" s="160"/>
      <c r="D434" s="123"/>
      <c r="E434" s="123"/>
      <c r="F434" s="123"/>
      <c r="G434" s="123"/>
      <c r="H434" s="123"/>
      <c r="I434" s="123"/>
      <c r="J434" s="123"/>
      <c r="K434" s="123"/>
      <c r="L434" s="123"/>
      <c r="M434" s="123"/>
      <c r="N434" s="123"/>
      <c r="O434" s="123"/>
      <c r="Q434" s="123"/>
      <c r="R434" s="123"/>
      <c r="S434" s="123"/>
      <c r="T434" s="123"/>
      <c r="U434" s="123"/>
      <c r="V434" s="123"/>
      <c r="W434" s="123"/>
      <c r="X434" s="123"/>
      <c r="Y434" s="123"/>
      <c r="Z434" s="123"/>
      <c r="AA434" s="123"/>
    </row>
    <row r="435">
      <c r="B435" s="160"/>
      <c r="C435" s="160"/>
      <c r="D435" s="123"/>
      <c r="E435" s="123"/>
      <c r="F435" s="123"/>
      <c r="G435" s="123"/>
      <c r="H435" s="123"/>
      <c r="I435" s="123"/>
      <c r="J435" s="123"/>
      <c r="K435" s="123"/>
      <c r="L435" s="123"/>
      <c r="M435" s="123"/>
      <c r="N435" s="123"/>
      <c r="O435" s="123"/>
      <c r="Q435" s="123"/>
      <c r="R435" s="123"/>
      <c r="S435" s="123"/>
      <c r="T435" s="123"/>
      <c r="U435" s="123"/>
      <c r="V435" s="123"/>
      <c r="W435" s="123"/>
      <c r="X435" s="123"/>
      <c r="Y435" s="123"/>
      <c r="Z435" s="123"/>
      <c r="AA435" s="123"/>
    </row>
    <row r="436">
      <c r="B436" s="160"/>
      <c r="C436" s="160"/>
      <c r="D436" s="123"/>
      <c r="E436" s="123"/>
      <c r="F436" s="123"/>
      <c r="G436" s="123"/>
      <c r="H436" s="123"/>
      <c r="I436" s="123"/>
      <c r="J436" s="123"/>
      <c r="K436" s="123"/>
      <c r="L436" s="123"/>
      <c r="M436" s="123"/>
      <c r="N436" s="123"/>
      <c r="O436" s="123"/>
      <c r="Q436" s="123"/>
      <c r="R436" s="123"/>
      <c r="S436" s="123"/>
      <c r="T436" s="123"/>
      <c r="U436" s="123"/>
      <c r="V436" s="123"/>
      <c r="W436" s="123"/>
      <c r="X436" s="123"/>
      <c r="Y436" s="123"/>
      <c r="Z436" s="123"/>
      <c r="AA436" s="123"/>
    </row>
    <row r="437">
      <c r="B437" s="160"/>
      <c r="C437" s="160"/>
      <c r="D437" s="123"/>
      <c r="E437" s="123"/>
      <c r="F437" s="123"/>
      <c r="G437" s="123"/>
      <c r="H437" s="123"/>
      <c r="I437" s="123"/>
      <c r="J437" s="123"/>
      <c r="K437" s="123"/>
      <c r="L437" s="123"/>
      <c r="M437" s="123"/>
      <c r="N437" s="123"/>
      <c r="O437" s="123"/>
      <c r="Q437" s="123"/>
      <c r="R437" s="123"/>
      <c r="S437" s="123"/>
      <c r="T437" s="123"/>
      <c r="U437" s="123"/>
      <c r="V437" s="123"/>
      <c r="W437" s="123"/>
      <c r="X437" s="123"/>
      <c r="Y437" s="123"/>
      <c r="Z437" s="123"/>
      <c r="AA437" s="123"/>
    </row>
    <row r="438">
      <c r="B438" s="160"/>
      <c r="C438" s="160"/>
      <c r="D438" s="123"/>
      <c r="E438" s="123"/>
      <c r="F438" s="123"/>
      <c r="G438" s="123"/>
      <c r="H438" s="123"/>
      <c r="I438" s="123"/>
      <c r="J438" s="123"/>
      <c r="K438" s="123"/>
      <c r="L438" s="123"/>
      <c r="M438" s="123"/>
      <c r="N438" s="123"/>
      <c r="O438" s="123"/>
      <c r="Q438" s="123"/>
      <c r="R438" s="123"/>
      <c r="S438" s="123"/>
      <c r="T438" s="123"/>
      <c r="U438" s="123"/>
      <c r="V438" s="123"/>
      <c r="W438" s="123"/>
      <c r="X438" s="123"/>
      <c r="Y438" s="123"/>
      <c r="Z438" s="123"/>
      <c r="AA438" s="123"/>
    </row>
    <row r="439">
      <c r="B439" s="160"/>
      <c r="C439" s="160"/>
      <c r="D439" s="123"/>
      <c r="E439" s="123"/>
      <c r="F439" s="123"/>
      <c r="G439" s="123"/>
      <c r="H439" s="123"/>
      <c r="I439" s="123"/>
      <c r="J439" s="123"/>
      <c r="K439" s="123"/>
      <c r="L439" s="123"/>
      <c r="M439" s="123"/>
      <c r="N439" s="123"/>
      <c r="O439" s="123"/>
      <c r="Q439" s="123"/>
      <c r="R439" s="123"/>
      <c r="S439" s="123"/>
      <c r="T439" s="123"/>
      <c r="U439" s="123"/>
      <c r="V439" s="123"/>
      <c r="W439" s="123"/>
      <c r="X439" s="123"/>
      <c r="Y439" s="123"/>
      <c r="Z439" s="123"/>
      <c r="AA439" s="123"/>
    </row>
    <row r="440">
      <c r="B440" s="160"/>
      <c r="C440" s="160"/>
      <c r="D440" s="123"/>
      <c r="E440" s="123"/>
      <c r="F440" s="123"/>
      <c r="G440" s="123"/>
      <c r="H440" s="123"/>
      <c r="I440" s="123"/>
      <c r="J440" s="123"/>
      <c r="K440" s="123"/>
      <c r="L440" s="123"/>
      <c r="M440" s="123"/>
      <c r="N440" s="123"/>
      <c r="O440" s="123"/>
      <c r="Q440" s="123"/>
      <c r="R440" s="123"/>
      <c r="S440" s="123"/>
      <c r="T440" s="123"/>
      <c r="U440" s="123"/>
      <c r="V440" s="123"/>
      <c r="W440" s="123"/>
      <c r="X440" s="123"/>
      <c r="Y440" s="123"/>
      <c r="Z440" s="123"/>
      <c r="AA440" s="123"/>
    </row>
    <row r="441">
      <c r="B441" s="160"/>
      <c r="C441" s="160"/>
      <c r="D441" s="123"/>
      <c r="E441" s="123"/>
      <c r="F441" s="123"/>
      <c r="G441" s="123"/>
      <c r="H441" s="123"/>
      <c r="I441" s="123"/>
      <c r="J441" s="123"/>
      <c r="K441" s="123"/>
      <c r="L441" s="123"/>
      <c r="M441" s="123"/>
      <c r="N441" s="123"/>
      <c r="O441" s="123"/>
      <c r="Q441" s="123"/>
      <c r="R441" s="123"/>
      <c r="S441" s="123"/>
      <c r="T441" s="123"/>
      <c r="U441" s="123"/>
      <c r="V441" s="123"/>
      <c r="W441" s="123"/>
      <c r="X441" s="123"/>
      <c r="Y441" s="123"/>
      <c r="Z441" s="123"/>
      <c r="AA441" s="123"/>
    </row>
    <row r="442">
      <c r="B442" s="160"/>
      <c r="C442" s="160"/>
      <c r="D442" s="123"/>
      <c r="E442" s="123"/>
      <c r="F442" s="123"/>
      <c r="G442" s="123"/>
      <c r="H442" s="123"/>
      <c r="I442" s="123"/>
      <c r="J442" s="123"/>
      <c r="K442" s="123"/>
      <c r="L442" s="123"/>
      <c r="M442" s="123"/>
      <c r="N442" s="123"/>
      <c r="O442" s="123"/>
      <c r="Q442" s="123"/>
      <c r="R442" s="123"/>
      <c r="S442" s="123"/>
      <c r="T442" s="123"/>
      <c r="U442" s="123"/>
      <c r="V442" s="123"/>
      <c r="W442" s="123"/>
      <c r="X442" s="123"/>
      <c r="Y442" s="123"/>
      <c r="Z442" s="123"/>
      <c r="AA442" s="123"/>
    </row>
    <row r="443">
      <c r="B443" s="160"/>
      <c r="C443" s="160"/>
      <c r="D443" s="123"/>
      <c r="E443" s="123"/>
      <c r="F443" s="123"/>
      <c r="G443" s="123"/>
      <c r="H443" s="123"/>
      <c r="I443" s="123"/>
      <c r="J443" s="123"/>
      <c r="K443" s="123"/>
      <c r="L443" s="123"/>
      <c r="M443" s="123"/>
      <c r="N443" s="123"/>
      <c r="O443" s="123"/>
      <c r="Q443" s="123"/>
      <c r="R443" s="123"/>
      <c r="S443" s="123"/>
      <c r="T443" s="123"/>
      <c r="U443" s="123"/>
      <c r="V443" s="123"/>
      <c r="W443" s="123"/>
      <c r="X443" s="123"/>
      <c r="Y443" s="123"/>
      <c r="Z443" s="123"/>
      <c r="AA443" s="123"/>
    </row>
    <row r="444">
      <c r="B444" s="160"/>
      <c r="C444" s="160"/>
      <c r="D444" s="123"/>
      <c r="E444" s="123"/>
      <c r="F444" s="123"/>
      <c r="G444" s="123"/>
      <c r="H444" s="123"/>
      <c r="I444" s="123"/>
      <c r="J444" s="123"/>
      <c r="K444" s="123"/>
      <c r="L444" s="123"/>
      <c r="M444" s="123"/>
      <c r="N444" s="123"/>
      <c r="O444" s="123"/>
      <c r="Q444" s="123"/>
      <c r="R444" s="123"/>
      <c r="S444" s="123"/>
      <c r="T444" s="123"/>
      <c r="U444" s="123"/>
      <c r="V444" s="123"/>
      <c r="W444" s="123"/>
      <c r="X444" s="123"/>
      <c r="Y444" s="123"/>
      <c r="Z444" s="123"/>
      <c r="AA444" s="123"/>
    </row>
    <row r="445">
      <c r="B445" s="160"/>
      <c r="C445" s="160"/>
      <c r="D445" s="123"/>
      <c r="E445" s="123"/>
      <c r="F445" s="123"/>
      <c r="G445" s="123"/>
      <c r="H445" s="123"/>
      <c r="I445" s="123"/>
      <c r="J445" s="123"/>
      <c r="K445" s="123"/>
      <c r="L445" s="123"/>
      <c r="M445" s="123"/>
      <c r="N445" s="123"/>
      <c r="O445" s="123"/>
      <c r="Q445" s="123"/>
      <c r="R445" s="123"/>
      <c r="S445" s="123"/>
      <c r="T445" s="123"/>
      <c r="U445" s="123"/>
      <c r="V445" s="123"/>
      <c r="W445" s="123"/>
      <c r="X445" s="123"/>
      <c r="Y445" s="123"/>
      <c r="Z445" s="123"/>
      <c r="AA445" s="123"/>
    </row>
    <row r="446">
      <c r="B446" s="160"/>
      <c r="C446" s="160"/>
      <c r="D446" s="123"/>
      <c r="E446" s="123"/>
      <c r="F446" s="123"/>
      <c r="G446" s="123"/>
      <c r="H446" s="123"/>
      <c r="I446" s="123"/>
      <c r="J446" s="123"/>
      <c r="K446" s="123"/>
      <c r="L446" s="123"/>
      <c r="M446" s="123"/>
      <c r="N446" s="123"/>
      <c r="O446" s="123"/>
      <c r="Q446" s="123"/>
      <c r="R446" s="123"/>
      <c r="S446" s="123"/>
      <c r="T446" s="123"/>
      <c r="U446" s="123"/>
      <c r="V446" s="123"/>
      <c r="W446" s="123"/>
      <c r="X446" s="123"/>
      <c r="Y446" s="123"/>
      <c r="Z446" s="123"/>
      <c r="AA446" s="123"/>
    </row>
    <row r="447">
      <c r="B447" s="160"/>
      <c r="C447" s="160"/>
      <c r="D447" s="123"/>
      <c r="E447" s="123"/>
      <c r="F447" s="123"/>
      <c r="G447" s="123"/>
      <c r="H447" s="123"/>
      <c r="I447" s="123"/>
      <c r="J447" s="123"/>
      <c r="K447" s="123"/>
      <c r="L447" s="123"/>
      <c r="M447" s="123"/>
      <c r="N447" s="123"/>
      <c r="O447" s="123"/>
      <c r="Q447" s="123"/>
      <c r="R447" s="123"/>
      <c r="S447" s="123"/>
      <c r="T447" s="123"/>
      <c r="U447" s="123"/>
      <c r="V447" s="123"/>
      <c r="W447" s="123"/>
      <c r="X447" s="123"/>
      <c r="Y447" s="123"/>
      <c r="Z447" s="123"/>
      <c r="AA447" s="123"/>
    </row>
    <row r="448">
      <c r="B448" s="160"/>
      <c r="C448" s="160"/>
      <c r="D448" s="123"/>
      <c r="E448" s="123"/>
      <c r="F448" s="123"/>
      <c r="G448" s="123"/>
      <c r="H448" s="123"/>
      <c r="I448" s="123"/>
      <c r="J448" s="123"/>
      <c r="K448" s="123"/>
      <c r="L448" s="123"/>
      <c r="M448" s="123"/>
      <c r="N448" s="123"/>
      <c r="O448" s="123"/>
      <c r="Q448" s="123"/>
      <c r="R448" s="123"/>
      <c r="S448" s="123"/>
      <c r="T448" s="123"/>
      <c r="U448" s="123"/>
      <c r="V448" s="123"/>
      <c r="W448" s="123"/>
      <c r="X448" s="123"/>
      <c r="Y448" s="123"/>
      <c r="Z448" s="123"/>
      <c r="AA448" s="123"/>
    </row>
    <row r="449">
      <c r="B449" s="160"/>
      <c r="C449" s="160"/>
      <c r="D449" s="123"/>
      <c r="E449" s="123"/>
      <c r="F449" s="123"/>
      <c r="G449" s="123"/>
      <c r="H449" s="123"/>
      <c r="I449" s="123"/>
      <c r="J449" s="123"/>
      <c r="K449" s="123"/>
      <c r="L449" s="123"/>
      <c r="M449" s="123"/>
      <c r="N449" s="123"/>
      <c r="O449" s="123"/>
      <c r="Q449" s="123"/>
      <c r="R449" s="123"/>
      <c r="S449" s="123"/>
      <c r="T449" s="123"/>
      <c r="U449" s="123"/>
      <c r="V449" s="123"/>
      <c r="W449" s="123"/>
      <c r="X449" s="123"/>
      <c r="Y449" s="123"/>
      <c r="Z449" s="123"/>
      <c r="AA449" s="123"/>
    </row>
    <row r="450">
      <c r="B450" s="160"/>
      <c r="C450" s="160"/>
      <c r="D450" s="123"/>
      <c r="E450" s="123"/>
      <c r="F450" s="123"/>
      <c r="G450" s="123"/>
      <c r="H450" s="123"/>
      <c r="I450" s="123"/>
      <c r="J450" s="123"/>
      <c r="K450" s="123"/>
      <c r="L450" s="123"/>
      <c r="M450" s="123"/>
      <c r="N450" s="123"/>
      <c r="O450" s="123"/>
      <c r="Q450" s="123"/>
      <c r="R450" s="123"/>
      <c r="S450" s="123"/>
      <c r="T450" s="123"/>
      <c r="U450" s="123"/>
      <c r="V450" s="123"/>
      <c r="W450" s="123"/>
      <c r="X450" s="123"/>
      <c r="Y450" s="123"/>
      <c r="Z450" s="123"/>
      <c r="AA450" s="123"/>
    </row>
    <row r="451">
      <c r="B451" s="160"/>
      <c r="C451" s="160"/>
      <c r="D451" s="123"/>
      <c r="E451" s="123"/>
      <c r="F451" s="123"/>
      <c r="G451" s="123"/>
      <c r="H451" s="123"/>
      <c r="I451" s="123"/>
      <c r="J451" s="123"/>
      <c r="K451" s="123"/>
      <c r="L451" s="123"/>
      <c r="M451" s="123"/>
      <c r="N451" s="123"/>
      <c r="O451" s="123"/>
      <c r="Q451" s="123"/>
      <c r="R451" s="123"/>
      <c r="S451" s="123"/>
      <c r="T451" s="123"/>
      <c r="U451" s="123"/>
      <c r="V451" s="123"/>
      <c r="W451" s="123"/>
      <c r="X451" s="123"/>
      <c r="Y451" s="123"/>
      <c r="Z451" s="123"/>
      <c r="AA451" s="123"/>
    </row>
    <row r="452">
      <c r="B452" s="160"/>
      <c r="C452" s="160"/>
      <c r="D452" s="123"/>
      <c r="E452" s="123"/>
      <c r="F452" s="123"/>
      <c r="G452" s="123"/>
      <c r="H452" s="123"/>
      <c r="I452" s="123"/>
      <c r="J452" s="123"/>
      <c r="K452" s="123"/>
      <c r="L452" s="123"/>
      <c r="M452" s="123"/>
      <c r="N452" s="123"/>
      <c r="O452" s="123"/>
      <c r="Q452" s="123"/>
      <c r="R452" s="123"/>
      <c r="S452" s="123"/>
      <c r="T452" s="123"/>
      <c r="U452" s="123"/>
      <c r="V452" s="123"/>
      <c r="W452" s="123"/>
      <c r="X452" s="123"/>
      <c r="Y452" s="123"/>
      <c r="Z452" s="123"/>
      <c r="AA452" s="123"/>
    </row>
    <row r="453">
      <c r="B453" s="160"/>
      <c r="C453" s="160"/>
      <c r="D453" s="123"/>
      <c r="E453" s="123"/>
      <c r="F453" s="123"/>
      <c r="G453" s="123"/>
      <c r="H453" s="123"/>
      <c r="I453" s="123"/>
      <c r="J453" s="123"/>
      <c r="K453" s="123"/>
      <c r="L453" s="123"/>
      <c r="M453" s="123"/>
      <c r="N453" s="123"/>
      <c r="O453" s="123"/>
      <c r="Q453" s="123"/>
      <c r="R453" s="123"/>
      <c r="S453" s="123"/>
      <c r="T453" s="123"/>
      <c r="U453" s="123"/>
      <c r="V453" s="123"/>
      <c r="W453" s="123"/>
      <c r="X453" s="123"/>
      <c r="Y453" s="123"/>
      <c r="Z453" s="123"/>
      <c r="AA453" s="123"/>
    </row>
    <row r="454">
      <c r="B454" s="160"/>
      <c r="C454" s="160"/>
      <c r="D454" s="123"/>
      <c r="E454" s="123"/>
      <c r="F454" s="123"/>
      <c r="G454" s="123"/>
      <c r="H454" s="123"/>
      <c r="I454" s="123"/>
      <c r="J454" s="123"/>
      <c r="K454" s="123"/>
      <c r="L454" s="123"/>
      <c r="M454" s="123"/>
      <c r="N454" s="123"/>
      <c r="O454" s="123"/>
      <c r="Q454" s="123"/>
      <c r="R454" s="123"/>
      <c r="S454" s="123"/>
      <c r="T454" s="123"/>
      <c r="U454" s="123"/>
      <c r="V454" s="123"/>
      <c r="W454" s="123"/>
      <c r="X454" s="123"/>
      <c r="Y454" s="123"/>
      <c r="Z454" s="123"/>
      <c r="AA454" s="123"/>
    </row>
    <row r="455">
      <c r="B455" s="160"/>
      <c r="C455" s="160"/>
      <c r="D455" s="123"/>
      <c r="E455" s="123"/>
      <c r="F455" s="123"/>
      <c r="G455" s="123"/>
      <c r="H455" s="123"/>
      <c r="I455" s="123"/>
      <c r="J455" s="123"/>
      <c r="K455" s="123"/>
      <c r="L455" s="123"/>
      <c r="M455" s="123"/>
      <c r="N455" s="123"/>
      <c r="O455" s="123"/>
      <c r="Q455" s="123"/>
      <c r="R455" s="123"/>
      <c r="S455" s="123"/>
      <c r="T455" s="123"/>
      <c r="U455" s="123"/>
      <c r="V455" s="123"/>
      <c r="W455" s="123"/>
      <c r="X455" s="123"/>
      <c r="Y455" s="123"/>
      <c r="Z455" s="123"/>
      <c r="AA455" s="123"/>
    </row>
    <row r="456">
      <c r="B456" s="160"/>
      <c r="C456" s="160"/>
      <c r="D456" s="123"/>
      <c r="E456" s="123"/>
      <c r="F456" s="123"/>
      <c r="G456" s="123"/>
      <c r="H456" s="123"/>
      <c r="I456" s="123"/>
      <c r="J456" s="123"/>
      <c r="K456" s="123"/>
      <c r="L456" s="123"/>
      <c r="M456" s="123"/>
      <c r="N456" s="123"/>
      <c r="O456" s="123"/>
      <c r="Q456" s="123"/>
      <c r="R456" s="123"/>
      <c r="S456" s="123"/>
      <c r="T456" s="123"/>
      <c r="U456" s="123"/>
      <c r="V456" s="123"/>
      <c r="W456" s="123"/>
      <c r="X456" s="123"/>
      <c r="Y456" s="123"/>
      <c r="Z456" s="123"/>
      <c r="AA456" s="123"/>
    </row>
    <row r="457">
      <c r="B457" s="160"/>
      <c r="C457" s="160"/>
      <c r="D457" s="123"/>
      <c r="E457" s="123"/>
      <c r="F457" s="123"/>
      <c r="G457" s="123"/>
      <c r="H457" s="123"/>
      <c r="I457" s="123"/>
      <c r="J457" s="123"/>
      <c r="K457" s="123"/>
      <c r="L457" s="123"/>
      <c r="M457" s="123"/>
      <c r="N457" s="123"/>
      <c r="O457" s="123"/>
      <c r="Q457" s="123"/>
      <c r="R457" s="123"/>
      <c r="S457" s="123"/>
      <c r="T457" s="123"/>
      <c r="U457" s="123"/>
      <c r="V457" s="123"/>
      <c r="W457" s="123"/>
      <c r="X457" s="123"/>
      <c r="Y457" s="123"/>
      <c r="Z457" s="123"/>
      <c r="AA457" s="123"/>
    </row>
    <row r="458">
      <c r="B458" s="160"/>
      <c r="C458" s="160"/>
      <c r="D458" s="123"/>
      <c r="E458" s="123"/>
      <c r="F458" s="123"/>
      <c r="G458" s="123"/>
      <c r="H458" s="123"/>
      <c r="I458" s="123"/>
      <c r="J458" s="123"/>
      <c r="K458" s="123"/>
      <c r="L458" s="123"/>
      <c r="M458" s="123"/>
      <c r="N458" s="123"/>
      <c r="O458" s="123"/>
      <c r="Q458" s="123"/>
      <c r="R458" s="123"/>
      <c r="S458" s="123"/>
      <c r="T458" s="123"/>
      <c r="U458" s="123"/>
      <c r="V458" s="123"/>
      <c r="W458" s="123"/>
      <c r="X458" s="123"/>
      <c r="Y458" s="123"/>
      <c r="Z458" s="123"/>
      <c r="AA458" s="123"/>
    </row>
    <row r="459">
      <c r="B459" s="160"/>
      <c r="C459" s="160"/>
      <c r="D459" s="123"/>
      <c r="E459" s="123"/>
      <c r="F459" s="123"/>
      <c r="G459" s="123"/>
      <c r="H459" s="123"/>
      <c r="I459" s="123"/>
      <c r="J459" s="123"/>
      <c r="K459" s="123"/>
      <c r="L459" s="123"/>
      <c r="M459" s="123"/>
      <c r="N459" s="123"/>
      <c r="O459" s="123"/>
      <c r="Q459" s="123"/>
      <c r="R459" s="123"/>
      <c r="S459" s="123"/>
      <c r="T459" s="123"/>
      <c r="U459" s="123"/>
      <c r="V459" s="123"/>
      <c r="W459" s="123"/>
      <c r="X459" s="123"/>
      <c r="Y459" s="123"/>
      <c r="Z459" s="123"/>
      <c r="AA459" s="123"/>
    </row>
    <row r="460">
      <c r="B460" s="160"/>
      <c r="C460" s="160"/>
      <c r="D460" s="123"/>
      <c r="E460" s="123"/>
      <c r="F460" s="123"/>
      <c r="G460" s="123"/>
      <c r="H460" s="123"/>
      <c r="I460" s="123"/>
      <c r="J460" s="123"/>
      <c r="K460" s="123"/>
      <c r="L460" s="123"/>
      <c r="M460" s="123"/>
      <c r="N460" s="123"/>
      <c r="O460" s="123"/>
      <c r="Q460" s="123"/>
      <c r="R460" s="123"/>
      <c r="S460" s="123"/>
      <c r="T460" s="123"/>
      <c r="U460" s="123"/>
      <c r="V460" s="123"/>
      <c r="W460" s="123"/>
      <c r="X460" s="123"/>
      <c r="Y460" s="123"/>
      <c r="Z460" s="123"/>
      <c r="AA460" s="123"/>
    </row>
    <row r="461">
      <c r="B461" s="160"/>
      <c r="C461" s="160"/>
      <c r="D461" s="123"/>
      <c r="E461" s="123"/>
      <c r="F461" s="123"/>
      <c r="G461" s="123"/>
      <c r="H461" s="123"/>
      <c r="I461" s="123"/>
      <c r="J461" s="123"/>
      <c r="K461" s="123"/>
      <c r="L461" s="123"/>
      <c r="M461" s="123"/>
      <c r="N461" s="123"/>
      <c r="O461" s="123"/>
      <c r="Q461" s="123"/>
      <c r="R461" s="123"/>
      <c r="S461" s="123"/>
      <c r="T461" s="123"/>
      <c r="U461" s="123"/>
      <c r="V461" s="123"/>
      <c r="W461" s="123"/>
      <c r="X461" s="123"/>
      <c r="Y461" s="123"/>
      <c r="Z461" s="123"/>
      <c r="AA461" s="123"/>
    </row>
    <row r="462">
      <c r="B462" s="160"/>
      <c r="C462" s="160"/>
      <c r="D462" s="123"/>
      <c r="E462" s="123"/>
      <c r="F462" s="123"/>
      <c r="G462" s="123"/>
      <c r="H462" s="123"/>
      <c r="I462" s="123"/>
      <c r="J462" s="123"/>
      <c r="K462" s="123"/>
      <c r="L462" s="123"/>
      <c r="M462" s="123"/>
      <c r="N462" s="123"/>
      <c r="O462" s="123"/>
      <c r="Q462" s="123"/>
      <c r="R462" s="123"/>
      <c r="S462" s="123"/>
      <c r="T462" s="123"/>
      <c r="U462" s="123"/>
      <c r="V462" s="123"/>
      <c r="W462" s="123"/>
      <c r="X462" s="123"/>
      <c r="Y462" s="123"/>
      <c r="Z462" s="123"/>
      <c r="AA462" s="123"/>
    </row>
    <row r="463">
      <c r="B463" s="160"/>
      <c r="C463" s="160"/>
      <c r="D463" s="123"/>
      <c r="E463" s="123"/>
      <c r="F463" s="123"/>
      <c r="G463" s="123"/>
      <c r="H463" s="123"/>
      <c r="I463" s="123"/>
      <c r="J463" s="123"/>
      <c r="K463" s="123"/>
      <c r="L463" s="123"/>
      <c r="M463" s="123"/>
      <c r="N463" s="123"/>
      <c r="O463" s="123"/>
      <c r="Q463" s="123"/>
      <c r="R463" s="123"/>
      <c r="S463" s="123"/>
      <c r="T463" s="123"/>
      <c r="U463" s="123"/>
      <c r="V463" s="123"/>
      <c r="W463" s="123"/>
      <c r="X463" s="123"/>
      <c r="Y463" s="123"/>
      <c r="Z463" s="123"/>
      <c r="AA463" s="123"/>
    </row>
    <row r="464">
      <c r="B464" s="160"/>
      <c r="C464" s="160"/>
      <c r="D464" s="123"/>
      <c r="E464" s="123"/>
      <c r="F464" s="123"/>
      <c r="G464" s="123"/>
      <c r="H464" s="123"/>
      <c r="I464" s="123"/>
      <c r="J464" s="123"/>
      <c r="K464" s="123"/>
      <c r="L464" s="123"/>
      <c r="M464" s="123"/>
      <c r="N464" s="123"/>
      <c r="O464" s="123"/>
      <c r="Q464" s="123"/>
      <c r="R464" s="123"/>
      <c r="S464" s="123"/>
      <c r="T464" s="123"/>
      <c r="U464" s="123"/>
      <c r="V464" s="123"/>
      <c r="W464" s="123"/>
      <c r="X464" s="123"/>
      <c r="Y464" s="123"/>
      <c r="Z464" s="123"/>
      <c r="AA464" s="123"/>
    </row>
    <row r="465">
      <c r="B465" s="160"/>
      <c r="C465" s="160"/>
      <c r="D465" s="123"/>
      <c r="E465" s="123"/>
      <c r="F465" s="123"/>
      <c r="G465" s="123"/>
      <c r="H465" s="123"/>
      <c r="I465" s="123"/>
      <c r="J465" s="123"/>
      <c r="K465" s="123"/>
      <c r="L465" s="123"/>
      <c r="M465" s="123"/>
      <c r="N465" s="123"/>
      <c r="O465" s="123"/>
      <c r="Q465" s="123"/>
      <c r="R465" s="123"/>
      <c r="S465" s="123"/>
      <c r="T465" s="123"/>
      <c r="U465" s="123"/>
      <c r="V465" s="123"/>
      <c r="W465" s="123"/>
      <c r="X465" s="123"/>
      <c r="Y465" s="123"/>
      <c r="Z465" s="123"/>
      <c r="AA465" s="123"/>
    </row>
    <row r="466">
      <c r="B466" s="160"/>
      <c r="C466" s="160"/>
      <c r="D466" s="123"/>
      <c r="E466" s="123"/>
      <c r="F466" s="123"/>
      <c r="G466" s="123"/>
      <c r="H466" s="123"/>
      <c r="I466" s="123"/>
      <c r="J466" s="123"/>
      <c r="K466" s="123"/>
      <c r="L466" s="123"/>
      <c r="M466" s="123"/>
      <c r="N466" s="123"/>
      <c r="O466" s="123"/>
      <c r="Q466" s="123"/>
      <c r="R466" s="123"/>
      <c r="S466" s="123"/>
      <c r="T466" s="123"/>
      <c r="U466" s="123"/>
      <c r="V466" s="123"/>
      <c r="W466" s="123"/>
      <c r="X466" s="123"/>
      <c r="Y466" s="123"/>
      <c r="Z466" s="123"/>
      <c r="AA466" s="123"/>
    </row>
    <row r="467">
      <c r="B467" s="160"/>
      <c r="C467" s="160"/>
      <c r="D467" s="123"/>
      <c r="E467" s="123"/>
      <c r="F467" s="123"/>
      <c r="G467" s="123"/>
      <c r="H467" s="123"/>
      <c r="I467" s="123"/>
      <c r="J467" s="123"/>
      <c r="K467" s="123"/>
      <c r="L467" s="123"/>
      <c r="M467" s="123"/>
      <c r="N467" s="123"/>
      <c r="O467" s="123"/>
      <c r="Q467" s="123"/>
      <c r="R467" s="123"/>
      <c r="S467" s="123"/>
      <c r="T467" s="123"/>
      <c r="U467" s="123"/>
      <c r="V467" s="123"/>
      <c r="W467" s="123"/>
      <c r="X467" s="123"/>
      <c r="Y467" s="123"/>
      <c r="Z467" s="123"/>
      <c r="AA467" s="123"/>
    </row>
    <row r="468">
      <c r="B468" s="160"/>
      <c r="C468" s="160"/>
      <c r="D468" s="123"/>
      <c r="E468" s="123"/>
      <c r="F468" s="123"/>
      <c r="G468" s="123"/>
      <c r="H468" s="123"/>
      <c r="I468" s="123"/>
      <c r="J468" s="123"/>
      <c r="K468" s="123"/>
      <c r="L468" s="123"/>
      <c r="M468" s="123"/>
      <c r="N468" s="123"/>
      <c r="O468" s="123"/>
      <c r="Q468" s="123"/>
      <c r="R468" s="123"/>
      <c r="S468" s="123"/>
      <c r="T468" s="123"/>
      <c r="U468" s="123"/>
      <c r="V468" s="123"/>
      <c r="W468" s="123"/>
      <c r="X468" s="123"/>
      <c r="Y468" s="123"/>
      <c r="Z468" s="123"/>
      <c r="AA468" s="123"/>
    </row>
    <row r="469">
      <c r="B469" s="160"/>
      <c r="C469" s="160"/>
      <c r="D469" s="123"/>
      <c r="E469" s="123"/>
      <c r="F469" s="123"/>
      <c r="G469" s="123"/>
      <c r="H469" s="123"/>
      <c r="I469" s="123"/>
      <c r="J469" s="123"/>
      <c r="K469" s="123"/>
      <c r="L469" s="123"/>
      <c r="M469" s="123"/>
      <c r="N469" s="123"/>
      <c r="O469" s="123"/>
      <c r="Q469" s="123"/>
      <c r="R469" s="123"/>
      <c r="S469" s="123"/>
      <c r="T469" s="123"/>
      <c r="U469" s="123"/>
      <c r="V469" s="123"/>
      <c r="W469" s="123"/>
      <c r="X469" s="123"/>
      <c r="Y469" s="123"/>
      <c r="Z469" s="123"/>
      <c r="AA469" s="123"/>
    </row>
    <row r="470">
      <c r="B470" s="160"/>
      <c r="C470" s="160"/>
      <c r="D470" s="123"/>
      <c r="E470" s="123"/>
      <c r="F470" s="123"/>
      <c r="G470" s="123"/>
      <c r="H470" s="123"/>
      <c r="I470" s="123"/>
      <c r="J470" s="123"/>
      <c r="K470" s="123"/>
      <c r="L470" s="123"/>
      <c r="M470" s="123"/>
      <c r="N470" s="123"/>
      <c r="O470" s="123"/>
      <c r="Q470" s="123"/>
      <c r="R470" s="123"/>
      <c r="S470" s="123"/>
      <c r="T470" s="123"/>
      <c r="U470" s="123"/>
      <c r="V470" s="123"/>
      <c r="W470" s="123"/>
      <c r="X470" s="123"/>
      <c r="Y470" s="123"/>
      <c r="Z470" s="123"/>
      <c r="AA470" s="123"/>
    </row>
    <row r="471">
      <c r="B471" s="160"/>
      <c r="C471" s="160"/>
      <c r="D471" s="123"/>
      <c r="E471" s="123"/>
      <c r="F471" s="123"/>
      <c r="G471" s="123"/>
      <c r="H471" s="123"/>
      <c r="I471" s="123"/>
      <c r="J471" s="123"/>
      <c r="K471" s="123"/>
      <c r="L471" s="123"/>
      <c r="M471" s="123"/>
      <c r="N471" s="123"/>
      <c r="O471" s="123"/>
      <c r="Q471" s="123"/>
      <c r="R471" s="123"/>
      <c r="S471" s="123"/>
      <c r="T471" s="123"/>
      <c r="U471" s="123"/>
      <c r="V471" s="123"/>
      <c r="W471" s="123"/>
      <c r="X471" s="123"/>
      <c r="Y471" s="123"/>
      <c r="Z471" s="123"/>
      <c r="AA471" s="123"/>
    </row>
    <row r="472">
      <c r="B472" s="160"/>
      <c r="C472" s="160"/>
      <c r="D472" s="123"/>
      <c r="E472" s="123"/>
      <c r="F472" s="123"/>
      <c r="G472" s="123"/>
      <c r="H472" s="123"/>
      <c r="I472" s="123"/>
      <c r="J472" s="123"/>
      <c r="K472" s="123"/>
      <c r="L472" s="123"/>
      <c r="M472" s="123"/>
      <c r="N472" s="123"/>
      <c r="O472" s="123"/>
      <c r="Q472" s="123"/>
      <c r="R472" s="123"/>
      <c r="S472" s="123"/>
      <c r="T472" s="123"/>
      <c r="U472" s="123"/>
      <c r="V472" s="123"/>
      <c r="W472" s="123"/>
      <c r="X472" s="123"/>
      <c r="Y472" s="123"/>
      <c r="Z472" s="123"/>
      <c r="AA472" s="123"/>
    </row>
    <row r="473">
      <c r="B473" s="160"/>
      <c r="C473" s="160"/>
      <c r="D473" s="123"/>
      <c r="E473" s="123"/>
      <c r="F473" s="123"/>
      <c r="G473" s="123"/>
      <c r="H473" s="123"/>
      <c r="I473" s="123"/>
      <c r="J473" s="123"/>
      <c r="K473" s="123"/>
      <c r="L473" s="123"/>
      <c r="M473" s="123"/>
      <c r="N473" s="123"/>
      <c r="O473" s="123"/>
      <c r="Q473" s="123"/>
      <c r="R473" s="123"/>
      <c r="S473" s="123"/>
      <c r="T473" s="123"/>
      <c r="U473" s="123"/>
      <c r="V473" s="123"/>
      <c r="W473" s="123"/>
      <c r="X473" s="123"/>
      <c r="Y473" s="123"/>
      <c r="Z473" s="123"/>
      <c r="AA473" s="123"/>
    </row>
    <row r="474">
      <c r="B474" s="160"/>
      <c r="C474" s="160"/>
      <c r="D474" s="123"/>
      <c r="E474" s="123"/>
      <c r="F474" s="123"/>
      <c r="G474" s="123"/>
      <c r="H474" s="123"/>
      <c r="I474" s="123"/>
      <c r="J474" s="123"/>
      <c r="K474" s="123"/>
      <c r="L474" s="123"/>
      <c r="M474" s="123"/>
      <c r="N474" s="123"/>
      <c r="O474" s="123"/>
      <c r="Q474" s="123"/>
      <c r="R474" s="123"/>
      <c r="S474" s="123"/>
      <c r="T474" s="123"/>
      <c r="U474" s="123"/>
      <c r="V474" s="123"/>
      <c r="W474" s="123"/>
      <c r="X474" s="123"/>
      <c r="Y474" s="123"/>
      <c r="Z474" s="123"/>
      <c r="AA474" s="123"/>
    </row>
    <row r="475">
      <c r="B475" s="160"/>
      <c r="C475" s="160"/>
      <c r="D475" s="123"/>
      <c r="E475" s="123"/>
      <c r="F475" s="123"/>
      <c r="G475" s="123"/>
      <c r="H475" s="123"/>
      <c r="I475" s="123"/>
      <c r="J475" s="123"/>
      <c r="K475" s="123"/>
      <c r="L475" s="123"/>
      <c r="M475" s="123"/>
      <c r="N475" s="123"/>
      <c r="O475" s="123"/>
      <c r="Q475" s="123"/>
      <c r="R475" s="123"/>
      <c r="S475" s="123"/>
      <c r="T475" s="123"/>
      <c r="U475" s="123"/>
      <c r="V475" s="123"/>
      <c r="W475" s="123"/>
      <c r="X475" s="123"/>
      <c r="Y475" s="123"/>
      <c r="Z475" s="123"/>
      <c r="AA475" s="123"/>
    </row>
    <row r="476">
      <c r="B476" s="160"/>
      <c r="C476" s="160"/>
      <c r="D476" s="123"/>
      <c r="E476" s="123"/>
      <c r="F476" s="123"/>
      <c r="G476" s="123"/>
      <c r="H476" s="123"/>
      <c r="I476" s="123"/>
      <c r="J476" s="123"/>
      <c r="K476" s="123"/>
      <c r="L476" s="123"/>
      <c r="M476" s="123"/>
      <c r="N476" s="123"/>
      <c r="O476" s="123"/>
      <c r="Q476" s="123"/>
      <c r="R476" s="123"/>
      <c r="S476" s="123"/>
      <c r="T476" s="123"/>
      <c r="U476" s="123"/>
      <c r="V476" s="123"/>
      <c r="W476" s="123"/>
      <c r="X476" s="123"/>
      <c r="Y476" s="123"/>
      <c r="Z476" s="123"/>
      <c r="AA476" s="123"/>
    </row>
    <row r="477">
      <c r="B477" s="160"/>
      <c r="C477" s="160"/>
      <c r="D477" s="123"/>
      <c r="E477" s="123"/>
      <c r="F477" s="123"/>
      <c r="G477" s="123"/>
      <c r="H477" s="123"/>
      <c r="I477" s="123"/>
      <c r="J477" s="123"/>
      <c r="K477" s="123"/>
      <c r="L477" s="123"/>
      <c r="M477" s="123"/>
      <c r="N477" s="123"/>
      <c r="O477" s="123"/>
      <c r="Q477" s="123"/>
      <c r="R477" s="123"/>
      <c r="S477" s="123"/>
      <c r="T477" s="123"/>
      <c r="U477" s="123"/>
      <c r="V477" s="123"/>
      <c r="W477" s="123"/>
      <c r="X477" s="123"/>
      <c r="Y477" s="123"/>
      <c r="Z477" s="123"/>
      <c r="AA477" s="123"/>
    </row>
    <row r="478">
      <c r="B478" s="160"/>
      <c r="C478" s="160"/>
      <c r="D478" s="123"/>
      <c r="E478" s="123"/>
      <c r="F478" s="123"/>
      <c r="G478" s="123"/>
      <c r="H478" s="123"/>
      <c r="I478" s="123"/>
      <c r="J478" s="123"/>
      <c r="K478" s="123"/>
      <c r="L478" s="123"/>
      <c r="M478" s="123"/>
      <c r="N478" s="123"/>
      <c r="O478" s="123"/>
      <c r="Q478" s="123"/>
      <c r="R478" s="123"/>
      <c r="S478" s="123"/>
      <c r="T478" s="123"/>
      <c r="U478" s="123"/>
      <c r="V478" s="123"/>
      <c r="W478" s="123"/>
      <c r="X478" s="123"/>
      <c r="Y478" s="123"/>
      <c r="Z478" s="123"/>
      <c r="AA478" s="123"/>
    </row>
    <row r="479">
      <c r="B479" s="160"/>
      <c r="C479" s="160"/>
      <c r="D479" s="123"/>
      <c r="E479" s="123"/>
      <c r="F479" s="123"/>
      <c r="G479" s="123"/>
      <c r="H479" s="123"/>
      <c r="I479" s="123"/>
      <c r="J479" s="123"/>
      <c r="K479" s="123"/>
      <c r="L479" s="123"/>
      <c r="M479" s="123"/>
      <c r="N479" s="123"/>
      <c r="O479" s="123"/>
      <c r="Q479" s="123"/>
      <c r="R479" s="123"/>
      <c r="S479" s="123"/>
      <c r="T479" s="123"/>
      <c r="U479" s="123"/>
      <c r="V479" s="123"/>
      <c r="W479" s="123"/>
      <c r="X479" s="123"/>
      <c r="Y479" s="123"/>
      <c r="Z479" s="123"/>
      <c r="AA479" s="123"/>
    </row>
    <row r="480">
      <c r="B480" s="160"/>
      <c r="C480" s="160"/>
      <c r="D480" s="123"/>
      <c r="E480" s="123"/>
      <c r="F480" s="123"/>
      <c r="G480" s="123"/>
      <c r="H480" s="123"/>
      <c r="I480" s="123"/>
      <c r="J480" s="123"/>
      <c r="K480" s="123"/>
      <c r="L480" s="123"/>
      <c r="M480" s="123"/>
      <c r="N480" s="123"/>
      <c r="O480" s="123"/>
      <c r="Q480" s="123"/>
      <c r="R480" s="123"/>
      <c r="S480" s="123"/>
      <c r="T480" s="123"/>
      <c r="U480" s="123"/>
      <c r="V480" s="123"/>
      <c r="W480" s="123"/>
      <c r="X480" s="123"/>
      <c r="Y480" s="123"/>
      <c r="Z480" s="123"/>
      <c r="AA480" s="123"/>
    </row>
    <row r="481">
      <c r="B481" s="160"/>
      <c r="C481" s="160"/>
      <c r="D481" s="123"/>
      <c r="E481" s="123"/>
      <c r="F481" s="123"/>
      <c r="G481" s="123"/>
      <c r="H481" s="123"/>
      <c r="I481" s="123"/>
      <c r="J481" s="123"/>
      <c r="K481" s="123"/>
      <c r="L481" s="123"/>
      <c r="M481" s="123"/>
      <c r="N481" s="123"/>
      <c r="O481" s="123"/>
      <c r="Q481" s="123"/>
      <c r="R481" s="123"/>
      <c r="S481" s="123"/>
      <c r="T481" s="123"/>
      <c r="U481" s="123"/>
      <c r="V481" s="123"/>
      <c r="W481" s="123"/>
      <c r="X481" s="123"/>
      <c r="Y481" s="123"/>
      <c r="Z481" s="123"/>
      <c r="AA481" s="123"/>
    </row>
    <row r="482">
      <c r="B482" s="160"/>
      <c r="C482" s="160"/>
      <c r="D482" s="123"/>
      <c r="E482" s="123"/>
      <c r="F482" s="123"/>
      <c r="G482" s="123"/>
      <c r="H482" s="123"/>
      <c r="I482" s="123"/>
      <c r="J482" s="123"/>
      <c r="K482" s="123"/>
      <c r="L482" s="123"/>
      <c r="M482" s="123"/>
      <c r="N482" s="123"/>
      <c r="O482" s="123"/>
      <c r="Q482" s="123"/>
      <c r="R482" s="123"/>
      <c r="S482" s="123"/>
      <c r="T482" s="123"/>
      <c r="U482" s="123"/>
      <c r="V482" s="123"/>
      <c r="W482" s="123"/>
      <c r="X482" s="123"/>
      <c r="Y482" s="123"/>
      <c r="Z482" s="123"/>
      <c r="AA482" s="123"/>
    </row>
    <row r="483">
      <c r="B483" s="160"/>
      <c r="C483" s="160"/>
      <c r="D483" s="123"/>
      <c r="E483" s="123"/>
      <c r="F483" s="123"/>
      <c r="G483" s="123"/>
      <c r="H483" s="123"/>
      <c r="I483" s="123"/>
      <c r="J483" s="123"/>
      <c r="K483" s="123"/>
      <c r="L483" s="123"/>
      <c r="M483" s="123"/>
      <c r="N483" s="123"/>
      <c r="O483" s="123"/>
      <c r="Q483" s="123"/>
      <c r="R483" s="123"/>
      <c r="S483" s="123"/>
      <c r="T483" s="123"/>
      <c r="U483" s="123"/>
      <c r="V483" s="123"/>
      <c r="W483" s="123"/>
      <c r="X483" s="123"/>
      <c r="Y483" s="123"/>
      <c r="Z483" s="123"/>
      <c r="AA483" s="123"/>
    </row>
    <row r="484">
      <c r="B484" s="160"/>
      <c r="C484" s="160"/>
      <c r="D484" s="123"/>
      <c r="E484" s="123"/>
      <c r="F484" s="123"/>
      <c r="G484" s="123"/>
      <c r="H484" s="123"/>
      <c r="I484" s="123"/>
      <c r="J484" s="123"/>
      <c r="K484" s="123"/>
      <c r="L484" s="123"/>
      <c r="M484" s="123"/>
      <c r="N484" s="123"/>
      <c r="O484" s="123"/>
      <c r="Q484" s="123"/>
      <c r="R484" s="123"/>
      <c r="S484" s="123"/>
      <c r="T484" s="123"/>
      <c r="U484" s="123"/>
      <c r="V484" s="123"/>
      <c r="W484" s="123"/>
      <c r="X484" s="123"/>
      <c r="Y484" s="123"/>
      <c r="Z484" s="123"/>
      <c r="AA484" s="123"/>
    </row>
    <row r="485">
      <c r="B485" s="160"/>
      <c r="C485" s="160"/>
      <c r="D485" s="123"/>
      <c r="E485" s="123"/>
      <c r="F485" s="123"/>
      <c r="G485" s="123"/>
      <c r="H485" s="123"/>
      <c r="I485" s="123"/>
      <c r="J485" s="123"/>
      <c r="K485" s="123"/>
      <c r="L485" s="123"/>
      <c r="M485" s="123"/>
      <c r="N485" s="123"/>
      <c r="O485" s="123"/>
      <c r="Q485" s="123"/>
      <c r="R485" s="123"/>
      <c r="S485" s="123"/>
      <c r="T485" s="123"/>
      <c r="U485" s="123"/>
      <c r="V485" s="123"/>
      <c r="W485" s="123"/>
      <c r="X485" s="123"/>
      <c r="Y485" s="123"/>
      <c r="Z485" s="123"/>
      <c r="AA485" s="123"/>
    </row>
    <row r="486">
      <c r="B486" s="160"/>
      <c r="C486" s="160"/>
      <c r="D486" s="123"/>
      <c r="E486" s="123"/>
      <c r="F486" s="123"/>
      <c r="G486" s="123"/>
      <c r="H486" s="123"/>
      <c r="I486" s="123"/>
      <c r="J486" s="123"/>
      <c r="K486" s="123"/>
      <c r="L486" s="123"/>
      <c r="M486" s="123"/>
      <c r="N486" s="123"/>
      <c r="O486" s="123"/>
      <c r="Q486" s="123"/>
      <c r="R486" s="123"/>
      <c r="S486" s="123"/>
      <c r="T486" s="123"/>
      <c r="U486" s="123"/>
      <c r="V486" s="123"/>
      <c r="W486" s="123"/>
      <c r="X486" s="123"/>
      <c r="Y486" s="123"/>
      <c r="Z486" s="123"/>
      <c r="AA486" s="123"/>
    </row>
    <row r="487">
      <c r="B487" s="160"/>
      <c r="C487" s="160"/>
      <c r="D487" s="123"/>
      <c r="E487" s="123"/>
      <c r="F487" s="123"/>
      <c r="G487" s="123"/>
      <c r="H487" s="123"/>
      <c r="I487" s="123"/>
      <c r="J487" s="123"/>
      <c r="K487" s="123"/>
      <c r="L487" s="123"/>
      <c r="M487" s="123"/>
      <c r="N487" s="123"/>
      <c r="O487" s="123"/>
      <c r="Q487" s="123"/>
      <c r="R487" s="123"/>
      <c r="S487" s="123"/>
      <c r="T487" s="123"/>
      <c r="U487" s="123"/>
      <c r="V487" s="123"/>
      <c r="W487" s="123"/>
      <c r="X487" s="123"/>
      <c r="Y487" s="123"/>
      <c r="Z487" s="123"/>
      <c r="AA487" s="123"/>
    </row>
    <row r="488">
      <c r="B488" s="160"/>
      <c r="C488" s="160"/>
      <c r="D488" s="123"/>
      <c r="E488" s="123"/>
      <c r="F488" s="123"/>
      <c r="G488" s="123"/>
      <c r="H488" s="123"/>
      <c r="I488" s="123"/>
      <c r="J488" s="123"/>
      <c r="K488" s="123"/>
      <c r="L488" s="123"/>
      <c r="M488" s="123"/>
      <c r="N488" s="123"/>
      <c r="O488" s="123"/>
      <c r="Q488" s="123"/>
      <c r="R488" s="123"/>
      <c r="S488" s="123"/>
      <c r="T488" s="123"/>
      <c r="U488" s="123"/>
      <c r="V488" s="123"/>
      <c r="W488" s="123"/>
      <c r="X488" s="123"/>
      <c r="Y488" s="123"/>
      <c r="Z488" s="123"/>
      <c r="AA488" s="123"/>
    </row>
    <row r="489">
      <c r="B489" s="160"/>
      <c r="C489" s="160"/>
      <c r="D489" s="123"/>
      <c r="E489" s="123"/>
      <c r="F489" s="123"/>
      <c r="G489" s="123"/>
      <c r="H489" s="123"/>
      <c r="I489" s="123"/>
      <c r="J489" s="123"/>
      <c r="K489" s="123"/>
      <c r="L489" s="123"/>
      <c r="M489" s="123"/>
      <c r="N489" s="123"/>
      <c r="O489" s="123"/>
      <c r="Q489" s="123"/>
      <c r="R489" s="123"/>
      <c r="S489" s="123"/>
      <c r="T489" s="123"/>
      <c r="U489" s="123"/>
      <c r="V489" s="123"/>
      <c r="W489" s="123"/>
      <c r="X489" s="123"/>
      <c r="Y489" s="123"/>
      <c r="Z489" s="123"/>
      <c r="AA489" s="123"/>
    </row>
    <row r="490">
      <c r="B490" s="160"/>
      <c r="C490" s="160"/>
      <c r="D490" s="123"/>
      <c r="E490" s="123"/>
      <c r="F490" s="123"/>
      <c r="G490" s="123"/>
      <c r="H490" s="123"/>
      <c r="I490" s="123"/>
      <c r="J490" s="123"/>
      <c r="K490" s="123"/>
      <c r="L490" s="123"/>
      <c r="M490" s="123"/>
      <c r="N490" s="123"/>
      <c r="O490" s="123"/>
      <c r="Q490" s="123"/>
      <c r="R490" s="123"/>
      <c r="S490" s="123"/>
      <c r="T490" s="123"/>
      <c r="U490" s="123"/>
      <c r="V490" s="123"/>
      <c r="W490" s="123"/>
      <c r="X490" s="123"/>
      <c r="Y490" s="123"/>
      <c r="Z490" s="123"/>
      <c r="AA490" s="123"/>
    </row>
    <row r="491">
      <c r="B491" s="160"/>
      <c r="C491" s="160"/>
      <c r="D491" s="123"/>
      <c r="E491" s="123"/>
      <c r="F491" s="123"/>
      <c r="G491" s="123"/>
      <c r="H491" s="123"/>
      <c r="I491" s="123"/>
      <c r="J491" s="123"/>
      <c r="K491" s="123"/>
      <c r="L491" s="123"/>
      <c r="M491" s="123"/>
      <c r="N491" s="123"/>
      <c r="O491" s="123"/>
      <c r="Q491" s="123"/>
      <c r="R491" s="123"/>
      <c r="S491" s="123"/>
      <c r="T491" s="123"/>
      <c r="U491" s="123"/>
      <c r="V491" s="123"/>
      <c r="W491" s="123"/>
      <c r="X491" s="123"/>
      <c r="Y491" s="123"/>
      <c r="Z491" s="123"/>
      <c r="AA491" s="123"/>
    </row>
    <row r="492">
      <c r="B492" s="160"/>
      <c r="C492" s="160"/>
      <c r="D492" s="123"/>
      <c r="E492" s="123"/>
      <c r="F492" s="123"/>
      <c r="G492" s="123"/>
      <c r="H492" s="123"/>
      <c r="I492" s="123"/>
      <c r="J492" s="123"/>
      <c r="K492" s="123"/>
      <c r="L492" s="123"/>
      <c r="M492" s="123"/>
      <c r="N492" s="123"/>
      <c r="O492" s="123"/>
      <c r="Q492" s="123"/>
      <c r="R492" s="123"/>
      <c r="S492" s="123"/>
      <c r="T492" s="123"/>
      <c r="U492" s="123"/>
      <c r="V492" s="123"/>
      <c r="W492" s="123"/>
      <c r="X492" s="123"/>
      <c r="Y492" s="123"/>
      <c r="Z492" s="123"/>
      <c r="AA492" s="123"/>
    </row>
    <row r="493">
      <c r="B493" s="160"/>
      <c r="C493" s="160"/>
      <c r="D493" s="123"/>
      <c r="E493" s="123"/>
      <c r="F493" s="123"/>
      <c r="G493" s="123"/>
      <c r="H493" s="123"/>
      <c r="I493" s="123"/>
      <c r="J493" s="123"/>
      <c r="K493" s="123"/>
      <c r="L493" s="123"/>
      <c r="M493" s="123"/>
      <c r="N493" s="123"/>
      <c r="O493" s="123"/>
      <c r="Q493" s="123"/>
      <c r="R493" s="123"/>
      <c r="S493" s="123"/>
      <c r="T493" s="123"/>
      <c r="U493" s="123"/>
      <c r="V493" s="123"/>
      <c r="W493" s="123"/>
      <c r="X493" s="123"/>
      <c r="Y493" s="123"/>
      <c r="Z493" s="123"/>
      <c r="AA493" s="123"/>
    </row>
    <row r="494">
      <c r="B494" s="160"/>
      <c r="C494" s="160"/>
      <c r="D494" s="123"/>
      <c r="E494" s="123"/>
      <c r="F494" s="123"/>
      <c r="G494" s="123"/>
      <c r="H494" s="123"/>
      <c r="I494" s="123"/>
      <c r="J494" s="123"/>
      <c r="K494" s="123"/>
      <c r="L494" s="123"/>
      <c r="M494" s="123"/>
      <c r="N494" s="123"/>
      <c r="O494" s="123"/>
      <c r="Q494" s="123"/>
      <c r="R494" s="123"/>
      <c r="S494" s="123"/>
      <c r="T494" s="123"/>
      <c r="U494" s="123"/>
      <c r="V494" s="123"/>
      <c r="W494" s="123"/>
      <c r="X494" s="123"/>
      <c r="Y494" s="123"/>
      <c r="Z494" s="123"/>
      <c r="AA494" s="123"/>
    </row>
    <row r="495">
      <c r="B495" s="160"/>
      <c r="C495" s="160"/>
      <c r="D495" s="123"/>
      <c r="E495" s="123"/>
      <c r="F495" s="123"/>
      <c r="G495" s="123"/>
      <c r="H495" s="123"/>
      <c r="I495" s="123"/>
      <c r="J495" s="123"/>
      <c r="K495" s="123"/>
      <c r="L495" s="123"/>
      <c r="M495" s="123"/>
      <c r="N495" s="123"/>
      <c r="O495" s="123"/>
      <c r="Q495" s="123"/>
      <c r="R495" s="123"/>
      <c r="S495" s="123"/>
      <c r="T495" s="123"/>
      <c r="U495" s="123"/>
      <c r="V495" s="123"/>
      <c r="W495" s="123"/>
      <c r="X495" s="123"/>
      <c r="Y495" s="123"/>
      <c r="Z495" s="123"/>
      <c r="AA495" s="123"/>
    </row>
    <row r="496">
      <c r="B496" s="160"/>
      <c r="C496" s="160"/>
      <c r="D496" s="123"/>
      <c r="E496" s="123"/>
      <c r="F496" s="123"/>
      <c r="G496" s="123"/>
      <c r="H496" s="123"/>
      <c r="I496" s="123"/>
      <c r="J496" s="123"/>
      <c r="K496" s="123"/>
      <c r="L496" s="123"/>
      <c r="M496" s="123"/>
      <c r="N496" s="123"/>
      <c r="O496" s="123"/>
      <c r="Q496" s="123"/>
      <c r="R496" s="123"/>
      <c r="S496" s="123"/>
      <c r="T496" s="123"/>
      <c r="U496" s="123"/>
      <c r="V496" s="123"/>
      <c r="W496" s="123"/>
      <c r="X496" s="123"/>
      <c r="Y496" s="123"/>
      <c r="Z496" s="123"/>
      <c r="AA496" s="123"/>
    </row>
    <row r="497">
      <c r="B497" s="160"/>
      <c r="C497" s="160"/>
      <c r="D497" s="123"/>
      <c r="E497" s="123"/>
      <c r="F497" s="123"/>
      <c r="G497" s="123"/>
      <c r="H497" s="123"/>
      <c r="I497" s="123"/>
      <c r="J497" s="123"/>
      <c r="K497" s="123"/>
      <c r="L497" s="123"/>
      <c r="M497" s="123"/>
      <c r="N497" s="123"/>
      <c r="O497" s="123"/>
      <c r="Q497" s="123"/>
      <c r="R497" s="123"/>
      <c r="S497" s="123"/>
      <c r="T497" s="123"/>
      <c r="U497" s="123"/>
      <c r="V497" s="123"/>
      <c r="W497" s="123"/>
      <c r="X497" s="123"/>
      <c r="Y497" s="123"/>
      <c r="Z497" s="123"/>
      <c r="AA497" s="123"/>
    </row>
    <row r="498">
      <c r="B498" s="160"/>
      <c r="C498" s="160"/>
      <c r="D498" s="123"/>
      <c r="E498" s="123"/>
      <c r="F498" s="123"/>
      <c r="G498" s="123"/>
      <c r="H498" s="123"/>
      <c r="I498" s="123"/>
      <c r="J498" s="123"/>
      <c r="K498" s="123"/>
      <c r="L498" s="123"/>
      <c r="M498" s="123"/>
      <c r="N498" s="123"/>
      <c r="O498" s="123"/>
      <c r="Q498" s="123"/>
      <c r="R498" s="123"/>
      <c r="S498" s="123"/>
      <c r="T498" s="123"/>
      <c r="U498" s="123"/>
      <c r="V498" s="123"/>
      <c r="W498" s="123"/>
      <c r="X498" s="123"/>
      <c r="Y498" s="123"/>
      <c r="Z498" s="123"/>
      <c r="AA498" s="123"/>
    </row>
    <row r="499">
      <c r="B499" s="160"/>
      <c r="C499" s="160"/>
      <c r="D499" s="123"/>
      <c r="E499" s="123"/>
      <c r="F499" s="123"/>
      <c r="G499" s="123"/>
      <c r="H499" s="123"/>
      <c r="I499" s="123"/>
      <c r="J499" s="123"/>
      <c r="K499" s="123"/>
      <c r="L499" s="123"/>
      <c r="M499" s="123"/>
      <c r="N499" s="123"/>
      <c r="O499" s="123"/>
      <c r="Q499" s="123"/>
      <c r="R499" s="123"/>
      <c r="S499" s="123"/>
      <c r="T499" s="123"/>
      <c r="U499" s="123"/>
      <c r="V499" s="123"/>
      <c r="W499" s="123"/>
      <c r="X499" s="123"/>
      <c r="Y499" s="123"/>
      <c r="Z499" s="123"/>
      <c r="AA499" s="123"/>
    </row>
    <row r="500">
      <c r="B500" s="160"/>
      <c r="C500" s="160"/>
      <c r="D500" s="123"/>
      <c r="E500" s="123"/>
      <c r="F500" s="123"/>
      <c r="G500" s="123"/>
      <c r="H500" s="123"/>
      <c r="I500" s="123"/>
      <c r="J500" s="123"/>
      <c r="K500" s="123"/>
      <c r="L500" s="123"/>
      <c r="M500" s="123"/>
      <c r="N500" s="123"/>
      <c r="O500" s="123"/>
      <c r="Q500" s="123"/>
      <c r="R500" s="123"/>
      <c r="S500" s="123"/>
      <c r="T500" s="123"/>
      <c r="U500" s="123"/>
      <c r="V500" s="123"/>
      <c r="W500" s="123"/>
      <c r="X500" s="123"/>
      <c r="Y500" s="123"/>
      <c r="Z500" s="123"/>
      <c r="AA500" s="123"/>
    </row>
    <row r="501">
      <c r="B501" s="160"/>
      <c r="C501" s="160"/>
      <c r="D501" s="123"/>
      <c r="E501" s="123"/>
      <c r="F501" s="123"/>
      <c r="G501" s="123"/>
      <c r="H501" s="123"/>
      <c r="I501" s="123"/>
      <c r="J501" s="123"/>
      <c r="K501" s="123"/>
      <c r="L501" s="123"/>
      <c r="M501" s="123"/>
      <c r="N501" s="123"/>
      <c r="O501" s="123"/>
      <c r="Q501" s="123"/>
      <c r="R501" s="123"/>
      <c r="S501" s="123"/>
      <c r="T501" s="123"/>
      <c r="U501" s="123"/>
      <c r="V501" s="123"/>
      <c r="W501" s="123"/>
      <c r="X501" s="123"/>
      <c r="Y501" s="123"/>
      <c r="Z501" s="123"/>
      <c r="AA501" s="123"/>
    </row>
    <row r="502">
      <c r="B502" s="160"/>
      <c r="C502" s="160"/>
      <c r="D502" s="123"/>
      <c r="E502" s="123"/>
      <c r="F502" s="123"/>
      <c r="G502" s="123"/>
      <c r="H502" s="123"/>
      <c r="I502" s="123"/>
      <c r="J502" s="123"/>
      <c r="K502" s="123"/>
      <c r="L502" s="123"/>
      <c r="M502" s="123"/>
      <c r="N502" s="123"/>
      <c r="O502" s="123"/>
      <c r="Q502" s="123"/>
      <c r="R502" s="123"/>
      <c r="S502" s="123"/>
      <c r="T502" s="123"/>
      <c r="U502" s="123"/>
      <c r="V502" s="123"/>
      <c r="W502" s="123"/>
      <c r="X502" s="123"/>
      <c r="Y502" s="123"/>
      <c r="Z502" s="123"/>
      <c r="AA502" s="123"/>
    </row>
    <row r="503">
      <c r="B503" s="160"/>
      <c r="C503" s="160"/>
      <c r="D503" s="123"/>
      <c r="E503" s="123"/>
      <c r="F503" s="123"/>
      <c r="G503" s="123"/>
      <c r="H503" s="123"/>
      <c r="I503" s="123"/>
      <c r="J503" s="123"/>
      <c r="K503" s="123"/>
      <c r="L503" s="123"/>
      <c r="M503" s="123"/>
      <c r="N503" s="123"/>
      <c r="O503" s="123"/>
      <c r="Q503" s="123"/>
      <c r="R503" s="123"/>
      <c r="S503" s="123"/>
      <c r="T503" s="123"/>
      <c r="U503" s="123"/>
      <c r="V503" s="123"/>
      <c r="W503" s="123"/>
      <c r="X503" s="123"/>
      <c r="Y503" s="123"/>
      <c r="Z503" s="123"/>
      <c r="AA503" s="123"/>
    </row>
    <row r="504">
      <c r="B504" s="160"/>
      <c r="C504" s="160"/>
      <c r="D504" s="123"/>
      <c r="E504" s="123"/>
      <c r="F504" s="123"/>
      <c r="G504" s="123"/>
      <c r="H504" s="123"/>
      <c r="I504" s="123"/>
      <c r="J504" s="123"/>
      <c r="K504" s="123"/>
      <c r="L504" s="123"/>
      <c r="M504" s="123"/>
      <c r="N504" s="123"/>
      <c r="O504" s="123"/>
      <c r="Q504" s="123"/>
      <c r="R504" s="123"/>
      <c r="S504" s="123"/>
      <c r="T504" s="123"/>
      <c r="U504" s="123"/>
      <c r="V504" s="123"/>
      <c r="W504" s="123"/>
      <c r="X504" s="123"/>
      <c r="Y504" s="123"/>
      <c r="Z504" s="123"/>
      <c r="AA504" s="123"/>
    </row>
    <row r="505">
      <c r="B505" s="160"/>
      <c r="C505" s="160"/>
      <c r="D505" s="123"/>
      <c r="E505" s="123"/>
      <c r="F505" s="123"/>
      <c r="G505" s="123"/>
      <c r="H505" s="123"/>
      <c r="I505" s="123"/>
      <c r="J505" s="123"/>
      <c r="K505" s="123"/>
      <c r="L505" s="123"/>
      <c r="M505" s="123"/>
      <c r="N505" s="123"/>
      <c r="O505" s="123"/>
      <c r="Q505" s="123"/>
      <c r="R505" s="123"/>
      <c r="S505" s="123"/>
      <c r="T505" s="123"/>
      <c r="U505" s="123"/>
      <c r="V505" s="123"/>
      <c r="W505" s="123"/>
      <c r="X505" s="123"/>
      <c r="Y505" s="123"/>
      <c r="Z505" s="123"/>
      <c r="AA505" s="123"/>
    </row>
    <row r="506">
      <c r="B506" s="160"/>
      <c r="C506" s="160"/>
      <c r="D506" s="123"/>
      <c r="E506" s="123"/>
      <c r="F506" s="123"/>
      <c r="G506" s="123"/>
      <c r="H506" s="123"/>
      <c r="I506" s="123"/>
      <c r="J506" s="123"/>
      <c r="K506" s="123"/>
      <c r="L506" s="123"/>
      <c r="M506" s="123"/>
      <c r="N506" s="123"/>
      <c r="O506" s="123"/>
      <c r="Q506" s="123"/>
      <c r="R506" s="123"/>
      <c r="S506" s="123"/>
      <c r="T506" s="123"/>
      <c r="U506" s="123"/>
      <c r="V506" s="123"/>
      <c r="W506" s="123"/>
      <c r="X506" s="123"/>
      <c r="Y506" s="123"/>
      <c r="Z506" s="123"/>
      <c r="AA506" s="123"/>
    </row>
    <row r="507">
      <c r="B507" s="160"/>
      <c r="C507" s="160"/>
      <c r="D507" s="123"/>
      <c r="E507" s="123"/>
      <c r="F507" s="123"/>
      <c r="G507" s="123"/>
      <c r="H507" s="123"/>
      <c r="I507" s="123"/>
      <c r="J507" s="123"/>
      <c r="K507" s="123"/>
      <c r="L507" s="123"/>
      <c r="M507" s="123"/>
      <c r="N507" s="123"/>
      <c r="O507" s="123"/>
      <c r="Q507" s="123"/>
      <c r="R507" s="123"/>
      <c r="S507" s="123"/>
      <c r="T507" s="123"/>
      <c r="U507" s="123"/>
      <c r="V507" s="123"/>
      <c r="W507" s="123"/>
      <c r="X507" s="123"/>
      <c r="Y507" s="123"/>
      <c r="Z507" s="123"/>
      <c r="AA507" s="123"/>
    </row>
    <row r="508">
      <c r="B508" s="160"/>
      <c r="C508" s="160"/>
      <c r="D508" s="123"/>
      <c r="E508" s="123"/>
      <c r="F508" s="123"/>
      <c r="G508" s="123"/>
      <c r="H508" s="123"/>
      <c r="I508" s="123"/>
      <c r="J508" s="123"/>
      <c r="K508" s="123"/>
      <c r="L508" s="123"/>
      <c r="M508" s="123"/>
      <c r="N508" s="123"/>
      <c r="O508" s="123"/>
      <c r="Q508" s="123"/>
      <c r="R508" s="123"/>
      <c r="S508" s="123"/>
      <c r="T508" s="123"/>
      <c r="U508" s="123"/>
      <c r="V508" s="123"/>
      <c r="W508" s="123"/>
      <c r="X508" s="123"/>
      <c r="Y508" s="123"/>
      <c r="Z508" s="123"/>
      <c r="AA508" s="123"/>
    </row>
    <row r="509">
      <c r="B509" s="160"/>
      <c r="C509" s="160"/>
      <c r="D509" s="123"/>
      <c r="E509" s="123"/>
      <c r="F509" s="123"/>
      <c r="G509" s="123"/>
      <c r="H509" s="123"/>
      <c r="I509" s="123"/>
      <c r="J509" s="123"/>
      <c r="K509" s="123"/>
      <c r="L509" s="123"/>
      <c r="M509" s="123"/>
      <c r="N509" s="123"/>
      <c r="O509" s="123"/>
      <c r="Q509" s="123"/>
      <c r="R509" s="123"/>
      <c r="S509" s="123"/>
      <c r="T509" s="123"/>
      <c r="U509" s="123"/>
      <c r="V509" s="123"/>
      <c r="W509" s="123"/>
      <c r="X509" s="123"/>
      <c r="Y509" s="123"/>
      <c r="Z509" s="123"/>
      <c r="AA509" s="123"/>
    </row>
    <row r="510">
      <c r="B510" s="160"/>
      <c r="C510" s="160"/>
      <c r="D510" s="123"/>
      <c r="E510" s="123"/>
      <c r="F510" s="123"/>
      <c r="G510" s="123"/>
      <c r="H510" s="123"/>
      <c r="I510" s="123"/>
      <c r="J510" s="123"/>
      <c r="K510" s="123"/>
      <c r="L510" s="123"/>
      <c r="M510" s="123"/>
      <c r="N510" s="123"/>
      <c r="O510" s="123"/>
      <c r="Q510" s="123"/>
      <c r="R510" s="123"/>
      <c r="S510" s="123"/>
      <c r="T510" s="123"/>
      <c r="U510" s="123"/>
      <c r="V510" s="123"/>
      <c r="W510" s="123"/>
      <c r="X510" s="123"/>
      <c r="Y510" s="123"/>
      <c r="Z510" s="123"/>
      <c r="AA510" s="123"/>
    </row>
    <row r="511">
      <c r="B511" s="160"/>
      <c r="C511" s="160"/>
      <c r="D511" s="123"/>
      <c r="E511" s="123"/>
      <c r="F511" s="123"/>
      <c r="G511" s="123"/>
      <c r="H511" s="123"/>
      <c r="I511" s="123"/>
      <c r="J511" s="123"/>
      <c r="K511" s="123"/>
      <c r="L511" s="123"/>
      <c r="M511" s="123"/>
      <c r="N511" s="123"/>
      <c r="O511" s="123"/>
      <c r="Q511" s="123"/>
      <c r="R511" s="123"/>
      <c r="S511" s="123"/>
      <c r="T511" s="123"/>
      <c r="U511" s="123"/>
      <c r="V511" s="123"/>
      <c r="W511" s="123"/>
      <c r="X511" s="123"/>
      <c r="Y511" s="123"/>
      <c r="Z511" s="123"/>
      <c r="AA511" s="123"/>
    </row>
    <row r="512">
      <c r="B512" s="160"/>
      <c r="C512" s="160"/>
      <c r="D512" s="123"/>
      <c r="E512" s="123"/>
      <c r="F512" s="123"/>
      <c r="G512" s="123"/>
      <c r="H512" s="123"/>
      <c r="I512" s="123"/>
      <c r="J512" s="123"/>
      <c r="K512" s="123"/>
      <c r="L512" s="123"/>
      <c r="M512" s="123"/>
      <c r="N512" s="123"/>
      <c r="O512" s="123"/>
      <c r="Q512" s="123"/>
      <c r="R512" s="123"/>
      <c r="S512" s="123"/>
      <c r="T512" s="123"/>
      <c r="U512" s="123"/>
      <c r="V512" s="123"/>
      <c r="W512" s="123"/>
      <c r="X512" s="123"/>
      <c r="Y512" s="123"/>
      <c r="Z512" s="123"/>
      <c r="AA512" s="123"/>
    </row>
    <row r="513">
      <c r="B513" s="160"/>
      <c r="C513" s="160"/>
      <c r="D513" s="123"/>
      <c r="E513" s="123"/>
      <c r="F513" s="123"/>
      <c r="G513" s="123"/>
      <c r="H513" s="123"/>
      <c r="I513" s="123"/>
      <c r="J513" s="123"/>
      <c r="K513" s="123"/>
      <c r="L513" s="123"/>
      <c r="M513" s="123"/>
      <c r="N513" s="123"/>
      <c r="O513" s="123"/>
      <c r="Q513" s="123"/>
      <c r="R513" s="123"/>
      <c r="S513" s="123"/>
      <c r="T513" s="123"/>
      <c r="U513" s="123"/>
      <c r="V513" s="123"/>
      <c r="W513" s="123"/>
      <c r="X513" s="123"/>
      <c r="Y513" s="123"/>
      <c r="Z513" s="123"/>
      <c r="AA513" s="123"/>
    </row>
    <row r="514">
      <c r="B514" s="160"/>
      <c r="C514" s="160"/>
      <c r="D514" s="123"/>
      <c r="E514" s="123"/>
      <c r="F514" s="123"/>
      <c r="G514" s="123"/>
      <c r="H514" s="123"/>
      <c r="I514" s="123"/>
      <c r="J514" s="123"/>
      <c r="K514" s="123"/>
      <c r="L514" s="123"/>
      <c r="M514" s="123"/>
      <c r="N514" s="123"/>
      <c r="O514" s="123"/>
      <c r="Q514" s="123"/>
      <c r="R514" s="123"/>
      <c r="S514" s="123"/>
      <c r="T514" s="123"/>
      <c r="U514" s="123"/>
      <c r="V514" s="123"/>
      <c r="W514" s="123"/>
      <c r="X514" s="123"/>
      <c r="Y514" s="123"/>
      <c r="Z514" s="123"/>
      <c r="AA514" s="123"/>
    </row>
    <row r="515">
      <c r="B515" s="160"/>
      <c r="C515" s="160"/>
      <c r="D515" s="123"/>
      <c r="E515" s="123"/>
      <c r="F515" s="123"/>
      <c r="G515" s="123"/>
      <c r="H515" s="123"/>
      <c r="I515" s="123"/>
      <c r="J515" s="123"/>
      <c r="K515" s="123"/>
      <c r="L515" s="123"/>
      <c r="M515" s="123"/>
      <c r="N515" s="123"/>
      <c r="O515" s="123"/>
      <c r="Q515" s="123"/>
      <c r="R515" s="123"/>
      <c r="S515" s="123"/>
      <c r="T515" s="123"/>
      <c r="U515" s="123"/>
      <c r="V515" s="123"/>
      <c r="W515" s="123"/>
      <c r="X515" s="123"/>
      <c r="Y515" s="123"/>
      <c r="Z515" s="123"/>
      <c r="AA515" s="123"/>
    </row>
    <row r="516">
      <c r="B516" s="160"/>
      <c r="C516" s="160"/>
      <c r="D516" s="123"/>
      <c r="E516" s="123"/>
      <c r="F516" s="123"/>
      <c r="G516" s="123"/>
      <c r="H516" s="123"/>
      <c r="I516" s="123"/>
      <c r="J516" s="123"/>
      <c r="K516" s="123"/>
      <c r="L516" s="123"/>
      <c r="M516" s="123"/>
      <c r="N516" s="123"/>
      <c r="O516" s="123"/>
      <c r="Q516" s="123"/>
      <c r="R516" s="123"/>
      <c r="S516" s="123"/>
      <c r="T516" s="123"/>
      <c r="U516" s="123"/>
      <c r="V516" s="123"/>
      <c r="W516" s="123"/>
      <c r="X516" s="123"/>
      <c r="Y516" s="123"/>
      <c r="Z516" s="123"/>
      <c r="AA516" s="123"/>
    </row>
    <row r="517">
      <c r="B517" s="160"/>
      <c r="C517" s="160"/>
      <c r="D517" s="123"/>
      <c r="E517" s="123"/>
      <c r="F517" s="123"/>
      <c r="G517" s="123"/>
      <c r="H517" s="123"/>
      <c r="I517" s="123"/>
      <c r="J517" s="123"/>
      <c r="K517" s="123"/>
      <c r="L517" s="123"/>
      <c r="M517" s="123"/>
      <c r="N517" s="123"/>
      <c r="O517" s="123"/>
      <c r="Q517" s="123"/>
      <c r="R517" s="123"/>
      <c r="S517" s="123"/>
      <c r="T517" s="123"/>
      <c r="U517" s="123"/>
      <c r="V517" s="123"/>
      <c r="W517" s="123"/>
      <c r="X517" s="123"/>
      <c r="Y517" s="123"/>
      <c r="Z517" s="123"/>
      <c r="AA517" s="123"/>
    </row>
    <row r="518">
      <c r="B518" s="160"/>
      <c r="C518" s="160"/>
      <c r="D518" s="123"/>
      <c r="E518" s="123"/>
      <c r="F518" s="123"/>
      <c r="G518" s="123"/>
      <c r="H518" s="123"/>
      <c r="I518" s="123"/>
      <c r="J518" s="123"/>
      <c r="K518" s="123"/>
      <c r="L518" s="123"/>
      <c r="M518" s="123"/>
      <c r="N518" s="123"/>
      <c r="O518" s="123"/>
      <c r="Q518" s="123"/>
      <c r="R518" s="123"/>
      <c r="S518" s="123"/>
      <c r="T518" s="123"/>
      <c r="U518" s="123"/>
      <c r="V518" s="123"/>
      <c r="W518" s="123"/>
      <c r="X518" s="123"/>
      <c r="Y518" s="123"/>
      <c r="Z518" s="123"/>
      <c r="AA518" s="123"/>
    </row>
    <row r="519">
      <c r="B519" s="160"/>
      <c r="C519" s="160"/>
      <c r="D519" s="123"/>
      <c r="E519" s="123"/>
      <c r="F519" s="123"/>
      <c r="G519" s="123"/>
      <c r="H519" s="123"/>
      <c r="I519" s="123"/>
      <c r="J519" s="123"/>
      <c r="K519" s="123"/>
      <c r="L519" s="123"/>
      <c r="M519" s="123"/>
      <c r="N519" s="123"/>
      <c r="O519" s="123"/>
      <c r="Q519" s="123"/>
      <c r="R519" s="123"/>
      <c r="S519" s="123"/>
      <c r="T519" s="123"/>
      <c r="U519" s="123"/>
      <c r="V519" s="123"/>
      <c r="W519" s="123"/>
      <c r="X519" s="123"/>
      <c r="Y519" s="123"/>
      <c r="Z519" s="123"/>
      <c r="AA519" s="123"/>
    </row>
    <row r="520">
      <c r="B520" s="160"/>
      <c r="C520" s="160"/>
      <c r="D520" s="123"/>
      <c r="E520" s="123"/>
      <c r="F520" s="123"/>
      <c r="G520" s="123"/>
      <c r="H520" s="123"/>
      <c r="I520" s="123"/>
      <c r="J520" s="123"/>
      <c r="K520" s="123"/>
      <c r="L520" s="123"/>
      <c r="M520" s="123"/>
      <c r="N520" s="123"/>
      <c r="O520" s="123"/>
      <c r="Q520" s="123"/>
      <c r="R520" s="123"/>
      <c r="S520" s="123"/>
      <c r="T520" s="123"/>
      <c r="U520" s="123"/>
      <c r="V520" s="123"/>
      <c r="W520" s="123"/>
      <c r="X520" s="123"/>
      <c r="Y520" s="123"/>
      <c r="Z520" s="123"/>
      <c r="AA520" s="123"/>
    </row>
    <row r="521">
      <c r="B521" s="160"/>
      <c r="C521" s="160"/>
      <c r="D521" s="123"/>
      <c r="E521" s="123"/>
      <c r="F521" s="123"/>
      <c r="G521" s="123"/>
      <c r="H521" s="123"/>
      <c r="I521" s="123"/>
      <c r="J521" s="123"/>
      <c r="K521" s="123"/>
      <c r="L521" s="123"/>
      <c r="M521" s="123"/>
      <c r="N521" s="123"/>
      <c r="O521" s="123"/>
      <c r="Q521" s="123"/>
      <c r="R521" s="123"/>
      <c r="S521" s="123"/>
      <c r="T521" s="123"/>
      <c r="U521" s="123"/>
      <c r="V521" s="123"/>
      <c r="W521" s="123"/>
      <c r="X521" s="123"/>
      <c r="Y521" s="123"/>
      <c r="Z521" s="123"/>
      <c r="AA521" s="123"/>
    </row>
    <row r="522">
      <c r="B522" s="160"/>
      <c r="C522" s="160"/>
      <c r="D522" s="123"/>
      <c r="E522" s="123"/>
      <c r="F522" s="123"/>
      <c r="G522" s="123"/>
      <c r="H522" s="123"/>
      <c r="I522" s="123"/>
      <c r="J522" s="123"/>
      <c r="K522" s="123"/>
      <c r="L522" s="123"/>
      <c r="M522" s="123"/>
      <c r="N522" s="123"/>
      <c r="O522" s="123"/>
      <c r="Q522" s="123"/>
      <c r="R522" s="123"/>
      <c r="S522" s="123"/>
      <c r="T522" s="123"/>
      <c r="U522" s="123"/>
      <c r="V522" s="123"/>
      <c r="W522" s="123"/>
      <c r="X522" s="123"/>
      <c r="Y522" s="123"/>
      <c r="Z522" s="123"/>
      <c r="AA522" s="123"/>
    </row>
    <row r="523">
      <c r="B523" s="160"/>
      <c r="C523" s="160"/>
      <c r="D523" s="123"/>
      <c r="E523" s="123"/>
      <c r="F523" s="123"/>
      <c r="G523" s="123"/>
      <c r="H523" s="123"/>
      <c r="I523" s="123"/>
      <c r="J523" s="123"/>
      <c r="K523" s="123"/>
      <c r="L523" s="123"/>
      <c r="M523" s="123"/>
      <c r="N523" s="123"/>
      <c r="O523" s="123"/>
      <c r="Q523" s="123"/>
      <c r="R523" s="123"/>
      <c r="S523" s="123"/>
      <c r="T523" s="123"/>
      <c r="U523" s="123"/>
      <c r="V523" s="123"/>
      <c r="W523" s="123"/>
      <c r="X523" s="123"/>
      <c r="Y523" s="123"/>
      <c r="Z523" s="123"/>
      <c r="AA523" s="123"/>
    </row>
    <row r="524">
      <c r="B524" s="160"/>
      <c r="C524" s="160"/>
      <c r="D524" s="123"/>
      <c r="E524" s="123"/>
      <c r="F524" s="123"/>
      <c r="G524" s="123"/>
      <c r="H524" s="123"/>
      <c r="I524" s="123"/>
      <c r="J524" s="123"/>
      <c r="K524" s="123"/>
      <c r="L524" s="123"/>
      <c r="M524" s="123"/>
      <c r="N524" s="123"/>
      <c r="O524" s="123"/>
      <c r="Q524" s="123"/>
      <c r="R524" s="123"/>
      <c r="S524" s="123"/>
      <c r="T524" s="123"/>
      <c r="U524" s="123"/>
      <c r="V524" s="123"/>
      <c r="W524" s="123"/>
      <c r="X524" s="123"/>
      <c r="Y524" s="123"/>
      <c r="Z524" s="123"/>
      <c r="AA524" s="123"/>
    </row>
    <row r="525">
      <c r="B525" s="160"/>
      <c r="C525" s="160"/>
      <c r="D525" s="123"/>
      <c r="E525" s="123"/>
      <c r="F525" s="123"/>
      <c r="G525" s="123"/>
      <c r="H525" s="123"/>
      <c r="I525" s="123"/>
      <c r="J525" s="123"/>
      <c r="K525" s="123"/>
      <c r="L525" s="123"/>
      <c r="M525" s="123"/>
      <c r="N525" s="123"/>
      <c r="O525" s="123"/>
      <c r="Q525" s="123"/>
      <c r="R525" s="123"/>
      <c r="S525" s="123"/>
      <c r="T525" s="123"/>
      <c r="U525" s="123"/>
      <c r="V525" s="123"/>
      <c r="W525" s="123"/>
      <c r="X525" s="123"/>
      <c r="Y525" s="123"/>
      <c r="Z525" s="123"/>
      <c r="AA525" s="123"/>
    </row>
    <row r="526">
      <c r="B526" s="160"/>
      <c r="C526" s="160"/>
      <c r="D526" s="123"/>
      <c r="E526" s="123"/>
      <c r="F526" s="123"/>
      <c r="G526" s="123"/>
      <c r="H526" s="123"/>
      <c r="I526" s="123"/>
      <c r="J526" s="123"/>
      <c r="K526" s="123"/>
      <c r="L526" s="123"/>
      <c r="M526" s="123"/>
      <c r="N526" s="123"/>
      <c r="O526" s="123"/>
      <c r="Q526" s="123"/>
      <c r="R526" s="123"/>
      <c r="S526" s="123"/>
      <c r="T526" s="123"/>
      <c r="U526" s="123"/>
      <c r="V526" s="123"/>
      <c r="W526" s="123"/>
      <c r="X526" s="123"/>
      <c r="Y526" s="123"/>
      <c r="Z526" s="123"/>
      <c r="AA526" s="123"/>
    </row>
    <row r="527">
      <c r="B527" s="160"/>
      <c r="C527" s="160"/>
      <c r="D527" s="123"/>
      <c r="E527" s="123"/>
      <c r="F527" s="123"/>
      <c r="G527" s="123"/>
      <c r="H527" s="123"/>
      <c r="I527" s="123"/>
      <c r="J527" s="123"/>
      <c r="K527" s="123"/>
      <c r="L527" s="123"/>
      <c r="M527" s="123"/>
      <c r="N527" s="123"/>
      <c r="O527" s="123"/>
      <c r="Q527" s="123"/>
      <c r="R527" s="123"/>
      <c r="S527" s="123"/>
      <c r="T527" s="123"/>
      <c r="U527" s="123"/>
      <c r="V527" s="123"/>
      <c r="W527" s="123"/>
      <c r="X527" s="123"/>
      <c r="Y527" s="123"/>
      <c r="Z527" s="123"/>
      <c r="AA527" s="123"/>
    </row>
    <row r="528">
      <c r="B528" s="160"/>
      <c r="C528" s="160"/>
      <c r="D528" s="123"/>
      <c r="E528" s="123"/>
      <c r="F528" s="123"/>
      <c r="G528" s="123"/>
      <c r="H528" s="123"/>
      <c r="I528" s="123"/>
      <c r="J528" s="123"/>
      <c r="K528" s="123"/>
      <c r="L528" s="123"/>
      <c r="M528" s="123"/>
      <c r="N528" s="123"/>
      <c r="O528" s="123"/>
      <c r="Q528" s="123"/>
      <c r="R528" s="123"/>
      <c r="S528" s="123"/>
      <c r="T528" s="123"/>
      <c r="U528" s="123"/>
      <c r="V528" s="123"/>
      <c r="W528" s="123"/>
      <c r="X528" s="123"/>
      <c r="Y528" s="123"/>
      <c r="Z528" s="123"/>
      <c r="AA528" s="123"/>
    </row>
    <row r="529">
      <c r="B529" s="160"/>
      <c r="C529" s="160"/>
      <c r="D529" s="123"/>
      <c r="E529" s="123"/>
      <c r="F529" s="123"/>
      <c r="G529" s="123"/>
      <c r="H529" s="123"/>
      <c r="I529" s="123"/>
      <c r="J529" s="123"/>
      <c r="K529" s="123"/>
      <c r="L529" s="123"/>
      <c r="M529" s="123"/>
      <c r="N529" s="123"/>
      <c r="O529" s="123"/>
      <c r="Q529" s="123"/>
      <c r="R529" s="123"/>
      <c r="S529" s="123"/>
      <c r="T529" s="123"/>
      <c r="U529" s="123"/>
      <c r="V529" s="123"/>
      <c r="W529" s="123"/>
      <c r="X529" s="123"/>
      <c r="Y529" s="123"/>
      <c r="Z529" s="123"/>
      <c r="AA529" s="123"/>
    </row>
    <row r="530">
      <c r="B530" s="160"/>
      <c r="C530" s="160"/>
      <c r="D530" s="123"/>
      <c r="E530" s="123"/>
      <c r="F530" s="123"/>
      <c r="G530" s="123"/>
      <c r="H530" s="123"/>
      <c r="I530" s="123"/>
      <c r="J530" s="123"/>
      <c r="K530" s="123"/>
      <c r="L530" s="123"/>
      <c r="M530" s="123"/>
      <c r="N530" s="123"/>
      <c r="O530" s="123"/>
      <c r="Q530" s="123"/>
      <c r="R530" s="123"/>
      <c r="S530" s="123"/>
      <c r="T530" s="123"/>
      <c r="U530" s="123"/>
      <c r="V530" s="123"/>
      <c r="W530" s="123"/>
      <c r="X530" s="123"/>
      <c r="Y530" s="123"/>
      <c r="Z530" s="123"/>
      <c r="AA530" s="123"/>
    </row>
    <row r="531">
      <c r="B531" s="160"/>
      <c r="C531" s="160"/>
      <c r="D531" s="123"/>
      <c r="E531" s="123"/>
      <c r="F531" s="123"/>
      <c r="G531" s="123"/>
      <c r="H531" s="123"/>
      <c r="I531" s="123"/>
      <c r="J531" s="123"/>
      <c r="K531" s="123"/>
      <c r="L531" s="123"/>
      <c r="M531" s="123"/>
      <c r="N531" s="123"/>
      <c r="O531" s="123"/>
      <c r="Q531" s="123"/>
      <c r="R531" s="123"/>
      <c r="S531" s="123"/>
      <c r="T531" s="123"/>
      <c r="U531" s="123"/>
      <c r="V531" s="123"/>
      <c r="W531" s="123"/>
      <c r="X531" s="123"/>
      <c r="Y531" s="123"/>
      <c r="Z531" s="123"/>
      <c r="AA531" s="123"/>
    </row>
    <row r="532">
      <c r="B532" s="160"/>
      <c r="C532" s="160"/>
      <c r="D532" s="123"/>
      <c r="E532" s="123"/>
      <c r="F532" s="123"/>
      <c r="G532" s="123"/>
      <c r="H532" s="123"/>
      <c r="I532" s="123"/>
      <c r="J532" s="123"/>
      <c r="K532" s="123"/>
      <c r="L532" s="123"/>
      <c r="M532" s="123"/>
      <c r="N532" s="123"/>
      <c r="O532" s="123"/>
      <c r="Q532" s="123"/>
      <c r="R532" s="123"/>
      <c r="S532" s="123"/>
      <c r="T532" s="123"/>
      <c r="U532" s="123"/>
      <c r="V532" s="123"/>
      <c r="W532" s="123"/>
      <c r="X532" s="123"/>
      <c r="Y532" s="123"/>
      <c r="Z532" s="123"/>
      <c r="AA532" s="123"/>
    </row>
    <row r="533">
      <c r="B533" s="160"/>
      <c r="C533" s="160"/>
      <c r="D533" s="123"/>
      <c r="E533" s="123"/>
      <c r="F533" s="123"/>
      <c r="G533" s="123"/>
      <c r="H533" s="123"/>
      <c r="I533" s="123"/>
      <c r="J533" s="123"/>
      <c r="K533" s="123"/>
      <c r="L533" s="123"/>
      <c r="M533" s="123"/>
      <c r="N533" s="123"/>
      <c r="O533" s="123"/>
      <c r="Q533" s="123"/>
      <c r="R533" s="123"/>
      <c r="S533" s="123"/>
      <c r="T533" s="123"/>
      <c r="U533" s="123"/>
      <c r="V533" s="123"/>
      <c r="W533" s="123"/>
      <c r="X533" s="123"/>
      <c r="Y533" s="123"/>
      <c r="Z533" s="123"/>
      <c r="AA533" s="123"/>
    </row>
    <row r="534">
      <c r="B534" s="160"/>
      <c r="C534" s="160"/>
      <c r="D534" s="123"/>
      <c r="E534" s="123"/>
      <c r="F534" s="123"/>
      <c r="G534" s="123"/>
      <c r="H534" s="123"/>
      <c r="I534" s="123"/>
      <c r="J534" s="123"/>
      <c r="K534" s="123"/>
      <c r="L534" s="123"/>
      <c r="M534" s="123"/>
      <c r="N534" s="123"/>
      <c r="O534" s="123"/>
      <c r="Q534" s="123"/>
      <c r="R534" s="123"/>
      <c r="S534" s="123"/>
      <c r="T534" s="123"/>
      <c r="U534" s="123"/>
      <c r="V534" s="123"/>
      <c r="W534" s="123"/>
      <c r="X534" s="123"/>
      <c r="Y534" s="123"/>
      <c r="Z534" s="123"/>
      <c r="AA534" s="123"/>
    </row>
    <row r="535">
      <c r="B535" s="160"/>
      <c r="C535" s="160"/>
      <c r="D535" s="123"/>
      <c r="E535" s="123"/>
      <c r="F535" s="123"/>
      <c r="G535" s="123"/>
      <c r="H535" s="123"/>
      <c r="I535" s="123"/>
      <c r="J535" s="123"/>
      <c r="K535" s="123"/>
      <c r="L535" s="123"/>
      <c r="M535" s="123"/>
      <c r="N535" s="123"/>
      <c r="O535" s="123"/>
      <c r="Q535" s="123"/>
      <c r="R535" s="123"/>
      <c r="S535" s="123"/>
      <c r="T535" s="123"/>
      <c r="U535" s="123"/>
      <c r="V535" s="123"/>
      <c r="W535" s="123"/>
      <c r="X535" s="123"/>
      <c r="Y535" s="123"/>
      <c r="Z535" s="123"/>
      <c r="AA535" s="123"/>
    </row>
    <row r="536">
      <c r="B536" s="160"/>
      <c r="C536" s="160"/>
      <c r="D536" s="123"/>
      <c r="E536" s="123"/>
      <c r="F536" s="123"/>
      <c r="G536" s="123"/>
      <c r="H536" s="123"/>
      <c r="I536" s="123"/>
      <c r="J536" s="123"/>
      <c r="K536" s="123"/>
      <c r="L536" s="123"/>
      <c r="M536" s="123"/>
      <c r="N536" s="123"/>
      <c r="O536" s="123"/>
      <c r="Q536" s="123"/>
      <c r="R536" s="123"/>
      <c r="S536" s="123"/>
      <c r="T536" s="123"/>
      <c r="U536" s="123"/>
      <c r="V536" s="123"/>
      <c r="W536" s="123"/>
      <c r="X536" s="123"/>
      <c r="Y536" s="123"/>
      <c r="Z536" s="123"/>
      <c r="AA536" s="123"/>
    </row>
    <row r="537">
      <c r="B537" s="160"/>
      <c r="C537" s="160"/>
      <c r="D537" s="123"/>
      <c r="E537" s="123"/>
      <c r="F537" s="123"/>
      <c r="G537" s="123"/>
      <c r="H537" s="123"/>
      <c r="I537" s="123"/>
      <c r="J537" s="123"/>
      <c r="K537" s="123"/>
      <c r="L537" s="123"/>
      <c r="M537" s="123"/>
      <c r="N537" s="123"/>
      <c r="O537" s="123"/>
      <c r="Q537" s="123"/>
      <c r="R537" s="123"/>
      <c r="S537" s="123"/>
      <c r="T537" s="123"/>
      <c r="U537" s="123"/>
      <c r="V537" s="123"/>
      <c r="W537" s="123"/>
      <c r="X537" s="123"/>
      <c r="Y537" s="123"/>
      <c r="Z537" s="123"/>
      <c r="AA537" s="123"/>
    </row>
    <row r="538">
      <c r="B538" s="160"/>
      <c r="C538" s="160"/>
      <c r="D538" s="123"/>
      <c r="E538" s="123"/>
      <c r="F538" s="123"/>
      <c r="G538" s="123"/>
      <c r="H538" s="123"/>
      <c r="I538" s="123"/>
      <c r="J538" s="123"/>
      <c r="K538" s="123"/>
      <c r="L538" s="123"/>
      <c r="M538" s="123"/>
      <c r="N538" s="123"/>
      <c r="O538" s="123"/>
      <c r="Q538" s="123"/>
      <c r="R538" s="123"/>
      <c r="S538" s="123"/>
      <c r="T538" s="123"/>
      <c r="U538" s="123"/>
      <c r="V538" s="123"/>
      <c r="W538" s="123"/>
      <c r="X538" s="123"/>
      <c r="Y538" s="123"/>
      <c r="Z538" s="123"/>
      <c r="AA538" s="123"/>
    </row>
    <row r="539">
      <c r="B539" s="160"/>
      <c r="C539" s="160"/>
      <c r="D539" s="123"/>
      <c r="E539" s="123"/>
      <c r="F539" s="123"/>
      <c r="G539" s="123"/>
      <c r="H539" s="123"/>
      <c r="I539" s="123"/>
      <c r="J539" s="123"/>
      <c r="K539" s="123"/>
      <c r="L539" s="123"/>
      <c r="M539" s="123"/>
      <c r="N539" s="123"/>
      <c r="O539" s="123"/>
      <c r="Q539" s="123"/>
      <c r="R539" s="123"/>
      <c r="S539" s="123"/>
      <c r="T539" s="123"/>
      <c r="U539" s="123"/>
      <c r="V539" s="123"/>
      <c r="W539" s="123"/>
      <c r="X539" s="123"/>
      <c r="Y539" s="123"/>
      <c r="Z539" s="123"/>
      <c r="AA539" s="123"/>
    </row>
    <row r="540">
      <c r="B540" s="160"/>
      <c r="C540" s="160"/>
      <c r="D540" s="123"/>
      <c r="E540" s="123"/>
      <c r="F540" s="123"/>
      <c r="G540" s="123"/>
      <c r="H540" s="123"/>
      <c r="I540" s="123"/>
      <c r="J540" s="123"/>
      <c r="K540" s="123"/>
      <c r="L540" s="123"/>
      <c r="M540" s="123"/>
      <c r="N540" s="123"/>
      <c r="O540" s="123"/>
      <c r="Q540" s="123"/>
      <c r="R540" s="123"/>
      <c r="S540" s="123"/>
      <c r="T540" s="123"/>
      <c r="U540" s="123"/>
      <c r="V540" s="123"/>
      <c r="W540" s="123"/>
      <c r="X540" s="123"/>
      <c r="Y540" s="123"/>
      <c r="Z540" s="123"/>
      <c r="AA540" s="123"/>
    </row>
    <row r="541">
      <c r="B541" s="160"/>
      <c r="C541" s="160"/>
      <c r="D541" s="123"/>
      <c r="E541" s="123"/>
      <c r="F541" s="123"/>
      <c r="G541" s="123"/>
      <c r="H541" s="123"/>
      <c r="I541" s="123"/>
      <c r="J541" s="123"/>
      <c r="K541" s="123"/>
      <c r="L541" s="123"/>
      <c r="M541" s="123"/>
      <c r="N541" s="123"/>
      <c r="O541" s="123"/>
      <c r="Q541" s="123"/>
      <c r="R541" s="123"/>
      <c r="S541" s="123"/>
      <c r="T541" s="123"/>
      <c r="U541" s="123"/>
      <c r="V541" s="123"/>
      <c r="W541" s="123"/>
      <c r="X541" s="123"/>
      <c r="Y541" s="123"/>
      <c r="Z541" s="123"/>
      <c r="AA541" s="123"/>
    </row>
    <row r="542">
      <c r="B542" s="160"/>
      <c r="C542" s="160"/>
      <c r="D542" s="123"/>
      <c r="E542" s="123"/>
      <c r="F542" s="123"/>
      <c r="G542" s="123"/>
      <c r="H542" s="123"/>
      <c r="I542" s="123"/>
      <c r="J542" s="123"/>
      <c r="K542" s="123"/>
      <c r="L542" s="123"/>
      <c r="M542" s="123"/>
      <c r="N542" s="123"/>
      <c r="O542" s="123"/>
      <c r="Q542" s="123"/>
      <c r="R542" s="123"/>
      <c r="S542" s="123"/>
      <c r="T542" s="123"/>
      <c r="U542" s="123"/>
      <c r="V542" s="123"/>
      <c r="W542" s="123"/>
      <c r="X542" s="123"/>
      <c r="Y542" s="123"/>
      <c r="Z542" s="123"/>
      <c r="AA542" s="123"/>
    </row>
    <row r="543">
      <c r="B543" s="160"/>
      <c r="C543" s="160"/>
      <c r="D543" s="123"/>
      <c r="E543" s="123"/>
      <c r="F543" s="123"/>
      <c r="G543" s="123"/>
      <c r="H543" s="123"/>
      <c r="I543" s="123"/>
      <c r="J543" s="123"/>
      <c r="K543" s="123"/>
      <c r="L543" s="123"/>
      <c r="M543" s="123"/>
      <c r="N543" s="123"/>
      <c r="O543" s="123"/>
      <c r="Q543" s="123"/>
      <c r="R543" s="123"/>
      <c r="S543" s="123"/>
      <c r="T543" s="123"/>
      <c r="U543" s="123"/>
      <c r="V543" s="123"/>
      <c r="W543" s="123"/>
      <c r="X543" s="123"/>
      <c r="Y543" s="123"/>
      <c r="Z543" s="123"/>
      <c r="AA543" s="123"/>
    </row>
    <row r="544">
      <c r="B544" s="160"/>
      <c r="C544" s="160"/>
      <c r="D544" s="123"/>
      <c r="E544" s="123"/>
      <c r="F544" s="123"/>
      <c r="G544" s="123"/>
      <c r="H544" s="123"/>
      <c r="I544" s="123"/>
      <c r="J544" s="123"/>
      <c r="K544" s="123"/>
      <c r="L544" s="123"/>
      <c r="M544" s="123"/>
      <c r="N544" s="123"/>
      <c r="O544" s="123"/>
      <c r="Q544" s="123"/>
      <c r="R544" s="123"/>
      <c r="S544" s="123"/>
      <c r="T544" s="123"/>
      <c r="U544" s="123"/>
      <c r="V544" s="123"/>
      <c r="W544" s="123"/>
      <c r="X544" s="123"/>
      <c r="Y544" s="123"/>
      <c r="Z544" s="123"/>
      <c r="AA544" s="123"/>
    </row>
    <row r="545">
      <c r="B545" s="160"/>
      <c r="C545" s="160"/>
      <c r="D545" s="123"/>
      <c r="E545" s="123"/>
      <c r="F545" s="123"/>
      <c r="G545" s="123"/>
      <c r="H545" s="123"/>
      <c r="I545" s="123"/>
      <c r="J545" s="123"/>
      <c r="K545" s="123"/>
      <c r="L545" s="123"/>
      <c r="M545" s="123"/>
      <c r="N545" s="123"/>
      <c r="O545" s="123"/>
      <c r="Q545" s="123"/>
      <c r="R545" s="123"/>
      <c r="S545" s="123"/>
      <c r="T545" s="123"/>
      <c r="U545" s="123"/>
      <c r="V545" s="123"/>
      <c r="W545" s="123"/>
      <c r="X545" s="123"/>
      <c r="Y545" s="123"/>
      <c r="Z545" s="123"/>
      <c r="AA545" s="123"/>
    </row>
    <row r="546">
      <c r="B546" s="160"/>
      <c r="C546" s="160"/>
      <c r="D546" s="123"/>
      <c r="E546" s="123"/>
      <c r="F546" s="123"/>
      <c r="G546" s="123"/>
      <c r="H546" s="123"/>
      <c r="I546" s="123"/>
      <c r="J546" s="123"/>
      <c r="K546" s="123"/>
      <c r="L546" s="123"/>
      <c r="M546" s="123"/>
      <c r="N546" s="123"/>
      <c r="O546" s="123"/>
      <c r="Q546" s="123"/>
      <c r="R546" s="123"/>
      <c r="S546" s="123"/>
      <c r="T546" s="123"/>
      <c r="U546" s="123"/>
      <c r="V546" s="123"/>
      <c r="W546" s="123"/>
      <c r="X546" s="123"/>
      <c r="Y546" s="123"/>
      <c r="Z546" s="123"/>
      <c r="AA546" s="123"/>
    </row>
    <row r="547">
      <c r="B547" s="160"/>
      <c r="C547" s="160"/>
      <c r="D547" s="123"/>
      <c r="E547" s="123"/>
      <c r="F547" s="123"/>
      <c r="G547" s="123"/>
      <c r="H547" s="123"/>
      <c r="I547" s="123"/>
      <c r="J547" s="123"/>
      <c r="K547" s="123"/>
      <c r="L547" s="123"/>
      <c r="M547" s="123"/>
      <c r="N547" s="123"/>
      <c r="O547" s="123"/>
      <c r="Q547" s="123"/>
      <c r="R547" s="123"/>
      <c r="S547" s="123"/>
      <c r="T547" s="123"/>
      <c r="U547" s="123"/>
      <c r="V547" s="123"/>
      <c r="W547" s="123"/>
      <c r="X547" s="123"/>
      <c r="Y547" s="123"/>
      <c r="Z547" s="123"/>
      <c r="AA547" s="123"/>
    </row>
    <row r="548">
      <c r="B548" s="160"/>
      <c r="C548" s="160"/>
      <c r="D548" s="123"/>
      <c r="E548" s="123"/>
      <c r="F548" s="123"/>
      <c r="G548" s="123"/>
      <c r="H548" s="123"/>
      <c r="I548" s="123"/>
      <c r="J548" s="123"/>
      <c r="K548" s="123"/>
      <c r="L548" s="123"/>
      <c r="M548" s="123"/>
      <c r="N548" s="123"/>
      <c r="O548" s="123"/>
      <c r="Q548" s="123"/>
      <c r="R548" s="123"/>
      <c r="S548" s="123"/>
      <c r="T548" s="123"/>
      <c r="U548" s="123"/>
      <c r="V548" s="123"/>
      <c r="W548" s="123"/>
      <c r="X548" s="123"/>
      <c r="Y548" s="123"/>
      <c r="Z548" s="123"/>
      <c r="AA548" s="123"/>
    </row>
    <row r="549">
      <c r="B549" s="160"/>
      <c r="C549" s="160"/>
      <c r="D549" s="123"/>
      <c r="E549" s="123"/>
      <c r="F549" s="123"/>
      <c r="G549" s="123"/>
      <c r="H549" s="123"/>
      <c r="I549" s="123"/>
      <c r="J549" s="123"/>
      <c r="K549" s="123"/>
      <c r="L549" s="123"/>
      <c r="M549" s="123"/>
      <c r="N549" s="123"/>
      <c r="O549" s="123"/>
      <c r="Q549" s="123"/>
      <c r="R549" s="123"/>
      <c r="S549" s="123"/>
      <c r="T549" s="123"/>
      <c r="U549" s="123"/>
      <c r="V549" s="123"/>
      <c r="W549" s="123"/>
      <c r="X549" s="123"/>
      <c r="Y549" s="123"/>
      <c r="Z549" s="123"/>
      <c r="AA549" s="123"/>
    </row>
    <row r="550">
      <c r="B550" s="160"/>
      <c r="C550" s="160"/>
      <c r="D550" s="123"/>
      <c r="E550" s="123"/>
      <c r="F550" s="123"/>
      <c r="G550" s="123"/>
      <c r="H550" s="123"/>
      <c r="I550" s="123"/>
      <c r="J550" s="123"/>
      <c r="K550" s="123"/>
      <c r="L550" s="123"/>
      <c r="M550" s="123"/>
      <c r="N550" s="123"/>
      <c r="O550" s="123"/>
      <c r="Q550" s="123"/>
      <c r="R550" s="123"/>
      <c r="S550" s="123"/>
      <c r="T550" s="123"/>
      <c r="U550" s="123"/>
      <c r="V550" s="123"/>
      <c r="W550" s="123"/>
      <c r="X550" s="123"/>
      <c r="Y550" s="123"/>
      <c r="Z550" s="123"/>
      <c r="AA550" s="123"/>
    </row>
    <row r="551">
      <c r="B551" s="160"/>
      <c r="C551" s="160"/>
      <c r="D551" s="123"/>
      <c r="E551" s="123"/>
      <c r="F551" s="123"/>
      <c r="G551" s="123"/>
      <c r="H551" s="123"/>
      <c r="I551" s="123"/>
      <c r="J551" s="123"/>
      <c r="K551" s="123"/>
      <c r="L551" s="123"/>
      <c r="M551" s="123"/>
      <c r="N551" s="123"/>
      <c r="O551" s="123"/>
      <c r="Q551" s="123"/>
      <c r="R551" s="123"/>
      <c r="S551" s="123"/>
      <c r="T551" s="123"/>
      <c r="U551" s="123"/>
      <c r="V551" s="123"/>
      <c r="W551" s="123"/>
      <c r="X551" s="123"/>
      <c r="Y551" s="123"/>
      <c r="Z551" s="123"/>
      <c r="AA551" s="123"/>
    </row>
    <row r="552">
      <c r="B552" s="160"/>
      <c r="C552" s="160"/>
      <c r="D552" s="123"/>
      <c r="E552" s="123"/>
      <c r="F552" s="123"/>
      <c r="G552" s="123"/>
      <c r="H552" s="123"/>
      <c r="I552" s="123"/>
      <c r="J552" s="123"/>
      <c r="K552" s="123"/>
      <c r="L552" s="123"/>
      <c r="M552" s="123"/>
      <c r="N552" s="123"/>
      <c r="O552" s="123"/>
      <c r="Q552" s="123"/>
      <c r="R552" s="123"/>
      <c r="S552" s="123"/>
      <c r="T552" s="123"/>
      <c r="U552" s="123"/>
      <c r="V552" s="123"/>
      <c r="W552" s="123"/>
      <c r="X552" s="123"/>
      <c r="Y552" s="123"/>
      <c r="Z552" s="123"/>
      <c r="AA552" s="123"/>
    </row>
    <row r="553">
      <c r="B553" s="160"/>
      <c r="C553" s="160"/>
      <c r="D553" s="123"/>
      <c r="E553" s="123"/>
      <c r="F553" s="123"/>
      <c r="G553" s="123"/>
      <c r="H553" s="123"/>
      <c r="I553" s="123"/>
      <c r="J553" s="123"/>
      <c r="K553" s="123"/>
      <c r="L553" s="123"/>
      <c r="M553" s="123"/>
      <c r="N553" s="123"/>
      <c r="O553" s="123"/>
      <c r="Q553" s="123"/>
      <c r="R553" s="123"/>
      <c r="S553" s="123"/>
      <c r="T553" s="123"/>
      <c r="U553" s="123"/>
      <c r="V553" s="123"/>
      <c r="W553" s="123"/>
      <c r="X553" s="123"/>
      <c r="Y553" s="123"/>
      <c r="Z553" s="123"/>
      <c r="AA553" s="123"/>
    </row>
    <row r="554">
      <c r="B554" s="160"/>
      <c r="C554" s="160"/>
      <c r="D554" s="123"/>
      <c r="E554" s="123"/>
      <c r="F554" s="123"/>
      <c r="G554" s="123"/>
      <c r="H554" s="123"/>
      <c r="I554" s="123"/>
      <c r="J554" s="123"/>
      <c r="K554" s="123"/>
      <c r="L554" s="123"/>
      <c r="M554" s="123"/>
      <c r="N554" s="123"/>
      <c r="O554" s="123"/>
      <c r="Q554" s="123"/>
      <c r="R554" s="123"/>
      <c r="S554" s="123"/>
      <c r="T554" s="123"/>
      <c r="U554" s="123"/>
      <c r="V554" s="123"/>
      <c r="W554" s="123"/>
      <c r="X554" s="123"/>
      <c r="Y554" s="123"/>
      <c r="Z554" s="123"/>
      <c r="AA554" s="123"/>
    </row>
    <row r="555">
      <c r="B555" s="160"/>
      <c r="C555" s="160"/>
      <c r="D555" s="123"/>
      <c r="E555" s="123"/>
      <c r="F555" s="123"/>
      <c r="G555" s="123"/>
      <c r="H555" s="123"/>
      <c r="I555" s="123"/>
      <c r="J555" s="123"/>
      <c r="K555" s="123"/>
      <c r="L555" s="123"/>
      <c r="M555" s="123"/>
      <c r="N555" s="123"/>
      <c r="O555" s="123"/>
      <c r="Q555" s="123"/>
      <c r="R555" s="123"/>
      <c r="S555" s="123"/>
      <c r="T555" s="123"/>
      <c r="U555" s="123"/>
      <c r="V555" s="123"/>
      <c r="W555" s="123"/>
      <c r="X555" s="123"/>
      <c r="Y555" s="123"/>
      <c r="Z555" s="123"/>
      <c r="AA555" s="123"/>
    </row>
    <row r="556">
      <c r="B556" s="160"/>
      <c r="C556" s="160"/>
      <c r="D556" s="123"/>
      <c r="E556" s="123"/>
      <c r="F556" s="123"/>
      <c r="G556" s="123"/>
      <c r="H556" s="123"/>
      <c r="I556" s="123"/>
      <c r="J556" s="123"/>
      <c r="K556" s="123"/>
      <c r="L556" s="123"/>
      <c r="M556" s="123"/>
      <c r="N556" s="123"/>
      <c r="O556" s="123"/>
      <c r="Q556" s="123"/>
      <c r="R556" s="123"/>
      <c r="S556" s="123"/>
      <c r="T556" s="123"/>
      <c r="U556" s="123"/>
      <c r="V556" s="123"/>
      <c r="W556" s="123"/>
      <c r="X556" s="123"/>
      <c r="Y556" s="123"/>
      <c r="Z556" s="123"/>
      <c r="AA556" s="123"/>
    </row>
    <row r="557">
      <c r="B557" s="160"/>
      <c r="C557" s="160"/>
      <c r="D557" s="123"/>
      <c r="E557" s="123"/>
      <c r="F557" s="123"/>
      <c r="G557" s="123"/>
      <c r="H557" s="123"/>
      <c r="I557" s="123"/>
      <c r="J557" s="123"/>
      <c r="K557" s="123"/>
      <c r="L557" s="123"/>
      <c r="M557" s="123"/>
      <c r="N557" s="123"/>
      <c r="O557" s="123"/>
      <c r="Q557" s="123"/>
      <c r="R557" s="123"/>
      <c r="S557" s="123"/>
      <c r="T557" s="123"/>
      <c r="U557" s="123"/>
      <c r="V557" s="123"/>
      <c r="W557" s="123"/>
      <c r="X557" s="123"/>
      <c r="Y557" s="123"/>
      <c r="Z557" s="123"/>
      <c r="AA557" s="123"/>
    </row>
    <row r="558">
      <c r="B558" s="160"/>
      <c r="C558" s="160"/>
      <c r="D558" s="123"/>
      <c r="E558" s="123"/>
      <c r="F558" s="123"/>
      <c r="G558" s="123"/>
      <c r="H558" s="123"/>
      <c r="I558" s="123"/>
      <c r="J558" s="123"/>
      <c r="K558" s="123"/>
      <c r="L558" s="123"/>
      <c r="M558" s="123"/>
      <c r="N558" s="123"/>
      <c r="O558" s="123"/>
      <c r="Q558" s="123"/>
      <c r="R558" s="123"/>
      <c r="S558" s="123"/>
      <c r="T558" s="123"/>
      <c r="U558" s="123"/>
      <c r="V558" s="123"/>
      <c r="W558" s="123"/>
      <c r="X558" s="123"/>
      <c r="Y558" s="123"/>
      <c r="Z558" s="123"/>
      <c r="AA558" s="123"/>
    </row>
    <row r="559">
      <c r="B559" s="160"/>
      <c r="C559" s="160"/>
      <c r="D559" s="123"/>
      <c r="E559" s="123"/>
      <c r="F559" s="123"/>
      <c r="G559" s="123"/>
      <c r="H559" s="123"/>
      <c r="I559" s="123"/>
      <c r="J559" s="123"/>
      <c r="K559" s="123"/>
      <c r="L559" s="123"/>
      <c r="M559" s="123"/>
      <c r="N559" s="123"/>
      <c r="O559" s="123"/>
      <c r="Q559" s="123"/>
      <c r="R559" s="123"/>
      <c r="S559" s="123"/>
      <c r="T559" s="123"/>
      <c r="U559" s="123"/>
      <c r="V559" s="123"/>
      <c r="W559" s="123"/>
      <c r="X559" s="123"/>
      <c r="Y559" s="123"/>
      <c r="Z559" s="123"/>
      <c r="AA559" s="123"/>
    </row>
    <row r="560">
      <c r="B560" s="160"/>
      <c r="C560" s="160"/>
      <c r="D560" s="123"/>
      <c r="E560" s="123"/>
      <c r="F560" s="123"/>
      <c r="G560" s="123"/>
      <c r="H560" s="123"/>
      <c r="I560" s="123"/>
      <c r="J560" s="123"/>
      <c r="K560" s="123"/>
      <c r="L560" s="123"/>
      <c r="M560" s="123"/>
      <c r="N560" s="123"/>
      <c r="O560" s="123"/>
      <c r="Q560" s="123"/>
      <c r="R560" s="123"/>
      <c r="S560" s="123"/>
      <c r="T560" s="123"/>
      <c r="U560" s="123"/>
      <c r="V560" s="123"/>
      <c r="W560" s="123"/>
      <c r="X560" s="123"/>
      <c r="Y560" s="123"/>
      <c r="Z560" s="123"/>
      <c r="AA560" s="123"/>
    </row>
    <row r="561">
      <c r="B561" s="160"/>
      <c r="C561" s="160"/>
      <c r="D561" s="123"/>
      <c r="E561" s="123"/>
      <c r="F561" s="123"/>
      <c r="G561" s="123"/>
      <c r="H561" s="123"/>
      <c r="I561" s="123"/>
      <c r="J561" s="123"/>
      <c r="K561" s="123"/>
      <c r="L561" s="123"/>
      <c r="M561" s="123"/>
      <c r="N561" s="123"/>
      <c r="O561" s="123"/>
      <c r="Q561" s="123"/>
      <c r="R561" s="123"/>
      <c r="S561" s="123"/>
      <c r="T561" s="123"/>
      <c r="U561" s="123"/>
      <c r="V561" s="123"/>
      <c r="W561" s="123"/>
      <c r="X561" s="123"/>
      <c r="Y561" s="123"/>
      <c r="Z561" s="123"/>
      <c r="AA561" s="123"/>
    </row>
    <row r="562">
      <c r="B562" s="160"/>
      <c r="C562" s="160"/>
      <c r="D562" s="123"/>
      <c r="E562" s="123"/>
      <c r="F562" s="123"/>
      <c r="G562" s="123"/>
      <c r="H562" s="123"/>
      <c r="I562" s="123"/>
      <c r="J562" s="123"/>
      <c r="K562" s="123"/>
      <c r="L562" s="123"/>
      <c r="M562" s="123"/>
      <c r="N562" s="123"/>
      <c r="O562" s="123"/>
      <c r="Q562" s="123"/>
      <c r="R562" s="123"/>
      <c r="S562" s="123"/>
      <c r="T562" s="123"/>
      <c r="U562" s="123"/>
      <c r="V562" s="123"/>
      <c r="W562" s="123"/>
      <c r="X562" s="123"/>
      <c r="Y562" s="123"/>
      <c r="Z562" s="123"/>
      <c r="AA562" s="123"/>
    </row>
    <row r="563">
      <c r="B563" s="160"/>
      <c r="C563" s="160"/>
      <c r="D563" s="123"/>
      <c r="E563" s="123"/>
      <c r="F563" s="123"/>
      <c r="G563" s="123"/>
      <c r="H563" s="123"/>
      <c r="I563" s="123"/>
      <c r="J563" s="123"/>
      <c r="K563" s="123"/>
      <c r="L563" s="123"/>
      <c r="M563" s="123"/>
      <c r="N563" s="123"/>
      <c r="O563" s="123"/>
      <c r="Q563" s="123"/>
      <c r="R563" s="123"/>
      <c r="S563" s="123"/>
      <c r="T563" s="123"/>
      <c r="U563" s="123"/>
      <c r="V563" s="123"/>
      <c r="W563" s="123"/>
      <c r="X563" s="123"/>
      <c r="Y563" s="123"/>
      <c r="Z563" s="123"/>
      <c r="AA563" s="123"/>
    </row>
    <row r="564">
      <c r="B564" s="160"/>
      <c r="C564" s="160"/>
      <c r="D564" s="123"/>
      <c r="E564" s="123"/>
      <c r="F564" s="123"/>
      <c r="G564" s="123"/>
      <c r="H564" s="123"/>
      <c r="I564" s="123"/>
      <c r="J564" s="123"/>
      <c r="K564" s="123"/>
      <c r="L564" s="123"/>
      <c r="M564" s="123"/>
      <c r="N564" s="123"/>
      <c r="O564" s="123"/>
      <c r="Q564" s="123"/>
      <c r="R564" s="123"/>
      <c r="S564" s="123"/>
      <c r="T564" s="123"/>
      <c r="U564" s="123"/>
      <c r="V564" s="123"/>
      <c r="W564" s="123"/>
      <c r="X564" s="123"/>
      <c r="Y564" s="123"/>
      <c r="Z564" s="123"/>
      <c r="AA564" s="123"/>
    </row>
    <row r="565">
      <c r="B565" s="160"/>
      <c r="C565" s="160"/>
      <c r="D565" s="123"/>
      <c r="E565" s="123"/>
      <c r="F565" s="123"/>
      <c r="G565" s="123"/>
      <c r="H565" s="123"/>
      <c r="I565" s="123"/>
      <c r="J565" s="123"/>
      <c r="K565" s="123"/>
      <c r="L565" s="123"/>
      <c r="M565" s="123"/>
      <c r="N565" s="123"/>
      <c r="O565" s="123"/>
      <c r="Q565" s="123"/>
      <c r="R565" s="123"/>
      <c r="S565" s="123"/>
      <c r="T565" s="123"/>
      <c r="U565" s="123"/>
      <c r="V565" s="123"/>
      <c r="W565" s="123"/>
      <c r="X565" s="123"/>
      <c r="Y565" s="123"/>
      <c r="Z565" s="123"/>
      <c r="AA565" s="123"/>
    </row>
    <row r="566">
      <c r="B566" s="160"/>
      <c r="C566" s="160"/>
      <c r="D566" s="123"/>
      <c r="E566" s="123"/>
      <c r="F566" s="123"/>
      <c r="G566" s="123"/>
      <c r="H566" s="123"/>
      <c r="I566" s="123"/>
      <c r="J566" s="123"/>
      <c r="K566" s="123"/>
      <c r="L566" s="123"/>
      <c r="M566" s="123"/>
      <c r="N566" s="123"/>
      <c r="O566" s="123"/>
      <c r="Q566" s="123"/>
      <c r="R566" s="123"/>
      <c r="S566" s="123"/>
      <c r="T566" s="123"/>
      <c r="U566" s="123"/>
      <c r="V566" s="123"/>
      <c r="W566" s="123"/>
      <c r="X566" s="123"/>
      <c r="Y566" s="123"/>
      <c r="Z566" s="123"/>
      <c r="AA566" s="123"/>
    </row>
    <row r="567">
      <c r="B567" s="160"/>
      <c r="C567" s="160"/>
      <c r="D567" s="123"/>
      <c r="E567" s="123"/>
      <c r="F567" s="123"/>
      <c r="G567" s="123"/>
      <c r="H567" s="123"/>
      <c r="I567" s="123"/>
      <c r="J567" s="123"/>
      <c r="K567" s="123"/>
      <c r="L567" s="123"/>
      <c r="M567" s="123"/>
      <c r="N567" s="123"/>
      <c r="O567" s="123"/>
      <c r="Q567" s="123"/>
      <c r="R567" s="123"/>
      <c r="S567" s="123"/>
      <c r="T567" s="123"/>
      <c r="U567" s="123"/>
      <c r="V567" s="123"/>
      <c r="W567" s="123"/>
      <c r="X567" s="123"/>
      <c r="Y567" s="123"/>
      <c r="Z567" s="123"/>
      <c r="AA567" s="123"/>
    </row>
    <row r="568">
      <c r="B568" s="160"/>
      <c r="C568" s="160"/>
      <c r="D568" s="123"/>
      <c r="E568" s="123"/>
      <c r="F568" s="123"/>
      <c r="G568" s="123"/>
      <c r="H568" s="123"/>
      <c r="I568" s="123"/>
      <c r="J568" s="123"/>
      <c r="K568" s="123"/>
      <c r="L568" s="123"/>
      <c r="M568" s="123"/>
      <c r="N568" s="123"/>
      <c r="O568" s="123"/>
      <c r="Q568" s="123"/>
      <c r="R568" s="123"/>
      <c r="S568" s="123"/>
      <c r="T568" s="123"/>
      <c r="U568" s="123"/>
      <c r="V568" s="123"/>
      <c r="W568" s="123"/>
      <c r="X568" s="123"/>
      <c r="Y568" s="123"/>
      <c r="Z568" s="123"/>
      <c r="AA568" s="123"/>
    </row>
    <row r="569">
      <c r="B569" s="160"/>
      <c r="C569" s="160"/>
      <c r="D569" s="123"/>
      <c r="E569" s="123"/>
      <c r="F569" s="123"/>
      <c r="G569" s="123"/>
      <c r="H569" s="123"/>
      <c r="I569" s="123"/>
      <c r="J569" s="123"/>
      <c r="K569" s="123"/>
      <c r="L569" s="123"/>
      <c r="M569" s="123"/>
      <c r="N569" s="123"/>
      <c r="O569" s="123"/>
      <c r="Q569" s="123"/>
      <c r="R569" s="123"/>
      <c r="S569" s="123"/>
      <c r="T569" s="123"/>
      <c r="U569" s="123"/>
      <c r="V569" s="123"/>
      <c r="W569" s="123"/>
      <c r="X569" s="123"/>
      <c r="Y569" s="123"/>
      <c r="Z569" s="123"/>
      <c r="AA569" s="123"/>
    </row>
    <row r="570">
      <c r="B570" s="160"/>
      <c r="C570" s="160"/>
      <c r="D570" s="123"/>
      <c r="E570" s="123"/>
      <c r="F570" s="123"/>
      <c r="G570" s="123"/>
      <c r="H570" s="123"/>
      <c r="I570" s="123"/>
      <c r="J570" s="123"/>
      <c r="K570" s="123"/>
      <c r="L570" s="123"/>
      <c r="M570" s="123"/>
      <c r="N570" s="123"/>
      <c r="O570" s="123"/>
      <c r="Q570" s="123"/>
      <c r="R570" s="123"/>
      <c r="S570" s="123"/>
      <c r="T570" s="123"/>
      <c r="U570" s="123"/>
      <c r="V570" s="123"/>
      <c r="W570" s="123"/>
      <c r="X570" s="123"/>
      <c r="Y570" s="123"/>
      <c r="Z570" s="123"/>
      <c r="AA570" s="123"/>
    </row>
    <row r="571">
      <c r="B571" s="160"/>
      <c r="C571" s="160"/>
      <c r="D571" s="123"/>
      <c r="E571" s="123"/>
      <c r="F571" s="123"/>
      <c r="G571" s="123"/>
      <c r="H571" s="123"/>
      <c r="I571" s="123"/>
      <c r="J571" s="123"/>
      <c r="K571" s="123"/>
      <c r="L571" s="123"/>
      <c r="M571" s="123"/>
      <c r="N571" s="123"/>
      <c r="O571" s="123"/>
      <c r="Q571" s="123"/>
      <c r="R571" s="123"/>
      <c r="S571" s="123"/>
      <c r="T571" s="123"/>
      <c r="U571" s="123"/>
      <c r="V571" s="123"/>
      <c r="W571" s="123"/>
      <c r="X571" s="123"/>
      <c r="Y571" s="123"/>
      <c r="Z571" s="123"/>
      <c r="AA571" s="123"/>
    </row>
    <row r="572">
      <c r="B572" s="160"/>
      <c r="C572" s="160"/>
      <c r="D572" s="123"/>
      <c r="E572" s="123"/>
      <c r="F572" s="123"/>
      <c r="G572" s="123"/>
      <c r="H572" s="123"/>
      <c r="I572" s="123"/>
      <c r="J572" s="123"/>
      <c r="K572" s="123"/>
      <c r="L572" s="123"/>
      <c r="M572" s="123"/>
      <c r="N572" s="123"/>
      <c r="O572" s="123"/>
      <c r="Q572" s="123"/>
      <c r="R572" s="123"/>
      <c r="S572" s="123"/>
      <c r="T572" s="123"/>
      <c r="U572" s="123"/>
      <c r="V572" s="123"/>
      <c r="W572" s="123"/>
      <c r="X572" s="123"/>
      <c r="Y572" s="123"/>
      <c r="Z572" s="123"/>
      <c r="AA572" s="123"/>
    </row>
    <row r="573">
      <c r="B573" s="160"/>
      <c r="C573" s="160"/>
      <c r="D573" s="123"/>
      <c r="E573" s="123"/>
      <c r="F573" s="123"/>
      <c r="G573" s="123"/>
      <c r="H573" s="123"/>
      <c r="I573" s="123"/>
      <c r="J573" s="123"/>
      <c r="K573" s="123"/>
      <c r="L573" s="123"/>
      <c r="M573" s="123"/>
      <c r="N573" s="123"/>
      <c r="O573" s="123"/>
      <c r="Q573" s="123"/>
      <c r="R573" s="123"/>
      <c r="S573" s="123"/>
      <c r="T573" s="123"/>
      <c r="U573" s="123"/>
      <c r="V573" s="123"/>
      <c r="W573" s="123"/>
      <c r="X573" s="123"/>
      <c r="Y573" s="123"/>
      <c r="Z573" s="123"/>
      <c r="AA573" s="123"/>
    </row>
    <row r="574">
      <c r="B574" s="160"/>
      <c r="C574" s="160"/>
      <c r="D574" s="123"/>
      <c r="E574" s="123"/>
      <c r="F574" s="123"/>
      <c r="G574" s="123"/>
      <c r="H574" s="123"/>
      <c r="I574" s="123"/>
      <c r="J574" s="123"/>
      <c r="K574" s="123"/>
      <c r="L574" s="123"/>
      <c r="M574" s="123"/>
      <c r="N574" s="123"/>
      <c r="O574" s="123"/>
      <c r="Q574" s="123"/>
      <c r="R574" s="123"/>
      <c r="S574" s="123"/>
      <c r="T574" s="123"/>
      <c r="U574" s="123"/>
      <c r="V574" s="123"/>
      <c r="W574" s="123"/>
      <c r="X574" s="123"/>
      <c r="Y574" s="123"/>
      <c r="Z574" s="123"/>
      <c r="AA574" s="123"/>
    </row>
    <row r="575">
      <c r="B575" s="160"/>
      <c r="C575" s="160"/>
      <c r="D575" s="123"/>
      <c r="E575" s="123"/>
      <c r="F575" s="123"/>
      <c r="G575" s="123"/>
      <c r="H575" s="123"/>
      <c r="I575" s="123"/>
      <c r="J575" s="123"/>
      <c r="K575" s="123"/>
      <c r="L575" s="123"/>
      <c r="M575" s="123"/>
      <c r="N575" s="123"/>
      <c r="O575" s="123"/>
      <c r="Q575" s="123"/>
      <c r="R575" s="123"/>
      <c r="S575" s="123"/>
      <c r="T575" s="123"/>
      <c r="U575" s="123"/>
      <c r="V575" s="123"/>
      <c r="W575" s="123"/>
      <c r="X575" s="123"/>
      <c r="Y575" s="123"/>
      <c r="Z575" s="123"/>
      <c r="AA575" s="123"/>
    </row>
    <row r="576">
      <c r="B576" s="160"/>
      <c r="C576" s="160"/>
      <c r="D576" s="123"/>
      <c r="E576" s="123"/>
      <c r="F576" s="123"/>
      <c r="G576" s="123"/>
      <c r="H576" s="123"/>
      <c r="I576" s="123"/>
      <c r="J576" s="123"/>
      <c r="K576" s="123"/>
      <c r="L576" s="123"/>
      <c r="M576" s="123"/>
      <c r="N576" s="123"/>
      <c r="O576" s="123"/>
      <c r="Q576" s="123"/>
      <c r="R576" s="123"/>
      <c r="S576" s="123"/>
      <c r="T576" s="123"/>
      <c r="U576" s="123"/>
      <c r="V576" s="123"/>
      <c r="W576" s="123"/>
      <c r="X576" s="123"/>
      <c r="Y576" s="123"/>
      <c r="Z576" s="123"/>
      <c r="AA576" s="123"/>
    </row>
    <row r="577">
      <c r="B577" s="160"/>
      <c r="C577" s="160"/>
      <c r="D577" s="123"/>
      <c r="E577" s="123"/>
      <c r="F577" s="123"/>
      <c r="G577" s="123"/>
      <c r="H577" s="123"/>
      <c r="I577" s="123"/>
      <c r="J577" s="123"/>
      <c r="K577" s="123"/>
      <c r="L577" s="123"/>
      <c r="M577" s="123"/>
      <c r="N577" s="123"/>
      <c r="O577" s="123"/>
      <c r="Q577" s="123"/>
      <c r="R577" s="123"/>
      <c r="S577" s="123"/>
      <c r="T577" s="123"/>
      <c r="U577" s="123"/>
      <c r="V577" s="123"/>
      <c r="W577" s="123"/>
      <c r="X577" s="123"/>
      <c r="Y577" s="123"/>
      <c r="Z577" s="123"/>
      <c r="AA577" s="123"/>
    </row>
    <row r="578">
      <c r="B578" s="160"/>
      <c r="C578" s="160"/>
      <c r="D578" s="123"/>
      <c r="E578" s="123"/>
      <c r="F578" s="123"/>
      <c r="G578" s="123"/>
      <c r="H578" s="123"/>
      <c r="I578" s="123"/>
      <c r="J578" s="123"/>
      <c r="K578" s="123"/>
      <c r="L578" s="123"/>
      <c r="M578" s="123"/>
      <c r="N578" s="123"/>
      <c r="O578" s="123"/>
      <c r="Q578" s="123"/>
      <c r="R578" s="123"/>
      <c r="S578" s="123"/>
      <c r="T578" s="123"/>
      <c r="U578" s="123"/>
      <c r="V578" s="123"/>
      <c r="W578" s="123"/>
      <c r="X578" s="123"/>
      <c r="Y578" s="123"/>
      <c r="Z578" s="123"/>
      <c r="AA578" s="123"/>
    </row>
    <row r="579">
      <c r="B579" s="160"/>
      <c r="C579" s="160"/>
      <c r="D579" s="123"/>
      <c r="E579" s="123"/>
      <c r="F579" s="123"/>
      <c r="G579" s="123"/>
      <c r="H579" s="123"/>
      <c r="I579" s="123"/>
      <c r="J579" s="123"/>
      <c r="K579" s="123"/>
      <c r="L579" s="123"/>
      <c r="M579" s="123"/>
      <c r="N579" s="123"/>
      <c r="O579" s="123"/>
      <c r="Q579" s="123"/>
      <c r="R579" s="123"/>
      <c r="S579" s="123"/>
      <c r="T579" s="123"/>
      <c r="U579" s="123"/>
      <c r="V579" s="123"/>
      <c r="W579" s="123"/>
      <c r="X579" s="123"/>
      <c r="Y579" s="123"/>
      <c r="Z579" s="123"/>
      <c r="AA579" s="123"/>
    </row>
    <row r="580">
      <c r="B580" s="160"/>
      <c r="C580" s="160"/>
      <c r="D580" s="123"/>
      <c r="E580" s="123"/>
      <c r="F580" s="123"/>
      <c r="G580" s="123"/>
      <c r="H580" s="123"/>
      <c r="I580" s="123"/>
      <c r="J580" s="123"/>
      <c r="K580" s="123"/>
      <c r="L580" s="123"/>
      <c r="M580" s="123"/>
      <c r="N580" s="123"/>
      <c r="O580" s="123"/>
      <c r="Q580" s="123"/>
      <c r="R580" s="123"/>
      <c r="S580" s="123"/>
      <c r="T580" s="123"/>
      <c r="U580" s="123"/>
      <c r="V580" s="123"/>
      <c r="W580" s="123"/>
      <c r="X580" s="123"/>
      <c r="Y580" s="123"/>
      <c r="Z580" s="123"/>
      <c r="AA580" s="123"/>
    </row>
    <row r="581">
      <c r="B581" s="160"/>
      <c r="C581" s="160"/>
      <c r="D581" s="123"/>
      <c r="E581" s="123"/>
      <c r="F581" s="123"/>
      <c r="G581" s="123"/>
      <c r="H581" s="123"/>
      <c r="I581" s="123"/>
      <c r="J581" s="123"/>
      <c r="K581" s="123"/>
      <c r="L581" s="123"/>
      <c r="M581" s="123"/>
      <c r="N581" s="123"/>
      <c r="O581" s="123"/>
      <c r="Q581" s="123"/>
      <c r="R581" s="123"/>
      <c r="S581" s="123"/>
      <c r="T581" s="123"/>
      <c r="U581" s="123"/>
      <c r="V581" s="123"/>
      <c r="W581" s="123"/>
      <c r="X581" s="123"/>
      <c r="Y581" s="123"/>
      <c r="Z581" s="123"/>
      <c r="AA581" s="123"/>
    </row>
    <row r="582">
      <c r="B582" s="160"/>
      <c r="C582" s="160"/>
      <c r="D582" s="123"/>
      <c r="E582" s="123"/>
      <c r="F582" s="123"/>
      <c r="G582" s="123"/>
      <c r="H582" s="123"/>
      <c r="I582" s="123"/>
      <c r="J582" s="123"/>
      <c r="K582" s="123"/>
      <c r="L582" s="123"/>
      <c r="M582" s="123"/>
      <c r="N582" s="123"/>
      <c r="O582" s="123"/>
      <c r="Q582" s="123"/>
      <c r="R582" s="123"/>
      <c r="S582" s="123"/>
      <c r="T582" s="123"/>
      <c r="U582" s="123"/>
      <c r="V582" s="123"/>
      <c r="W582" s="123"/>
      <c r="X582" s="123"/>
      <c r="Y582" s="123"/>
      <c r="Z582" s="123"/>
      <c r="AA582" s="123"/>
    </row>
    <row r="583">
      <c r="B583" s="160"/>
      <c r="C583" s="160"/>
      <c r="D583" s="123"/>
      <c r="E583" s="123"/>
      <c r="F583" s="123"/>
      <c r="G583" s="123"/>
      <c r="H583" s="123"/>
      <c r="I583" s="123"/>
      <c r="J583" s="123"/>
      <c r="K583" s="123"/>
      <c r="L583" s="123"/>
      <c r="M583" s="123"/>
      <c r="N583" s="123"/>
      <c r="O583" s="123"/>
      <c r="Q583" s="123"/>
      <c r="R583" s="123"/>
      <c r="S583" s="123"/>
      <c r="T583" s="123"/>
      <c r="U583" s="123"/>
      <c r="V583" s="123"/>
      <c r="W583" s="123"/>
      <c r="X583" s="123"/>
      <c r="Y583" s="123"/>
      <c r="Z583" s="123"/>
      <c r="AA583" s="123"/>
    </row>
    <row r="584">
      <c r="B584" s="160"/>
      <c r="C584" s="160"/>
      <c r="D584" s="123"/>
      <c r="E584" s="123"/>
      <c r="F584" s="123"/>
      <c r="G584" s="123"/>
      <c r="H584" s="123"/>
      <c r="I584" s="123"/>
      <c r="J584" s="123"/>
      <c r="K584" s="123"/>
      <c r="L584" s="123"/>
      <c r="M584" s="123"/>
      <c r="N584" s="123"/>
      <c r="O584" s="123"/>
      <c r="Q584" s="123"/>
      <c r="R584" s="123"/>
      <c r="S584" s="123"/>
      <c r="T584" s="123"/>
      <c r="U584" s="123"/>
      <c r="V584" s="123"/>
      <c r="W584" s="123"/>
      <c r="X584" s="123"/>
      <c r="Y584" s="123"/>
      <c r="Z584" s="123"/>
      <c r="AA584" s="123"/>
    </row>
    <row r="585">
      <c r="B585" s="160"/>
      <c r="C585" s="160"/>
      <c r="D585" s="123"/>
      <c r="E585" s="123"/>
      <c r="F585" s="123"/>
      <c r="G585" s="123"/>
      <c r="H585" s="123"/>
      <c r="I585" s="123"/>
      <c r="J585" s="123"/>
      <c r="K585" s="123"/>
      <c r="L585" s="123"/>
      <c r="M585" s="123"/>
      <c r="N585" s="123"/>
      <c r="O585" s="123"/>
      <c r="Q585" s="123"/>
      <c r="R585" s="123"/>
      <c r="S585" s="123"/>
      <c r="T585" s="123"/>
      <c r="U585" s="123"/>
      <c r="V585" s="123"/>
      <c r="W585" s="123"/>
      <c r="X585" s="123"/>
      <c r="Y585" s="123"/>
      <c r="Z585" s="123"/>
      <c r="AA585" s="123"/>
    </row>
    <row r="586">
      <c r="B586" s="160"/>
      <c r="C586" s="160"/>
      <c r="D586" s="123"/>
      <c r="E586" s="123"/>
      <c r="F586" s="123"/>
      <c r="G586" s="123"/>
      <c r="H586" s="123"/>
      <c r="I586" s="123"/>
      <c r="J586" s="123"/>
      <c r="K586" s="123"/>
      <c r="L586" s="123"/>
      <c r="M586" s="123"/>
      <c r="N586" s="123"/>
      <c r="O586" s="123"/>
      <c r="Q586" s="123"/>
      <c r="R586" s="123"/>
      <c r="S586" s="123"/>
      <c r="T586" s="123"/>
      <c r="U586" s="123"/>
      <c r="V586" s="123"/>
      <c r="W586" s="123"/>
      <c r="X586" s="123"/>
      <c r="Y586" s="123"/>
      <c r="Z586" s="123"/>
      <c r="AA586" s="123"/>
    </row>
    <row r="587">
      <c r="B587" s="160"/>
      <c r="C587" s="160"/>
      <c r="D587" s="123"/>
      <c r="E587" s="123"/>
      <c r="F587" s="123"/>
      <c r="G587" s="123"/>
      <c r="H587" s="123"/>
      <c r="I587" s="123"/>
      <c r="J587" s="123"/>
      <c r="K587" s="123"/>
      <c r="L587" s="123"/>
      <c r="M587" s="123"/>
      <c r="N587" s="123"/>
      <c r="O587" s="123"/>
      <c r="Q587" s="123"/>
      <c r="R587" s="123"/>
      <c r="S587" s="123"/>
      <c r="T587" s="123"/>
      <c r="U587" s="123"/>
      <c r="V587" s="123"/>
      <c r="W587" s="123"/>
      <c r="X587" s="123"/>
      <c r="Y587" s="123"/>
      <c r="Z587" s="123"/>
      <c r="AA587" s="123"/>
    </row>
    <row r="588">
      <c r="B588" s="160"/>
      <c r="C588" s="160"/>
      <c r="D588" s="123"/>
      <c r="E588" s="123"/>
      <c r="F588" s="123"/>
      <c r="G588" s="123"/>
      <c r="H588" s="123"/>
      <c r="I588" s="123"/>
      <c r="J588" s="123"/>
      <c r="K588" s="123"/>
      <c r="L588" s="123"/>
      <c r="M588" s="123"/>
      <c r="N588" s="123"/>
      <c r="O588" s="123"/>
      <c r="Q588" s="123"/>
      <c r="R588" s="123"/>
      <c r="S588" s="123"/>
      <c r="T588" s="123"/>
      <c r="U588" s="123"/>
      <c r="V588" s="123"/>
      <c r="W588" s="123"/>
      <c r="X588" s="123"/>
      <c r="Y588" s="123"/>
      <c r="Z588" s="123"/>
      <c r="AA588" s="123"/>
    </row>
    <row r="589">
      <c r="B589" s="160"/>
      <c r="C589" s="160"/>
      <c r="D589" s="123"/>
      <c r="E589" s="123"/>
      <c r="F589" s="123"/>
      <c r="G589" s="123"/>
      <c r="H589" s="123"/>
      <c r="I589" s="123"/>
      <c r="J589" s="123"/>
      <c r="K589" s="123"/>
      <c r="L589" s="123"/>
      <c r="M589" s="123"/>
      <c r="N589" s="123"/>
      <c r="O589" s="123"/>
      <c r="Q589" s="123"/>
      <c r="R589" s="123"/>
      <c r="S589" s="123"/>
      <c r="T589" s="123"/>
      <c r="U589" s="123"/>
      <c r="V589" s="123"/>
      <c r="W589" s="123"/>
      <c r="X589" s="123"/>
      <c r="Y589" s="123"/>
      <c r="Z589" s="123"/>
      <c r="AA589" s="123"/>
    </row>
    <row r="590">
      <c r="B590" s="160"/>
      <c r="C590" s="160"/>
      <c r="D590" s="123"/>
      <c r="E590" s="123"/>
      <c r="F590" s="123"/>
      <c r="G590" s="123"/>
      <c r="H590" s="123"/>
      <c r="I590" s="123"/>
      <c r="J590" s="123"/>
      <c r="K590" s="123"/>
      <c r="L590" s="123"/>
      <c r="M590" s="123"/>
      <c r="N590" s="123"/>
      <c r="O590" s="123"/>
      <c r="Q590" s="123"/>
      <c r="R590" s="123"/>
      <c r="S590" s="123"/>
      <c r="T590" s="123"/>
      <c r="U590" s="123"/>
      <c r="V590" s="123"/>
      <c r="W590" s="123"/>
      <c r="X590" s="123"/>
      <c r="Y590" s="123"/>
      <c r="Z590" s="123"/>
      <c r="AA590" s="123"/>
    </row>
    <row r="591">
      <c r="B591" s="160"/>
      <c r="C591" s="160"/>
      <c r="D591" s="123"/>
      <c r="E591" s="123"/>
      <c r="F591" s="123"/>
      <c r="G591" s="123"/>
      <c r="H591" s="123"/>
      <c r="I591" s="123"/>
      <c r="J591" s="123"/>
      <c r="K591" s="123"/>
      <c r="L591" s="123"/>
      <c r="M591" s="123"/>
      <c r="N591" s="123"/>
      <c r="O591" s="123"/>
      <c r="Q591" s="123"/>
      <c r="R591" s="123"/>
      <c r="S591" s="123"/>
      <c r="T591" s="123"/>
      <c r="U591" s="123"/>
      <c r="V591" s="123"/>
      <c r="W591" s="123"/>
      <c r="X591" s="123"/>
      <c r="Y591" s="123"/>
      <c r="Z591" s="123"/>
      <c r="AA591" s="123"/>
    </row>
    <row r="592">
      <c r="B592" s="160"/>
      <c r="C592" s="160"/>
      <c r="D592" s="123"/>
      <c r="E592" s="123"/>
      <c r="F592" s="123"/>
      <c r="G592" s="123"/>
      <c r="H592" s="123"/>
      <c r="I592" s="123"/>
      <c r="J592" s="123"/>
      <c r="K592" s="123"/>
      <c r="L592" s="123"/>
      <c r="M592" s="123"/>
      <c r="N592" s="123"/>
      <c r="O592" s="123"/>
      <c r="Q592" s="123"/>
      <c r="R592" s="123"/>
      <c r="S592" s="123"/>
      <c r="T592" s="123"/>
      <c r="U592" s="123"/>
      <c r="V592" s="123"/>
      <c r="W592" s="123"/>
      <c r="X592" s="123"/>
      <c r="Y592" s="123"/>
      <c r="Z592" s="123"/>
      <c r="AA592" s="123"/>
    </row>
    <row r="593">
      <c r="B593" s="160"/>
      <c r="C593" s="160"/>
      <c r="D593" s="123"/>
      <c r="E593" s="123"/>
      <c r="F593" s="123"/>
      <c r="G593" s="123"/>
      <c r="H593" s="123"/>
      <c r="I593" s="123"/>
      <c r="J593" s="123"/>
      <c r="K593" s="123"/>
      <c r="L593" s="123"/>
      <c r="M593" s="123"/>
      <c r="N593" s="123"/>
      <c r="O593" s="123"/>
      <c r="Q593" s="123"/>
      <c r="R593" s="123"/>
      <c r="S593" s="123"/>
      <c r="T593" s="123"/>
      <c r="U593" s="123"/>
      <c r="V593" s="123"/>
      <c r="W593" s="123"/>
      <c r="X593" s="123"/>
      <c r="Y593" s="123"/>
      <c r="Z593" s="123"/>
      <c r="AA593" s="123"/>
    </row>
    <row r="594">
      <c r="B594" s="160"/>
      <c r="C594" s="160"/>
      <c r="D594" s="123"/>
      <c r="E594" s="123"/>
      <c r="F594" s="123"/>
      <c r="G594" s="123"/>
      <c r="H594" s="123"/>
      <c r="I594" s="123"/>
      <c r="J594" s="123"/>
      <c r="K594" s="123"/>
      <c r="L594" s="123"/>
      <c r="M594" s="123"/>
      <c r="N594" s="123"/>
      <c r="O594" s="123"/>
      <c r="Q594" s="123"/>
      <c r="R594" s="123"/>
      <c r="S594" s="123"/>
      <c r="T594" s="123"/>
      <c r="U594" s="123"/>
      <c r="V594" s="123"/>
      <c r="W594" s="123"/>
      <c r="X594" s="123"/>
      <c r="Y594" s="123"/>
      <c r="Z594" s="123"/>
      <c r="AA594" s="123"/>
    </row>
    <row r="595">
      <c r="B595" s="160"/>
      <c r="C595" s="160"/>
      <c r="D595" s="123"/>
      <c r="E595" s="123"/>
      <c r="F595" s="123"/>
      <c r="G595" s="123"/>
      <c r="H595" s="123"/>
      <c r="I595" s="123"/>
      <c r="J595" s="123"/>
      <c r="K595" s="123"/>
      <c r="L595" s="123"/>
      <c r="M595" s="123"/>
      <c r="N595" s="123"/>
      <c r="O595" s="123"/>
      <c r="Q595" s="123"/>
      <c r="R595" s="123"/>
      <c r="S595" s="123"/>
      <c r="T595" s="123"/>
      <c r="U595" s="123"/>
      <c r="V595" s="123"/>
      <c r="W595" s="123"/>
      <c r="X595" s="123"/>
      <c r="Y595" s="123"/>
      <c r="Z595" s="123"/>
      <c r="AA595" s="123"/>
    </row>
    <row r="596">
      <c r="B596" s="160"/>
      <c r="C596" s="160"/>
      <c r="D596" s="123"/>
      <c r="E596" s="123"/>
      <c r="F596" s="123"/>
      <c r="G596" s="123"/>
      <c r="H596" s="123"/>
      <c r="I596" s="123"/>
      <c r="J596" s="123"/>
      <c r="K596" s="123"/>
      <c r="L596" s="123"/>
      <c r="M596" s="123"/>
      <c r="N596" s="123"/>
      <c r="O596" s="123"/>
      <c r="Q596" s="123"/>
      <c r="R596" s="123"/>
      <c r="S596" s="123"/>
      <c r="T596" s="123"/>
      <c r="U596" s="123"/>
      <c r="V596" s="123"/>
      <c r="W596" s="123"/>
      <c r="X596" s="123"/>
      <c r="Y596" s="123"/>
      <c r="Z596" s="123"/>
      <c r="AA596" s="123"/>
    </row>
    <row r="597">
      <c r="B597" s="160"/>
      <c r="C597" s="160"/>
      <c r="D597" s="123"/>
      <c r="E597" s="123"/>
      <c r="F597" s="123"/>
      <c r="G597" s="123"/>
      <c r="H597" s="123"/>
      <c r="I597" s="123"/>
      <c r="J597" s="123"/>
      <c r="K597" s="123"/>
      <c r="L597" s="123"/>
      <c r="M597" s="123"/>
      <c r="N597" s="123"/>
      <c r="O597" s="123"/>
      <c r="Q597" s="123"/>
      <c r="R597" s="123"/>
      <c r="S597" s="123"/>
      <c r="T597" s="123"/>
      <c r="U597" s="123"/>
      <c r="V597" s="123"/>
      <c r="W597" s="123"/>
      <c r="X597" s="123"/>
      <c r="Y597" s="123"/>
      <c r="Z597" s="123"/>
      <c r="AA597" s="123"/>
    </row>
    <row r="598">
      <c r="B598" s="160"/>
      <c r="C598" s="160"/>
      <c r="D598" s="123"/>
      <c r="E598" s="123"/>
      <c r="F598" s="123"/>
      <c r="G598" s="123"/>
      <c r="H598" s="123"/>
      <c r="I598" s="123"/>
      <c r="J598" s="123"/>
      <c r="K598" s="123"/>
      <c r="L598" s="123"/>
      <c r="M598" s="123"/>
      <c r="N598" s="123"/>
      <c r="O598" s="123"/>
      <c r="Q598" s="123"/>
      <c r="R598" s="123"/>
      <c r="S598" s="123"/>
      <c r="T598" s="123"/>
      <c r="U598" s="123"/>
      <c r="V598" s="123"/>
      <c r="W598" s="123"/>
      <c r="X598" s="123"/>
      <c r="Y598" s="123"/>
      <c r="Z598" s="123"/>
      <c r="AA598" s="123"/>
    </row>
    <row r="599">
      <c r="B599" s="160"/>
      <c r="C599" s="160"/>
      <c r="D599" s="123"/>
      <c r="E599" s="123"/>
      <c r="F599" s="123"/>
      <c r="G599" s="123"/>
      <c r="H599" s="123"/>
      <c r="I599" s="123"/>
      <c r="J599" s="123"/>
      <c r="K599" s="123"/>
      <c r="L599" s="123"/>
      <c r="M599" s="123"/>
      <c r="N599" s="123"/>
      <c r="O599" s="123"/>
      <c r="Q599" s="123"/>
      <c r="R599" s="123"/>
      <c r="S599" s="123"/>
      <c r="T599" s="123"/>
      <c r="U599" s="123"/>
      <c r="V599" s="123"/>
      <c r="W599" s="123"/>
      <c r="X599" s="123"/>
      <c r="Y599" s="123"/>
      <c r="Z599" s="123"/>
      <c r="AA599" s="123"/>
    </row>
    <row r="600">
      <c r="B600" s="160"/>
      <c r="C600" s="160"/>
      <c r="D600" s="123"/>
      <c r="E600" s="123"/>
      <c r="F600" s="123"/>
      <c r="G600" s="123"/>
      <c r="H600" s="123"/>
      <c r="I600" s="123"/>
      <c r="J600" s="123"/>
      <c r="K600" s="123"/>
      <c r="L600" s="123"/>
      <c r="M600" s="123"/>
      <c r="N600" s="123"/>
      <c r="O600" s="123"/>
      <c r="Q600" s="123"/>
      <c r="R600" s="123"/>
      <c r="S600" s="123"/>
      <c r="T600" s="123"/>
      <c r="U600" s="123"/>
      <c r="V600" s="123"/>
      <c r="W600" s="123"/>
      <c r="X600" s="123"/>
      <c r="Y600" s="123"/>
      <c r="Z600" s="123"/>
      <c r="AA600" s="123"/>
    </row>
    <row r="601">
      <c r="B601" s="160"/>
      <c r="C601" s="160"/>
      <c r="D601" s="123"/>
      <c r="E601" s="123"/>
      <c r="F601" s="123"/>
      <c r="G601" s="123"/>
      <c r="H601" s="123"/>
      <c r="I601" s="123"/>
      <c r="J601" s="123"/>
      <c r="K601" s="123"/>
      <c r="L601" s="123"/>
      <c r="M601" s="123"/>
      <c r="N601" s="123"/>
      <c r="O601" s="123"/>
      <c r="Q601" s="123"/>
      <c r="R601" s="123"/>
      <c r="S601" s="123"/>
      <c r="T601" s="123"/>
      <c r="U601" s="123"/>
      <c r="V601" s="123"/>
      <c r="W601" s="123"/>
      <c r="X601" s="123"/>
      <c r="Y601" s="123"/>
      <c r="Z601" s="123"/>
      <c r="AA601" s="123"/>
    </row>
    <row r="602">
      <c r="B602" s="160"/>
      <c r="C602" s="160"/>
      <c r="D602" s="123"/>
      <c r="E602" s="123"/>
      <c r="F602" s="123"/>
      <c r="G602" s="123"/>
      <c r="H602" s="123"/>
      <c r="I602" s="123"/>
      <c r="J602" s="123"/>
      <c r="K602" s="123"/>
      <c r="L602" s="123"/>
      <c r="M602" s="123"/>
      <c r="N602" s="123"/>
      <c r="O602" s="123"/>
      <c r="Q602" s="123"/>
      <c r="R602" s="123"/>
      <c r="S602" s="123"/>
      <c r="T602" s="123"/>
      <c r="U602" s="123"/>
      <c r="V602" s="123"/>
      <c r="W602" s="123"/>
      <c r="X602" s="123"/>
      <c r="Y602" s="123"/>
      <c r="Z602" s="123"/>
      <c r="AA602" s="123"/>
    </row>
    <row r="603">
      <c r="B603" s="160"/>
      <c r="C603" s="160"/>
      <c r="D603" s="123"/>
      <c r="E603" s="123"/>
      <c r="F603" s="123"/>
      <c r="G603" s="123"/>
      <c r="H603" s="123"/>
      <c r="I603" s="123"/>
      <c r="J603" s="123"/>
      <c r="K603" s="123"/>
      <c r="L603" s="123"/>
      <c r="M603" s="123"/>
      <c r="N603" s="123"/>
      <c r="O603" s="123"/>
      <c r="Q603" s="123"/>
      <c r="R603" s="123"/>
      <c r="S603" s="123"/>
      <c r="T603" s="123"/>
      <c r="U603" s="123"/>
      <c r="V603" s="123"/>
      <c r="W603" s="123"/>
      <c r="X603" s="123"/>
      <c r="Y603" s="123"/>
      <c r="Z603" s="123"/>
      <c r="AA603" s="123"/>
    </row>
    <row r="604">
      <c r="B604" s="160"/>
      <c r="C604" s="160"/>
      <c r="D604" s="123"/>
      <c r="E604" s="123"/>
      <c r="F604" s="123"/>
      <c r="G604" s="123"/>
      <c r="H604" s="123"/>
      <c r="I604" s="123"/>
      <c r="J604" s="123"/>
      <c r="K604" s="123"/>
      <c r="L604" s="123"/>
      <c r="M604" s="123"/>
      <c r="N604" s="123"/>
      <c r="O604" s="123"/>
      <c r="Q604" s="123"/>
      <c r="R604" s="123"/>
      <c r="S604" s="123"/>
      <c r="T604" s="123"/>
      <c r="U604" s="123"/>
      <c r="V604" s="123"/>
      <c r="W604" s="123"/>
      <c r="X604" s="123"/>
      <c r="Y604" s="123"/>
      <c r="Z604" s="123"/>
      <c r="AA604" s="123"/>
    </row>
    <row r="605">
      <c r="B605" s="160"/>
      <c r="C605" s="160"/>
      <c r="D605" s="123"/>
      <c r="E605" s="123"/>
      <c r="F605" s="123"/>
      <c r="G605" s="123"/>
      <c r="H605" s="123"/>
      <c r="I605" s="123"/>
      <c r="J605" s="123"/>
      <c r="K605" s="123"/>
      <c r="L605" s="123"/>
      <c r="M605" s="123"/>
      <c r="N605" s="123"/>
      <c r="O605" s="123"/>
      <c r="Q605" s="123"/>
      <c r="R605" s="123"/>
      <c r="S605" s="123"/>
      <c r="T605" s="123"/>
      <c r="U605" s="123"/>
      <c r="V605" s="123"/>
      <c r="W605" s="123"/>
      <c r="X605" s="123"/>
      <c r="Y605" s="123"/>
      <c r="Z605" s="123"/>
      <c r="AA605" s="123"/>
    </row>
    <row r="606">
      <c r="B606" s="160"/>
      <c r="C606" s="160"/>
      <c r="D606" s="123"/>
      <c r="E606" s="123"/>
      <c r="F606" s="123"/>
      <c r="G606" s="123"/>
      <c r="H606" s="123"/>
      <c r="I606" s="123"/>
      <c r="J606" s="123"/>
      <c r="K606" s="123"/>
      <c r="L606" s="123"/>
      <c r="M606" s="123"/>
      <c r="N606" s="123"/>
      <c r="O606" s="123"/>
      <c r="Q606" s="123"/>
      <c r="R606" s="123"/>
      <c r="S606" s="123"/>
      <c r="T606" s="123"/>
      <c r="U606" s="123"/>
      <c r="V606" s="123"/>
      <c r="W606" s="123"/>
      <c r="X606" s="123"/>
      <c r="Y606" s="123"/>
      <c r="Z606" s="123"/>
      <c r="AA606" s="123"/>
    </row>
    <row r="607">
      <c r="B607" s="160"/>
      <c r="C607" s="160"/>
      <c r="D607" s="123"/>
      <c r="E607" s="123"/>
      <c r="F607" s="123"/>
      <c r="G607" s="123"/>
      <c r="H607" s="123"/>
      <c r="I607" s="123"/>
      <c r="J607" s="123"/>
      <c r="K607" s="123"/>
      <c r="L607" s="123"/>
      <c r="M607" s="123"/>
      <c r="N607" s="123"/>
      <c r="O607" s="123"/>
      <c r="Q607" s="123"/>
      <c r="R607" s="123"/>
      <c r="S607" s="123"/>
      <c r="T607" s="123"/>
      <c r="U607" s="123"/>
      <c r="V607" s="123"/>
      <c r="W607" s="123"/>
      <c r="X607" s="123"/>
      <c r="Y607" s="123"/>
      <c r="Z607" s="123"/>
      <c r="AA607" s="123"/>
    </row>
    <row r="608">
      <c r="B608" s="160"/>
      <c r="C608" s="160"/>
      <c r="D608" s="123"/>
      <c r="E608" s="123"/>
      <c r="F608" s="123"/>
      <c r="G608" s="123"/>
      <c r="H608" s="123"/>
      <c r="I608" s="123"/>
      <c r="J608" s="123"/>
      <c r="K608" s="123"/>
      <c r="L608" s="123"/>
      <c r="M608" s="123"/>
      <c r="N608" s="123"/>
      <c r="O608" s="123"/>
      <c r="Q608" s="123"/>
      <c r="R608" s="123"/>
      <c r="S608" s="123"/>
      <c r="T608" s="123"/>
      <c r="U608" s="123"/>
      <c r="V608" s="123"/>
      <c r="W608" s="123"/>
      <c r="X608" s="123"/>
      <c r="Y608" s="123"/>
      <c r="Z608" s="123"/>
      <c r="AA608" s="123"/>
    </row>
    <row r="609">
      <c r="B609" s="160"/>
      <c r="C609" s="160"/>
      <c r="D609" s="123"/>
      <c r="E609" s="123"/>
      <c r="F609" s="123"/>
      <c r="G609" s="123"/>
      <c r="H609" s="123"/>
      <c r="I609" s="123"/>
      <c r="J609" s="123"/>
      <c r="K609" s="123"/>
      <c r="L609" s="123"/>
      <c r="M609" s="123"/>
      <c r="N609" s="123"/>
      <c r="O609" s="123"/>
      <c r="Q609" s="123"/>
      <c r="R609" s="123"/>
      <c r="S609" s="123"/>
      <c r="T609" s="123"/>
      <c r="U609" s="123"/>
      <c r="V609" s="123"/>
      <c r="W609" s="123"/>
      <c r="X609" s="123"/>
      <c r="Y609" s="123"/>
      <c r="Z609" s="123"/>
      <c r="AA609" s="123"/>
    </row>
    <row r="610">
      <c r="B610" s="160"/>
      <c r="C610" s="160"/>
      <c r="D610" s="123"/>
      <c r="E610" s="123"/>
      <c r="F610" s="123"/>
      <c r="G610" s="123"/>
      <c r="H610" s="123"/>
      <c r="I610" s="123"/>
      <c r="J610" s="123"/>
      <c r="K610" s="123"/>
      <c r="L610" s="123"/>
      <c r="M610" s="123"/>
      <c r="N610" s="123"/>
      <c r="O610" s="123"/>
      <c r="Q610" s="123"/>
      <c r="R610" s="123"/>
      <c r="S610" s="123"/>
      <c r="T610" s="123"/>
      <c r="U610" s="123"/>
      <c r="V610" s="123"/>
      <c r="W610" s="123"/>
      <c r="X610" s="123"/>
      <c r="Y610" s="123"/>
      <c r="Z610" s="123"/>
      <c r="AA610" s="123"/>
    </row>
    <row r="611">
      <c r="B611" s="160"/>
      <c r="C611" s="160"/>
      <c r="D611" s="123"/>
      <c r="E611" s="123"/>
      <c r="F611" s="123"/>
      <c r="G611" s="123"/>
      <c r="H611" s="123"/>
      <c r="I611" s="123"/>
      <c r="J611" s="123"/>
      <c r="K611" s="123"/>
      <c r="L611" s="123"/>
      <c r="M611" s="123"/>
      <c r="N611" s="123"/>
      <c r="O611" s="123"/>
      <c r="Q611" s="123"/>
      <c r="R611" s="123"/>
      <c r="S611" s="123"/>
      <c r="T611" s="123"/>
      <c r="U611" s="123"/>
      <c r="V611" s="123"/>
      <c r="W611" s="123"/>
      <c r="X611" s="123"/>
      <c r="Y611" s="123"/>
      <c r="Z611" s="123"/>
      <c r="AA611" s="123"/>
    </row>
    <row r="612">
      <c r="B612" s="160"/>
      <c r="C612" s="160"/>
      <c r="D612" s="123"/>
      <c r="E612" s="123"/>
      <c r="F612" s="123"/>
      <c r="G612" s="123"/>
      <c r="H612" s="123"/>
      <c r="I612" s="123"/>
      <c r="J612" s="123"/>
      <c r="K612" s="123"/>
      <c r="L612" s="123"/>
      <c r="M612" s="123"/>
      <c r="N612" s="123"/>
      <c r="O612" s="123"/>
      <c r="Q612" s="123"/>
      <c r="R612" s="123"/>
      <c r="S612" s="123"/>
      <c r="T612" s="123"/>
      <c r="U612" s="123"/>
      <c r="V612" s="123"/>
      <c r="W612" s="123"/>
      <c r="X612" s="123"/>
      <c r="Y612" s="123"/>
      <c r="Z612" s="123"/>
      <c r="AA612" s="123"/>
    </row>
    <row r="613">
      <c r="B613" s="160"/>
      <c r="C613" s="160"/>
      <c r="D613" s="123"/>
      <c r="E613" s="123"/>
      <c r="F613" s="123"/>
      <c r="G613" s="123"/>
      <c r="H613" s="123"/>
      <c r="I613" s="123"/>
      <c r="J613" s="123"/>
      <c r="K613" s="123"/>
      <c r="L613" s="123"/>
      <c r="M613" s="123"/>
      <c r="N613" s="123"/>
      <c r="O613" s="123"/>
      <c r="Q613" s="123"/>
      <c r="R613" s="123"/>
      <c r="S613" s="123"/>
      <c r="T613" s="123"/>
      <c r="U613" s="123"/>
      <c r="V613" s="123"/>
      <c r="W613" s="123"/>
      <c r="X613" s="123"/>
      <c r="Y613" s="123"/>
      <c r="Z613" s="123"/>
      <c r="AA613" s="123"/>
    </row>
    <row r="614">
      <c r="B614" s="160"/>
      <c r="C614" s="160"/>
      <c r="D614" s="123"/>
      <c r="E614" s="123"/>
      <c r="F614" s="123"/>
      <c r="G614" s="123"/>
      <c r="H614" s="123"/>
      <c r="I614" s="123"/>
      <c r="J614" s="123"/>
      <c r="K614" s="123"/>
      <c r="L614" s="123"/>
      <c r="M614" s="123"/>
      <c r="N614" s="123"/>
      <c r="O614" s="123"/>
      <c r="Q614" s="123"/>
      <c r="R614" s="123"/>
      <c r="S614" s="123"/>
      <c r="T614" s="123"/>
      <c r="U614" s="123"/>
      <c r="V614" s="123"/>
      <c r="W614" s="123"/>
      <c r="X614" s="123"/>
      <c r="Y614" s="123"/>
      <c r="Z614" s="123"/>
      <c r="AA614" s="123"/>
    </row>
    <row r="615">
      <c r="B615" s="160"/>
      <c r="C615" s="160"/>
      <c r="D615" s="123"/>
      <c r="E615" s="123"/>
      <c r="F615" s="123"/>
      <c r="G615" s="123"/>
      <c r="H615" s="123"/>
      <c r="I615" s="123"/>
      <c r="J615" s="123"/>
      <c r="K615" s="123"/>
      <c r="L615" s="123"/>
      <c r="M615" s="123"/>
      <c r="N615" s="123"/>
      <c r="O615" s="123"/>
      <c r="Q615" s="123"/>
      <c r="R615" s="123"/>
      <c r="S615" s="123"/>
      <c r="T615" s="123"/>
      <c r="U615" s="123"/>
      <c r="V615" s="123"/>
      <c r="W615" s="123"/>
      <c r="X615" s="123"/>
      <c r="Y615" s="123"/>
      <c r="Z615" s="123"/>
      <c r="AA615" s="123"/>
    </row>
    <row r="616">
      <c r="B616" s="160"/>
      <c r="C616" s="160"/>
      <c r="D616" s="123"/>
      <c r="E616" s="123"/>
      <c r="F616" s="123"/>
      <c r="G616" s="123"/>
      <c r="H616" s="123"/>
      <c r="I616" s="123"/>
      <c r="J616" s="123"/>
      <c r="K616" s="123"/>
      <c r="L616" s="123"/>
      <c r="M616" s="123"/>
      <c r="N616" s="123"/>
      <c r="O616" s="123"/>
      <c r="Q616" s="123"/>
      <c r="R616" s="123"/>
      <c r="S616" s="123"/>
      <c r="T616" s="123"/>
      <c r="U616" s="123"/>
      <c r="V616" s="123"/>
      <c r="W616" s="123"/>
      <c r="X616" s="123"/>
      <c r="Y616" s="123"/>
      <c r="Z616" s="123"/>
      <c r="AA616" s="123"/>
    </row>
    <row r="617">
      <c r="B617" s="160"/>
      <c r="C617" s="160"/>
      <c r="D617" s="123"/>
      <c r="E617" s="123"/>
      <c r="F617" s="123"/>
      <c r="G617" s="123"/>
      <c r="H617" s="123"/>
      <c r="I617" s="123"/>
      <c r="J617" s="123"/>
      <c r="K617" s="123"/>
      <c r="L617" s="123"/>
      <c r="M617" s="123"/>
      <c r="N617" s="123"/>
      <c r="O617" s="123"/>
      <c r="Q617" s="123"/>
      <c r="R617" s="123"/>
      <c r="S617" s="123"/>
      <c r="T617" s="123"/>
      <c r="U617" s="123"/>
      <c r="V617" s="123"/>
      <c r="W617" s="123"/>
      <c r="X617" s="123"/>
      <c r="Y617" s="123"/>
      <c r="Z617" s="123"/>
      <c r="AA617" s="123"/>
    </row>
    <row r="618">
      <c r="B618" s="160"/>
      <c r="C618" s="160"/>
      <c r="D618" s="123"/>
      <c r="E618" s="123"/>
      <c r="F618" s="123"/>
      <c r="G618" s="123"/>
      <c r="H618" s="123"/>
      <c r="I618" s="123"/>
      <c r="J618" s="123"/>
      <c r="K618" s="123"/>
      <c r="L618" s="123"/>
      <c r="M618" s="123"/>
      <c r="N618" s="123"/>
      <c r="O618" s="123"/>
      <c r="Q618" s="123"/>
      <c r="R618" s="123"/>
      <c r="S618" s="123"/>
      <c r="T618" s="123"/>
      <c r="U618" s="123"/>
      <c r="V618" s="123"/>
      <c r="W618" s="123"/>
      <c r="X618" s="123"/>
      <c r="Y618" s="123"/>
      <c r="Z618" s="123"/>
      <c r="AA618" s="123"/>
    </row>
    <row r="619">
      <c r="B619" s="160"/>
      <c r="C619" s="160"/>
      <c r="D619" s="123"/>
      <c r="E619" s="123"/>
      <c r="F619" s="123"/>
      <c r="G619" s="123"/>
      <c r="H619" s="123"/>
      <c r="I619" s="123"/>
      <c r="J619" s="123"/>
      <c r="K619" s="123"/>
      <c r="L619" s="123"/>
      <c r="M619" s="123"/>
      <c r="N619" s="123"/>
      <c r="O619" s="123"/>
      <c r="Q619" s="123"/>
      <c r="R619" s="123"/>
      <c r="S619" s="123"/>
      <c r="T619" s="123"/>
      <c r="U619" s="123"/>
      <c r="V619" s="123"/>
      <c r="W619" s="123"/>
      <c r="X619" s="123"/>
      <c r="Y619" s="123"/>
      <c r="Z619" s="123"/>
      <c r="AA619" s="123"/>
    </row>
    <row r="620">
      <c r="B620" s="160"/>
      <c r="C620" s="160"/>
      <c r="D620" s="123"/>
      <c r="E620" s="123"/>
      <c r="F620" s="123"/>
      <c r="G620" s="123"/>
      <c r="H620" s="123"/>
      <c r="I620" s="123"/>
      <c r="J620" s="123"/>
      <c r="K620" s="123"/>
      <c r="L620" s="123"/>
      <c r="M620" s="123"/>
      <c r="N620" s="123"/>
      <c r="O620" s="123"/>
      <c r="Q620" s="123"/>
      <c r="R620" s="123"/>
      <c r="S620" s="123"/>
      <c r="T620" s="123"/>
      <c r="U620" s="123"/>
      <c r="V620" s="123"/>
      <c r="W620" s="123"/>
      <c r="X620" s="123"/>
      <c r="Y620" s="123"/>
      <c r="Z620" s="123"/>
      <c r="AA620" s="123"/>
    </row>
    <row r="621">
      <c r="B621" s="160"/>
      <c r="C621" s="160"/>
      <c r="D621" s="123"/>
      <c r="E621" s="123"/>
      <c r="F621" s="123"/>
      <c r="G621" s="123"/>
      <c r="H621" s="123"/>
      <c r="I621" s="123"/>
      <c r="J621" s="123"/>
      <c r="K621" s="123"/>
      <c r="L621" s="123"/>
      <c r="M621" s="123"/>
      <c r="N621" s="123"/>
      <c r="O621" s="123"/>
      <c r="Q621" s="123"/>
      <c r="R621" s="123"/>
      <c r="S621" s="123"/>
      <c r="T621" s="123"/>
      <c r="U621" s="123"/>
      <c r="V621" s="123"/>
      <c r="W621" s="123"/>
      <c r="X621" s="123"/>
      <c r="Y621" s="123"/>
      <c r="Z621" s="123"/>
      <c r="AA621" s="123"/>
    </row>
    <row r="622">
      <c r="B622" s="160"/>
      <c r="C622" s="160"/>
      <c r="D622" s="123"/>
      <c r="E622" s="123"/>
      <c r="F622" s="123"/>
      <c r="G622" s="123"/>
      <c r="H622" s="123"/>
      <c r="I622" s="123"/>
      <c r="J622" s="123"/>
      <c r="K622" s="123"/>
      <c r="L622" s="123"/>
      <c r="M622" s="123"/>
      <c r="N622" s="123"/>
      <c r="O622" s="123"/>
      <c r="Q622" s="123"/>
      <c r="R622" s="123"/>
      <c r="S622" s="123"/>
      <c r="T622" s="123"/>
      <c r="U622" s="123"/>
      <c r="V622" s="123"/>
      <c r="W622" s="123"/>
      <c r="X622" s="123"/>
      <c r="Y622" s="123"/>
      <c r="Z622" s="123"/>
      <c r="AA622" s="123"/>
    </row>
    <row r="623">
      <c r="B623" s="160"/>
      <c r="C623" s="160"/>
      <c r="D623" s="123"/>
      <c r="E623" s="123"/>
      <c r="F623" s="123"/>
      <c r="G623" s="123"/>
      <c r="H623" s="123"/>
      <c r="I623" s="123"/>
      <c r="J623" s="123"/>
      <c r="K623" s="123"/>
      <c r="L623" s="123"/>
      <c r="M623" s="123"/>
      <c r="N623" s="123"/>
      <c r="O623" s="123"/>
      <c r="Q623" s="123"/>
      <c r="R623" s="123"/>
      <c r="S623" s="123"/>
      <c r="T623" s="123"/>
      <c r="U623" s="123"/>
      <c r="V623" s="123"/>
      <c r="W623" s="123"/>
      <c r="X623" s="123"/>
      <c r="Y623" s="123"/>
      <c r="Z623" s="123"/>
      <c r="AA623" s="123"/>
    </row>
    <row r="624">
      <c r="B624" s="160"/>
      <c r="C624" s="160"/>
      <c r="D624" s="123"/>
      <c r="E624" s="123"/>
      <c r="F624" s="123"/>
      <c r="G624" s="123"/>
      <c r="H624" s="123"/>
      <c r="I624" s="123"/>
      <c r="J624" s="123"/>
      <c r="K624" s="123"/>
      <c r="L624" s="123"/>
      <c r="M624" s="123"/>
      <c r="N624" s="123"/>
      <c r="O624" s="123"/>
      <c r="Q624" s="123"/>
      <c r="R624" s="123"/>
      <c r="S624" s="123"/>
      <c r="T624" s="123"/>
      <c r="U624" s="123"/>
      <c r="V624" s="123"/>
      <c r="W624" s="123"/>
      <c r="X624" s="123"/>
      <c r="Y624" s="123"/>
      <c r="Z624" s="123"/>
      <c r="AA624" s="123"/>
    </row>
    <row r="625">
      <c r="B625" s="160"/>
      <c r="C625" s="160"/>
      <c r="D625" s="123"/>
      <c r="E625" s="123"/>
      <c r="F625" s="123"/>
      <c r="G625" s="123"/>
      <c r="H625" s="123"/>
      <c r="I625" s="123"/>
      <c r="J625" s="123"/>
      <c r="K625" s="123"/>
      <c r="L625" s="123"/>
      <c r="M625" s="123"/>
      <c r="N625" s="123"/>
      <c r="O625" s="123"/>
      <c r="Q625" s="123"/>
      <c r="R625" s="123"/>
      <c r="S625" s="123"/>
      <c r="T625" s="123"/>
      <c r="U625" s="123"/>
      <c r="V625" s="123"/>
      <c r="W625" s="123"/>
      <c r="X625" s="123"/>
      <c r="Y625" s="123"/>
      <c r="Z625" s="123"/>
      <c r="AA625" s="123"/>
    </row>
    <row r="626">
      <c r="B626" s="160"/>
      <c r="C626" s="160"/>
      <c r="D626" s="123"/>
      <c r="E626" s="123"/>
      <c r="F626" s="123"/>
      <c r="G626" s="123"/>
      <c r="H626" s="123"/>
      <c r="I626" s="123"/>
      <c r="J626" s="123"/>
      <c r="K626" s="123"/>
      <c r="L626" s="123"/>
      <c r="M626" s="123"/>
      <c r="N626" s="123"/>
      <c r="O626" s="123"/>
      <c r="Q626" s="123"/>
      <c r="R626" s="123"/>
      <c r="S626" s="123"/>
      <c r="T626" s="123"/>
      <c r="U626" s="123"/>
      <c r="V626" s="123"/>
      <c r="W626" s="123"/>
      <c r="X626" s="123"/>
      <c r="Y626" s="123"/>
      <c r="Z626" s="123"/>
      <c r="AA626" s="123"/>
    </row>
    <row r="627">
      <c r="B627" s="160"/>
      <c r="C627" s="160"/>
      <c r="D627" s="123"/>
      <c r="E627" s="123"/>
      <c r="F627" s="123"/>
      <c r="G627" s="123"/>
      <c r="H627" s="123"/>
      <c r="I627" s="123"/>
      <c r="J627" s="123"/>
      <c r="K627" s="123"/>
      <c r="L627" s="123"/>
      <c r="M627" s="123"/>
      <c r="N627" s="123"/>
      <c r="O627" s="123"/>
      <c r="Q627" s="123"/>
      <c r="R627" s="123"/>
      <c r="S627" s="123"/>
      <c r="T627" s="123"/>
      <c r="U627" s="123"/>
      <c r="V627" s="123"/>
      <c r="W627" s="123"/>
      <c r="X627" s="123"/>
      <c r="Y627" s="123"/>
      <c r="Z627" s="123"/>
      <c r="AA627" s="123"/>
    </row>
    <row r="628">
      <c r="B628" s="160"/>
      <c r="C628" s="160"/>
      <c r="D628" s="123"/>
      <c r="E628" s="123"/>
      <c r="F628" s="123"/>
      <c r="G628" s="123"/>
      <c r="H628" s="123"/>
      <c r="I628" s="123"/>
      <c r="J628" s="123"/>
      <c r="K628" s="123"/>
      <c r="L628" s="123"/>
      <c r="M628" s="123"/>
      <c r="N628" s="123"/>
      <c r="O628" s="123"/>
      <c r="Q628" s="123"/>
      <c r="R628" s="123"/>
      <c r="S628" s="123"/>
      <c r="T628" s="123"/>
      <c r="U628" s="123"/>
      <c r="V628" s="123"/>
      <c r="W628" s="123"/>
      <c r="X628" s="123"/>
      <c r="Y628" s="123"/>
      <c r="Z628" s="123"/>
      <c r="AA628" s="123"/>
    </row>
    <row r="629">
      <c r="B629" s="160"/>
      <c r="C629" s="160"/>
      <c r="D629" s="123"/>
      <c r="E629" s="123"/>
      <c r="F629" s="123"/>
      <c r="G629" s="123"/>
      <c r="H629" s="123"/>
      <c r="I629" s="123"/>
      <c r="J629" s="123"/>
      <c r="K629" s="123"/>
      <c r="L629" s="123"/>
      <c r="M629" s="123"/>
      <c r="N629" s="123"/>
      <c r="O629" s="123"/>
      <c r="Q629" s="123"/>
      <c r="R629" s="123"/>
      <c r="S629" s="123"/>
      <c r="T629" s="123"/>
      <c r="U629" s="123"/>
      <c r="V629" s="123"/>
      <c r="W629" s="123"/>
      <c r="X629" s="123"/>
      <c r="Y629" s="123"/>
      <c r="Z629" s="123"/>
      <c r="AA629" s="123"/>
    </row>
    <row r="630">
      <c r="B630" s="160"/>
      <c r="C630" s="160"/>
      <c r="D630" s="123"/>
      <c r="E630" s="123"/>
      <c r="F630" s="123"/>
      <c r="G630" s="123"/>
      <c r="H630" s="123"/>
      <c r="I630" s="123"/>
      <c r="J630" s="123"/>
      <c r="K630" s="123"/>
      <c r="L630" s="123"/>
      <c r="M630" s="123"/>
      <c r="N630" s="123"/>
      <c r="O630" s="123"/>
      <c r="Q630" s="123"/>
      <c r="R630" s="123"/>
      <c r="S630" s="123"/>
      <c r="T630" s="123"/>
      <c r="U630" s="123"/>
      <c r="V630" s="123"/>
      <c r="W630" s="123"/>
      <c r="X630" s="123"/>
      <c r="Y630" s="123"/>
      <c r="Z630" s="123"/>
      <c r="AA630" s="123"/>
    </row>
    <row r="631">
      <c r="B631" s="160"/>
      <c r="C631" s="160"/>
      <c r="D631" s="123"/>
      <c r="E631" s="123"/>
      <c r="F631" s="123"/>
      <c r="G631" s="123"/>
      <c r="H631" s="123"/>
      <c r="I631" s="123"/>
      <c r="J631" s="123"/>
      <c r="K631" s="123"/>
      <c r="L631" s="123"/>
      <c r="M631" s="123"/>
      <c r="N631" s="123"/>
      <c r="O631" s="123"/>
      <c r="Q631" s="123"/>
      <c r="R631" s="123"/>
      <c r="S631" s="123"/>
      <c r="T631" s="123"/>
      <c r="U631" s="123"/>
      <c r="V631" s="123"/>
      <c r="W631" s="123"/>
      <c r="X631" s="123"/>
      <c r="Y631" s="123"/>
      <c r="Z631" s="123"/>
      <c r="AA631" s="123"/>
    </row>
    <row r="632">
      <c r="B632" s="160"/>
      <c r="C632" s="160"/>
      <c r="D632" s="123"/>
      <c r="E632" s="123"/>
      <c r="F632" s="123"/>
      <c r="G632" s="123"/>
      <c r="H632" s="123"/>
      <c r="I632" s="123"/>
      <c r="J632" s="123"/>
      <c r="K632" s="123"/>
      <c r="L632" s="123"/>
      <c r="M632" s="123"/>
      <c r="N632" s="123"/>
      <c r="O632" s="123"/>
      <c r="Q632" s="123"/>
      <c r="R632" s="123"/>
      <c r="S632" s="123"/>
      <c r="T632" s="123"/>
      <c r="U632" s="123"/>
      <c r="V632" s="123"/>
      <c r="W632" s="123"/>
      <c r="X632" s="123"/>
      <c r="Y632" s="123"/>
      <c r="Z632" s="123"/>
      <c r="AA632" s="123"/>
    </row>
    <row r="633">
      <c r="B633" s="160"/>
      <c r="C633" s="160"/>
      <c r="D633" s="123"/>
      <c r="E633" s="123"/>
      <c r="F633" s="123"/>
      <c r="G633" s="123"/>
      <c r="H633" s="123"/>
      <c r="I633" s="123"/>
      <c r="J633" s="123"/>
      <c r="K633" s="123"/>
      <c r="L633" s="123"/>
      <c r="M633" s="123"/>
      <c r="N633" s="123"/>
      <c r="O633" s="123"/>
      <c r="Q633" s="123"/>
      <c r="R633" s="123"/>
      <c r="S633" s="123"/>
      <c r="T633" s="123"/>
      <c r="U633" s="123"/>
      <c r="V633" s="123"/>
      <c r="W633" s="123"/>
      <c r="X633" s="123"/>
      <c r="Y633" s="123"/>
      <c r="Z633" s="123"/>
      <c r="AA633" s="123"/>
    </row>
    <row r="634">
      <c r="B634" s="160"/>
      <c r="C634" s="160"/>
      <c r="D634" s="123"/>
      <c r="E634" s="123"/>
      <c r="F634" s="123"/>
      <c r="G634" s="123"/>
      <c r="H634" s="123"/>
      <c r="I634" s="123"/>
      <c r="J634" s="123"/>
      <c r="K634" s="123"/>
      <c r="L634" s="123"/>
      <c r="M634" s="123"/>
      <c r="N634" s="123"/>
      <c r="O634" s="123"/>
      <c r="Q634" s="123"/>
      <c r="R634" s="123"/>
      <c r="S634" s="123"/>
      <c r="T634" s="123"/>
      <c r="U634" s="123"/>
      <c r="V634" s="123"/>
      <c r="W634" s="123"/>
      <c r="X634" s="123"/>
      <c r="Y634" s="123"/>
      <c r="Z634" s="123"/>
      <c r="AA634" s="123"/>
    </row>
    <row r="635">
      <c r="B635" s="160"/>
      <c r="C635" s="160"/>
      <c r="D635" s="123"/>
      <c r="E635" s="123"/>
      <c r="F635" s="123"/>
      <c r="G635" s="123"/>
      <c r="H635" s="123"/>
      <c r="I635" s="123"/>
      <c r="J635" s="123"/>
      <c r="K635" s="123"/>
      <c r="L635" s="123"/>
      <c r="M635" s="123"/>
      <c r="N635" s="123"/>
      <c r="O635" s="123"/>
      <c r="Q635" s="123"/>
      <c r="R635" s="123"/>
      <c r="S635" s="123"/>
      <c r="T635" s="123"/>
      <c r="U635" s="123"/>
      <c r="V635" s="123"/>
      <c r="W635" s="123"/>
      <c r="X635" s="123"/>
      <c r="Y635" s="123"/>
      <c r="Z635" s="123"/>
      <c r="AA635" s="123"/>
    </row>
    <row r="636">
      <c r="B636" s="160"/>
      <c r="C636" s="160"/>
      <c r="D636" s="123"/>
      <c r="E636" s="123"/>
      <c r="F636" s="123"/>
      <c r="G636" s="123"/>
      <c r="H636" s="123"/>
      <c r="I636" s="123"/>
      <c r="J636" s="123"/>
      <c r="K636" s="123"/>
      <c r="L636" s="123"/>
      <c r="M636" s="123"/>
      <c r="N636" s="123"/>
      <c r="O636" s="123"/>
      <c r="Q636" s="123"/>
      <c r="R636" s="123"/>
      <c r="S636" s="123"/>
      <c r="T636" s="123"/>
      <c r="U636" s="123"/>
      <c r="V636" s="123"/>
      <c r="W636" s="123"/>
      <c r="X636" s="123"/>
      <c r="Y636" s="123"/>
      <c r="Z636" s="123"/>
      <c r="AA636" s="123"/>
    </row>
    <row r="637">
      <c r="B637" s="160"/>
      <c r="C637" s="160"/>
      <c r="D637" s="123"/>
      <c r="E637" s="123"/>
      <c r="F637" s="123"/>
      <c r="G637" s="123"/>
      <c r="H637" s="123"/>
      <c r="I637" s="123"/>
      <c r="J637" s="123"/>
      <c r="K637" s="123"/>
      <c r="L637" s="123"/>
      <c r="M637" s="123"/>
      <c r="N637" s="123"/>
      <c r="O637" s="123"/>
      <c r="Q637" s="123"/>
      <c r="R637" s="123"/>
      <c r="S637" s="123"/>
      <c r="T637" s="123"/>
      <c r="U637" s="123"/>
      <c r="V637" s="123"/>
      <c r="W637" s="123"/>
      <c r="X637" s="123"/>
      <c r="Y637" s="123"/>
      <c r="Z637" s="123"/>
      <c r="AA637" s="123"/>
    </row>
    <row r="638">
      <c r="B638" s="160"/>
      <c r="C638" s="160"/>
      <c r="D638" s="123"/>
      <c r="E638" s="123"/>
      <c r="F638" s="123"/>
      <c r="G638" s="123"/>
      <c r="H638" s="123"/>
      <c r="I638" s="123"/>
      <c r="J638" s="123"/>
      <c r="K638" s="123"/>
      <c r="L638" s="123"/>
      <c r="M638" s="123"/>
      <c r="N638" s="123"/>
      <c r="O638" s="123"/>
      <c r="Q638" s="123"/>
      <c r="R638" s="123"/>
      <c r="S638" s="123"/>
      <c r="T638" s="123"/>
      <c r="U638" s="123"/>
      <c r="V638" s="123"/>
      <c r="W638" s="123"/>
      <c r="X638" s="123"/>
      <c r="Y638" s="123"/>
      <c r="Z638" s="123"/>
      <c r="AA638" s="123"/>
    </row>
    <row r="639">
      <c r="B639" s="160"/>
      <c r="C639" s="160"/>
      <c r="D639" s="123"/>
      <c r="E639" s="123"/>
      <c r="F639" s="123"/>
      <c r="G639" s="123"/>
      <c r="H639" s="123"/>
      <c r="I639" s="123"/>
      <c r="J639" s="123"/>
      <c r="K639" s="123"/>
      <c r="L639" s="123"/>
      <c r="M639" s="123"/>
      <c r="N639" s="123"/>
      <c r="O639" s="123"/>
      <c r="Q639" s="123"/>
      <c r="R639" s="123"/>
      <c r="S639" s="123"/>
      <c r="T639" s="123"/>
      <c r="U639" s="123"/>
      <c r="V639" s="123"/>
      <c r="W639" s="123"/>
      <c r="X639" s="123"/>
      <c r="Y639" s="123"/>
      <c r="Z639" s="123"/>
      <c r="AA639" s="123"/>
    </row>
    <row r="640">
      <c r="B640" s="160"/>
      <c r="C640" s="160"/>
      <c r="D640" s="123"/>
      <c r="E640" s="123"/>
      <c r="F640" s="123"/>
      <c r="G640" s="123"/>
      <c r="H640" s="123"/>
      <c r="I640" s="123"/>
      <c r="J640" s="123"/>
      <c r="K640" s="123"/>
      <c r="L640" s="123"/>
      <c r="M640" s="123"/>
      <c r="N640" s="123"/>
      <c r="O640" s="123"/>
      <c r="Q640" s="123"/>
      <c r="R640" s="123"/>
      <c r="S640" s="123"/>
      <c r="T640" s="123"/>
      <c r="U640" s="123"/>
      <c r="V640" s="123"/>
      <c r="W640" s="123"/>
      <c r="X640" s="123"/>
      <c r="Y640" s="123"/>
      <c r="Z640" s="123"/>
      <c r="AA640" s="123"/>
    </row>
    <row r="641">
      <c r="B641" s="160"/>
      <c r="C641" s="160"/>
      <c r="D641" s="123"/>
      <c r="E641" s="123"/>
      <c r="F641" s="123"/>
      <c r="G641" s="123"/>
      <c r="H641" s="123"/>
      <c r="I641" s="123"/>
      <c r="J641" s="123"/>
      <c r="K641" s="123"/>
      <c r="L641" s="123"/>
      <c r="M641" s="123"/>
      <c r="N641" s="123"/>
      <c r="O641" s="123"/>
      <c r="Q641" s="123"/>
      <c r="R641" s="123"/>
      <c r="S641" s="123"/>
      <c r="T641" s="123"/>
      <c r="U641" s="123"/>
      <c r="V641" s="123"/>
      <c r="W641" s="123"/>
      <c r="X641" s="123"/>
      <c r="Y641" s="123"/>
      <c r="Z641" s="123"/>
      <c r="AA641" s="123"/>
    </row>
    <row r="642">
      <c r="B642" s="160"/>
      <c r="C642" s="160"/>
      <c r="D642" s="123"/>
      <c r="E642" s="123"/>
      <c r="F642" s="123"/>
      <c r="G642" s="123"/>
      <c r="H642" s="123"/>
      <c r="I642" s="123"/>
      <c r="J642" s="123"/>
      <c r="K642" s="123"/>
      <c r="L642" s="123"/>
      <c r="M642" s="123"/>
      <c r="N642" s="123"/>
      <c r="O642" s="123"/>
      <c r="Q642" s="123"/>
      <c r="R642" s="123"/>
      <c r="S642" s="123"/>
      <c r="T642" s="123"/>
      <c r="U642" s="123"/>
      <c r="V642" s="123"/>
      <c r="W642" s="123"/>
      <c r="X642" s="123"/>
      <c r="Y642" s="123"/>
      <c r="Z642" s="123"/>
      <c r="AA642" s="123"/>
    </row>
    <row r="643">
      <c r="B643" s="160"/>
      <c r="C643" s="160"/>
      <c r="D643" s="123"/>
      <c r="E643" s="123"/>
      <c r="F643" s="123"/>
      <c r="G643" s="123"/>
      <c r="H643" s="123"/>
      <c r="I643" s="123"/>
      <c r="J643" s="123"/>
      <c r="K643" s="123"/>
      <c r="L643" s="123"/>
      <c r="M643" s="123"/>
      <c r="N643" s="123"/>
      <c r="O643" s="123"/>
      <c r="Q643" s="123"/>
      <c r="R643" s="123"/>
      <c r="S643" s="123"/>
      <c r="T643" s="123"/>
      <c r="U643" s="123"/>
      <c r="V643" s="123"/>
      <c r="W643" s="123"/>
      <c r="X643" s="123"/>
      <c r="Y643" s="123"/>
      <c r="Z643" s="123"/>
      <c r="AA643" s="123"/>
    </row>
    <row r="644">
      <c r="B644" s="160"/>
      <c r="C644" s="160"/>
      <c r="D644" s="123"/>
      <c r="E644" s="123"/>
      <c r="F644" s="123"/>
      <c r="G644" s="123"/>
      <c r="H644" s="123"/>
      <c r="I644" s="123"/>
      <c r="J644" s="123"/>
      <c r="K644" s="123"/>
      <c r="L644" s="123"/>
      <c r="M644" s="123"/>
      <c r="N644" s="123"/>
      <c r="O644" s="123"/>
      <c r="Q644" s="123"/>
      <c r="R644" s="123"/>
      <c r="S644" s="123"/>
      <c r="T644" s="123"/>
      <c r="U644" s="123"/>
      <c r="V644" s="123"/>
      <c r="W644" s="123"/>
      <c r="X644" s="123"/>
      <c r="Y644" s="123"/>
      <c r="Z644" s="123"/>
      <c r="AA644" s="123"/>
    </row>
    <row r="645">
      <c r="B645" s="160"/>
      <c r="C645" s="160"/>
      <c r="D645" s="123"/>
      <c r="E645" s="123"/>
      <c r="F645" s="123"/>
      <c r="G645" s="123"/>
      <c r="H645" s="123"/>
      <c r="I645" s="123"/>
      <c r="J645" s="123"/>
      <c r="K645" s="123"/>
      <c r="L645" s="123"/>
      <c r="M645" s="123"/>
      <c r="N645" s="123"/>
      <c r="O645" s="123"/>
      <c r="Q645" s="123"/>
      <c r="R645" s="123"/>
      <c r="S645" s="123"/>
      <c r="T645" s="123"/>
      <c r="U645" s="123"/>
      <c r="V645" s="123"/>
      <c r="W645" s="123"/>
      <c r="X645" s="123"/>
      <c r="Y645" s="123"/>
      <c r="Z645" s="123"/>
      <c r="AA645" s="123"/>
    </row>
    <row r="646">
      <c r="B646" s="160"/>
      <c r="C646" s="160"/>
      <c r="D646" s="123"/>
      <c r="E646" s="123"/>
      <c r="F646" s="123"/>
      <c r="G646" s="123"/>
      <c r="H646" s="123"/>
      <c r="I646" s="123"/>
      <c r="J646" s="123"/>
      <c r="K646" s="123"/>
      <c r="L646" s="123"/>
      <c r="M646" s="123"/>
      <c r="N646" s="123"/>
      <c r="O646" s="123"/>
      <c r="Q646" s="123"/>
      <c r="R646" s="123"/>
      <c r="S646" s="123"/>
      <c r="T646" s="123"/>
      <c r="U646" s="123"/>
      <c r="V646" s="123"/>
      <c r="W646" s="123"/>
      <c r="X646" s="123"/>
      <c r="Y646" s="123"/>
      <c r="Z646" s="123"/>
      <c r="AA646" s="123"/>
    </row>
    <row r="647">
      <c r="B647" s="160"/>
      <c r="C647" s="160"/>
      <c r="D647" s="123"/>
      <c r="E647" s="123"/>
      <c r="F647" s="123"/>
      <c r="G647" s="123"/>
      <c r="H647" s="123"/>
      <c r="I647" s="123"/>
      <c r="J647" s="123"/>
      <c r="K647" s="123"/>
      <c r="L647" s="123"/>
      <c r="M647" s="123"/>
      <c r="N647" s="123"/>
      <c r="O647" s="123"/>
      <c r="Q647" s="123"/>
      <c r="R647" s="123"/>
      <c r="S647" s="123"/>
      <c r="T647" s="123"/>
      <c r="U647" s="123"/>
      <c r="V647" s="123"/>
      <c r="W647" s="123"/>
      <c r="X647" s="123"/>
      <c r="Y647" s="123"/>
      <c r="Z647" s="123"/>
      <c r="AA647" s="123"/>
    </row>
    <row r="648">
      <c r="B648" s="160"/>
      <c r="C648" s="160"/>
      <c r="D648" s="123"/>
      <c r="E648" s="123"/>
      <c r="F648" s="123"/>
      <c r="G648" s="123"/>
      <c r="H648" s="123"/>
      <c r="I648" s="123"/>
      <c r="J648" s="123"/>
      <c r="K648" s="123"/>
      <c r="L648" s="123"/>
      <c r="M648" s="123"/>
      <c r="N648" s="123"/>
      <c r="O648" s="123"/>
      <c r="Q648" s="123"/>
      <c r="R648" s="123"/>
      <c r="S648" s="123"/>
      <c r="T648" s="123"/>
      <c r="U648" s="123"/>
      <c r="V648" s="123"/>
      <c r="W648" s="123"/>
      <c r="X648" s="123"/>
      <c r="Y648" s="123"/>
      <c r="Z648" s="123"/>
      <c r="AA648" s="123"/>
    </row>
    <row r="649">
      <c r="B649" s="160"/>
      <c r="C649" s="160"/>
      <c r="D649" s="123"/>
      <c r="E649" s="123"/>
      <c r="F649" s="123"/>
      <c r="G649" s="123"/>
      <c r="H649" s="123"/>
      <c r="I649" s="123"/>
      <c r="J649" s="123"/>
      <c r="K649" s="123"/>
      <c r="L649" s="123"/>
      <c r="M649" s="123"/>
      <c r="N649" s="123"/>
      <c r="O649" s="123"/>
      <c r="Q649" s="123"/>
      <c r="R649" s="123"/>
      <c r="S649" s="123"/>
      <c r="T649" s="123"/>
      <c r="U649" s="123"/>
      <c r="V649" s="123"/>
      <c r="W649" s="123"/>
      <c r="X649" s="123"/>
      <c r="Y649" s="123"/>
      <c r="Z649" s="123"/>
      <c r="AA649" s="123"/>
    </row>
    <row r="650">
      <c r="B650" s="160"/>
      <c r="C650" s="160"/>
      <c r="D650" s="123"/>
      <c r="E650" s="123"/>
      <c r="F650" s="123"/>
      <c r="G650" s="123"/>
      <c r="H650" s="123"/>
      <c r="I650" s="123"/>
      <c r="J650" s="123"/>
      <c r="K650" s="123"/>
      <c r="L650" s="123"/>
      <c r="M650" s="123"/>
      <c r="N650" s="123"/>
      <c r="O650" s="123"/>
      <c r="Q650" s="123"/>
      <c r="R650" s="123"/>
      <c r="S650" s="123"/>
      <c r="T650" s="123"/>
      <c r="U650" s="123"/>
      <c r="V650" s="123"/>
      <c r="W650" s="123"/>
      <c r="X650" s="123"/>
      <c r="Y650" s="123"/>
      <c r="Z650" s="123"/>
      <c r="AA650" s="123"/>
    </row>
    <row r="651">
      <c r="B651" s="160"/>
      <c r="C651" s="160"/>
      <c r="D651" s="123"/>
      <c r="E651" s="123"/>
      <c r="F651" s="123"/>
      <c r="G651" s="123"/>
      <c r="H651" s="123"/>
      <c r="I651" s="123"/>
      <c r="J651" s="123"/>
      <c r="K651" s="123"/>
      <c r="L651" s="123"/>
      <c r="M651" s="123"/>
      <c r="N651" s="123"/>
      <c r="O651" s="123"/>
      <c r="Q651" s="123"/>
      <c r="R651" s="123"/>
      <c r="S651" s="123"/>
      <c r="T651" s="123"/>
      <c r="U651" s="123"/>
      <c r="V651" s="123"/>
      <c r="W651" s="123"/>
      <c r="X651" s="123"/>
      <c r="Y651" s="123"/>
      <c r="Z651" s="123"/>
      <c r="AA651" s="123"/>
    </row>
    <row r="652">
      <c r="B652" s="160"/>
      <c r="C652" s="160"/>
      <c r="D652" s="123"/>
      <c r="E652" s="123"/>
      <c r="F652" s="123"/>
      <c r="G652" s="123"/>
      <c r="H652" s="123"/>
      <c r="I652" s="123"/>
      <c r="J652" s="123"/>
      <c r="K652" s="123"/>
      <c r="L652" s="123"/>
      <c r="M652" s="123"/>
      <c r="N652" s="123"/>
      <c r="O652" s="123"/>
      <c r="Q652" s="123"/>
      <c r="R652" s="123"/>
      <c r="S652" s="123"/>
      <c r="T652" s="123"/>
      <c r="U652" s="123"/>
      <c r="V652" s="123"/>
      <c r="W652" s="123"/>
      <c r="X652" s="123"/>
      <c r="Y652" s="123"/>
      <c r="Z652" s="123"/>
      <c r="AA652" s="123"/>
    </row>
    <row r="653">
      <c r="B653" s="160"/>
      <c r="C653" s="160"/>
      <c r="D653" s="123"/>
      <c r="E653" s="123"/>
      <c r="F653" s="123"/>
      <c r="G653" s="123"/>
      <c r="H653" s="123"/>
      <c r="I653" s="123"/>
      <c r="J653" s="123"/>
      <c r="K653" s="123"/>
      <c r="L653" s="123"/>
      <c r="M653" s="123"/>
      <c r="N653" s="123"/>
      <c r="O653" s="123"/>
      <c r="Q653" s="123"/>
      <c r="R653" s="123"/>
      <c r="S653" s="123"/>
      <c r="T653" s="123"/>
      <c r="U653" s="123"/>
      <c r="V653" s="123"/>
      <c r="W653" s="123"/>
      <c r="X653" s="123"/>
      <c r="Y653" s="123"/>
      <c r="Z653" s="123"/>
      <c r="AA653" s="123"/>
    </row>
    <row r="654">
      <c r="B654" s="160"/>
      <c r="C654" s="160"/>
      <c r="D654" s="123"/>
      <c r="E654" s="123"/>
      <c r="F654" s="123"/>
      <c r="G654" s="123"/>
      <c r="H654" s="123"/>
      <c r="I654" s="123"/>
      <c r="J654" s="123"/>
      <c r="K654" s="123"/>
      <c r="L654" s="123"/>
      <c r="M654" s="123"/>
      <c r="N654" s="123"/>
      <c r="O654" s="123"/>
      <c r="Q654" s="123"/>
      <c r="R654" s="123"/>
      <c r="S654" s="123"/>
      <c r="T654" s="123"/>
      <c r="U654" s="123"/>
      <c r="V654" s="123"/>
      <c r="W654" s="123"/>
      <c r="X654" s="123"/>
      <c r="Y654" s="123"/>
      <c r="Z654" s="123"/>
      <c r="AA654" s="123"/>
    </row>
    <row r="655">
      <c r="B655" s="160"/>
      <c r="C655" s="160"/>
      <c r="D655" s="123"/>
      <c r="E655" s="123"/>
      <c r="F655" s="123"/>
      <c r="G655" s="123"/>
      <c r="H655" s="123"/>
      <c r="I655" s="123"/>
      <c r="J655" s="123"/>
      <c r="K655" s="123"/>
      <c r="L655" s="123"/>
      <c r="M655" s="123"/>
      <c r="N655" s="123"/>
      <c r="O655" s="123"/>
      <c r="Q655" s="123"/>
      <c r="R655" s="123"/>
      <c r="S655" s="123"/>
      <c r="T655" s="123"/>
      <c r="U655" s="123"/>
      <c r="V655" s="123"/>
      <c r="W655" s="123"/>
      <c r="X655" s="123"/>
      <c r="Y655" s="123"/>
      <c r="Z655" s="123"/>
      <c r="AA655" s="123"/>
    </row>
    <row r="656">
      <c r="B656" s="160"/>
      <c r="C656" s="160"/>
      <c r="D656" s="123"/>
      <c r="E656" s="123"/>
      <c r="F656" s="123"/>
      <c r="G656" s="123"/>
      <c r="H656" s="123"/>
      <c r="I656" s="123"/>
      <c r="J656" s="123"/>
      <c r="K656" s="123"/>
      <c r="L656" s="123"/>
      <c r="M656" s="123"/>
      <c r="N656" s="123"/>
      <c r="O656" s="123"/>
      <c r="Q656" s="123"/>
      <c r="R656" s="123"/>
      <c r="S656" s="123"/>
      <c r="T656" s="123"/>
      <c r="U656" s="123"/>
      <c r="V656" s="123"/>
      <c r="W656" s="123"/>
      <c r="X656" s="123"/>
      <c r="Y656" s="123"/>
      <c r="Z656" s="123"/>
      <c r="AA656" s="123"/>
    </row>
    <row r="657">
      <c r="B657" s="160"/>
      <c r="C657" s="160"/>
      <c r="D657" s="123"/>
      <c r="E657" s="123"/>
      <c r="F657" s="123"/>
      <c r="G657" s="123"/>
      <c r="H657" s="123"/>
      <c r="I657" s="123"/>
      <c r="J657" s="123"/>
      <c r="K657" s="123"/>
      <c r="L657" s="123"/>
      <c r="M657" s="123"/>
      <c r="N657" s="123"/>
      <c r="O657" s="123"/>
      <c r="Q657" s="123"/>
      <c r="R657" s="123"/>
      <c r="S657" s="123"/>
      <c r="T657" s="123"/>
      <c r="U657" s="123"/>
      <c r="V657" s="123"/>
      <c r="W657" s="123"/>
      <c r="X657" s="123"/>
      <c r="Y657" s="123"/>
      <c r="Z657" s="123"/>
      <c r="AA657" s="123"/>
    </row>
    <row r="658">
      <c r="B658" s="160"/>
      <c r="C658" s="160"/>
      <c r="D658" s="123"/>
      <c r="E658" s="123"/>
      <c r="F658" s="123"/>
      <c r="G658" s="123"/>
      <c r="H658" s="123"/>
      <c r="I658" s="123"/>
      <c r="J658" s="123"/>
      <c r="K658" s="123"/>
      <c r="L658" s="123"/>
      <c r="M658" s="123"/>
      <c r="N658" s="123"/>
      <c r="O658" s="123"/>
      <c r="Q658" s="123"/>
      <c r="R658" s="123"/>
      <c r="S658" s="123"/>
      <c r="T658" s="123"/>
      <c r="U658" s="123"/>
      <c r="V658" s="123"/>
      <c r="W658" s="123"/>
      <c r="X658" s="123"/>
      <c r="Y658" s="123"/>
      <c r="Z658" s="123"/>
      <c r="AA658" s="123"/>
    </row>
    <row r="659">
      <c r="B659" s="160"/>
      <c r="C659" s="160"/>
      <c r="D659" s="123"/>
      <c r="E659" s="123"/>
      <c r="F659" s="123"/>
      <c r="G659" s="123"/>
      <c r="H659" s="123"/>
      <c r="I659" s="123"/>
      <c r="J659" s="123"/>
      <c r="K659" s="123"/>
      <c r="L659" s="123"/>
      <c r="M659" s="123"/>
      <c r="N659" s="123"/>
      <c r="O659" s="123"/>
      <c r="Q659" s="123"/>
      <c r="R659" s="123"/>
      <c r="S659" s="123"/>
      <c r="T659" s="123"/>
      <c r="U659" s="123"/>
      <c r="V659" s="123"/>
      <c r="W659" s="123"/>
      <c r="X659" s="123"/>
      <c r="Y659" s="123"/>
      <c r="Z659" s="123"/>
      <c r="AA659" s="123"/>
    </row>
    <row r="660">
      <c r="B660" s="160"/>
      <c r="C660" s="160"/>
      <c r="D660" s="123"/>
      <c r="E660" s="123"/>
      <c r="F660" s="123"/>
      <c r="G660" s="123"/>
      <c r="H660" s="123"/>
      <c r="I660" s="123"/>
      <c r="J660" s="123"/>
      <c r="K660" s="123"/>
      <c r="L660" s="123"/>
      <c r="M660" s="123"/>
      <c r="N660" s="123"/>
      <c r="O660" s="123"/>
      <c r="Q660" s="123"/>
      <c r="R660" s="123"/>
      <c r="S660" s="123"/>
      <c r="T660" s="123"/>
      <c r="U660" s="123"/>
      <c r="V660" s="123"/>
      <c r="W660" s="123"/>
      <c r="X660" s="123"/>
      <c r="Y660" s="123"/>
      <c r="Z660" s="123"/>
      <c r="AA660" s="123"/>
    </row>
    <row r="661">
      <c r="B661" s="160"/>
      <c r="C661" s="160"/>
      <c r="D661" s="123"/>
      <c r="E661" s="123"/>
      <c r="F661" s="123"/>
      <c r="G661" s="123"/>
      <c r="H661" s="123"/>
      <c r="I661" s="123"/>
      <c r="J661" s="123"/>
      <c r="K661" s="123"/>
      <c r="L661" s="123"/>
      <c r="M661" s="123"/>
      <c r="N661" s="123"/>
      <c r="O661" s="123"/>
      <c r="Q661" s="123"/>
      <c r="R661" s="123"/>
      <c r="S661" s="123"/>
      <c r="T661" s="123"/>
      <c r="U661" s="123"/>
      <c r="V661" s="123"/>
      <c r="W661" s="123"/>
      <c r="X661" s="123"/>
      <c r="Y661" s="123"/>
      <c r="Z661" s="123"/>
      <c r="AA661" s="123"/>
    </row>
    <row r="662">
      <c r="B662" s="160"/>
      <c r="C662" s="160"/>
      <c r="D662" s="123"/>
      <c r="E662" s="123"/>
      <c r="F662" s="123"/>
      <c r="G662" s="123"/>
      <c r="H662" s="123"/>
      <c r="I662" s="123"/>
      <c r="J662" s="123"/>
      <c r="K662" s="123"/>
      <c r="L662" s="123"/>
      <c r="M662" s="123"/>
      <c r="N662" s="123"/>
      <c r="O662" s="123"/>
      <c r="Q662" s="123"/>
      <c r="R662" s="123"/>
      <c r="S662" s="123"/>
      <c r="T662" s="123"/>
      <c r="U662" s="123"/>
      <c r="V662" s="123"/>
      <c r="W662" s="123"/>
      <c r="X662" s="123"/>
      <c r="Y662" s="123"/>
      <c r="Z662" s="123"/>
      <c r="AA662" s="123"/>
    </row>
    <row r="663">
      <c r="B663" s="160"/>
      <c r="C663" s="160"/>
      <c r="D663" s="123"/>
      <c r="E663" s="123"/>
      <c r="F663" s="123"/>
      <c r="G663" s="123"/>
      <c r="H663" s="123"/>
      <c r="I663" s="123"/>
      <c r="J663" s="123"/>
      <c r="K663" s="123"/>
      <c r="L663" s="123"/>
      <c r="M663" s="123"/>
      <c r="N663" s="123"/>
      <c r="O663" s="123"/>
      <c r="Q663" s="123"/>
      <c r="R663" s="123"/>
      <c r="S663" s="123"/>
      <c r="T663" s="123"/>
      <c r="U663" s="123"/>
      <c r="V663" s="123"/>
      <c r="W663" s="123"/>
      <c r="X663" s="123"/>
      <c r="Y663" s="123"/>
      <c r="Z663" s="123"/>
      <c r="AA663" s="123"/>
    </row>
    <row r="664">
      <c r="B664" s="160"/>
      <c r="C664" s="160"/>
      <c r="D664" s="123"/>
      <c r="E664" s="123"/>
      <c r="F664" s="123"/>
      <c r="G664" s="123"/>
      <c r="H664" s="123"/>
      <c r="I664" s="123"/>
      <c r="J664" s="123"/>
      <c r="K664" s="123"/>
      <c r="L664" s="123"/>
      <c r="M664" s="123"/>
      <c r="N664" s="123"/>
      <c r="O664" s="123"/>
      <c r="Q664" s="123"/>
      <c r="R664" s="123"/>
      <c r="S664" s="123"/>
      <c r="T664" s="123"/>
      <c r="U664" s="123"/>
      <c r="V664" s="123"/>
      <c r="W664" s="123"/>
      <c r="X664" s="123"/>
      <c r="Y664" s="123"/>
      <c r="Z664" s="123"/>
      <c r="AA664" s="123"/>
    </row>
    <row r="665">
      <c r="B665" s="160"/>
      <c r="C665" s="160"/>
      <c r="D665" s="123"/>
      <c r="E665" s="123"/>
      <c r="F665" s="123"/>
      <c r="G665" s="123"/>
      <c r="H665" s="123"/>
      <c r="I665" s="123"/>
      <c r="J665" s="123"/>
      <c r="K665" s="123"/>
      <c r="L665" s="123"/>
      <c r="M665" s="123"/>
      <c r="N665" s="123"/>
      <c r="O665" s="123"/>
      <c r="Q665" s="123"/>
      <c r="R665" s="123"/>
      <c r="S665" s="123"/>
      <c r="T665" s="123"/>
      <c r="U665" s="123"/>
      <c r="V665" s="123"/>
      <c r="W665" s="123"/>
      <c r="X665" s="123"/>
      <c r="Y665" s="123"/>
      <c r="Z665" s="123"/>
      <c r="AA665" s="123"/>
    </row>
    <row r="666">
      <c r="B666" s="160"/>
      <c r="C666" s="160"/>
      <c r="D666" s="123"/>
      <c r="E666" s="123"/>
      <c r="F666" s="123"/>
      <c r="G666" s="123"/>
      <c r="H666" s="123"/>
      <c r="I666" s="123"/>
      <c r="J666" s="123"/>
      <c r="K666" s="123"/>
      <c r="L666" s="123"/>
      <c r="M666" s="123"/>
      <c r="N666" s="123"/>
      <c r="O666" s="123"/>
      <c r="Q666" s="123"/>
      <c r="R666" s="123"/>
      <c r="S666" s="123"/>
      <c r="T666" s="123"/>
      <c r="U666" s="123"/>
      <c r="V666" s="123"/>
      <c r="W666" s="123"/>
      <c r="X666" s="123"/>
      <c r="Y666" s="123"/>
      <c r="Z666" s="123"/>
      <c r="AA666" s="123"/>
    </row>
    <row r="667">
      <c r="B667" s="160"/>
      <c r="C667" s="160"/>
      <c r="D667" s="123"/>
      <c r="E667" s="123"/>
      <c r="F667" s="123"/>
      <c r="G667" s="123"/>
      <c r="H667" s="123"/>
      <c r="I667" s="123"/>
      <c r="J667" s="123"/>
      <c r="K667" s="123"/>
      <c r="L667" s="123"/>
      <c r="M667" s="123"/>
      <c r="N667" s="123"/>
      <c r="O667" s="123"/>
      <c r="Q667" s="123"/>
      <c r="R667" s="123"/>
      <c r="S667" s="123"/>
      <c r="T667" s="123"/>
      <c r="U667" s="123"/>
      <c r="V667" s="123"/>
      <c r="W667" s="123"/>
      <c r="X667" s="123"/>
      <c r="Y667" s="123"/>
      <c r="Z667" s="123"/>
      <c r="AA667" s="123"/>
    </row>
    <row r="668">
      <c r="B668" s="160"/>
      <c r="C668" s="160"/>
      <c r="D668" s="123"/>
      <c r="E668" s="123"/>
      <c r="F668" s="123"/>
      <c r="G668" s="123"/>
      <c r="H668" s="123"/>
      <c r="I668" s="123"/>
      <c r="J668" s="123"/>
      <c r="K668" s="123"/>
      <c r="L668" s="123"/>
      <c r="M668" s="123"/>
      <c r="N668" s="123"/>
      <c r="O668" s="123"/>
      <c r="Q668" s="123"/>
      <c r="R668" s="123"/>
      <c r="S668" s="123"/>
      <c r="T668" s="123"/>
      <c r="U668" s="123"/>
      <c r="V668" s="123"/>
      <c r="W668" s="123"/>
      <c r="X668" s="123"/>
      <c r="Y668" s="123"/>
      <c r="Z668" s="123"/>
      <c r="AA668" s="123"/>
    </row>
    <row r="669">
      <c r="B669" s="160"/>
      <c r="C669" s="160"/>
      <c r="D669" s="123"/>
      <c r="E669" s="123"/>
      <c r="F669" s="123"/>
      <c r="G669" s="123"/>
      <c r="H669" s="123"/>
      <c r="I669" s="123"/>
      <c r="J669" s="123"/>
      <c r="K669" s="123"/>
      <c r="L669" s="123"/>
      <c r="M669" s="123"/>
      <c r="N669" s="123"/>
      <c r="O669" s="123"/>
      <c r="Q669" s="123"/>
      <c r="R669" s="123"/>
      <c r="S669" s="123"/>
      <c r="T669" s="123"/>
      <c r="U669" s="123"/>
      <c r="V669" s="123"/>
      <c r="W669" s="123"/>
      <c r="X669" s="123"/>
      <c r="Y669" s="123"/>
      <c r="Z669" s="123"/>
      <c r="AA669" s="123"/>
    </row>
    <row r="670">
      <c r="B670" s="160"/>
      <c r="C670" s="160"/>
      <c r="D670" s="123"/>
      <c r="E670" s="123"/>
      <c r="F670" s="123"/>
      <c r="G670" s="123"/>
      <c r="H670" s="123"/>
      <c r="I670" s="123"/>
      <c r="J670" s="123"/>
      <c r="K670" s="123"/>
      <c r="L670" s="123"/>
      <c r="M670" s="123"/>
      <c r="N670" s="123"/>
      <c r="O670" s="123"/>
      <c r="Q670" s="123"/>
      <c r="R670" s="123"/>
      <c r="S670" s="123"/>
      <c r="T670" s="123"/>
      <c r="U670" s="123"/>
      <c r="V670" s="123"/>
      <c r="W670" s="123"/>
      <c r="X670" s="123"/>
      <c r="Y670" s="123"/>
      <c r="Z670" s="123"/>
      <c r="AA670" s="123"/>
    </row>
    <row r="671">
      <c r="B671" s="160"/>
      <c r="C671" s="160"/>
      <c r="D671" s="123"/>
      <c r="E671" s="123"/>
      <c r="F671" s="123"/>
      <c r="G671" s="123"/>
      <c r="H671" s="123"/>
      <c r="I671" s="123"/>
      <c r="J671" s="123"/>
      <c r="K671" s="123"/>
      <c r="L671" s="123"/>
      <c r="M671" s="123"/>
      <c r="N671" s="123"/>
      <c r="O671" s="123"/>
      <c r="Q671" s="123"/>
      <c r="R671" s="123"/>
      <c r="S671" s="123"/>
      <c r="T671" s="123"/>
      <c r="U671" s="123"/>
      <c r="V671" s="123"/>
      <c r="W671" s="123"/>
      <c r="X671" s="123"/>
      <c r="Y671" s="123"/>
      <c r="Z671" s="123"/>
      <c r="AA671" s="123"/>
    </row>
    <row r="672">
      <c r="B672" s="160"/>
      <c r="C672" s="160"/>
      <c r="D672" s="123"/>
      <c r="E672" s="123"/>
      <c r="F672" s="123"/>
      <c r="G672" s="123"/>
      <c r="H672" s="123"/>
      <c r="I672" s="123"/>
      <c r="J672" s="123"/>
      <c r="K672" s="123"/>
      <c r="L672" s="123"/>
      <c r="M672" s="123"/>
      <c r="N672" s="123"/>
      <c r="O672" s="123"/>
      <c r="Q672" s="123"/>
      <c r="R672" s="123"/>
      <c r="S672" s="123"/>
      <c r="T672" s="123"/>
      <c r="U672" s="123"/>
      <c r="V672" s="123"/>
      <c r="W672" s="123"/>
      <c r="X672" s="123"/>
      <c r="Y672" s="123"/>
      <c r="Z672" s="123"/>
      <c r="AA672" s="123"/>
    </row>
    <row r="673">
      <c r="B673" s="160"/>
      <c r="C673" s="160"/>
      <c r="D673" s="123"/>
      <c r="E673" s="123"/>
      <c r="F673" s="123"/>
      <c r="G673" s="123"/>
      <c r="H673" s="123"/>
      <c r="I673" s="123"/>
      <c r="J673" s="123"/>
      <c r="K673" s="123"/>
      <c r="L673" s="123"/>
      <c r="M673" s="123"/>
      <c r="N673" s="123"/>
      <c r="O673" s="123"/>
      <c r="Q673" s="123"/>
      <c r="R673" s="123"/>
      <c r="S673" s="123"/>
      <c r="T673" s="123"/>
      <c r="U673" s="123"/>
      <c r="V673" s="123"/>
      <c r="W673" s="123"/>
      <c r="X673" s="123"/>
      <c r="Y673" s="123"/>
      <c r="Z673" s="123"/>
      <c r="AA673" s="123"/>
    </row>
    <row r="674">
      <c r="B674" s="160"/>
      <c r="C674" s="160"/>
      <c r="D674" s="123"/>
      <c r="E674" s="123"/>
      <c r="F674" s="123"/>
      <c r="G674" s="123"/>
      <c r="H674" s="123"/>
      <c r="I674" s="123"/>
      <c r="J674" s="123"/>
      <c r="K674" s="123"/>
      <c r="L674" s="123"/>
      <c r="M674" s="123"/>
      <c r="N674" s="123"/>
      <c r="O674" s="123"/>
      <c r="Q674" s="123"/>
      <c r="R674" s="123"/>
      <c r="S674" s="123"/>
      <c r="T674" s="123"/>
      <c r="U674" s="123"/>
      <c r="V674" s="123"/>
      <c r="W674" s="123"/>
      <c r="X674" s="123"/>
      <c r="Y674" s="123"/>
      <c r="Z674" s="123"/>
      <c r="AA674" s="123"/>
    </row>
    <row r="675">
      <c r="B675" s="160"/>
      <c r="C675" s="160"/>
      <c r="D675" s="123"/>
      <c r="E675" s="123"/>
      <c r="F675" s="123"/>
      <c r="G675" s="123"/>
      <c r="H675" s="123"/>
      <c r="I675" s="123"/>
      <c r="J675" s="123"/>
      <c r="K675" s="123"/>
      <c r="L675" s="123"/>
      <c r="M675" s="123"/>
      <c r="N675" s="123"/>
      <c r="O675" s="123"/>
      <c r="Q675" s="123"/>
      <c r="R675" s="123"/>
      <c r="S675" s="123"/>
      <c r="T675" s="123"/>
      <c r="U675" s="123"/>
      <c r="V675" s="123"/>
      <c r="W675" s="123"/>
      <c r="X675" s="123"/>
      <c r="Y675" s="123"/>
      <c r="Z675" s="123"/>
      <c r="AA675" s="123"/>
    </row>
    <row r="676">
      <c r="B676" s="160"/>
      <c r="C676" s="160"/>
      <c r="D676" s="123"/>
      <c r="E676" s="123"/>
      <c r="F676" s="123"/>
      <c r="G676" s="123"/>
      <c r="H676" s="123"/>
      <c r="I676" s="123"/>
      <c r="J676" s="123"/>
      <c r="K676" s="123"/>
      <c r="L676" s="123"/>
      <c r="M676" s="123"/>
      <c r="N676" s="123"/>
      <c r="O676" s="123"/>
      <c r="Q676" s="123"/>
      <c r="R676" s="123"/>
      <c r="S676" s="123"/>
      <c r="T676" s="123"/>
      <c r="U676" s="123"/>
      <c r="V676" s="123"/>
      <c r="W676" s="123"/>
      <c r="X676" s="123"/>
      <c r="Y676" s="123"/>
      <c r="Z676" s="123"/>
      <c r="AA676" s="123"/>
    </row>
    <row r="677">
      <c r="B677" s="160"/>
      <c r="C677" s="160"/>
      <c r="D677" s="123"/>
      <c r="E677" s="123"/>
      <c r="F677" s="123"/>
      <c r="G677" s="123"/>
      <c r="H677" s="123"/>
      <c r="I677" s="123"/>
      <c r="J677" s="123"/>
      <c r="K677" s="123"/>
      <c r="L677" s="123"/>
      <c r="M677" s="123"/>
      <c r="N677" s="123"/>
      <c r="O677" s="123"/>
      <c r="Q677" s="123"/>
      <c r="R677" s="123"/>
      <c r="S677" s="123"/>
      <c r="T677" s="123"/>
      <c r="U677" s="123"/>
      <c r="V677" s="123"/>
      <c r="W677" s="123"/>
      <c r="X677" s="123"/>
      <c r="Y677" s="123"/>
      <c r="Z677" s="123"/>
      <c r="AA677" s="123"/>
    </row>
    <row r="678">
      <c r="B678" s="160"/>
      <c r="C678" s="160"/>
      <c r="D678" s="123"/>
      <c r="E678" s="123"/>
      <c r="F678" s="123"/>
      <c r="G678" s="123"/>
      <c r="H678" s="123"/>
      <c r="I678" s="123"/>
      <c r="J678" s="123"/>
      <c r="K678" s="123"/>
      <c r="L678" s="123"/>
      <c r="M678" s="123"/>
      <c r="N678" s="123"/>
      <c r="O678" s="123"/>
      <c r="Q678" s="123"/>
      <c r="R678" s="123"/>
      <c r="S678" s="123"/>
      <c r="T678" s="123"/>
      <c r="U678" s="123"/>
      <c r="V678" s="123"/>
      <c r="W678" s="123"/>
      <c r="X678" s="123"/>
      <c r="Y678" s="123"/>
      <c r="Z678" s="123"/>
      <c r="AA678" s="123"/>
    </row>
    <row r="679">
      <c r="B679" s="160"/>
      <c r="C679" s="160"/>
      <c r="D679" s="123"/>
      <c r="E679" s="123"/>
      <c r="F679" s="123"/>
      <c r="G679" s="123"/>
      <c r="H679" s="123"/>
      <c r="I679" s="123"/>
      <c r="J679" s="123"/>
      <c r="K679" s="123"/>
      <c r="L679" s="123"/>
      <c r="M679" s="123"/>
      <c r="N679" s="123"/>
      <c r="O679" s="123"/>
      <c r="Q679" s="123"/>
      <c r="R679" s="123"/>
      <c r="S679" s="123"/>
      <c r="T679" s="123"/>
      <c r="U679" s="123"/>
      <c r="V679" s="123"/>
      <c r="W679" s="123"/>
      <c r="X679" s="123"/>
      <c r="Y679" s="123"/>
      <c r="Z679" s="123"/>
      <c r="AA679" s="123"/>
    </row>
    <row r="680">
      <c r="B680" s="160"/>
      <c r="C680" s="160"/>
      <c r="D680" s="123"/>
      <c r="E680" s="123"/>
      <c r="F680" s="123"/>
      <c r="G680" s="123"/>
      <c r="H680" s="123"/>
      <c r="I680" s="123"/>
      <c r="J680" s="123"/>
      <c r="K680" s="123"/>
      <c r="L680" s="123"/>
      <c r="M680" s="123"/>
      <c r="N680" s="123"/>
      <c r="O680" s="123"/>
      <c r="Q680" s="123"/>
      <c r="R680" s="123"/>
      <c r="S680" s="123"/>
      <c r="T680" s="123"/>
      <c r="U680" s="123"/>
      <c r="V680" s="123"/>
      <c r="W680" s="123"/>
      <c r="X680" s="123"/>
      <c r="Y680" s="123"/>
      <c r="Z680" s="123"/>
      <c r="AA680" s="123"/>
    </row>
    <row r="681">
      <c r="B681" s="160"/>
      <c r="C681" s="160"/>
      <c r="D681" s="123"/>
      <c r="E681" s="123"/>
      <c r="F681" s="123"/>
      <c r="G681" s="123"/>
      <c r="H681" s="123"/>
      <c r="I681" s="123"/>
      <c r="J681" s="123"/>
      <c r="K681" s="123"/>
      <c r="L681" s="123"/>
      <c r="M681" s="123"/>
      <c r="N681" s="123"/>
      <c r="O681" s="123"/>
      <c r="Q681" s="123"/>
      <c r="R681" s="123"/>
      <c r="S681" s="123"/>
      <c r="T681" s="123"/>
      <c r="U681" s="123"/>
      <c r="V681" s="123"/>
      <c r="W681" s="123"/>
      <c r="X681" s="123"/>
      <c r="Y681" s="123"/>
      <c r="Z681" s="123"/>
      <c r="AA681" s="123"/>
    </row>
    <row r="682">
      <c r="B682" s="160"/>
      <c r="C682" s="160"/>
      <c r="D682" s="123"/>
      <c r="E682" s="123"/>
      <c r="F682" s="123"/>
      <c r="G682" s="123"/>
      <c r="H682" s="123"/>
      <c r="I682" s="123"/>
      <c r="J682" s="123"/>
      <c r="K682" s="123"/>
      <c r="L682" s="123"/>
      <c r="M682" s="123"/>
      <c r="N682" s="123"/>
      <c r="O682" s="123"/>
      <c r="Q682" s="123"/>
      <c r="R682" s="123"/>
      <c r="S682" s="123"/>
      <c r="T682" s="123"/>
      <c r="U682" s="123"/>
      <c r="V682" s="123"/>
      <c r="W682" s="123"/>
      <c r="X682" s="123"/>
      <c r="Y682" s="123"/>
      <c r="Z682" s="123"/>
      <c r="AA682" s="123"/>
    </row>
    <row r="683">
      <c r="B683" s="160"/>
      <c r="C683" s="160"/>
      <c r="D683" s="123"/>
      <c r="E683" s="123"/>
      <c r="F683" s="123"/>
      <c r="G683" s="123"/>
      <c r="H683" s="123"/>
      <c r="I683" s="123"/>
      <c r="J683" s="123"/>
      <c r="K683" s="123"/>
      <c r="L683" s="123"/>
      <c r="M683" s="123"/>
      <c r="N683" s="123"/>
      <c r="O683" s="123"/>
      <c r="Q683" s="123"/>
      <c r="R683" s="123"/>
      <c r="S683" s="123"/>
      <c r="T683" s="123"/>
      <c r="U683" s="123"/>
      <c r="V683" s="123"/>
      <c r="W683" s="123"/>
      <c r="X683" s="123"/>
      <c r="Y683" s="123"/>
      <c r="Z683" s="123"/>
      <c r="AA683" s="123"/>
    </row>
    <row r="684">
      <c r="B684" s="160"/>
      <c r="C684" s="160"/>
      <c r="D684" s="123"/>
      <c r="E684" s="123"/>
      <c r="F684" s="123"/>
      <c r="G684" s="123"/>
      <c r="H684" s="123"/>
      <c r="I684" s="123"/>
      <c r="J684" s="123"/>
      <c r="K684" s="123"/>
      <c r="L684" s="123"/>
      <c r="M684" s="123"/>
      <c r="N684" s="123"/>
      <c r="O684" s="123"/>
      <c r="Q684" s="123"/>
      <c r="R684" s="123"/>
      <c r="S684" s="123"/>
      <c r="T684" s="123"/>
      <c r="U684" s="123"/>
      <c r="V684" s="123"/>
      <c r="W684" s="123"/>
      <c r="X684" s="123"/>
      <c r="Y684" s="123"/>
      <c r="Z684" s="123"/>
      <c r="AA684" s="123"/>
    </row>
    <row r="685">
      <c r="B685" s="160"/>
      <c r="C685" s="160"/>
      <c r="D685" s="123"/>
      <c r="E685" s="123"/>
      <c r="F685" s="123"/>
      <c r="G685" s="123"/>
      <c r="H685" s="123"/>
      <c r="I685" s="123"/>
      <c r="J685" s="123"/>
      <c r="K685" s="123"/>
      <c r="L685" s="123"/>
      <c r="M685" s="123"/>
      <c r="N685" s="123"/>
      <c r="O685" s="123"/>
      <c r="Q685" s="123"/>
      <c r="R685" s="123"/>
      <c r="S685" s="123"/>
      <c r="T685" s="123"/>
      <c r="U685" s="123"/>
      <c r="V685" s="123"/>
      <c r="W685" s="123"/>
      <c r="X685" s="123"/>
      <c r="Y685" s="123"/>
      <c r="Z685" s="123"/>
      <c r="AA685" s="123"/>
    </row>
    <row r="686">
      <c r="B686" s="160"/>
      <c r="C686" s="160"/>
      <c r="D686" s="123"/>
      <c r="E686" s="123"/>
      <c r="F686" s="123"/>
      <c r="G686" s="123"/>
      <c r="H686" s="123"/>
      <c r="I686" s="123"/>
      <c r="J686" s="123"/>
      <c r="K686" s="123"/>
      <c r="L686" s="123"/>
      <c r="M686" s="123"/>
      <c r="N686" s="123"/>
      <c r="O686" s="123"/>
      <c r="Q686" s="123"/>
      <c r="R686" s="123"/>
      <c r="S686" s="123"/>
      <c r="T686" s="123"/>
      <c r="U686" s="123"/>
      <c r="V686" s="123"/>
      <c r="W686" s="123"/>
      <c r="X686" s="123"/>
      <c r="Y686" s="123"/>
      <c r="Z686" s="123"/>
      <c r="AA686" s="123"/>
    </row>
    <row r="687">
      <c r="B687" s="160"/>
      <c r="C687" s="160"/>
      <c r="D687" s="123"/>
      <c r="E687" s="123"/>
      <c r="F687" s="123"/>
      <c r="G687" s="123"/>
      <c r="H687" s="123"/>
      <c r="I687" s="123"/>
      <c r="J687" s="123"/>
      <c r="K687" s="123"/>
      <c r="L687" s="123"/>
      <c r="M687" s="123"/>
      <c r="N687" s="123"/>
      <c r="O687" s="123"/>
      <c r="Q687" s="123"/>
      <c r="R687" s="123"/>
      <c r="S687" s="123"/>
      <c r="T687" s="123"/>
      <c r="U687" s="123"/>
      <c r="V687" s="123"/>
      <c r="W687" s="123"/>
      <c r="X687" s="123"/>
      <c r="Y687" s="123"/>
      <c r="Z687" s="123"/>
      <c r="AA687" s="123"/>
    </row>
    <row r="688">
      <c r="B688" s="160"/>
      <c r="C688" s="160"/>
      <c r="D688" s="123"/>
      <c r="E688" s="123"/>
      <c r="F688" s="123"/>
      <c r="G688" s="123"/>
      <c r="H688" s="123"/>
      <c r="I688" s="123"/>
      <c r="J688" s="123"/>
      <c r="K688" s="123"/>
      <c r="L688" s="123"/>
      <c r="M688" s="123"/>
      <c r="N688" s="123"/>
      <c r="O688" s="123"/>
      <c r="Q688" s="123"/>
      <c r="R688" s="123"/>
      <c r="S688" s="123"/>
      <c r="T688" s="123"/>
      <c r="U688" s="123"/>
      <c r="V688" s="123"/>
      <c r="W688" s="123"/>
      <c r="X688" s="123"/>
      <c r="Y688" s="123"/>
      <c r="Z688" s="123"/>
      <c r="AA688" s="123"/>
    </row>
    <row r="689">
      <c r="B689" s="160"/>
      <c r="C689" s="160"/>
      <c r="D689" s="123"/>
      <c r="E689" s="123"/>
      <c r="F689" s="123"/>
      <c r="G689" s="123"/>
      <c r="H689" s="123"/>
      <c r="I689" s="123"/>
      <c r="J689" s="123"/>
      <c r="K689" s="123"/>
      <c r="L689" s="123"/>
      <c r="M689" s="123"/>
      <c r="N689" s="123"/>
      <c r="O689" s="123"/>
      <c r="Q689" s="123"/>
      <c r="R689" s="123"/>
      <c r="S689" s="123"/>
      <c r="T689" s="123"/>
      <c r="U689" s="123"/>
      <c r="V689" s="123"/>
      <c r="W689" s="123"/>
      <c r="X689" s="123"/>
      <c r="Y689" s="123"/>
      <c r="Z689" s="123"/>
      <c r="AA689" s="123"/>
    </row>
    <row r="690">
      <c r="B690" s="160"/>
      <c r="C690" s="160"/>
      <c r="D690" s="123"/>
      <c r="E690" s="123"/>
      <c r="F690" s="123"/>
      <c r="G690" s="123"/>
      <c r="H690" s="123"/>
      <c r="I690" s="123"/>
      <c r="J690" s="123"/>
      <c r="K690" s="123"/>
      <c r="L690" s="123"/>
      <c r="M690" s="123"/>
      <c r="N690" s="123"/>
      <c r="O690" s="123"/>
      <c r="Q690" s="123"/>
      <c r="R690" s="123"/>
      <c r="S690" s="123"/>
      <c r="T690" s="123"/>
      <c r="U690" s="123"/>
      <c r="V690" s="123"/>
      <c r="W690" s="123"/>
      <c r="X690" s="123"/>
      <c r="Y690" s="123"/>
      <c r="Z690" s="123"/>
      <c r="AA690" s="123"/>
    </row>
    <row r="691">
      <c r="B691" s="160"/>
      <c r="C691" s="160"/>
      <c r="D691" s="123"/>
      <c r="E691" s="123"/>
      <c r="F691" s="123"/>
      <c r="G691" s="123"/>
      <c r="H691" s="123"/>
      <c r="I691" s="123"/>
      <c r="J691" s="123"/>
      <c r="K691" s="123"/>
      <c r="L691" s="123"/>
      <c r="M691" s="123"/>
      <c r="N691" s="123"/>
      <c r="O691" s="123"/>
      <c r="Q691" s="123"/>
      <c r="R691" s="123"/>
      <c r="S691" s="123"/>
      <c r="T691" s="123"/>
      <c r="U691" s="123"/>
      <c r="V691" s="123"/>
      <c r="W691" s="123"/>
      <c r="X691" s="123"/>
      <c r="Y691" s="123"/>
      <c r="Z691" s="123"/>
      <c r="AA691" s="123"/>
    </row>
    <row r="692">
      <c r="B692" s="160"/>
      <c r="C692" s="160"/>
      <c r="D692" s="123"/>
      <c r="E692" s="123"/>
      <c r="F692" s="123"/>
      <c r="G692" s="123"/>
      <c r="H692" s="123"/>
      <c r="I692" s="123"/>
      <c r="J692" s="123"/>
      <c r="K692" s="123"/>
      <c r="L692" s="123"/>
      <c r="M692" s="123"/>
      <c r="N692" s="123"/>
      <c r="O692" s="123"/>
      <c r="Q692" s="123"/>
      <c r="R692" s="123"/>
      <c r="S692" s="123"/>
      <c r="T692" s="123"/>
      <c r="U692" s="123"/>
      <c r="V692" s="123"/>
      <c r="W692" s="123"/>
      <c r="X692" s="123"/>
      <c r="Y692" s="123"/>
      <c r="Z692" s="123"/>
      <c r="AA692" s="123"/>
    </row>
    <row r="693">
      <c r="B693" s="160"/>
      <c r="C693" s="160"/>
      <c r="D693" s="123"/>
      <c r="E693" s="123"/>
      <c r="F693" s="123"/>
      <c r="G693" s="123"/>
      <c r="H693" s="123"/>
      <c r="I693" s="123"/>
      <c r="J693" s="123"/>
      <c r="K693" s="123"/>
      <c r="L693" s="123"/>
      <c r="M693" s="123"/>
      <c r="N693" s="123"/>
      <c r="O693" s="123"/>
      <c r="Q693" s="123"/>
      <c r="R693" s="123"/>
      <c r="S693" s="123"/>
      <c r="T693" s="123"/>
      <c r="U693" s="123"/>
      <c r="V693" s="123"/>
      <c r="W693" s="123"/>
      <c r="X693" s="123"/>
      <c r="Y693" s="123"/>
      <c r="Z693" s="123"/>
      <c r="AA693" s="123"/>
    </row>
    <row r="694">
      <c r="B694" s="160"/>
      <c r="C694" s="160"/>
      <c r="D694" s="123"/>
      <c r="E694" s="123"/>
      <c r="F694" s="123"/>
      <c r="G694" s="123"/>
      <c r="H694" s="123"/>
      <c r="I694" s="123"/>
      <c r="J694" s="123"/>
      <c r="K694" s="123"/>
      <c r="L694" s="123"/>
      <c r="M694" s="123"/>
      <c r="N694" s="123"/>
      <c r="O694" s="123"/>
      <c r="Q694" s="123"/>
      <c r="R694" s="123"/>
      <c r="S694" s="123"/>
      <c r="T694" s="123"/>
      <c r="U694" s="123"/>
      <c r="V694" s="123"/>
      <c r="W694" s="123"/>
      <c r="X694" s="123"/>
      <c r="Y694" s="123"/>
      <c r="Z694" s="123"/>
      <c r="AA694" s="123"/>
    </row>
    <row r="695">
      <c r="B695" s="160"/>
      <c r="C695" s="160"/>
      <c r="D695" s="123"/>
      <c r="E695" s="123"/>
      <c r="F695" s="123"/>
      <c r="G695" s="123"/>
      <c r="H695" s="123"/>
      <c r="I695" s="123"/>
      <c r="J695" s="123"/>
      <c r="K695" s="123"/>
      <c r="L695" s="123"/>
      <c r="M695" s="123"/>
      <c r="N695" s="123"/>
      <c r="O695" s="123"/>
      <c r="Q695" s="123"/>
      <c r="R695" s="123"/>
      <c r="S695" s="123"/>
      <c r="T695" s="123"/>
      <c r="U695" s="123"/>
      <c r="V695" s="123"/>
      <c r="W695" s="123"/>
      <c r="X695" s="123"/>
      <c r="Y695" s="123"/>
      <c r="Z695" s="123"/>
      <c r="AA695" s="123"/>
    </row>
    <row r="696">
      <c r="B696" s="160"/>
      <c r="C696" s="160"/>
      <c r="D696" s="123"/>
      <c r="E696" s="123"/>
      <c r="F696" s="123"/>
      <c r="G696" s="123"/>
      <c r="H696" s="123"/>
      <c r="I696" s="123"/>
      <c r="J696" s="123"/>
      <c r="K696" s="123"/>
      <c r="L696" s="123"/>
      <c r="M696" s="123"/>
      <c r="N696" s="123"/>
      <c r="O696" s="123"/>
      <c r="Q696" s="123"/>
      <c r="R696" s="123"/>
      <c r="S696" s="123"/>
      <c r="T696" s="123"/>
      <c r="U696" s="123"/>
      <c r="V696" s="123"/>
      <c r="W696" s="123"/>
      <c r="X696" s="123"/>
      <c r="Y696" s="123"/>
      <c r="Z696" s="123"/>
      <c r="AA696" s="123"/>
    </row>
    <row r="697">
      <c r="B697" s="160"/>
      <c r="C697" s="160"/>
      <c r="D697" s="123"/>
      <c r="E697" s="123"/>
      <c r="F697" s="123"/>
      <c r="G697" s="123"/>
      <c r="H697" s="123"/>
      <c r="I697" s="123"/>
      <c r="J697" s="123"/>
      <c r="K697" s="123"/>
      <c r="L697" s="123"/>
      <c r="M697" s="123"/>
      <c r="N697" s="123"/>
      <c r="O697" s="123"/>
      <c r="Q697" s="123"/>
      <c r="R697" s="123"/>
      <c r="S697" s="123"/>
      <c r="T697" s="123"/>
      <c r="U697" s="123"/>
      <c r="V697" s="123"/>
      <c r="W697" s="123"/>
      <c r="X697" s="123"/>
      <c r="Y697" s="123"/>
      <c r="Z697" s="123"/>
      <c r="AA697" s="123"/>
    </row>
    <row r="698">
      <c r="B698" s="160"/>
      <c r="C698" s="160"/>
      <c r="D698" s="123"/>
      <c r="E698" s="123"/>
      <c r="F698" s="123"/>
      <c r="G698" s="123"/>
      <c r="H698" s="123"/>
      <c r="I698" s="123"/>
      <c r="J698" s="123"/>
      <c r="K698" s="123"/>
      <c r="L698" s="123"/>
      <c r="M698" s="123"/>
      <c r="N698" s="123"/>
      <c r="O698" s="123"/>
      <c r="Q698" s="123"/>
      <c r="R698" s="123"/>
      <c r="S698" s="123"/>
      <c r="T698" s="123"/>
      <c r="U698" s="123"/>
      <c r="V698" s="123"/>
      <c r="W698" s="123"/>
      <c r="X698" s="123"/>
      <c r="Y698" s="123"/>
      <c r="Z698" s="123"/>
      <c r="AA698" s="123"/>
    </row>
    <row r="699">
      <c r="B699" s="160"/>
      <c r="C699" s="160"/>
      <c r="D699" s="123"/>
      <c r="E699" s="123"/>
      <c r="F699" s="123"/>
      <c r="G699" s="123"/>
      <c r="H699" s="123"/>
      <c r="I699" s="123"/>
      <c r="J699" s="123"/>
      <c r="K699" s="123"/>
      <c r="L699" s="123"/>
      <c r="M699" s="123"/>
      <c r="N699" s="123"/>
      <c r="O699" s="123"/>
      <c r="Q699" s="123"/>
      <c r="R699" s="123"/>
      <c r="S699" s="123"/>
      <c r="T699" s="123"/>
      <c r="U699" s="123"/>
      <c r="V699" s="123"/>
      <c r="W699" s="123"/>
      <c r="X699" s="123"/>
      <c r="Y699" s="123"/>
      <c r="Z699" s="123"/>
      <c r="AA699" s="123"/>
    </row>
    <row r="700">
      <c r="B700" s="160"/>
      <c r="C700" s="160"/>
      <c r="D700" s="123"/>
      <c r="E700" s="123"/>
      <c r="F700" s="123"/>
      <c r="G700" s="123"/>
      <c r="H700" s="123"/>
      <c r="I700" s="123"/>
      <c r="J700" s="123"/>
      <c r="K700" s="123"/>
      <c r="L700" s="123"/>
      <c r="M700" s="123"/>
      <c r="N700" s="123"/>
      <c r="O700" s="123"/>
      <c r="Q700" s="123"/>
      <c r="R700" s="123"/>
      <c r="S700" s="123"/>
      <c r="T700" s="123"/>
      <c r="U700" s="123"/>
      <c r="V700" s="123"/>
      <c r="W700" s="123"/>
      <c r="X700" s="123"/>
      <c r="Y700" s="123"/>
      <c r="Z700" s="123"/>
      <c r="AA700" s="123"/>
    </row>
    <row r="701">
      <c r="B701" s="160"/>
      <c r="C701" s="160"/>
      <c r="D701" s="123"/>
      <c r="E701" s="123"/>
      <c r="F701" s="123"/>
      <c r="G701" s="123"/>
      <c r="H701" s="123"/>
      <c r="I701" s="123"/>
      <c r="J701" s="123"/>
      <c r="K701" s="123"/>
      <c r="L701" s="123"/>
      <c r="M701" s="123"/>
      <c r="N701" s="123"/>
      <c r="O701" s="123"/>
      <c r="Q701" s="123"/>
      <c r="R701" s="123"/>
      <c r="S701" s="123"/>
      <c r="T701" s="123"/>
      <c r="U701" s="123"/>
      <c r="V701" s="123"/>
      <c r="W701" s="123"/>
      <c r="X701" s="123"/>
      <c r="Y701" s="123"/>
      <c r="Z701" s="123"/>
      <c r="AA701" s="123"/>
    </row>
    <row r="702">
      <c r="B702" s="160"/>
      <c r="C702" s="160"/>
      <c r="D702" s="123"/>
      <c r="E702" s="123"/>
      <c r="F702" s="123"/>
      <c r="G702" s="123"/>
      <c r="H702" s="123"/>
      <c r="I702" s="123"/>
      <c r="J702" s="123"/>
      <c r="K702" s="123"/>
      <c r="L702" s="123"/>
      <c r="M702" s="123"/>
      <c r="N702" s="123"/>
      <c r="O702" s="123"/>
      <c r="Q702" s="123"/>
      <c r="R702" s="123"/>
      <c r="S702" s="123"/>
      <c r="T702" s="123"/>
      <c r="U702" s="123"/>
      <c r="V702" s="123"/>
      <c r="W702" s="123"/>
      <c r="X702" s="123"/>
      <c r="Y702" s="123"/>
      <c r="Z702" s="123"/>
      <c r="AA702" s="123"/>
    </row>
    <row r="703">
      <c r="B703" s="160"/>
      <c r="C703" s="160"/>
      <c r="D703" s="123"/>
      <c r="E703" s="123"/>
      <c r="F703" s="123"/>
      <c r="G703" s="123"/>
      <c r="H703" s="123"/>
      <c r="I703" s="123"/>
      <c r="J703" s="123"/>
      <c r="K703" s="123"/>
      <c r="L703" s="123"/>
      <c r="M703" s="123"/>
      <c r="N703" s="123"/>
      <c r="O703" s="123"/>
      <c r="Q703" s="123"/>
      <c r="R703" s="123"/>
      <c r="S703" s="123"/>
      <c r="T703" s="123"/>
      <c r="U703" s="123"/>
      <c r="V703" s="123"/>
      <c r="W703" s="123"/>
      <c r="X703" s="123"/>
      <c r="Y703" s="123"/>
      <c r="Z703" s="123"/>
      <c r="AA703" s="123"/>
    </row>
    <row r="704">
      <c r="B704" s="160"/>
      <c r="C704" s="160"/>
      <c r="D704" s="123"/>
      <c r="E704" s="123"/>
      <c r="F704" s="123"/>
      <c r="G704" s="123"/>
      <c r="H704" s="123"/>
      <c r="I704" s="123"/>
      <c r="J704" s="123"/>
      <c r="K704" s="123"/>
      <c r="L704" s="123"/>
      <c r="M704" s="123"/>
      <c r="N704" s="123"/>
      <c r="O704" s="123"/>
      <c r="Q704" s="123"/>
      <c r="R704" s="123"/>
      <c r="S704" s="123"/>
      <c r="T704" s="123"/>
      <c r="U704" s="123"/>
      <c r="V704" s="123"/>
      <c r="W704" s="123"/>
      <c r="X704" s="123"/>
      <c r="Y704" s="123"/>
      <c r="Z704" s="123"/>
      <c r="AA704" s="123"/>
    </row>
    <row r="705">
      <c r="B705" s="160"/>
      <c r="C705" s="160"/>
      <c r="D705" s="123"/>
      <c r="E705" s="123"/>
      <c r="F705" s="123"/>
      <c r="G705" s="123"/>
      <c r="H705" s="123"/>
      <c r="I705" s="123"/>
      <c r="J705" s="123"/>
      <c r="K705" s="123"/>
      <c r="L705" s="123"/>
      <c r="M705" s="123"/>
      <c r="N705" s="123"/>
      <c r="O705" s="123"/>
      <c r="Q705" s="123"/>
      <c r="R705" s="123"/>
      <c r="S705" s="123"/>
      <c r="T705" s="123"/>
      <c r="U705" s="123"/>
      <c r="V705" s="123"/>
      <c r="W705" s="123"/>
      <c r="X705" s="123"/>
      <c r="Y705" s="123"/>
      <c r="Z705" s="123"/>
      <c r="AA705" s="123"/>
    </row>
    <row r="706">
      <c r="B706" s="160"/>
      <c r="C706" s="160"/>
      <c r="D706" s="123"/>
      <c r="E706" s="123"/>
      <c r="F706" s="123"/>
      <c r="G706" s="123"/>
      <c r="H706" s="123"/>
      <c r="I706" s="123"/>
      <c r="J706" s="123"/>
      <c r="K706" s="123"/>
      <c r="L706" s="123"/>
      <c r="M706" s="123"/>
      <c r="N706" s="123"/>
      <c r="O706" s="123"/>
      <c r="Q706" s="123"/>
      <c r="R706" s="123"/>
      <c r="S706" s="123"/>
      <c r="T706" s="123"/>
      <c r="U706" s="123"/>
      <c r="V706" s="123"/>
      <c r="W706" s="123"/>
      <c r="X706" s="123"/>
      <c r="Y706" s="123"/>
      <c r="Z706" s="123"/>
      <c r="AA706" s="123"/>
    </row>
    <row r="707">
      <c r="B707" s="160"/>
      <c r="C707" s="160"/>
      <c r="D707" s="123"/>
      <c r="E707" s="123"/>
      <c r="F707" s="123"/>
      <c r="G707" s="123"/>
      <c r="H707" s="123"/>
      <c r="I707" s="123"/>
      <c r="J707" s="123"/>
      <c r="K707" s="123"/>
      <c r="L707" s="123"/>
      <c r="M707" s="123"/>
      <c r="N707" s="123"/>
      <c r="O707" s="123"/>
      <c r="Q707" s="123"/>
      <c r="R707" s="123"/>
      <c r="S707" s="123"/>
      <c r="T707" s="123"/>
      <c r="U707" s="123"/>
      <c r="V707" s="123"/>
      <c r="W707" s="123"/>
      <c r="X707" s="123"/>
      <c r="Y707" s="123"/>
      <c r="Z707" s="123"/>
      <c r="AA707" s="123"/>
    </row>
    <row r="708">
      <c r="B708" s="160"/>
      <c r="C708" s="160"/>
      <c r="D708" s="123"/>
      <c r="E708" s="123"/>
      <c r="F708" s="123"/>
      <c r="G708" s="123"/>
      <c r="H708" s="123"/>
      <c r="I708" s="123"/>
      <c r="J708" s="123"/>
      <c r="K708" s="123"/>
      <c r="L708" s="123"/>
      <c r="M708" s="123"/>
      <c r="N708" s="123"/>
      <c r="O708" s="123"/>
      <c r="Q708" s="123"/>
      <c r="R708" s="123"/>
      <c r="S708" s="123"/>
      <c r="T708" s="123"/>
      <c r="U708" s="123"/>
      <c r="V708" s="123"/>
      <c r="W708" s="123"/>
      <c r="X708" s="123"/>
      <c r="Y708" s="123"/>
      <c r="Z708" s="123"/>
      <c r="AA708" s="123"/>
    </row>
    <row r="709">
      <c r="B709" s="160"/>
      <c r="C709" s="160"/>
      <c r="D709" s="123"/>
      <c r="E709" s="123"/>
      <c r="F709" s="123"/>
      <c r="G709" s="123"/>
      <c r="H709" s="123"/>
      <c r="I709" s="123"/>
      <c r="J709" s="123"/>
      <c r="K709" s="123"/>
      <c r="L709" s="123"/>
      <c r="M709" s="123"/>
      <c r="N709" s="123"/>
      <c r="O709" s="123"/>
      <c r="Q709" s="123"/>
      <c r="R709" s="123"/>
      <c r="S709" s="123"/>
      <c r="T709" s="123"/>
      <c r="U709" s="123"/>
      <c r="V709" s="123"/>
      <c r="W709" s="123"/>
      <c r="X709" s="123"/>
      <c r="Y709" s="123"/>
      <c r="Z709" s="123"/>
      <c r="AA709" s="123"/>
    </row>
    <row r="710">
      <c r="B710" s="160"/>
      <c r="C710" s="160"/>
      <c r="D710" s="123"/>
      <c r="E710" s="123"/>
      <c r="F710" s="123"/>
      <c r="G710" s="123"/>
      <c r="H710" s="123"/>
      <c r="I710" s="123"/>
      <c r="J710" s="123"/>
      <c r="K710" s="123"/>
      <c r="L710" s="123"/>
      <c r="M710" s="123"/>
      <c r="N710" s="123"/>
      <c r="O710" s="123"/>
      <c r="Q710" s="123"/>
      <c r="R710" s="123"/>
      <c r="S710" s="123"/>
      <c r="T710" s="123"/>
      <c r="U710" s="123"/>
      <c r="V710" s="123"/>
      <c r="W710" s="123"/>
      <c r="X710" s="123"/>
      <c r="Y710" s="123"/>
      <c r="Z710" s="123"/>
      <c r="AA710" s="123"/>
    </row>
    <row r="711">
      <c r="B711" s="160"/>
      <c r="C711" s="160"/>
      <c r="D711" s="123"/>
      <c r="E711" s="123"/>
      <c r="F711" s="123"/>
      <c r="G711" s="123"/>
      <c r="H711" s="123"/>
      <c r="I711" s="123"/>
      <c r="J711" s="123"/>
      <c r="K711" s="123"/>
      <c r="L711" s="123"/>
      <c r="M711" s="123"/>
      <c r="N711" s="123"/>
      <c r="O711" s="123"/>
      <c r="Q711" s="123"/>
      <c r="R711" s="123"/>
      <c r="S711" s="123"/>
      <c r="T711" s="123"/>
      <c r="U711" s="123"/>
      <c r="V711" s="123"/>
      <c r="W711" s="123"/>
      <c r="X711" s="123"/>
      <c r="Y711" s="123"/>
      <c r="Z711" s="123"/>
      <c r="AA711" s="123"/>
    </row>
    <row r="712">
      <c r="B712" s="160"/>
      <c r="C712" s="160"/>
      <c r="D712" s="123"/>
      <c r="E712" s="123"/>
      <c r="F712" s="123"/>
      <c r="G712" s="123"/>
      <c r="H712" s="123"/>
      <c r="I712" s="123"/>
      <c r="J712" s="123"/>
      <c r="K712" s="123"/>
      <c r="L712" s="123"/>
      <c r="M712" s="123"/>
      <c r="N712" s="123"/>
      <c r="O712" s="123"/>
      <c r="Q712" s="123"/>
      <c r="R712" s="123"/>
      <c r="S712" s="123"/>
      <c r="T712" s="123"/>
      <c r="U712" s="123"/>
      <c r="V712" s="123"/>
      <c r="W712" s="123"/>
      <c r="X712" s="123"/>
      <c r="Y712" s="123"/>
      <c r="Z712" s="123"/>
      <c r="AA712" s="123"/>
    </row>
    <row r="713">
      <c r="B713" s="160"/>
      <c r="C713" s="160"/>
      <c r="D713" s="123"/>
      <c r="E713" s="123"/>
      <c r="F713" s="123"/>
      <c r="G713" s="123"/>
      <c r="H713" s="123"/>
      <c r="I713" s="123"/>
      <c r="J713" s="123"/>
      <c r="K713" s="123"/>
      <c r="L713" s="123"/>
      <c r="M713" s="123"/>
      <c r="N713" s="123"/>
      <c r="O713" s="123"/>
      <c r="Q713" s="123"/>
      <c r="R713" s="123"/>
      <c r="S713" s="123"/>
      <c r="T713" s="123"/>
      <c r="U713" s="123"/>
      <c r="V713" s="123"/>
      <c r="W713" s="123"/>
      <c r="X713" s="123"/>
      <c r="Y713" s="123"/>
      <c r="Z713" s="123"/>
      <c r="AA713" s="123"/>
    </row>
    <row r="714">
      <c r="B714" s="160"/>
      <c r="C714" s="160"/>
      <c r="D714" s="123"/>
      <c r="E714" s="123"/>
      <c r="F714" s="123"/>
      <c r="G714" s="123"/>
      <c r="H714" s="123"/>
      <c r="I714" s="123"/>
      <c r="J714" s="123"/>
      <c r="K714" s="123"/>
      <c r="L714" s="123"/>
      <c r="M714" s="123"/>
      <c r="N714" s="123"/>
      <c r="O714" s="123"/>
      <c r="Q714" s="123"/>
      <c r="R714" s="123"/>
      <c r="S714" s="123"/>
      <c r="T714" s="123"/>
      <c r="U714" s="123"/>
      <c r="V714" s="123"/>
      <c r="W714" s="123"/>
      <c r="X714" s="123"/>
      <c r="Y714" s="123"/>
      <c r="Z714" s="123"/>
      <c r="AA714" s="123"/>
    </row>
    <row r="715">
      <c r="B715" s="160"/>
      <c r="C715" s="160"/>
      <c r="D715" s="123"/>
      <c r="E715" s="123"/>
      <c r="F715" s="123"/>
      <c r="G715" s="123"/>
      <c r="H715" s="123"/>
      <c r="I715" s="123"/>
      <c r="J715" s="123"/>
      <c r="K715" s="123"/>
      <c r="L715" s="123"/>
      <c r="M715" s="123"/>
      <c r="N715" s="123"/>
      <c r="O715" s="123"/>
      <c r="Q715" s="123"/>
      <c r="R715" s="123"/>
      <c r="S715" s="123"/>
      <c r="T715" s="123"/>
      <c r="U715" s="123"/>
      <c r="V715" s="123"/>
      <c r="W715" s="123"/>
      <c r="X715" s="123"/>
      <c r="Y715" s="123"/>
      <c r="Z715" s="123"/>
      <c r="AA715" s="123"/>
    </row>
    <row r="716">
      <c r="B716" s="160"/>
      <c r="C716" s="160"/>
      <c r="D716" s="123"/>
      <c r="E716" s="123"/>
      <c r="F716" s="123"/>
      <c r="G716" s="123"/>
      <c r="H716" s="123"/>
      <c r="I716" s="123"/>
      <c r="J716" s="123"/>
      <c r="K716" s="123"/>
      <c r="L716" s="123"/>
      <c r="M716" s="123"/>
      <c r="N716" s="123"/>
      <c r="O716" s="123"/>
      <c r="Q716" s="123"/>
      <c r="R716" s="123"/>
      <c r="S716" s="123"/>
      <c r="T716" s="123"/>
      <c r="U716" s="123"/>
      <c r="V716" s="123"/>
      <c r="W716" s="123"/>
      <c r="X716" s="123"/>
      <c r="Y716" s="123"/>
      <c r="Z716" s="123"/>
      <c r="AA716" s="123"/>
    </row>
    <row r="717">
      <c r="B717" s="160"/>
      <c r="C717" s="160"/>
      <c r="D717" s="123"/>
      <c r="E717" s="123"/>
      <c r="F717" s="123"/>
      <c r="G717" s="123"/>
      <c r="H717" s="123"/>
      <c r="I717" s="123"/>
      <c r="J717" s="123"/>
      <c r="K717" s="123"/>
      <c r="L717" s="123"/>
      <c r="M717" s="123"/>
      <c r="N717" s="123"/>
      <c r="O717" s="123"/>
      <c r="Q717" s="123"/>
      <c r="R717" s="123"/>
      <c r="S717" s="123"/>
      <c r="T717" s="123"/>
      <c r="U717" s="123"/>
      <c r="V717" s="123"/>
      <c r="W717" s="123"/>
      <c r="X717" s="123"/>
      <c r="Y717" s="123"/>
      <c r="Z717" s="123"/>
      <c r="AA717" s="123"/>
    </row>
    <row r="718">
      <c r="B718" s="160"/>
      <c r="C718" s="160"/>
      <c r="D718" s="123"/>
      <c r="E718" s="123"/>
      <c r="F718" s="123"/>
      <c r="G718" s="123"/>
      <c r="H718" s="123"/>
      <c r="I718" s="123"/>
      <c r="J718" s="123"/>
      <c r="K718" s="123"/>
      <c r="L718" s="123"/>
      <c r="M718" s="123"/>
      <c r="N718" s="123"/>
      <c r="O718" s="123"/>
      <c r="Q718" s="123"/>
      <c r="R718" s="123"/>
      <c r="S718" s="123"/>
      <c r="T718" s="123"/>
      <c r="U718" s="123"/>
      <c r="V718" s="123"/>
      <c r="W718" s="123"/>
      <c r="X718" s="123"/>
      <c r="Y718" s="123"/>
      <c r="Z718" s="123"/>
      <c r="AA718" s="123"/>
    </row>
    <row r="719">
      <c r="B719" s="160"/>
      <c r="C719" s="160"/>
      <c r="D719" s="123"/>
      <c r="E719" s="123"/>
      <c r="F719" s="123"/>
      <c r="G719" s="123"/>
      <c r="H719" s="123"/>
      <c r="I719" s="123"/>
      <c r="J719" s="123"/>
      <c r="K719" s="123"/>
      <c r="L719" s="123"/>
      <c r="M719" s="123"/>
      <c r="N719" s="123"/>
      <c r="O719" s="123"/>
      <c r="Q719" s="123"/>
      <c r="R719" s="123"/>
      <c r="S719" s="123"/>
      <c r="T719" s="123"/>
      <c r="U719" s="123"/>
      <c r="V719" s="123"/>
      <c r="W719" s="123"/>
      <c r="X719" s="123"/>
      <c r="Y719" s="123"/>
      <c r="Z719" s="123"/>
      <c r="AA719" s="123"/>
    </row>
    <row r="720">
      <c r="B720" s="160"/>
      <c r="C720" s="160"/>
      <c r="D720" s="123"/>
      <c r="E720" s="123"/>
      <c r="F720" s="123"/>
      <c r="G720" s="123"/>
      <c r="H720" s="123"/>
      <c r="I720" s="123"/>
      <c r="J720" s="123"/>
      <c r="K720" s="123"/>
      <c r="L720" s="123"/>
      <c r="M720" s="123"/>
      <c r="N720" s="123"/>
      <c r="O720" s="123"/>
      <c r="Q720" s="123"/>
      <c r="R720" s="123"/>
      <c r="S720" s="123"/>
      <c r="T720" s="123"/>
      <c r="U720" s="123"/>
      <c r="V720" s="123"/>
      <c r="W720" s="123"/>
      <c r="X720" s="123"/>
      <c r="Y720" s="123"/>
      <c r="Z720" s="123"/>
      <c r="AA720" s="123"/>
    </row>
    <row r="721">
      <c r="B721" s="160"/>
      <c r="C721" s="160"/>
      <c r="D721" s="123"/>
      <c r="E721" s="123"/>
      <c r="F721" s="123"/>
      <c r="G721" s="123"/>
      <c r="H721" s="123"/>
      <c r="I721" s="123"/>
      <c r="J721" s="123"/>
      <c r="K721" s="123"/>
      <c r="L721" s="123"/>
      <c r="M721" s="123"/>
      <c r="N721" s="123"/>
      <c r="O721" s="123"/>
      <c r="Q721" s="123"/>
      <c r="R721" s="123"/>
      <c r="S721" s="123"/>
      <c r="T721" s="123"/>
      <c r="U721" s="123"/>
      <c r="V721" s="123"/>
      <c r="W721" s="123"/>
      <c r="X721" s="123"/>
      <c r="Y721" s="123"/>
      <c r="Z721" s="123"/>
      <c r="AA721" s="123"/>
    </row>
    <row r="722">
      <c r="B722" s="160"/>
      <c r="C722" s="160"/>
      <c r="D722" s="123"/>
      <c r="E722" s="123"/>
      <c r="F722" s="123"/>
      <c r="G722" s="123"/>
      <c r="H722" s="123"/>
      <c r="I722" s="123"/>
      <c r="J722" s="123"/>
      <c r="K722" s="123"/>
      <c r="L722" s="123"/>
      <c r="M722" s="123"/>
      <c r="N722" s="123"/>
      <c r="O722" s="123"/>
      <c r="Q722" s="123"/>
      <c r="R722" s="123"/>
      <c r="S722" s="123"/>
      <c r="T722" s="123"/>
      <c r="U722" s="123"/>
      <c r="V722" s="123"/>
      <c r="W722" s="123"/>
      <c r="X722" s="123"/>
      <c r="Y722" s="123"/>
      <c r="Z722" s="123"/>
      <c r="AA722" s="123"/>
    </row>
    <row r="723">
      <c r="B723" s="160"/>
      <c r="C723" s="160"/>
      <c r="D723" s="123"/>
      <c r="E723" s="123"/>
      <c r="F723" s="123"/>
      <c r="G723" s="123"/>
      <c r="H723" s="123"/>
      <c r="I723" s="123"/>
      <c r="J723" s="123"/>
      <c r="K723" s="123"/>
      <c r="L723" s="123"/>
      <c r="M723" s="123"/>
      <c r="N723" s="123"/>
      <c r="O723" s="123"/>
      <c r="Q723" s="123"/>
      <c r="R723" s="123"/>
      <c r="S723" s="123"/>
      <c r="T723" s="123"/>
      <c r="U723" s="123"/>
      <c r="V723" s="123"/>
      <c r="W723" s="123"/>
      <c r="X723" s="123"/>
      <c r="Y723" s="123"/>
      <c r="Z723" s="123"/>
      <c r="AA723" s="123"/>
    </row>
    <row r="724">
      <c r="B724" s="160"/>
      <c r="C724" s="160"/>
      <c r="D724" s="123"/>
      <c r="E724" s="123"/>
      <c r="F724" s="123"/>
      <c r="G724" s="123"/>
      <c r="H724" s="123"/>
      <c r="I724" s="123"/>
      <c r="J724" s="123"/>
      <c r="K724" s="123"/>
      <c r="L724" s="123"/>
      <c r="M724" s="123"/>
      <c r="N724" s="123"/>
      <c r="O724" s="123"/>
      <c r="Q724" s="123"/>
      <c r="R724" s="123"/>
      <c r="S724" s="123"/>
      <c r="T724" s="123"/>
      <c r="U724" s="123"/>
      <c r="V724" s="123"/>
      <c r="W724" s="123"/>
      <c r="X724" s="123"/>
      <c r="Y724" s="123"/>
      <c r="Z724" s="123"/>
      <c r="AA724" s="123"/>
    </row>
    <row r="725">
      <c r="B725" s="160"/>
      <c r="C725" s="160"/>
      <c r="D725" s="123"/>
      <c r="E725" s="123"/>
      <c r="F725" s="123"/>
      <c r="G725" s="123"/>
      <c r="H725" s="123"/>
      <c r="I725" s="123"/>
      <c r="J725" s="123"/>
      <c r="K725" s="123"/>
      <c r="L725" s="123"/>
      <c r="M725" s="123"/>
      <c r="N725" s="123"/>
      <c r="O725" s="123"/>
      <c r="Q725" s="123"/>
      <c r="R725" s="123"/>
      <c r="S725" s="123"/>
      <c r="T725" s="123"/>
      <c r="U725" s="123"/>
      <c r="V725" s="123"/>
      <c r="W725" s="123"/>
      <c r="X725" s="123"/>
      <c r="Y725" s="123"/>
      <c r="Z725" s="123"/>
      <c r="AA725" s="123"/>
    </row>
    <row r="726">
      <c r="B726" s="160"/>
      <c r="C726" s="160"/>
      <c r="D726" s="123"/>
      <c r="E726" s="123"/>
      <c r="F726" s="123"/>
      <c r="G726" s="123"/>
      <c r="H726" s="123"/>
      <c r="I726" s="123"/>
      <c r="J726" s="123"/>
      <c r="K726" s="123"/>
      <c r="L726" s="123"/>
      <c r="M726" s="123"/>
      <c r="N726" s="123"/>
      <c r="O726" s="123"/>
      <c r="Q726" s="123"/>
      <c r="R726" s="123"/>
      <c r="S726" s="123"/>
      <c r="T726" s="123"/>
      <c r="U726" s="123"/>
      <c r="V726" s="123"/>
      <c r="W726" s="123"/>
      <c r="X726" s="123"/>
      <c r="Y726" s="123"/>
      <c r="Z726" s="123"/>
      <c r="AA726" s="123"/>
    </row>
    <row r="727">
      <c r="B727" s="160"/>
      <c r="C727" s="160"/>
      <c r="D727" s="123"/>
      <c r="E727" s="123"/>
      <c r="F727" s="123"/>
      <c r="G727" s="123"/>
      <c r="H727" s="123"/>
      <c r="I727" s="123"/>
      <c r="J727" s="123"/>
      <c r="K727" s="123"/>
      <c r="L727" s="123"/>
      <c r="M727" s="123"/>
      <c r="N727" s="123"/>
      <c r="O727" s="123"/>
      <c r="Q727" s="123"/>
      <c r="R727" s="123"/>
      <c r="S727" s="123"/>
      <c r="T727" s="123"/>
      <c r="U727" s="123"/>
      <c r="V727" s="123"/>
      <c r="W727" s="123"/>
      <c r="X727" s="123"/>
      <c r="Y727" s="123"/>
      <c r="Z727" s="123"/>
      <c r="AA727" s="123"/>
    </row>
    <row r="728">
      <c r="B728" s="160"/>
      <c r="C728" s="160"/>
      <c r="D728" s="123"/>
      <c r="E728" s="123"/>
      <c r="F728" s="123"/>
      <c r="G728" s="123"/>
      <c r="H728" s="123"/>
      <c r="I728" s="123"/>
      <c r="J728" s="123"/>
      <c r="K728" s="123"/>
      <c r="L728" s="123"/>
      <c r="M728" s="123"/>
      <c r="N728" s="123"/>
      <c r="O728" s="123"/>
      <c r="Q728" s="123"/>
      <c r="R728" s="123"/>
      <c r="S728" s="123"/>
      <c r="T728" s="123"/>
      <c r="U728" s="123"/>
      <c r="V728" s="123"/>
      <c r="W728" s="123"/>
      <c r="X728" s="123"/>
      <c r="Y728" s="123"/>
      <c r="Z728" s="123"/>
      <c r="AA728" s="123"/>
    </row>
    <row r="729">
      <c r="B729" s="160"/>
      <c r="C729" s="160"/>
      <c r="D729" s="123"/>
      <c r="E729" s="123"/>
      <c r="F729" s="123"/>
      <c r="G729" s="123"/>
      <c r="H729" s="123"/>
      <c r="I729" s="123"/>
      <c r="J729" s="123"/>
      <c r="K729" s="123"/>
      <c r="L729" s="123"/>
      <c r="M729" s="123"/>
      <c r="N729" s="123"/>
      <c r="O729" s="123"/>
      <c r="Q729" s="123"/>
      <c r="R729" s="123"/>
      <c r="S729" s="123"/>
      <c r="T729" s="123"/>
      <c r="U729" s="123"/>
      <c r="V729" s="123"/>
      <c r="W729" s="123"/>
      <c r="X729" s="123"/>
      <c r="Y729" s="123"/>
      <c r="Z729" s="123"/>
      <c r="AA729" s="123"/>
    </row>
    <row r="730">
      <c r="B730" s="160"/>
      <c r="C730" s="160"/>
      <c r="D730" s="123"/>
      <c r="E730" s="123"/>
      <c r="F730" s="123"/>
      <c r="G730" s="123"/>
      <c r="H730" s="123"/>
      <c r="I730" s="123"/>
      <c r="J730" s="123"/>
      <c r="K730" s="123"/>
      <c r="L730" s="123"/>
      <c r="M730" s="123"/>
      <c r="N730" s="123"/>
      <c r="O730" s="123"/>
      <c r="Q730" s="123"/>
      <c r="R730" s="123"/>
      <c r="S730" s="123"/>
      <c r="T730" s="123"/>
      <c r="U730" s="123"/>
      <c r="V730" s="123"/>
      <c r="W730" s="123"/>
      <c r="X730" s="123"/>
      <c r="Y730" s="123"/>
      <c r="Z730" s="123"/>
      <c r="AA730" s="123"/>
    </row>
    <row r="731">
      <c r="B731" s="160"/>
      <c r="C731" s="160"/>
      <c r="D731" s="123"/>
      <c r="E731" s="123"/>
      <c r="F731" s="123"/>
      <c r="G731" s="123"/>
      <c r="H731" s="123"/>
      <c r="I731" s="123"/>
      <c r="J731" s="123"/>
      <c r="K731" s="123"/>
      <c r="L731" s="123"/>
      <c r="M731" s="123"/>
      <c r="N731" s="123"/>
      <c r="O731" s="123"/>
      <c r="Q731" s="123"/>
      <c r="R731" s="123"/>
      <c r="S731" s="123"/>
      <c r="T731" s="123"/>
      <c r="U731" s="123"/>
      <c r="V731" s="123"/>
      <c r="W731" s="123"/>
      <c r="X731" s="123"/>
      <c r="Y731" s="123"/>
      <c r="Z731" s="123"/>
      <c r="AA731" s="123"/>
    </row>
    <row r="732">
      <c r="B732" s="160"/>
      <c r="C732" s="160"/>
      <c r="D732" s="123"/>
      <c r="E732" s="123"/>
      <c r="F732" s="123"/>
      <c r="G732" s="123"/>
      <c r="H732" s="123"/>
      <c r="I732" s="123"/>
      <c r="J732" s="123"/>
      <c r="K732" s="123"/>
      <c r="L732" s="123"/>
      <c r="M732" s="123"/>
      <c r="N732" s="123"/>
      <c r="O732" s="123"/>
      <c r="Q732" s="123"/>
      <c r="R732" s="123"/>
      <c r="S732" s="123"/>
      <c r="T732" s="123"/>
      <c r="U732" s="123"/>
      <c r="V732" s="123"/>
      <c r="W732" s="123"/>
      <c r="X732" s="123"/>
      <c r="Y732" s="123"/>
      <c r="Z732" s="123"/>
      <c r="AA732" s="123"/>
    </row>
    <row r="733">
      <c r="B733" s="160"/>
      <c r="C733" s="160"/>
      <c r="D733" s="123"/>
      <c r="E733" s="123"/>
      <c r="F733" s="123"/>
      <c r="G733" s="123"/>
      <c r="H733" s="123"/>
      <c r="I733" s="123"/>
      <c r="J733" s="123"/>
      <c r="K733" s="123"/>
      <c r="L733" s="123"/>
      <c r="M733" s="123"/>
      <c r="N733" s="123"/>
      <c r="O733" s="123"/>
      <c r="Q733" s="123"/>
      <c r="R733" s="123"/>
      <c r="S733" s="123"/>
      <c r="T733" s="123"/>
      <c r="U733" s="123"/>
      <c r="V733" s="123"/>
      <c r="W733" s="123"/>
      <c r="X733" s="123"/>
      <c r="Y733" s="123"/>
      <c r="Z733" s="123"/>
      <c r="AA733" s="123"/>
    </row>
    <row r="734">
      <c r="B734" s="160"/>
      <c r="C734" s="160"/>
      <c r="D734" s="123"/>
      <c r="E734" s="123"/>
      <c r="F734" s="123"/>
      <c r="G734" s="123"/>
      <c r="H734" s="123"/>
      <c r="I734" s="123"/>
      <c r="J734" s="123"/>
      <c r="K734" s="123"/>
      <c r="L734" s="123"/>
      <c r="M734" s="123"/>
      <c r="N734" s="123"/>
      <c r="O734" s="123"/>
      <c r="Q734" s="123"/>
      <c r="R734" s="123"/>
      <c r="S734" s="123"/>
      <c r="T734" s="123"/>
      <c r="U734" s="123"/>
      <c r="V734" s="123"/>
      <c r="W734" s="123"/>
      <c r="X734" s="123"/>
      <c r="Y734" s="123"/>
      <c r="Z734" s="123"/>
      <c r="AA734" s="123"/>
    </row>
    <row r="735">
      <c r="B735" s="160"/>
      <c r="C735" s="160"/>
      <c r="D735" s="123"/>
      <c r="E735" s="123"/>
      <c r="F735" s="123"/>
      <c r="G735" s="123"/>
      <c r="H735" s="123"/>
      <c r="I735" s="123"/>
      <c r="J735" s="123"/>
      <c r="K735" s="123"/>
      <c r="L735" s="123"/>
      <c r="M735" s="123"/>
      <c r="N735" s="123"/>
      <c r="O735" s="123"/>
      <c r="Q735" s="123"/>
      <c r="R735" s="123"/>
      <c r="S735" s="123"/>
      <c r="T735" s="123"/>
      <c r="U735" s="123"/>
      <c r="V735" s="123"/>
      <c r="W735" s="123"/>
      <c r="X735" s="123"/>
      <c r="Y735" s="123"/>
      <c r="Z735" s="123"/>
      <c r="AA735" s="123"/>
    </row>
    <row r="736">
      <c r="B736" s="160"/>
      <c r="C736" s="160"/>
      <c r="D736" s="123"/>
      <c r="E736" s="123"/>
      <c r="F736" s="123"/>
      <c r="G736" s="123"/>
      <c r="H736" s="123"/>
      <c r="I736" s="123"/>
      <c r="J736" s="123"/>
      <c r="K736" s="123"/>
      <c r="L736" s="123"/>
      <c r="M736" s="123"/>
      <c r="N736" s="123"/>
      <c r="O736" s="123"/>
      <c r="Q736" s="123"/>
      <c r="R736" s="123"/>
      <c r="S736" s="123"/>
      <c r="T736" s="123"/>
      <c r="U736" s="123"/>
      <c r="V736" s="123"/>
      <c r="W736" s="123"/>
      <c r="X736" s="123"/>
      <c r="Y736" s="123"/>
      <c r="Z736" s="123"/>
      <c r="AA736" s="123"/>
    </row>
    <row r="737">
      <c r="B737" s="160"/>
      <c r="C737" s="160"/>
      <c r="D737" s="123"/>
      <c r="E737" s="123"/>
      <c r="F737" s="123"/>
      <c r="G737" s="123"/>
      <c r="H737" s="123"/>
      <c r="I737" s="123"/>
      <c r="J737" s="123"/>
      <c r="K737" s="123"/>
      <c r="L737" s="123"/>
      <c r="M737" s="123"/>
      <c r="N737" s="123"/>
      <c r="O737" s="123"/>
      <c r="Q737" s="123"/>
      <c r="R737" s="123"/>
      <c r="S737" s="123"/>
      <c r="T737" s="123"/>
      <c r="U737" s="123"/>
      <c r="V737" s="123"/>
      <c r="W737" s="123"/>
      <c r="X737" s="123"/>
      <c r="Y737" s="123"/>
      <c r="Z737" s="123"/>
      <c r="AA737" s="123"/>
    </row>
    <row r="738">
      <c r="B738" s="160"/>
      <c r="C738" s="160"/>
      <c r="D738" s="123"/>
      <c r="E738" s="123"/>
      <c r="F738" s="123"/>
      <c r="G738" s="123"/>
      <c r="H738" s="123"/>
      <c r="I738" s="123"/>
      <c r="J738" s="123"/>
      <c r="K738" s="123"/>
      <c r="L738" s="123"/>
      <c r="M738" s="123"/>
      <c r="N738" s="123"/>
      <c r="O738" s="123"/>
      <c r="Q738" s="123"/>
      <c r="R738" s="123"/>
      <c r="S738" s="123"/>
      <c r="T738" s="123"/>
      <c r="U738" s="123"/>
      <c r="V738" s="123"/>
      <c r="W738" s="123"/>
      <c r="X738" s="123"/>
      <c r="Y738" s="123"/>
      <c r="Z738" s="123"/>
      <c r="AA738" s="123"/>
    </row>
    <row r="739">
      <c r="B739" s="160"/>
      <c r="C739" s="160"/>
      <c r="D739" s="123"/>
      <c r="E739" s="123"/>
      <c r="F739" s="123"/>
      <c r="G739" s="123"/>
      <c r="H739" s="123"/>
      <c r="I739" s="123"/>
      <c r="J739" s="123"/>
      <c r="K739" s="123"/>
      <c r="L739" s="123"/>
      <c r="M739" s="123"/>
      <c r="N739" s="123"/>
      <c r="O739" s="123"/>
      <c r="Q739" s="123"/>
      <c r="R739" s="123"/>
      <c r="S739" s="123"/>
      <c r="T739" s="123"/>
      <c r="U739" s="123"/>
      <c r="V739" s="123"/>
      <c r="W739" s="123"/>
      <c r="X739" s="123"/>
      <c r="Y739" s="123"/>
      <c r="Z739" s="123"/>
      <c r="AA739" s="123"/>
    </row>
    <row r="740">
      <c r="B740" s="160"/>
      <c r="C740" s="160"/>
      <c r="D740" s="123"/>
      <c r="E740" s="123"/>
      <c r="F740" s="123"/>
      <c r="G740" s="123"/>
      <c r="H740" s="123"/>
      <c r="I740" s="123"/>
      <c r="J740" s="123"/>
      <c r="K740" s="123"/>
      <c r="L740" s="123"/>
      <c r="M740" s="123"/>
      <c r="N740" s="123"/>
      <c r="O740" s="123"/>
      <c r="Q740" s="123"/>
      <c r="R740" s="123"/>
      <c r="S740" s="123"/>
      <c r="T740" s="123"/>
      <c r="U740" s="123"/>
      <c r="V740" s="123"/>
      <c r="W740" s="123"/>
      <c r="X740" s="123"/>
      <c r="Y740" s="123"/>
      <c r="Z740" s="123"/>
      <c r="AA740" s="123"/>
    </row>
    <row r="741">
      <c r="B741" s="160"/>
      <c r="C741" s="160"/>
      <c r="D741" s="123"/>
      <c r="E741" s="123"/>
      <c r="F741" s="123"/>
      <c r="G741" s="123"/>
      <c r="H741" s="123"/>
      <c r="I741" s="123"/>
      <c r="J741" s="123"/>
      <c r="K741" s="123"/>
      <c r="L741" s="123"/>
      <c r="M741" s="123"/>
      <c r="N741" s="123"/>
      <c r="O741" s="123"/>
      <c r="Q741" s="123"/>
      <c r="R741" s="123"/>
      <c r="S741" s="123"/>
      <c r="T741" s="123"/>
      <c r="U741" s="123"/>
      <c r="V741" s="123"/>
      <c r="W741" s="123"/>
      <c r="X741" s="123"/>
      <c r="Y741" s="123"/>
      <c r="Z741" s="123"/>
      <c r="AA741" s="123"/>
    </row>
    <row r="742">
      <c r="B742" s="160"/>
      <c r="C742" s="160"/>
      <c r="D742" s="123"/>
      <c r="E742" s="123"/>
      <c r="F742" s="123"/>
      <c r="G742" s="123"/>
      <c r="H742" s="123"/>
      <c r="I742" s="123"/>
      <c r="J742" s="123"/>
      <c r="K742" s="123"/>
      <c r="L742" s="123"/>
      <c r="M742" s="123"/>
      <c r="N742" s="123"/>
      <c r="O742" s="123"/>
      <c r="Q742" s="123"/>
      <c r="R742" s="123"/>
      <c r="S742" s="123"/>
      <c r="T742" s="123"/>
      <c r="U742" s="123"/>
      <c r="V742" s="123"/>
      <c r="W742" s="123"/>
      <c r="X742" s="123"/>
      <c r="Y742" s="123"/>
      <c r="Z742" s="123"/>
      <c r="AA742" s="123"/>
    </row>
    <row r="743">
      <c r="B743" s="160"/>
      <c r="C743" s="160"/>
      <c r="D743" s="123"/>
      <c r="E743" s="123"/>
      <c r="F743" s="123"/>
      <c r="G743" s="123"/>
      <c r="H743" s="123"/>
      <c r="I743" s="123"/>
      <c r="J743" s="123"/>
      <c r="K743" s="123"/>
      <c r="L743" s="123"/>
      <c r="M743" s="123"/>
      <c r="N743" s="123"/>
      <c r="O743" s="123"/>
      <c r="Q743" s="123"/>
      <c r="R743" s="123"/>
      <c r="S743" s="123"/>
      <c r="T743" s="123"/>
      <c r="U743" s="123"/>
      <c r="V743" s="123"/>
      <c r="W743" s="123"/>
      <c r="X743" s="123"/>
      <c r="Y743" s="123"/>
      <c r="Z743" s="123"/>
      <c r="AA743" s="123"/>
    </row>
    <row r="744">
      <c r="B744" s="160"/>
      <c r="C744" s="160"/>
      <c r="D744" s="123"/>
      <c r="E744" s="123"/>
      <c r="F744" s="123"/>
      <c r="G744" s="123"/>
      <c r="H744" s="123"/>
      <c r="I744" s="123"/>
      <c r="J744" s="123"/>
      <c r="K744" s="123"/>
      <c r="L744" s="123"/>
      <c r="M744" s="123"/>
      <c r="N744" s="123"/>
      <c r="O744" s="123"/>
      <c r="Q744" s="123"/>
      <c r="R744" s="123"/>
      <c r="S744" s="123"/>
      <c r="T744" s="123"/>
      <c r="U744" s="123"/>
      <c r="V744" s="123"/>
      <c r="W744" s="123"/>
      <c r="X744" s="123"/>
      <c r="Y744" s="123"/>
      <c r="Z744" s="123"/>
      <c r="AA744" s="123"/>
    </row>
    <row r="745">
      <c r="B745" s="160"/>
      <c r="C745" s="160"/>
      <c r="D745" s="123"/>
      <c r="E745" s="123"/>
      <c r="F745" s="123"/>
      <c r="G745" s="123"/>
      <c r="H745" s="123"/>
      <c r="I745" s="123"/>
      <c r="J745" s="123"/>
      <c r="K745" s="123"/>
      <c r="L745" s="123"/>
      <c r="M745" s="123"/>
      <c r="N745" s="123"/>
      <c r="O745" s="123"/>
      <c r="Q745" s="123"/>
      <c r="R745" s="123"/>
      <c r="S745" s="123"/>
      <c r="T745" s="123"/>
      <c r="U745" s="123"/>
      <c r="V745" s="123"/>
      <c r="W745" s="123"/>
      <c r="X745" s="123"/>
      <c r="Y745" s="123"/>
      <c r="Z745" s="123"/>
      <c r="AA745" s="123"/>
    </row>
    <row r="746">
      <c r="B746" s="160"/>
      <c r="C746" s="160"/>
      <c r="D746" s="123"/>
      <c r="E746" s="123"/>
      <c r="F746" s="123"/>
      <c r="G746" s="123"/>
      <c r="H746" s="123"/>
      <c r="I746" s="123"/>
      <c r="J746" s="123"/>
      <c r="K746" s="123"/>
      <c r="L746" s="123"/>
      <c r="M746" s="123"/>
      <c r="N746" s="123"/>
      <c r="O746" s="123"/>
      <c r="Q746" s="123"/>
      <c r="R746" s="123"/>
      <c r="S746" s="123"/>
      <c r="T746" s="123"/>
      <c r="U746" s="123"/>
      <c r="V746" s="123"/>
      <c r="W746" s="123"/>
      <c r="X746" s="123"/>
      <c r="Y746" s="123"/>
      <c r="Z746" s="123"/>
      <c r="AA746" s="123"/>
    </row>
    <row r="747">
      <c r="B747" s="160"/>
      <c r="C747" s="160"/>
      <c r="D747" s="123"/>
      <c r="E747" s="123"/>
      <c r="F747" s="123"/>
      <c r="G747" s="123"/>
      <c r="H747" s="123"/>
      <c r="I747" s="123"/>
      <c r="J747" s="123"/>
      <c r="K747" s="123"/>
      <c r="L747" s="123"/>
      <c r="M747" s="123"/>
      <c r="N747" s="123"/>
      <c r="O747" s="123"/>
      <c r="Q747" s="123"/>
      <c r="R747" s="123"/>
      <c r="S747" s="123"/>
      <c r="T747" s="123"/>
      <c r="U747" s="123"/>
      <c r="V747" s="123"/>
      <c r="W747" s="123"/>
      <c r="X747" s="123"/>
      <c r="Y747" s="123"/>
      <c r="Z747" s="123"/>
      <c r="AA747" s="123"/>
    </row>
    <row r="748">
      <c r="B748" s="160"/>
      <c r="C748" s="160"/>
      <c r="D748" s="123"/>
      <c r="E748" s="123"/>
      <c r="F748" s="123"/>
      <c r="G748" s="123"/>
      <c r="H748" s="123"/>
      <c r="I748" s="123"/>
      <c r="J748" s="123"/>
      <c r="K748" s="123"/>
      <c r="L748" s="123"/>
      <c r="M748" s="123"/>
      <c r="N748" s="123"/>
      <c r="O748" s="123"/>
      <c r="Q748" s="123"/>
      <c r="R748" s="123"/>
      <c r="S748" s="123"/>
      <c r="T748" s="123"/>
      <c r="U748" s="123"/>
      <c r="V748" s="123"/>
      <c r="W748" s="123"/>
      <c r="X748" s="123"/>
      <c r="Y748" s="123"/>
      <c r="Z748" s="123"/>
      <c r="AA748" s="123"/>
    </row>
    <row r="749">
      <c r="B749" s="160"/>
      <c r="C749" s="160"/>
      <c r="D749" s="123"/>
      <c r="E749" s="123"/>
      <c r="F749" s="123"/>
      <c r="G749" s="123"/>
      <c r="H749" s="123"/>
      <c r="I749" s="123"/>
      <c r="J749" s="123"/>
      <c r="K749" s="123"/>
      <c r="L749" s="123"/>
      <c r="M749" s="123"/>
      <c r="N749" s="123"/>
      <c r="O749" s="123"/>
      <c r="Q749" s="123"/>
      <c r="R749" s="123"/>
      <c r="S749" s="123"/>
      <c r="T749" s="123"/>
      <c r="U749" s="123"/>
      <c r="V749" s="123"/>
      <c r="W749" s="123"/>
      <c r="X749" s="123"/>
      <c r="Y749" s="123"/>
      <c r="Z749" s="123"/>
      <c r="AA749" s="123"/>
    </row>
    <row r="750">
      <c r="B750" s="160"/>
      <c r="C750" s="160"/>
      <c r="D750" s="123"/>
      <c r="E750" s="123"/>
      <c r="F750" s="123"/>
      <c r="G750" s="123"/>
      <c r="H750" s="123"/>
      <c r="I750" s="123"/>
      <c r="J750" s="123"/>
      <c r="K750" s="123"/>
      <c r="L750" s="123"/>
      <c r="M750" s="123"/>
      <c r="N750" s="123"/>
      <c r="O750" s="123"/>
      <c r="Q750" s="123"/>
      <c r="R750" s="123"/>
      <c r="S750" s="123"/>
      <c r="T750" s="123"/>
      <c r="U750" s="123"/>
      <c r="V750" s="123"/>
      <c r="W750" s="123"/>
      <c r="X750" s="123"/>
      <c r="Y750" s="123"/>
      <c r="Z750" s="123"/>
      <c r="AA750" s="123"/>
    </row>
    <row r="751">
      <c r="B751" s="160"/>
      <c r="C751" s="160"/>
      <c r="D751" s="123"/>
      <c r="E751" s="123"/>
      <c r="F751" s="123"/>
      <c r="G751" s="123"/>
      <c r="H751" s="123"/>
      <c r="I751" s="123"/>
      <c r="J751" s="123"/>
      <c r="K751" s="123"/>
      <c r="L751" s="123"/>
      <c r="M751" s="123"/>
      <c r="N751" s="123"/>
      <c r="O751" s="123"/>
      <c r="Q751" s="123"/>
      <c r="R751" s="123"/>
      <c r="S751" s="123"/>
      <c r="T751" s="123"/>
      <c r="U751" s="123"/>
      <c r="V751" s="123"/>
      <c r="W751" s="123"/>
      <c r="X751" s="123"/>
      <c r="Y751" s="123"/>
      <c r="Z751" s="123"/>
      <c r="AA751" s="123"/>
    </row>
    <row r="752">
      <c r="B752" s="160"/>
      <c r="C752" s="160"/>
      <c r="D752" s="123"/>
      <c r="E752" s="123"/>
      <c r="F752" s="123"/>
      <c r="G752" s="123"/>
      <c r="H752" s="123"/>
      <c r="I752" s="123"/>
      <c r="J752" s="123"/>
      <c r="K752" s="123"/>
      <c r="L752" s="123"/>
      <c r="M752" s="123"/>
      <c r="N752" s="123"/>
      <c r="O752" s="123"/>
      <c r="Q752" s="123"/>
      <c r="R752" s="123"/>
      <c r="S752" s="123"/>
      <c r="T752" s="123"/>
      <c r="U752" s="123"/>
      <c r="V752" s="123"/>
      <c r="W752" s="123"/>
      <c r="X752" s="123"/>
      <c r="Y752" s="123"/>
      <c r="Z752" s="123"/>
      <c r="AA752" s="123"/>
    </row>
    <row r="753">
      <c r="B753" s="160"/>
      <c r="C753" s="160"/>
      <c r="D753" s="123"/>
      <c r="E753" s="123"/>
      <c r="F753" s="123"/>
      <c r="G753" s="123"/>
      <c r="H753" s="123"/>
      <c r="I753" s="123"/>
      <c r="J753" s="123"/>
      <c r="K753" s="123"/>
      <c r="L753" s="123"/>
      <c r="M753" s="123"/>
      <c r="N753" s="123"/>
      <c r="O753" s="123"/>
      <c r="Q753" s="123"/>
      <c r="R753" s="123"/>
      <c r="S753" s="123"/>
      <c r="T753" s="123"/>
      <c r="U753" s="123"/>
      <c r="V753" s="123"/>
      <c r="W753" s="123"/>
      <c r="X753" s="123"/>
      <c r="Y753" s="123"/>
      <c r="Z753" s="123"/>
      <c r="AA753" s="123"/>
    </row>
    <row r="754">
      <c r="B754" s="160"/>
      <c r="C754" s="160"/>
      <c r="D754" s="123"/>
      <c r="E754" s="123"/>
      <c r="F754" s="123"/>
      <c r="G754" s="123"/>
      <c r="H754" s="123"/>
      <c r="I754" s="123"/>
      <c r="J754" s="123"/>
      <c r="K754" s="123"/>
      <c r="L754" s="123"/>
      <c r="M754" s="123"/>
      <c r="N754" s="123"/>
      <c r="O754" s="123"/>
      <c r="Q754" s="123"/>
      <c r="R754" s="123"/>
      <c r="S754" s="123"/>
      <c r="T754" s="123"/>
      <c r="U754" s="123"/>
      <c r="V754" s="123"/>
      <c r="W754" s="123"/>
      <c r="X754" s="123"/>
      <c r="Y754" s="123"/>
      <c r="Z754" s="123"/>
      <c r="AA754" s="123"/>
    </row>
    <row r="755">
      <c r="B755" s="160"/>
      <c r="C755" s="160"/>
      <c r="D755" s="123"/>
      <c r="E755" s="123"/>
      <c r="F755" s="123"/>
      <c r="G755" s="123"/>
      <c r="H755" s="123"/>
      <c r="I755" s="123"/>
      <c r="J755" s="123"/>
      <c r="K755" s="123"/>
      <c r="L755" s="123"/>
      <c r="M755" s="123"/>
      <c r="N755" s="123"/>
      <c r="O755" s="123"/>
      <c r="Q755" s="123"/>
      <c r="R755" s="123"/>
      <c r="S755" s="123"/>
      <c r="T755" s="123"/>
      <c r="U755" s="123"/>
      <c r="V755" s="123"/>
      <c r="W755" s="123"/>
      <c r="X755" s="123"/>
      <c r="Y755" s="123"/>
      <c r="Z755" s="123"/>
      <c r="AA755" s="123"/>
    </row>
    <row r="756">
      <c r="B756" s="160"/>
      <c r="C756" s="160"/>
      <c r="D756" s="123"/>
      <c r="E756" s="123"/>
      <c r="F756" s="123"/>
      <c r="G756" s="123"/>
      <c r="H756" s="123"/>
      <c r="I756" s="123"/>
      <c r="J756" s="123"/>
      <c r="K756" s="123"/>
      <c r="L756" s="123"/>
      <c r="M756" s="123"/>
      <c r="N756" s="123"/>
      <c r="O756" s="123"/>
      <c r="Q756" s="123"/>
      <c r="R756" s="123"/>
      <c r="S756" s="123"/>
      <c r="T756" s="123"/>
      <c r="U756" s="123"/>
      <c r="V756" s="123"/>
      <c r="W756" s="123"/>
      <c r="X756" s="123"/>
      <c r="Y756" s="123"/>
      <c r="Z756" s="123"/>
      <c r="AA756" s="123"/>
    </row>
    <row r="757">
      <c r="B757" s="160"/>
      <c r="C757" s="160"/>
      <c r="D757" s="123"/>
      <c r="E757" s="123"/>
      <c r="F757" s="123"/>
      <c r="G757" s="123"/>
      <c r="H757" s="123"/>
      <c r="I757" s="123"/>
      <c r="J757" s="123"/>
      <c r="K757" s="123"/>
      <c r="L757" s="123"/>
      <c r="M757" s="123"/>
      <c r="N757" s="123"/>
      <c r="O757" s="123"/>
      <c r="Q757" s="123"/>
      <c r="R757" s="123"/>
      <c r="S757" s="123"/>
      <c r="T757" s="123"/>
      <c r="U757" s="123"/>
      <c r="V757" s="123"/>
      <c r="W757" s="123"/>
      <c r="X757" s="123"/>
      <c r="Y757" s="123"/>
      <c r="Z757" s="123"/>
      <c r="AA757" s="123"/>
    </row>
    <row r="758">
      <c r="B758" s="160"/>
      <c r="C758" s="160"/>
      <c r="D758" s="123"/>
      <c r="E758" s="123"/>
      <c r="F758" s="123"/>
      <c r="G758" s="123"/>
      <c r="H758" s="123"/>
      <c r="I758" s="123"/>
      <c r="J758" s="123"/>
      <c r="K758" s="123"/>
      <c r="L758" s="123"/>
      <c r="M758" s="123"/>
      <c r="N758" s="123"/>
      <c r="O758" s="123"/>
      <c r="Q758" s="123"/>
      <c r="R758" s="123"/>
      <c r="S758" s="123"/>
      <c r="T758" s="123"/>
      <c r="U758" s="123"/>
      <c r="V758" s="123"/>
      <c r="W758" s="123"/>
      <c r="X758" s="123"/>
      <c r="Y758" s="123"/>
      <c r="Z758" s="123"/>
      <c r="AA758" s="123"/>
    </row>
    <row r="759">
      <c r="B759" s="160"/>
      <c r="C759" s="160"/>
      <c r="D759" s="123"/>
      <c r="E759" s="123"/>
      <c r="F759" s="123"/>
      <c r="G759" s="123"/>
      <c r="H759" s="123"/>
      <c r="I759" s="123"/>
      <c r="J759" s="123"/>
      <c r="K759" s="123"/>
      <c r="L759" s="123"/>
      <c r="M759" s="123"/>
      <c r="N759" s="123"/>
      <c r="O759" s="123"/>
      <c r="Q759" s="123"/>
      <c r="R759" s="123"/>
      <c r="S759" s="123"/>
      <c r="T759" s="123"/>
      <c r="U759" s="123"/>
      <c r="V759" s="123"/>
      <c r="W759" s="123"/>
      <c r="X759" s="123"/>
      <c r="Y759" s="123"/>
      <c r="Z759" s="123"/>
      <c r="AA759" s="123"/>
    </row>
    <row r="760">
      <c r="B760" s="160"/>
      <c r="C760" s="160"/>
      <c r="D760" s="123"/>
      <c r="E760" s="123"/>
      <c r="F760" s="123"/>
      <c r="G760" s="123"/>
      <c r="H760" s="123"/>
      <c r="I760" s="123"/>
      <c r="J760" s="123"/>
      <c r="K760" s="123"/>
      <c r="L760" s="123"/>
      <c r="M760" s="123"/>
      <c r="N760" s="123"/>
      <c r="O760" s="123"/>
      <c r="Q760" s="123"/>
      <c r="R760" s="123"/>
      <c r="S760" s="123"/>
      <c r="T760" s="123"/>
      <c r="U760" s="123"/>
      <c r="V760" s="123"/>
      <c r="W760" s="123"/>
      <c r="X760" s="123"/>
      <c r="Y760" s="123"/>
      <c r="Z760" s="123"/>
      <c r="AA760" s="123"/>
    </row>
    <row r="761">
      <c r="B761" s="160"/>
      <c r="C761" s="160"/>
      <c r="D761" s="123"/>
      <c r="E761" s="123"/>
      <c r="F761" s="123"/>
      <c r="G761" s="123"/>
      <c r="H761" s="123"/>
      <c r="I761" s="123"/>
      <c r="J761" s="123"/>
      <c r="K761" s="123"/>
      <c r="L761" s="123"/>
      <c r="M761" s="123"/>
      <c r="N761" s="123"/>
      <c r="O761" s="123"/>
      <c r="Q761" s="123"/>
      <c r="R761" s="123"/>
      <c r="S761" s="123"/>
      <c r="T761" s="123"/>
      <c r="U761" s="123"/>
      <c r="V761" s="123"/>
      <c r="W761" s="123"/>
      <c r="X761" s="123"/>
      <c r="Y761" s="123"/>
      <c r="Z761" s="123"/>
      <c r="AA761" s="123"/>
    </row>
    <row r="762">
      <c r="B762" s="160"/>
      <c r="C762" s="160"/>
      <c r="D762" s="123"/>
      <c r="E762" s="123"/>
      <c r="F762" s="123"/>
      <c r="G762" s="123"/>
      <c r="H762" s="123"/>
      <c r="I762" s="123"/>
      <c r="J762" s="123"/>
      <c r="K762" s="123"/>
      <c r="L762" s="123"/>
      <c r="M762" s="123"/>
      <c r="N762" s="123"/>
      <c r="O762" s="123"/>
      <c r="Q762" s="123"/>
      <c r="R762" s="123"/>
      <c r="S762" s="123"/>
      <c r="T762" s="123"/>
      <c r="U762" s="123"/>
      <c r="V762" s="123"/>
      <c r="W762" s="123"/>
      <c r="X762" s="123"/>
      <c r="Y762" s="123"/>
      <c r="Z762" s="123"/>
      <c r="AA762" s="123"/>
    </row>
    <row r="763">
      <c r="B763" s="160"/>
      <c r="C763" s="160"/>
      <c r="D763" s="123"/>
      <c r="E763" s="123"/>
      <c r="F763" s="123"/>
      <c r="G763" s="123"/>
      <c r="H763" s="123"/>
      <c r="I763" s="123"/>
      <c r="J763" s="123"/>
      <c r="K763" s="123"/>
      <c r="L763" s="123"/>
      <c r="M763" s="123"/>
      <c r="N763" s="123"/>
      <c r="O763" s="123"/>
      <c r="Q763" s="123"/>
      <c r="R763" s="123"/>
      <c r="S763" s="123"/>
      <c r="T763" s="123"/>
      <c r="U763" s="123"/>
      <c r="V763" s="123"/>
      <c r="W763" s="123"/>
      <c r="X763" s="123"/>
      <c r="Y763" s="123"/>
      <c r="Z763" s="123"/>
      <c r="AA763" s="123"/>
    </row>
    <row r="764">
      <c r="B764" s="160"/>
      <c r="C764" s="160"/>
      <c r="D764" s="123"/>
      <c r="E764" s="123"/>
      <c r="F764" s="123"/>
      <c r="G764" s="123"/>
      <c r="H764" s="123"/>
      <c r="I764" s="123"/>
      <c r="J764" s="123"/>
      <c r="K764" s="123"/>
      <c r="L764" s="123"/>
      <c r="M764" s="123"/>
      <c r="N764" s="123"/>
      <c r="O764" s="123"/>
      <c r="Q764" s="123"/>
      <c r="R764" s="123"/>
      <c r="S764" s="123"/>
      <c r="T764" s="123"/>
      <c r="U764" s="123"/>
      <c r="V764" s="123"/>
      <c r="W764" s="123"/>
      <c r="X764" s="123"/>
      <c r="Y764" s="123"/>
      <c r="Z764" s="123"/>
      <c r="AA764" s="123"/>
    </row>
    <row r="765">
      <c r="B765" s="160"/>
      <c r="C765" s="160"/>
      <c r="D765" s="123"/>
      <c r="E765" s="123"/>
      <c r="F765" s="123"/>
      <c r="G765" s="123"/>
      <c r="H765" s="123"/>
      <c r="I765" s="123"/>
      <c r="J765" s="123"/>
      <c r="K765" s="123"/>
      <c r="L765" s="123"/>
      <c r="M765" s="123"/>
      <c r="N765" s="123"/>
      <c r="O765" s="123"/>
      <c r="Q765" s="123"/>
      <c r="R765" s="123"/>
      <c r="S765" s="123"/>
      <c r="T765" s="123"/>
      <c r="U765" s="123"/>
      <c r="V765" s="123"/>
      <c r="W765" s="123"/>
      <c r="X765" s="123"/>
      <c r="Y765" s="123"/>
      <c r="Z765" s="123"/>
      <c r="AA765" s="123"/>
    </row>
    <row r="766">
      <c r="B766" s="160"/>
      <c r="C766" s="160"/>
      <c r="D766" s="123"/>
      <c r="E766" s="123"/>
      <c r="F766" s="123"/>
      <c r="G766" s="123"/>
      <c r="H766" s="123"/>
      <c r="I766" s="123"/>
      <c r="J766" s="123"/>
      <c r="K766" s="123"/>
      <c r="L766" s="123"/>
      <c r="M766" s="123"/>
      <c r="N766" s="123"/>
      <c r="O766" s="123"/>
      <c r="Q766" s="123"/>
      <c r="R766" s="123"/>
      <c r="S766" s="123"/>
      <c r="T766" s="123"/>
      <c r="U766" s="123"/>
      <c r="V766" s="123"/>
      <c r="W766" s="123"/>
      <c r="X766" s="123"/>
      <c r="Y766" s="123"/>
      <c r="Z766" s="123"/>
      <c r="AA766" s="123"/>
    </row>
    <row r="767">
      <c r="B767" s="160"/>
      <c r="C767" s="160"/>
      <c r="D767" s="123"/>
      <c r="E767" s="123"/>
      <c r="F767" s="123"/>
      <c r="G767" s="123"/>
      <c r="H767" s="123"/>
      <c r="I767" s="123"/>
      <c r="J767" s="123"/>
      <c r="K767" s="123"/>
      <c r="L767" s="123"/>
      <c r="M767" s="123"/>
      <c r="N767" s="123"/>
      <c r="O767" s="123"/>
      <c r="Q767" s="123"/>
      <c r="R767" s="123"/>
      <c r="S767" s="123"/>
      <c r="T767" s="123"/>
      <c r="U767" s="123"/>
      <c r="V767" s="123"/>
      <c r="W767" s="123"/>
      <c r="X767" s="123"/>
      <c r="Y767" s="123"/>
      <c r="Z767" s="123"/>
      <c r="AA767" s="123"/>
    </row>
    <row r="768">
      <c r="B768" s="160"/>
      <c r="C768" s="160"/>
      <c r="D768" s="123"/>
      <c r="E768" s="123"/>
      <c r="F768" s="123"/>
      <c r="G768" s="123"/>
      <c r="H768" s="123"/>
      <c r="I768" s="123"/>
      <c r="J768" s="123"/>
      <c r="K768" s="123"/>
      <c r="L768" s="123"/>
      <c r="M768" s="123"/>
      <c r="N768" s="123"/>
      <c r="O768" s="123"/>
      <c r="Q768" s="123"/>
      <c r="R768" s="123"/>
      <c r="S768" s="123"/>
      <c r="T768" s="123"/>
      <c r="U768" s="123"/>
      <c r="V768" s="123"/>
      <c r="W768" s="123"/>
      <c r="X768" s="123"/>
      <c r="Y768" s="123"/>
      <c r="Z768" s="123"/>
      <c r="AA768" s="123"/>
    </row>
    <row r="769">
      <c r="B769" s="160"/>
      <c r="C769" s="160"/>
      <c r="D769" s="123"/>
      <c r="E769" s="123"/>
      <c r="F769" s="123"/>
      <c r="G769" s="123"/>
      <c r="H769" s="123"/>
      <c r="I769" s="123"/>
      <c r="J769" s="123"/>
      <c r="K769" s="123"/>
      <c r="L769" s="123"/>
      <c r="M769" s="123"/>
      <c r="N769" s="123"/>
      <c r="O769" s="123"/>
      <c r="Q769" s="123"/>
      <c r="R769" s="123"/>
      <c r="S769" s="123"/>
      <c r="T769" s="123"/>
      <c r="U769" s="123"/>
      <c r="V769" s="123"/>
      <c r="W769" s="123"/>
      <c r="X769" s="123"/>
      <c r="Y769" s="123"/>
      <c r="Z769" s="123"/>
      <c r="AA769" s="123"/>
    </row>
    <row r="770">
      <c r="B770" s="160"/>
      <c r="C770" s="160"/>
      <c r="D770" s="123"/>
      <c r="E770" s="123"/>
      <c r="F770" s="123"/>
      <c r="G770" s="123"/>
      <c r="H770" s="123"/>
      <c r="I770" s="123"/>
      <c r="J770" s="123"/>
      <c r="K770" s="123"/>
      <c r="L770" s="123"/>
      <c r="M770" s="123"/>
      <c r="N770" s="123"/>
      <c r="O770" s="123"/>
      <c r="Q770" s="123"/>
      <c r="R770" s="123"/>
      <c r="S770" s="123"/>
      <c r="T770" s="123"/>
      <c r="U770" s="123"/>
      <c r="V770" s="123"/>
      <c r="W770" s="123"/>
      <c r="X770" s="123"/>
      <c r="Y770" s="123"/>
      <c r="Z770" s="123"/>
      <c r="AA770" s="123"/>
    </row>
    <row r="771">
      <c r="B771" s="160"/>
      <c r="C771" s="160"/>
      <c r="D771" s="123"/>
      <c r="E771" s="123"/>
      <c r="F771" s="123"/>
      <c r="G771" s="123"/>
      <c r="H771" s="123"/>
      <c r="I771" s="123"/>
      <c r="J771" s="123"/>
      <c r="K771" s="123"/>
      <c r="L771" s="123"/>
      <c r="M771" s="123"/>
      <c r="N771" s="123"/>
      <c r="O771" s="123"/>
      <c r="Q771" s="123"/>
      <c r="R771" s="123"/>
      <c r="S771" s="123"/>
      <c r="T771" s="123"/>
      <c r="U771" s="123"/>
      <c r="V771" s="123"/>
      <c r="W771" s="123"/>
      <c r="X771" s="123"/>
      <c r="Y771" s="123"/>
      <c r="Z771" s="123"/>
      <c r="AA771" s="123"/>
    </row>
    <row r="772">
      <c r="B772" s="160"/>
      <c r="C772" s="160"/>
      <c r="D772" s="123"/>
      <c r="E772" s="123"/>
      <c r="F772" s="123"/>
      <c r="G772" s="123"/>
      <c r="H772" s="123"/>
      <c r="I772" s="123"/>
      <c r="J772" s="123"/>
      <c r="K772" s="123"/>
      <c r="L772" s="123"/>
      <c r="M772" s="123"/>
      <c r="N772" s="123"/>
      <c r="O772" s="123"/>
      <c r="Q772" s="123"/>
      <c r="R772" s="123"/>
      <c r="S772" s="123"/>
      <c r="T772" s="123"/>
      <c r="U772" s="123"/>
      <c r="V772" s="123"/>
      <c r="W772" s="123"/>
      <c r="X772" s="123"/>
      <c r="Y772" s="123"/>
      <c r="Z772" s="123"/>
      <c r="AA772" s="123"/>
    </row>
    <row r="773">
      <c r="B773" s="160"/>
      <c r="C773" s="160"/>
      <c r="D773" s="123"/>
      <c r="E773" s="123"/>
      <c r="F773" s="123"/>
      <c r="G773" s="123"/>
      <c r="H773" s="123"/>
      <c r="I773" s="123"/>
      <c r="J773" s="123"/>
      <c r="K773" s="123"/>
      <c r="L773" s="123"/>
      <c r="M773" s="123"/>
      <c r="N773" s="123"/>
      <c r="O773" s="123"/>
      <c r="Q773" s="123"/>
      <c r="R773" s="123"/>
      <c r="S773" s="123"/>
      <c r="T773" s="123"/>
      <c r="U773" s="123"/>
      <c r="V773" s="123"/>
      <c r="W773" s="123"/>
      <c r="X773" s="123"/>
      <c r="Y773" s="123"/>
      <c r="Z773" s="123"/>
      <c r="AA773" s="123"/>
    </row>
    <row r="774">
      <c r="B774" s="160"/>
      <c r="C774" s="160"/>
      <c r="D774" s="123"/>
      <c r="E774" s="123"/>
      <c r="F774" s="123"/>
      <c r="G774" s="123"/>
      <c r="H774" s="123"/>
      <c r="I774" s="123"/>
      <c r="J774" s="123"/>
      <c r="K774" s="123"/>
      <c r="L774" s="123"/>
      <c r="M774" s="123"/>
      <c r="N774" s="123"/>
      <c r="O774" s="123"/>
      <c r="Q774" s="123"/>
      <c r="R774" s="123"/>
      <c r="S774" s="123"/>
      <c r="T774" s="123"/>
      <c r="U774" s="123"/>
      <c r="V774" s="123"/>
      <c r="W774" s="123"/>
      <c r="X774" s="123"/>
      <c r="Y774" s="123"/>
      <c r="Z774" s="123"/>
      <c r="AA774" s="123"/>
    </row>
    <row r="775">
      <c r="B775" s="160"/>
      <c r="C775" s="160"/>
      <c r="D775" s="123"/>
      <c r="E775" s="123"/>
      <c r="F775" s="123"/>
      <c r="G775" s="123"/>
      <c r="H775" s="123"/>
      <c r="I775" s="123"/>
      <c r="J775" s="123"/>
      <c r="K775" s="123"/>
      <c r="L775" s="123"/>
      <c r="M775" s="123"/>
      <c r="N775" s="123"/>
      <c r="O775" s="123"/>
      <c r="Q775" s="123"/>
      <c r="R775" s="123"/>
      <c r="S775" s="123"/>
      <c r="T775" s="123"/>
      <c r="U775" s="123"/>
      <c r="V775" s="123"/>
      <c r="W775" s="123"/>
      <c r="X775" s="123"/>
      <c r="Y775" s="123"/>
      <c r="Z775" s="123"/>
      <c r="AA775" s="123"/>
    </row>
    <row r="776">
      <c r="B776" s="160"/>
      <c r="C776" s="160"/>
      <c r="D776" s="123"/>
      <c r="E776" s="123"/>
      <c r="F776" s="123"/>
      <c r="G776" s="123"/>
      <c r="H776" s="123"/>
      <c r="I776" s="123"/>
      <c r="J776" s="123"/>
      <c r="K776" s="123"/>
      <c r="L776" s="123"/>
      <c r="M776" s="123"/>
      <c r="N776" s="123"/>
      <c r="O776" s="123"/>
      <c r="Q776" s="123"/>
      <c r="R776" s="123"/>
      <c r="S776" s="123"/>
      <c r="T776" s="123"/>
      <c r="U776" s="123"/>
      <c r="V776" s="123"/>
      <c r="W776" s="123"/>
      <c r="X776" s="123"/>
      <c r="Y776" s="123"/>
      <c r="Z776" s="123"/>
      <c r="AA776" s="123"/>
    </row>
    <row r="777">
      <c r="B777" s="160"/>
      <c r="C777" s="160"/>
      <c r="D777" s="123"/>
      <c r="E777" s="123"/>
      <c r="F777" s="123"/>
      <c r="G777" s="123"/>
      <c r="H777" s="123"/>
      <c r="I777" s="123"/>
      <c r="J777" s="123"/>
      <c r="K777" s="123"/>
      <c r="L777" s="123"/>
      <c r="M777" s="123"/>
      <c r="N777" s="123"/>
      <c r="O777" s="123"/>
      <c r="Q777" s="123"/>
      <c r="R777" s="123"/>
      <c r="S777" s="123"/>
      <c r="T777" s="123"/>
      <c r="U777" s="123"/>
      <c r="V777" s="123"/>
      <c r="W777" s="123"/>
      <c r="X777" s="123"/>
      <c r="Y777" s="123"/>
      <c r="Z777" s="123"/>
      <c r="AA777" s="123"/>
    </row>
    <row r="778">
      <c r="B778" s="160"/>
      <c r="C778" s="160"/>
      <c r="D778" s="123"/>
      <c r="E778" s="123"/>
      <c r="F778" s="123"/>
      <c r="G778" s="123"/>
      <c r="H778" s="123"/>
      <c r="I778" s="123"/>
      <c r="J778" s="123"/>
      <c r="K778" s="123"/>
      <c r="L778" s="123"/>
      <c r="M778" s="123"/>
      <c r="N778" s="123"/>
      <c r="O778" s="123"/>
      <c r="Q778" s="123"/>
      <c r="R778" s="123"/>
      <c r="S778" s="123"/>
      <c r="T778" s="123"/>
      <c r="U778" s="123"/>
      <c r="V778" s="123"/>
      <c r="W778" s="123"/>
      <c r="X778" s="123"/>
      <c r="Y778" s="123"/>
      <c r="Z778" s="123"/>
      <c r="AA778" s="123"/>
    </row>
    <row r="779">
      <c r="B779" s="160"/>
      <c r="C779" s="160"/>
      <c r="D779" s="123"/>
      <c r="E779" s="123"/>
      <c r="F779" s="123"/>
      <c r="G779" s="123"/>
      <c r="H779" s="123"/>
      <c r="I779" s="123"/>
      <c r="J779" s="123"/>
      <c r="K779" s="123"/>
      <c r="L779" s="123"/>
      <c r="M779" s="123"/>
      <c r="N779" s="123"/>
      <c r="O779" s="123"/>
      <c r="Q779" s="123"/>
      <c r="R779" s="123"/>
      <c r="S779" s="123"/>
      <c r="T779" s="123"/>
      <c r="U779" s="123"/>
      <c r="V779" s="123"/>
      <c r="W779" s="123"/>
      <c r="X779" s="123"/>
      <c r="Y779" s="123"/>
      <c r="Z779" s="123"/>
      <c r="AA779" s="123"/>
    </row>
    <row r="780">
      <c r="B780" s="160"/>
      <c r="C780" s="160"/>
      <c r="D780" s="123"/>
      <c r="E780" s="123"/>
      <c r="F780" s="123"/>
      <c r="G780" s="123"/>
      <c r="H780" s="123"/>
      <c r="I780" s="123"/>
      <c r="J780" s="123"/>
      <c r="K780" s="123"/>
      <c r="L780" s="123"/>
      <c r="M780" s="123"/>
      <c r="N780" s="123"/>
      <c r="O780" s="123"/>
      <c r="Q780" s="123"/>
      <c r="R780" s="123"/>
      <c r="S780" s="123"/>
      <c r="T780" s="123"/>
      <c r="U780" s="123"/>
      <c r="V780" s="123"/>
      <c r="W780" s="123"/>
      <c r="X780" s="123"/>
      <c r="Y780" s="123"/>
      <c r="Z780" s="123"/>
      <c r="AA780" s="123"/>
    </row>
    <row r="781">
      <c r="B781" s="160"/>
      <c r="C781" s="160"/>
      <c r="D781" s="123"/>
      <c r="E781" s="123"/>
      <c r="F781" s="123"/>
      <c r="G781" s="123"/>
      <c r="H781" s="123"/>
      <c r="I781" s="123"/>
      <c r="J781" s="123"/>
      <c r="K781" s="123"/>
      <c r="L781" s="123"/>
      <c r="M781" s="123"/>
      <c r="N781" s="123"/>
      <c r="O781" s="123"/>
      <c r="Q781" s="123"/>
      <c r="R781" s="123"/>
      <c r="S781" s="123"/>
      <c r="T781" s="123"/>
      <c r="U781" s="123"/>
      <c r="V781" s="123"/>
      <c r="W781" s="123"/>
      <c r="X781" s="123"/>
      <c r="Y781" s="123"/>
      <c r="Z781" s="123"/>
      <c r="AA781" s="123"/>
    </row>
    <row r="782">
      <c r="B782" s="160"/>
      <c r="C782" s="160"/>
      <c r="D782" s="123"/>
      <c r="E782" s="123"/>
      <c r="F782" s="123"/>
      <c r="G782" s="123"/>
      <c r="H782" s="123"/>
      <c r="I782" s="123"/>
      <c r="J782" s="123"/>
      <c r="K782" s="123"/>
      <c r="L782" s="123"/>
      <c r="M782" s="123"/>
      <c r="N782" s="123"/>
      <c r="O782" s="123"/>
      <c r="Q782" s="123"/>
      <c r="R782" s="123"/>
      <c r="S782" s="123"/>
      <c r="T782" s="123"/>
      <c r="U782" s="123"/>
      <c r="V782" s="123"/>
      <c r="W782" s="123"/>
      <c r="X782" s="123"/>
      <c r="Y782" s="123"/>
      <c r="Z782" s="123"/>
      <c r="AA782" s="123"/>
    </row>
    <row r="783">
      <c r="B783" s="160"/>
      <c r="C783" s="160"/>
      <c r="D783" s="123"/>
      <c r="E783" s="123"/>
      <c r="F783" s="123"/>
      <c r="G783" s="123"/>
      <c r="H783" s="123"/>
      <c r="I783" s="123"/>
      <c r="J783" s="123"/>
      <c r="K783" s="123"/>
      <c r="L783" s="123"/>
      <c r="M783" s="123"/>
      <c r="N783" s="123"/>
      <c r="O783" s="123"/>
      <c r="Q783" s="123"/>
      <c r="R783" s="123"/>
      <c r="S783" s="123"/>
      <c r="T783" s="123"/>
      <c r="U783" s="123"/>
      <c r="V783" s="123"/>
      <c r="W783" s="123"/>
      <c r="X783" s="123"/>
      <c r="Y783" s="123"/>
      <c r="Z783" s="123"/>
      <c r="AA783" s="123"/>
    </row>
    <row r="784">
      <c r="B784" s="160"/>
      <c r="C784" s="160"/>
      <c r="D784" s="123"/>
      <c r="E784" s="123"/>
      <c r="F784" s="123"/>
      <c r="G784" s="123"/>
      <c r="H784" s="123"/>
      <c r="I784" s="123"/>
      <c r="J784" s="123"/>
      <c r="K784" s="123"/>
      <c r="L784" s="123"/>
      <c r="M784" s="123"/>
      <c r="N784" s="123"/>
      <c r="O784" s="123"/>
      <c r="Q784" s="123"/>
      <c r="R784" s="123"/>
      <c r="S784" s="123"/>
      <c r="T784" s="123"/>
      <c r="U784" s="123"/>
      <c r="V784" s="123"/>
      <c r="W784" s="123"/>
      <c r="X784" s="123"/>
      <c r="Y784" s="123"/>
      <c r="Z784" s="123"/>
      <c r="AA784" s="123"/>
    </row>
    <row r="785">
      <c r="B785" s="160"/>
      <c r="C785" s="160"/>
      <c r="D785" s="123"/>
      <c r="E785" s="123"/>
      <c r="F785" s="123"/>
      <c r="G785" s="123"/>
      <c r="H785" s="123"/>
      <c r="I785" s="123"/>
      <c r="J785" s="123"/>
      <c r="K785" s="123"/>
      <c r="L785" s="123"/>
      <c r="M785" s="123"/>
      <c r="N785" s="123"/>
      <c r="O785" s="123"/>
      <c r="Q785" s="123"/>
      <c r="R785" s="123"/>
      <c r="S785" s="123"/>
      <c r="T785" s="123"/>
      <c r="U785" s="123"/>
      <c r="V785" s="123"/>
      <c r="W785" s="123"/>
      <c r="X785" s="123"/>
      <c r="Y785" s="123"/>
      <c r="Z785" s="123"/>
      <c r="AA785" s="123"/>
    </row>
    <row r="786">
      <c r="B786" s="160"/>
      <c r="C786" s="160"/>
      <c r="D786" s="123"/>
      <c r="E786" s="123"/>
      <c r="F786" s="123"/>
      <c r="G786" s="123"/>
      <c r="H786" s="123"/>
      <c r="I786" s="123"/>
      <c r="J786" s="123"/>
      <c r="K786" s="123"/>
      <c r="L786" s="123"/>
      <c r="M786" s="123"/>
      <c r="N786" s="123"/>
      <c r="O786" s="123"/>
      <c r="Q786" s="123"/>
      <c r="R786" s="123"/>
      <c r="S786" s="123"/>
      <c r="T786" s="123"/>
      <c r="U786" s="123"/>
      <c r="V786" s="123"/>
      <c r="W786" s="123"/>
      <c r="X786" s="123"/>
      <c r="Y786" s="123"/>
      <c r="Z786" s="123"/>
      <c r="AA786" s="123"/>
    </row>
    <row r="787">
      <c r="B787" s="160"/>
      <c r="C787" s="160"/>
      <c r="D787" s="123"/>
      <c r="E787" s="123"/>
      <c r="F787" s="123"/>
      <c r="G787" s="123"/>
      <c r="H787" s="123"/>
      <c r="I787" s="123"/>
      <c r="J787" s="123"/>
      <c r="K787" s="123"/>
      <c r="L787" s="123"/>
      <c r="M787" s="123"/>
      <c r="N787" s="123"/>
      <c r="O787" s="123"/>
      <c r="Q787" s="123"/>
      <c r="R787" s="123"/>
      <c r="S787" s="123"/>
      <c r="T787" s="123"/>
      <c r="U787" s="123"/>
      <c r="V787" s="123"/>
      <c r="W787" s="123"/>
      <c r="X787" s="123"/>
      <c r="Y787" s="123"/>
      <c r="Z787" s="123"/>
      <c r="AA787" s="123"/>
    </row>
    <row r="788">
      <c r="B788" s="160"/>
      <c r="C788" s="160"/>
      <c r="D788" s="123"/>
      <c r="E788" s="123"/>
      <c r="F788" s="123"/>
      <c r="G788" s="123"/>
      <c r="H788" s="123"/>
      <c r="I788" s="123"/>
      <c r="J788" s="123"/>
      <c r="K788" s="123"/>
      <c r="L788" s="123"/>
      <c r="M788" s="123"/>
      <c r="N788" s="123"/>
      <c r="O788" s="123"/>
      <c r="Q788" s="123"/>
      <c r="R788" s="123"/>
      <c r="S788" s="123"/>
      <c r="T788" s="123"/>
      <c r="U788" s="123"/>
      <c r="V788" s="123"/>
      <c r="W788" s="123"/>
      <c r="X788" s="123"/>
      <c r="Y788" s="123"/>
      <c r="Z788" s="123"/>
      <c r="AA788" s="123"/>
    </row>
    <row r="789">
      <c r="B789" s="160"/>
      <c r="C789" s="160"/>
      <c r="D789" s="123"/>
      <c r="E789" s="123"/>
      <c r="F789" s="123"/>
      <c r="G789" s="123"/>
      <c r="H789" s="123"/>
      <c r="I789" s="123"/>
      <c r="J789" s="123"/>
      <c r="K789" s="123"/>
      <c r="L789" s="123"/>
      <c r="M789" s="123"/>
      <c r="N789" s="123"/>
      <c r="O789" s="123"/>
      <c r="Q789" s="123"/>
      <c r="R789" s="123"/>
      <c r="S789" s="123"/>
      <c r="T789" s="123"/>
      <c r="U789" s="123"/>
      <c r="V789" s="123"/>
      <c r="W789" s="123"/>
      <c r="X789" s="123"/>
      <c r="Y789" s="123"/>
      <c r="Z789" s="123"/>
      <c r="AA789" s="123"/>
    </row>
    <row r="790">
      <c r="B790" s="160"/>
      <c r="C790" s="160"/>
      <c r="D790" s="123"/>
      <c r="E790" s="123"/>
      <c r="F790" s="123"/>
      <c r="G790" s="123"/>
      <c r="H790" s="123"/>
      <c r="I790" s="123"/>
      <c r="J790" s="123"/>
      <c r="K790" s="123"/>
      <c r="L790" s="123"/>
      <c r="M790" s="123"/>
      <c r="N790" s="123"/>
      <c r="O790" s="123"/>
      <c r="Q790" s="123"/>
      <c r="R790" s="123"/>
      <c r="S790" s="123"/>
      <c r="T790" s="123"/>
      <c r="U790" s="123"/>
      <c r="V790" s="123"/>
      <c r="W790" s="123"/>
      <c r="X790" s="123"/>
      <c r="Y790" s="123"/>
      <c r="Z790" s="123"/>
      <c r="AA790" s="123"/>
    </row>
    <row r="791">
      <c r="B791" s="160"/>
      <c r="C791" s="160"/>
      <c r="D791" s="123"/>
      <c r="E791" s="123"/>
      <c r="F791" s="123"/>
      <c r="G791" s="123"/>
      <c r="H791" s="123"/>
      <c r="I791" s="123"/>
      <c r="J791" s="123"/>
      <c r="K791" s="123"/>
      <c r="L791" s="123"/>
      <c r="M791" s="123"/>
      <c r="N791" s="123"/>
      <c r="O791" s="123"/>
      <c r="Q791" s="123"/>
      <c r="R791" s="123"/>
      <c r="S791" s="123"/>
      <c r="T791" s="123"/>
      <c r="U791" s="123"/>
      <c r="V791" s="123"/>
      <c r="W791" s="123"/>
      <c r="X791" s="123"/>
      <c r="Y791" s="123"/>
      <c r="Z791" s="123"/>
      <c r="AA791" s="123"/>
    </row>
    <row r="792">
      <c r="B792" s="160"/>
      <c r="C792" s="160"/>
      <c r="D792" s="123"/>
      <c r="E792" s="123"/>
      <c r="F792" s="123"/>
      <c r="G792" s="123"/>
      <c r="H792" s="123"/>
      <c r="I792" s="123"/>
      <c r="J792" s="123"/>
      <c r="K792" s="123"/>
      <c r="L792" s="123"/>
      <c r="M792" s="123"/>
      <c r="N792" s="123"/>
      <c r="O792" s="123"/>
      <c r="Q792" s="123"/>
      <c r="R792" s="123"/>
      <c r="S792" s="123"/>
      <c r="T792" s="123"/>
      <c r="U792" s="123"/>
      <c r="V792" s="123"/>
      <c r="W792" s="123"/>
      <c r="X792" s="123"/>
      <c r="Y792" s="123"/>
      <c r="Z792" s="123"/>
      <c r="AA792" s="123"/>
    </row>
    <row r="793">
      <c r="B793" s="160"/>
      <c r="C793" s="160"/>
      <c r="D793" s="123"/>
      <c r="E793" s="123"/>
      <c r="F793" s="123"/>
      <c r="G793" s="123"/>
      <c r="H793" s="123"/>
      <c r="I793" s="123"/>
      <c r="J793" s="123"/>
      <c r="K793" s="123"/>
      <c r="L793" s="123"/>
      <c r="M793" s="123"/>
      <c r="N793" s="123"/>
      <c r="O793" s="123"/>
      <c r="Q793" s="123"/>
      <c r="R793" s="123"/>
      <c r="S793" s="123"/>
      <c r="T793" s="123"/>
      <c r="U793" s="123"/>
      <c r="V793" s="123"/>
      <c r="W793" s="123"/>
      <c r="X793" s="123"/>
      <c r="Y793" s="123"/>
      <c r="Z793" s="123"/>
      <c r="AA793" s="123"/>
    </row>
    <row r="794">
      <c r="B794" s="160"/>
      <c r="C794" s="160"/>
      <c r="D794" s="123"/>
      <c r="E794" s="123"/>
      <c r="F794" s="123"/>
      <c r="G794" s="123"/>
      <c r="H794" s="123"/>
      <c r="I794" s="123"/>
      <c r="J794" s="123"/>
      <c r="K794" s="123"/>
      <c r="L794" s="123"/>
      <c r="M794" s="123"/>
      <c r="N794" s="123"/>
      <c r="O794" s="123"/>
      <c r="Q794" s="123"/>
      <c r="R794" s="123"/>
      <c r="S794" s="123"/>
      <c r="T794" s="123"/>
      <c r="U794" s="123"/>
      <c r="V794" s="123"/>
      <c r="W794" s="123"/>
      <c r="X794" s="123"/>
      <c r="Y794" s="123"/>
      <c r="Z794" s="123"/>
      <c r="AA794" s="123"/>
    </row>
    <row r="795">
      <c r="B795" s="160"/>
      <c r="C795" s="160"/>
      <c r="D795" s="123"/>
      <c r="E795" s="123"/>
      <c r="F795" s="123"/>
      <c r="G795" s="123"/>
      <c r="H795" s="123"/>
      <c r="I795" s="123"/>
      <c r="J795" s="123"/>
      <c r="K795" s="123"/>
      <c r="L795" s="123"/>
      <c r="M795" s="123"/>
      <c r="N795" s="123"/>
      <c r="O795" s="123"/>
      <c r="Q795" s="123"/>
      <c r="R795" s="123"/>
      <c r="S795" s="123"/>
      <c r="T795" s="123"/>
      <c r="U795" s="123"/>
      <c r="V795" s="123"/>
      <c r="W795" s="123"/>
      <c r="X795" s="123"/>
      <c r="Y795" s="123"/>
      <c r="Z795" s="123"/>
      <c r="AA795" s="123"/>
    </row>
    <row r="796">
      <c r="B796" s="160"/>
      <c r="C796" s="160"/>
      <c r="D796" s="123"/>
      <c r="E796" s="123"/>
      <c r="F796" s="123"/>
      <c r="G796" s="123"/>
      <c r="H796" s="123"/>
      <c r="I796" s="123"/>
      <c r="J796" s="123"/>
      <c r="K796" s="123"/>
      <c r="L796" s="123"/>
      <c r="M796" s="123"/>
      <c r="N796" s="123"/>
      <c r="O796" s="123"/>
      <c r="Q796" s="123"/>
      <c r="R796" s="123"/>
      <c r="S796" s="123"/>
      <c r="T796" s="123"/>
      <c r="U796" s="123"/>
      <c r="V796" s="123"/>
      <c r="W796" s="123"/>
      <c r="X796" s="123"/>
      <c r="Y796" s="123"/>
      <c r="Z796" s="123"/>
      <c r="AA796" s="123"/>
    </row>
    <row r="797">
      <c r="B797" s="160"/>
      <c r="C797" s="160"/>
      <c r="D797" s="123"/>
      <c r="E797" s="123"/>
      <c r="F797" s="123"/>
      <c r="G797" s="123"/>
      <c r="H797" s="123"/>
      <c r="I797" s="123"/>
      <c r="J797" s="123"/>
      <c r="K797" s="123"/>
      <c r="L797" s="123"/>
      <c r="M797" s="123"/>
      <c r="N797" s="123"/>
      <c r="O797" s="123"/>
      <c r="Q797" s="123"/>
      <c r="R797" s="123"/>
      <c r="S797" s="123"/>
      <c r="T797" s="123"/>
      <c r="U797" s="123"/>
      <c r="V797" s="123"/>
      <c r="W797" s="123"/>
      <c r="X797" s="123"/>
      <c r="Y797" s="123"/>
      <c r="Z797" s="123"/>
      <c r="AA797" s="123"/>
    </row>
    <row r="798">
      <c r="B798" s="160"/>
      <c r="C798" s="160"/>
      <c r="D798" s="123"/>
      <c r="E798" s="123"/>
      <c r="F798" s="123"/>
      <c r="G798" s="123"/>
      <c r="H798" s="123"/>
      <c r="I798" s="123"/>
      <c r="J798" s="123"/>
      <c r="K798" s="123"/>
      <c r="L798" s="123"/>
      <c r="M798" s="123"/>
      <c r="N798" s="123"/>
      <c r="O798" s="123"/>
      <c r="Q798" s="123"/>
      <c r="R798" s="123"/>
      <c r="S798" s="123"/>
      <c r="T798" s="123"/>
      <c r="U798" s="123"/>
      <c r="V798" s="123"/>
      <c r="W798" s="123"/>
      <c r="X798" s="123"/>
      <c r="Y798" s="123"/>
      <c r="Z798" s="123"/>
      <c r="AA798" s="123"/>
    </row>
    <row r="799">
      <c r="B799" s="160"/>
      <c r="C799" s="160"/>
      <c r="D799" s="123"/>
      <c r="E799" s="123"/>
      <c r="F799" s="123"/>
      <c r="G799" s="123"/>
      <c r="H799" s="123"/>
      <c r="I799" s="123"/>
      <c r="J799" s="123"/>
      <c r="K799" s="123"/>
      <c r="L799" s="123"/>
      <c r="M799" s="123"/>
      <c r="N799" s="123"/>
      <c r="O799" s="123"/>
      <c r="Q799" s="123"/>
      <c r="R799" s="123"/>
      <c r="S799" s="123"/>
      <c r="T799" s="123"/>
      <c r="U799" s="123"/>
      <c r="V799" s="123"/>
      <c r="W799" s="123"/>
      <c r="X799" s="123"/>
      <c r="Y799" s="123"/>
      <c r="Z799" s="123"/>
      <c r="AA799" s="123"/>
    </row>
    <row r="800">
      <c r="B800" s="160"/>
      <c r="C800" s="160"/>
      <c r="D800" s="123"/>
      <c r="E800" s="123"/>
      <c r="F800" s="123"/>
      <c r="G800" s="123"/>
      <c r="H800" s="123"/>
      <c r="I800" s="123"/>
      <c r="J800" s="123"/>
      <c r="K800" s="123"/>
      <c r="L800" s="123"/>
      <c r="M800" s="123"/>
      <c r="N800" s="123"/>
      <c r="O800" s="123"/>
      <c r="Q800" s="123"/>
      <c r="R800" s="123"/>
      <c r="S800" s="123"/>
      <c r="T800" s="123"/>
      <c r="U800" s="123"/>
      <c r="V800" s="123"/>
      <c r="W800" s="123"/>
      <c r="X800" s="123"/>
      <c r="Y800" s="123"/>
      <c r="Z800" s="123"/>
      <c r="AA800" s="123"/>
    </row>
    <row r="801">
      <c r="B801" s="160"/>
      <c r="C801" s="160"/>
      <c r="D801" s="123"/>
      <c r="E801" s="123"/>
      <c r="F801" s="123"/>
      <c r="G801" s="123"/>
      <c r="H801" s="123"/>
      <c r="I801" s="123"/>
      <c r="J801" s="123"/>
      <c r="K801" s="123"/>
      <c r="L801" s="123"/>
      <c r="M801" s="123"/>
      <c r="N801" s="123"/>
      <c r="O801" s="123"/>
      <c r="Q801" s="123"/>
      <c r="R801" s="123"/>
      <c r="S801" s="123"/>
      <c r="T801" s="123"/>
      <c r="U801" s="123"/>
      <c r="V801" s="123"/>
      <c r="W801" s="123"/>
      <c r="X801" s="123"/>
      <c r="Y801" s="123"/>
      <c r="Z801" s="123"/>
      <c r="AA801" s="123"/>
    </row>
    <row r="802">
      <c r="B802" s="160"/>
      <c r="C802" s="160"/>
      <c r="D802" s="123"/>
      <c r="E802" s="123"/>
      <c r="F802" s="123"/>
      <c r="G802" s="123"/>
      <c r="H802" s="123"/>
      <c r="I802" s="123"/>
      <c r="J802" s="123"/>
      <c r="K802" s="123"/>
      <c r="L802" s="123"/>
      <c r="M802" s="123"/>
      <c r="N802" s="123"/>
      <c r="O802" s="123"/>
      <c r="Q802" s="123"/>
      <c r="R802" s="123"/>
      <c r="S802" s="123"/>
      <c r="T802" s="123"/>
      <c r="U802" s="123"/>
      <c r="V802" s="123"/>
      <c r="W802" s="123"/>
      <c r="X802" s="123"/>
      <c r="Y802" s="123"/>
      <c r="Z802" s="123"/>
      <c r="AA802" s="123"/>
    </row>
    <row r="803">
      <c r="B803" s="160"/>
      <c r="C803" s="160"/>
      <c r="D803" s="123"/>
      <c r="E803" s="123"/>
      <c r="F803" s="123"/>
      <c r="G803" s="123"/>
      <c r="H803" s="123"/>
      <c r="I803" s="123"/>
      <c r="J803" s="123"/>
      <c r="K803" s="123"/>
      <c r="L803" s="123"/>
      <c r="M803" s="123"/>
      <c r="N803" s="123"/>
      <c r="O803" s="123"/>
      <c r="Q803" s="123"/>
      <c r="R803" s="123"/>
      <c r="S803" s="123"/>
      <c r="T803" s="123"/>
      <c r="U803" s="123"/>
      <c r="V803" s="123"/>
      <c r="W803" s="123"/>
      <c r="X803" s="123"/>
      <c r="Y803" s="123"/>
      <c r="Z803" s="123"/>
      <c r="AA803" s="123"/>
    </row>
    <row r="804">
      <c r="B804" s="160"/>
      <c r="C804" s="160"/>
      <c r="D804" s="123"/>
      <c r="E804" s="123"/>
      <c r="F804" s="123"/>
      <c r="G804" s="123"/>
      <c r="H804" s="123"/>
      <c r="I804" s="123"/>
      <c r="J804" s="123"/>
      <c r="K804" s="123"/>
      <c r="L804" s="123"/>
      <c r="M804" s="123"/>
      <c r="N804" s="123"/>
      <c r="O804" s="123"/>
      <c r="Q804" s="123"/>
      <c r="R804" s="123"/>
      <c r="S804" s="123"/>
      <c r="T804" s="123"/>
      <c r="U804" s="123"/>
      <c r="V804" s="123"/>
      <c r="W804" s="123"/>
      <c r="X804" s="123"/>
      <c r="Y804" s="123"/>
      <c r="Z804" s="123"/>
      <c r="AA804" s="123"/>
    </row>
    <row r="805">
      <c r="B805" s="160"/>
      <c r="C805" s="160"/>
      <c r="D805" s="123"/>
      <c r="E805" s="123"/>
      <c r="F805" s="123"/>
      <c r="G805" s="123"/>
      <c r="H805" s="123"/>
      <c r="I805" s="123"/>
      <c r="J805" s="123"/>
      <c r="K805" s="123"/>
      <c r="L805" s="123"/>
      <c r="M805" s="123"/>
      <c r="N805" s="123"/>
      <c r="O805" s="123"/>
      <c r="Q805" s="123"/>
      <c r="R805" s="123"/>
      <c r="S805" s="123"/>
      <c r="T805" s="123"/>
      <c r="U805" s="123"/>
      <c r="V805" s="123"/>
      <c r="W805" s="123"/>
      <c r="X805" s="123"/>
      <c r="Y805" s="123"/>
      <c r="Z805" s="123"/>
      <c r="AA805" s="123"/>
    </row>
    <row r="806">
      <c r="B806" s="160"/>
      <c r="C806" s="160"/>
      <c r="D806" s="123"/>
      <c r="E806" s="123"/>
      <c r="F806" s="123"/>
      <c r="G806" s="123"/>
      <c r="H806" s="123"/>
      <c r="I806" s="123"/>
      <c r="J806" s="123"/>
      <c r="K806" s="123"/>
      <c r="L806" s="123"/>
      <c r="M806" s="123"/>
      <c r="N806" s="123"/>
      <c r="O806" s="123"/>
      <c r="Q806" s="123"/>
      <c r="R806" s="123"/>
      <c r="S806" s="123"/>
      <c r="T806" s="123"/>
      <c r="U806" s="123"/>
      <c r="V806" s="123"/>
      <c r="W806" s="123"/>
      <c r="X806" s="123"/>
      <c r="Y806" s="123"/>
      <c r="Z806" s="123"/>
      <c r="AA806" s="123"/>
    </row>
    <row r="807">
      <c r="B807" s="160"/>
      <c r="C807" s="160"/>
      <c r="D807" s="123"/>
      <c r="E807" s="123"/>
      <c r="F807" s="123"/>
      <c r="G807" s="123"/>
      <c r="H807" s="123"/>
      <c r="I807" s="123"/>
      <c r="J807" s="123"/>
      <c r="K807" s="123"/>
      <c r="L807" s="123"/>
      <c r="M807" s="123"/>
      <c r="N807" s="123"/>
      <c r="O807" s="123"/>
      <c r="Q807" s="123"/>
      <c r="R807" s="123"/>
      <c r="S807" s="123"/>
      <c r="T807" s="123"/>
      <c r="U807" s="123"/>
      <c r="V807" s="123"/>
      <c r="W807" s="123"/>
      <c r="X807" s="123"/>
      <c r="Y807" s="123"/>
      <c r="Z807" s="123"/>
      <c r="AA807" s="123"/>
    </row>
    <row r="808">
      <c r="B808" s="160"/>
      <c r="C808" s="160"/>
      <c r="D808" s="123"/>
      <c r="E808" s="123"/>
      <c r="F808" s="123"/>
      <c r="G808" s="123"/>
      <c r="H808" s="123"/>
      <c r="I808" s="123"/>
      <c r="J808" s="123"/>
      <c r="K808" s="123"/>
      <c r="L808" s="123"/>
      <c r="M808" s="123"/>
      <c r="N808" s="123"/>
      <c r="O808" s="123"/>
      <c r="Q808" s="123"/>
      <c r="R808" s="123"/>
      <c r="S808" s="123"/>
      <c r="T808" s="123"/>
      <c r="U808" s="123"/>
      <c r="V808" s="123"/>
      <c r="W808" s="123"/>
      <c r="X808" s="123"/>
      <c r="Y808" s="123"/>
      <c r="Z808" s="123"/>
      <c r="AA808" s="123"/>
    </row>
    <row r="809">
      <c r="B809" s="160"/>
      <c r="C809" s="160"/>
      <c r="D809" s="123"/>
      <c r="E809" s="123"/>
      <c r="F809" s="123"/>
      <c r="G809" s="123"/>
      <c r="H809" s="123"/>
      <c r="I809" s="123"/>
      <c r="J809" s="123"/>
      <c r="K809" s="123"/>
      <c r="L809" s="123"/>
      <c r="M809" s="123"/>
      <c r="N809" s="123"/>
      <c r="O809" s="123"/>
      <c r="Q809" s="123"/>
      <c r="R809" s="123"/>
      <c r="S809" s="123"/>
      <c r="T809" s="123"/>
      <c r="U809" s="123"/>
      <c r="V809" s="123"/>
      <c r="W809" s="123"/>
      <c r="X809" s="123"/>
      <c r="Y809" s="123"/>
      <c r="Z809" s="123"/>
      <c r="AA809" s="123"/>
    </row>
    <row r="810">
      <c r="B810" s="160"/>
      <c r="C810" s="160"/>
      <c r="D810" s="123"/>
      <c r="E810" s="123"/>
      <c r="F810" s="123"/>
      <c r="G810" s="123"/>
      <c r="H810" s="123"/>
      <c r="I810" s="123"/>
      <c r="J810" s="123"/>
      <c r="K810" s="123"/>
      <c r="L810" s="123"/>
      <c r="M810" s="123"/>
      <c r="N810" s="123"/>
      <c r="O810" s="123"/>
      <c r="Q810" s="123"/>
      <c r="R810" s="123"/>
      <c r="S810" s="123"/>
      <c r="T810" s="123"/>
      <c r="U810" s="123"/>
      <c r="V810" s="123"/>
      <c r="W810" s="123"/>
      <c r="X810" s="123"/>
      <c r="Y810" s="123"/>
      <c r="Z810" s="123"/>
      <c r="AA810" s="123"/>
    </row>
    <row r="811">
      <c r="B811" s="160"/>
      <c r="C811" s="160"/>
      <c r="D811" s="123"/>
      <c r="E811" s="123"/>
      <c r="F811" s="123"/>
      <c r="G811" s="123"/>
      <c r="H811" s="123"/>
      <c r="I811" s="123"/>
      <c r="J811" s="123"/>
      <c r="K811" s="123"/>
      <c r="L811" s="123"/>
      <c r="M811" s="123"/>
      <c r="N811" s="123"/>
      <c r="O811" s="123"/>
      <c r="Q811" s="123"/>
      <c r="R811" s="123"/>
      <c r="S811" s="123"/>
      <c r="T811" s="123"/>
      <c r="U811" s="123"/>
      <c r="V811" s="123"/>
      <c r="W811" s="123"/>
      <c r="X811" s="123"/>
      <c r="Y811" s="123"/>
      <c r="Z811" s="123"/>
      <c r="AA811" s="123"/>
    </row>
    <row r="812">
      <c r="B812" s="160"/>
      <c r="C812" s="160"/>
      <c r="D812" s="123"/>
      <c r="E812" s="123"/>
      <c r="F812" s="123"/>
      <c r="G812" s="123"/>
      <c r="H812" s="123"/>
      <c r="I812" s="123"/>
      <c r="J812" s="123"/>
      <c r="K812" s="123"/>
      <c r="L812" s="123"/>
      <c r="M812" s="123"/>
      <c r="N812" s="123"/>
      <c r="O812" s="123"/>
      <c r="Q812" s="123"/>
      <c r="R812" s="123"/>
      <c r="S812" s="123"/>
      <c r="T812" s="123"/>
      <c r="U812" s="123"/>
      <c r="V812" s="123"/>
      <c r="W812" s="123"/>
      <c r="X812" s="123"/>
      <c r="Y812" s="123"/>
      <c r="Z812" s="123"/>
      <c r="AA812" s="123"/>
    </row>
    <row r="813">
      <c r="B813" s="160"/>
      <c r="C813" s="160"/>
      <c r="D813" s="123"/>
      <c r="E813" s="123"/>
      <c r="F813" s="123"/>
      <c r="G813" s="123"/>
      <c r="H813" s="123"/>
      <c r="I813" s="123"/>
      <c r="J813" s="123"/>
      <c r="K813" s="123"/>
      <c r="L813" s="123"/>
      <c r="M813" s="123"/>
      <c r="N813" s="123"/>
      <c r="O813" s="123"/>
      <c r="Q813" s="123"/>
      <c r="R813" s="123"/>
      <c r="S813" s="123"/>
      <c r="T813" s="123"/>
      <c r="U813" s="123"/>
      <c r="V813" s="123"/>
      <c r="W813" s="123"/>
      <c r="X813" s="123"/>
      <c r="Y813" s="123"/>
      <c r="Z813" s="123"/>
      <c r="AA813" s="123"/>
    </row>
    <row r="814">
      <c r="B814" s="160"/>
      <c r="C814" s="160"/>
      <c r="D814" s="123"/>
      <c r="E814" s="123"/>
      <c r="F814" s="123"/>
      <c r="G814" s="123"/>
      <c r="H814" s="123"/>
      <c r="I814" s="123"/>
      <c r="J814" s="123"/>
      <c r="K814" s="123"/>
      <c r="L814" s="123"/>
      <c r="M814" s="123"/>
      <c r="N814" s="123"/>
      <c r="O814" s="123"/>
      <c r="Q814" s="123"/>
      <c r="R814" s="123"/>
      <c r="S814" s="123"/>
      <c r="T814" s="123"/>
      <c r="U814" s="123"/>
      <c r="V814" s="123"/>
      <c r="W814" s="123"/>
      <c r="X814" s="123"/>
      <c r="Y814" s="123"/>
      <c r="Z814" s="123"/>
      <c r="AA814" s="123"/>
    </row>
    <row r="815">
      <c r="B815" s="160"/>
      <c r="C815" s="160"/>
      <c r="D815" s="123"/>
      <c r="E815" s="123"/>
      <c r="F815" s="123"/>
      <c r="G815" s="123"/>
      <c r="H815" s="123"/>
      <c r="I815" s="123"/>
      <c r="J815" s="123"/>
      <c r="K815" s="123"/>
      <c r="L815" s="123"/>
      <c r="M815" s="123"/>
      <c r="N815" s="123"/>
      <c r="O815" s="123"/>
      <c r="Q815" s="123"/>
      <c r="R815" s="123"/>
      <c r="S815" s="123"/>
      <c r="T815" s="123"/>
      <c r="U815" s="123"/>
      <c r="V815" s="123"/>
      <c r="W815" s="123"/>
      <c r="X815" s="123"/>
      <c r="Y815" s="123"/>
      <c r="Z815" s="123"/>
      <c r="AA815" s="123"/>
    </row>
    <row r="816">
      <c r="B816" s="160"/>
      <c r="C816" s="160"/>
      <c r="D816" s="123"/>
      <c r="E816" s="123"/>
      <c r="F816" s="123"/>
      <c r="G816" s="123"/>
      <c r="H816" s="123"/>
      <c r="I816" s="123"/>
      <c r="J816" s="123"/>
      <c r="K816" s="123"/>
      <c r="L816" s="123"/>
      <c r="M816" s="123"/>
      <c r="N816" s="123"/>
      <c r="O816" s="123"/>
      <c r="Q816" s="123"/>
      <c r="R816" s="123"/>
      <c r="S816" s="123"/>
      <c r="T816" s="123"/>
      <c r="U816" s="123"/>
      <c r="V816" s="123"/>
      <c r="W816" s="123"/>
      <c r="X816" s="123"/>
      <c r="Y816" s="123"/>
      <c r="Z816" s="123"/>
      <c r="AA816" s="123"/>
    </row>
    <row r="817">
      <c r="B817" s="160"/>
      <c r="C817" s="160"/>
      <c r="D817" s="123"/>
      <c r="E817" s="123"/>
      <c r="F817" s="123"/>
      <c r="G817" s="123"/>
      <c r="H817" s="123"/>
      <c r="I817" s="123"/>
      <c r="J817" s="123"/>
      <c r="K817" s="123"/>
      <c r="L817" s="123"/>
      <c r="M817" s="123"/>
      <c r="N817" s="123"/>
      <c r="O817" s="123"/>
      <c r="Q817" s="123"/>
      <c r="R817" s="123"/>
      <c r="S817" s="123"/>
      <c r="T817" s="123"/>
      <c r="U817" s="123"/>
      <c r="V817" s="123"/>
      <c r="W817" s="123"/>
      <c r="X817" s="123"/>
      <c r="Y817" s="123"/>
      <c r="Z817" s="123"/>
      <c r="AA817" s="123"/>
    </row>
    <row r="818">
      <c r="B818" s="160"/>
      <c r="C818" s="160"/>
      <c r="D818" s="123"/>
      <c r="E818" s="123"/>
      <c r="F818" s="123"/>
      <c r="G818" s="123"/>
      <c r="H818" s="123"/>
      <c r="I818" s="123"/>
      <c r="J818" s="123"/>
      <c r="K818" s="123"/>
      <c r="L818" s="123"/>
      <c r="M818" s="123"/>
      <c r="N818" s="123"/>
      <c r="O818" s="123"/>
      <c r="Q818" s="123"/>
      <c r="R818" s="123"/>
      <c r="S818" s="123"/>
      <c r="T818" s="123"/>
      <c r="U818" s="123"/>
      <c r="V818" s="123"/>
      <c r="W818" s="123"/>
      <c r="X818" s="123"/>
      <c r="Y818" s="123"/>
      <c r="Z818" s="123"/>
      <c r="AA818" s="123"/>
    </row>
    <row r="819">
      <c r="B819" s="160"/>
      <c r="C819" s="160"/>
      <c r="D819" s="123"/>
      <c r="E819" s="123"/>
      <c r="F819" s="123"/>
      <c r="G819" s="123"/>
      <c r="H819" s="123"/>
      <c r="I819" s="123"/>
      <c r="J819" s="123"/>
      <c r="K819" s="123"/>
      <c r="L819" s="123"/>
      <c r="M819" s="123"/>
      <c r="N819" s="123"/>
      <c r="O819" s="123"/>
      <c r="Q819" s="123"/>
      <c r="R819" s="123"/>
      <c r="S819" s="123"/>
      <c r="T819" s="123"/>
      <c r="U819" s="123"/>
      <c r="V819" s="123"/>
      <c r="W819" s="123"/>
      <c r="X819" s="123"/>
      <c r="Y819" s="123"/>
      <c r="Z819" s="123"/>
      <c r="AA819" s="123"/>
    </row>
    <row r="820">
      <c r="B820" s="160"/>
      <c r="C820" s="160"/>
      <c r="D820" s="123"/>
      <c r="E820" s="123"/>
      <c r="F820" s="123"/>
      <c r="G820" s="123"/>
      <c r="H820" s="123"/>
      <c r="I820" s="123"/>
      <c r="J820" s="123"/>
      <c r="K820" s="123"/>
      <c r="L820" s="123"/>
      <c r="M820" s="123"/>
      <c r="N820" s="123"/>
      <c r="O820" s="123"/>
      <c r="Q820" s="123"/>
      <c r="R820" s="123"/>
      <c r="S820" s="123"/>
      <c r="T820" s="123"/>
      <c r="U820" s="123"/>
      <c r="V820" s="123"/>
      <c r="W820" s="123"/>
      <c r="X820" s="123"/>
      <c r="Y820" s="123"/>
      <c r="Z820" s="123"/>
      <c r="AA820" s="123"/>
    </row>
    <row r="821">
      <c r="B821" s="160"/>
      <c r="C821" s="160"/>
      <c r="D821" s="123"/>
      <c r="E821" s="123"/>
      <c r="F821" s="123"/>
      <c r="G821" s="123"/>
      <c r="H821" s="123"/>
      <c r="I821" s="123"/>
      <c r="J821" s="123"/>
      <c r="K821" s="123"/>
      <c r="L821" s="123"/>
      <c r="M821" s="123"/>
      <c r="N821" s="123"/>
      <c r="O821" s="123"/>
      <c r="Q821" s="123"/>
      <c r="R821" s="123"/>
      <c r="S821" s="123"/>
      <c r="T821" s="123"/>
      <c r="U821" s="123"/>
      <c r="V821" s="123"/>
      <c r="W821" s="123"/>
      <c r="X821" s="123"/>
      <c r="Y821" s="123"/>
      <c r="Z821" s="123"/>
      <c r="AA821" s="123"/>
    </row>
    <row r="822">
      <c r="B822" s="160"/>
      <c r="C822" s="160"/>
      <c r="D822" s="123"/>
      <c r="E822" s="123"/>
      <c r="F822" s="123"/>
      <c r="G822" s="123"/>
      <c r="H822" s="123"/>
      <c r="I822" s="123"/>
      <c r="J822" s="123"/>
      <c r="K822" s="123"/>
      <c r="L822" s="123"/>
      <c r="M822" s="123"/>
      <c r="N822" s="123"/>
      <c r="O822" s="123"/>
      <c r="Q822" s="123"/>
      <c r="R822" s="123"/>
      <c r="S822" s="123"/>
      <c r="T822" s="123"/>
      <c r="U822" s="123"/>
      <c r="V822" s="123"/>
      <c r="W822" s="123"/>
      <c r="X822" s="123"/>
      <c r="Y822" s="123"/>
      <c r="Z822" s="123"/>
      <c r="AA822" s="123"/>
    </row>
    <row r="823">
      <c r="B823" s="160"/>
      <c r="C823" s="160"/>
      <c r="D823" s="123"/>
      <c r="E823" s="123"/>
      <c r="F823" s="123"/>
      <c r="G823" s="123"/>
      <c r="H823" s="123"/>
      <c r="I823" s="123"/>
      <c r="J823" s="123"/>
      <c r="K823" s="123"/>
      <c r="L823" s="123"/>
      <c r="M823" s="123"/>
      <c r="N823" s="123"/>
      <c r="O823" s="123"/>
      <c r="Q823" s="123"/>
      <c r="R823" s="123"/>
      <c r="S823" s="123"/>
      <c r="T823" s="123"/>
      <c r="U823" s="123"/>
      <c r="V823" s="123"/>
      <c r="W823" s="123"/>
      <c r="X823" s="123"/>
      <c r="Y823" s="123"/>
      <c r="Z823" s="123"/>
      <c r="AA823" s="123"/>
    </row>
    <row r="824">
      <c r="B824" s="160"/>
      <c r="C824" s="160"/>
      <c r="D824" s="123"/>
      <c r="E824" s="123"/>
      <c r="F824" s="123"/>
      <c r="G824" s="123"/>
      <c r="H824" s="123"/>
      <c r="I824" s="123"/>
      <c r="J824" s="123"/>
      <c r="K824" s="123"/>
      <c r="L824" s="123"/>
      <c r="M824" s="123"/>
      <c r="N824" s="123"/>
      <c r="O824" s="123"/>
      <c r="Q824" s="123"/>
      <c r="R824" s="123"/>
      <c r="S824" s="123"/>
      <c r="T824" s="123"/>
      <c r="U824" s="123"/>
      <c r="V824" s="123"/>
      <c r="W824" s="123"/>
      <c r="X824" s="123"/>
      <c r="Y824" s="123"/>
      <c r="Z824" s="123"/>
      <c r="AA824" s="123"/>
    </row>
    <row r="825">
      <c r="B825" s="160"/>
      <c r="C825" s="160"/>
      <c r="D825" s="123"/>
      <c r="E825" s="123"/>
      <c r="F825" s="123"/>
      <c r="G825" s="123"/>
      <c r="H825" s="123"/>
      <c r="I825" s="123"/>
      <c r="J825" s="123"/>
      <c r="K825" s="123"/>
      <c r="L825" s="123"/>
      <c r="M825" s="123"/>
      <c r="N825" s="123"/>
      <c r="O825" s="123"/>
      <c r="Q825" s="123"/>
      <c r="R825" s="123"/>
      <c r="S825" s="123"/>
      <c r="T825" s="123"/>
      <c r="U825" s="123"/>
      <c r="V825" s="123"/>
      <c r="W825" s="123"/>
      <c r="X825" s="123"/>
      <c r="Y825" s="123"/>
      <c r="Z825" s="123"/>
      <c r="AA825" s="123"/>
    </row>
    <row r="826">
      <c r="B826" s="160"/>
      <c r="C826" s="160"/>
      <c r="D826" s="123"/>
      <c r="E826" s="123"/>
      <c r="F826" s="123"/>
      <c r="G826" s="123"/>
      <c r="H826" s="123"/>
      <c r="I826" s="123"/>
      <c r="J826" s="123"/>
      <c r="K826" s="123"/>
      <c r="L826" s="123"/>
      <c r="M826" s="123"/>
      <c r="N826" s="123"/>
      <c r="O826" s="123"/>
      <c r="Q826" s="123"/>
      <c r="R826" s="123"/>
      <c r="S826" s="123"/>
      <c r="T826" s="123"/>
      <c r="U826" s="123"/>
      <c r="V826" s="123"/>
      <c r="W826" s="123"/>
      <c r="X826" s="123"/>
      <c r="Y826" s="123"/>
      <c r="Z826" s="123"/>
      <c r="AA826" s="123"/>
    </row>
    <row r="827">
      <c r="B827" s="160"/>
      <c r="C827" s="160"/>
      <c r="D827" s="123"/>
      <c r="E827" s="123"/>
      <c r="F827" s="123"/>
      <c r="G827" s="123"/>
      <c r="H827" s="123"/>
      <c r="I827" s="123"/>
      <c r="J827" s="123"/>
      <c r="K827" s="123"/>
      <c r="L827" s="123"/>
      <c r="M827" s="123"/>
      <c r="N827" s="123"/>
      <c r="O827" s="123"/>
      <c r="Q827" s="123"/>
      <c r="R827" s="123"/>
      <c r="S827" s="123"/>
      <c r="T827" s="123"/>
      <c r="U827" s="123"/>
      <c r="V827" s="123"/>
      <c r="W827" s="123"/>
      <c r="X827" s="123"/>
      <c r="Y827" s="123"/>
      <c r="Z827" s="123"/>
      <c r="AA827" s="123"/>
    </row>
    <row r="828">
      <c r="B828" s="160"/>
      <c r="C828" s="160"/>
      <c r="D828" s="123"/>
      <c r="E828" s="123"/>
      <c r="F828" s="123"/>
      <c r="G828" s="123"/>
      <c r="H828" s="123"/>
      <c r="I828" s="123"/>
      <c r="J828" s="123"/>
      <c r="K828" s="123"/>
      <c r="L828" s="123"/>
      <c r="M828" s="123"/>
      <c r="N828" s="123"/>
      <c r="O828" s="123"/>
      <c r="Q828" s="123"/>
      <c r="R828" s="123"/>
      <c r="S828" s="123"/>
      <c r="T828" s="123"/>
      <c r="U828" s="123"/>
      <c r="V828" s="123"/>
      <c r="W828" s="123"/>
      <c r="X828" s="123"/>
      <c r="Y828" s="123"/>
      <c r="Z828" s="123"/>
      <c r="AA828" s="123"/>
    </row>
    <row r="829">
      <c r="B829" s="160"/>
      <c r="C829" s="160"/>
      <c r="D829" s="123"/>
      <c r="E829" s="123"/>
      <c r="F829" s="123"/>
      <c r="G829" s="123"/>
      <c r="H829" s="123"/>
      <c r="I829" s="123"/>
      <c r="J829" s="123"/>
      <c r="K829" s="123"/>
      <c r="L829" s="123"/>
      <c r="M829" s="123"/>
      <c r="N829" s="123"/>
      <c r="O829" s="123"/>
      <c r="Q829" s="123"/>
      <c r="R829" s="123"/>
      <c r="S829" s="123"/>
      <c r="T829" s="123"/>
      <c r="U829" s="123"/>
      <c r="V829" s="123"/>
      <c r="W829" s="123"/>
      <c r="X829" s="123"/>
      <c r="Y829" s="123"/>
      <c r="Z829" s="123"/>
      <c r="AA829" s="123"/>
    </row>
    <row r="830">
      <c r="B830" s="160"/>
      <c r="C830" s="160"/>
      <c r="D830" s="123"/>
      <c r="E830" s="123"/>
      <c r="F830" s="123"/>
      <c r="G830" s="123"/>
      <c r="H830" s="123"/>
      <c r="I830" s="123"/>
      <c r="J830" s="123"/>
      <c r="K830" s="123"/>
      <c r="L830" s="123"/>
      <c r="M830" s="123"/>
      <c r="N830" s="123"/>
      <c r="O830" s="123"/>
      <c r="Q830" s="123"/>
      <c r="R830" s="123"/>
      <c r="S830" s="123"/>
      <c r="T830" s="123"/>
      <c r="U830" s="123"/>
      <c r="V830" s="123"/>
      <c r="W830" s="123"/>
      <c r="X830" s="123"/>
      <c r="Y830" s="123"/>
      <c r="Z830" s="123"/>
      <c r="AA830" s="123"/>
    </row>
    <row r="831">
      <c r="B831" s="160"/>
      <c r="C831" s="160"/>
      <c r="D831" s="123"/>
      <c r="E831" s="123"/>
      <c r="F831" s="123"/>
      <c r="G831" s="123"/>
      <c r="H831" s="123"/>
      <c r="I831" s="123"/>
      <c r="J831" s="123"/>
      <c r="K831" s="123"/>
      <c r="L831" s="123"/>
      <c r="M831" s="123"/>
      <c r="N831" s="123"/>
      <c r="O831" s="123"/>
      <c r="Q831" s="123"/>
      <c r="R831" s="123"/>
      <c r="S831" s="123"/>
      <c r="T831" s="123"/>
      <c r="U831" s="123"/>
      <c r="V831" s="123"/>
      <c r="W831" s="123"/>
      <c r="X831" s="123"/>
      <c r="Y831" s="123"/>
      <c r="Z831" s="123"/>
      <c r="AA831" s="123"/>
    </row>
    <row r="832">
      <c r="B832" s="160"/>
      <c r="C832" s="160"/>
      <c r="D832" s="123"/>
      <c r="E832" s="123"/>
      <c r="F832" s="123"/>
      <c r="G832" s="123"/>
      <c r="H832" s="123"/>
      <c r="I832" s="123"/>
      <c r="J832" s="123"/>
      <c r="K832" s="123"/>
      <c r="L832" s="123"/>
      <c r="M832" s="123"/>
      <c r="N832" s="123"/>
      <c r="O832" s="123"/>
      <c r="Q832" s="123"/>
      <c r="R832" s="123"/>
      <c r="S832" s="123"/>
      <c r="T832" s="123"/>
      <c r="U832" s="123"/>
      <c r="V832" s="123"/>
      <c r="W832" s="123"/>
      <c r="X832" s="123"/>
      <c r="Y832" s="123"/>
      <c r="Z832" s="123"/>
      <c r="AA832" s="123"/>
    </row>
    <row r="833">
      <c r="B833" s="160"/>
      <c r="C833" s="160"/>
      <c r="D833" s="123"/>
      <c r="E833" s="123"/>
      <c r="F833" s="123"/>
      <c r="G833" s="123"/>
      <c r="H833" s="123"/>
      <c r="I833" s="123"/>
      <c r="J833" s="123"/>
      <c r="K833" s="123"/>
      <c r="L833" s="123"/>
      <c r="M833" s="123"/>
      <c r="N833" s="123"/>
      <c r="O833" s="123"/>
      <c r="Q833" s="123"/>
      <c r="R833" s="123"/>
      <c r="S833" s="123"/>
      <c r="T833" s="123"/>
      <c r="U833" s="123"/>
      <c r="V833" s="123"/>
      <c r="W833" s="123"/>
      <c r="X833" s="123"/>
      <c r="Y833" s="123"/>
      <c r="Z833" s="123"/>
      <c r="AA833" s="123"/>
    </row>
    <row r="834">
      <c r="B834" s="160"/>
      <c r="C834" s="160"/>
      <c r="D834" s="123"/>
      <c r="E834" s="123"/>
      <c r="F834" s="123"/>
      <c r="G834" s="123"/>
      <c r="H834" s="123"/>
      <c r="I834" s="123"/>
      <c r="J834" s="123"/>
      <c r="K834" s="123"/>
      <c r="L834" s="123"/>
      <c r="M834" s="123"/>
      <c r="N834" s="123"/>
      <c r="O834" s="123"/>
      <c r="Q834" s="123"/>
      <c r="R834" s="123"/>
      <c r="S834" s="123"/>
      <c r="T834" s="123"/>
      <c r="U834" s="123"/>
      <c r="V834" s="123"/>
      <c r="W834" s="123"/>
      <c r="X834" s="123"/>
      <c r="Y834" s="123"/>
      <c r="Z834" s="123"/>
      <c r="AA834" s="123"/>
    </row>
    <row r="835">
      <c r="B835" s="160"/>
      <c r="C835" s="160"/>
      <c r="D835" s="123"/>
      <c r="E835" s="123"/>
      <c r="F835" s="123"/>
      <c r="G835" s="123"/>
      <c r="H835" s="123"/>
      <c r="I835" s="123"/>
      <c r="J835" s="123"/>
      <c r="K835" s="123"/>
      <c r="L835" s="123"/>
      <c r="M835" s="123"/>
      <c r="N835" s="123"/>
      <c r="O835" s="123"/>
      <c r="Q835" s="123"/>
      <c r="R835" s="123"/>
      <c r="S835" s="123"/>
      <c r="T835" s="123"/>
      <c r="U835" s="123"/>
      <c r="V835" s="123"/>
      <c r="W835" s="123"/>
      <c r="X835" s="123"/>
      <c r="Y835" s="123"/>
      <c r="Z835" s="123"/>
      <c r="AA835" s="123"/>
    </row>
    <row r="836">
      <c r="B836" s="160"/>
      <c r="C836" s="160"/>
      <c r="D836" s="123"/>
      <c r="E836" s="123"/>
      <c r="F836" s="123"/>
      <c r="G836" s="123"/>
      <c r="H836" s="123"/>
      <c r="I836" s="123"/>
      <c r="J836" s="123"/>
      <c r="K836" s="123"/>
      <c r="L836" s="123"/>
      <c r="M836" s="123"/>
      <c r="N836" s="123"/>
      <c r="O836" s="123"/>
      <c r="Q836" s="123"/>
      <c r="R836" s="123"/>
      <c r="S836" s="123"/>
      <c r="T836" s="123"/>
      <c r="U836" s="123"/>
      <c r="V836" s="123"/>
      <c r="W836" s="123"/>
      <c r="X836" s="123"/>
      <c r="Y836" s="123"/>
      <c r="Z836" s="123"/>
      <c r="AA836" s="123"/>
    </row>
    <row r="837">
      <c r="B837" s="160"/>
      <c r="C837" s="160"/>
      <c r="D837" s="123"/>
      <c r="E837" s="123"/>
      <c r="F837" s="123"/>
      <c r="G837" s="123"/>
      <c r="H837" s="123"/>
      <c r="I837" s="123"/>
      <c r="J837" s="123"/>
      <c r="K837" s="123"/>
      <c r="L837" s="123"/>
      <c r="M837" s="123"/>
      <c r="N837" s="123"/>
      <c r="O837" s="123"/>
      <c r="Q837" s="123"/>
      <c r="R837" s="123"/>
      <c r="S837" s="123"/>
      <c r="T837" s="123"/>
      <c r="U837" s="123"/>
      <c r="V837" s="123"/>
      <c r="W837" s="123"/>
      <c r="X837" s="123"/>
      <c r="Y837" s="123"/>
      <c r="Z837" s="123"/>
      <c r="AA837" s="123"/>
    </row>
    <row r="838">
      <c r="B838" s="160"/>
      <c r="C838" s="160"/>
      <c r="D838" s="123"/>
      <c r="E838" s="123"/>
      <c r="F838" s="123"/>
      <c r="G838" s="123"/>
      <c r="H838" s="123"/>
      <c r="I838" s="123"/>
      <c r="J838" s="123"/>
      <c r="K838" s="123"/>
      <c r="L838" s="123"/>
      <c r="M838" s="123"/>
      <c r="N838" s="123"/>
      <c r="O838" s="123"/>
      <c r="Q838" s="123"/>
      <c r="R838" s="123"/>
      <c r="S838" s="123"/>
      <c r="T838" s="123"/>
      <c r="U838" s="123"/>
      <c r="V838" s="123"/>
      <c r="W838" s="123"/>
      <c r="X838" s="123"/>
      <c r="Y838" s="123"/>
      <c r="Z838" s="123"/>
      <c r="AA838" s="123"/>
    </row>
    <row r="839">
      <c r="B839" s="160"/>
      <c r="C839" s="160"/>
      <c r="D839" s="123"/>
      <c r="E839" s="123"/>
      <c r="F839" s="123"/>
      <c r="G839" s="123"/>
      <c r="H839" s="123"/>
      <c r="I839" s="123"/>
      <c r="J839" s="123"/>
      <c r="K839" s="123"/>
      <c r="L839" s="123"/>
      <c r="M839" s="123"/>
      <c r="N839" s="123"/>
      <c r="O839" s="123"/>
      <c r="Q839" s="123"/>
      <c r="R839" s="123"/>
      <c r="S839" s="123"/>
      <c r="T839" s="123"/>
      <c r="U839" s="123"/>
      <c r="V839" s="123"/>
      <c r="W839" s="123"/>
      <c r="X839" s="123"/>
      <c r="Y839" s="123"/>
      <c r="Z839" s="123"/>
      <c r="AA839" s="123"/>
    </row>
    <row r="840">
      <c r="B840" s="160"/>
      <c r="C840" s="160"/>
      <c r="D840" s="123"/>
      <c r="E840" s="123"/>
      <c r="F840" s="123"/>
      <c r="G840" s="123"/>
      <c r="H840" s="123"/>
      <c r="I840" s="123"/>
      <c r="J840" s="123"/>
      <c r="K840" s="123"/>
      <c r="L840" s="123"/>
      <c r="M840" s="123"/>
      <c r="N840" s="123"/>
      <c r="O840" s="123"/>
      <c r="Q840" s="123"/>
      <c r="R840" s="123"/>
      <c r="S840" s="123"/>
      <c r="T840" s="123"/>
      <c r="U840" s="123"/>
      <c r="V840" s="123"/>
      <c r="W840" s="123"/>
      <c r="X840" s="123"/>
      <c r="Y840" s="123"/>
      <c r="Z840" s="123"/>
      <c r="AA840" s="123"/>
    </row>
    <row r="841">
      <c r="B841" s="160"/>
      <c r="C841" s="160"/>
      <c r="D841" s="123"/>
      <c r="E841" s="123"/>
      <c r="F841" s="123"/>
      <c r="G841" s="123"/>
      <c r="H841" s="123"/>
      <c r="I841" s="123"/>
      <c r="J841" s="123"/>
      <c r="K841" s="123"/>
      <c r="L841" s="123"/>
      <c r="M841" s="123"/>
      <c r="N841" s="123"/>
      <c r="O841" s="123"/>
      <c r="Q841" s="123"/>
      <c r="R841" s="123"/>
      <c r="S841" s="123"/>
      <c r="T841" s="123"/>
      <c r="U841" s="123"/>
      <c r="V841" s="123"/>
      <c r="W841" s="123"/>
      <c r="X841" s="123"/>
      <c r="Y841" s="123"/>
      <c r="Z841" s="123"/>
      <c r="AA841" s="123"/>
    </row>
    <row r="842">
      <c r="B842" s="160"/>
      <c r="C842" s="160"/>
      <c r="D842" s="123"/>
      <c r="E842" s="123"/>
      <c r="F842" s="123"/>
      <c r="G842" s="123"/>
      <c r="H842" s="123"/>
      <c r="I842" s="123"/>
      <c r="J842" s="123"/>
      <c r="K842" s="123"/>
      <c r="L842" s="123"/>
      <c r="M842" s="123"/>
      <c r="N842" s="123"/>
      <c r="O842" s="123"/>
      <c r="Q842" s="123"/>
      <c r="R842" s="123"/>
      <c r="S842" s="123"/>
      <c r="T842" s="123"/>
      <c r="U842" s="123"/>
      <c r="V842" s="123"/>
      <c r="W842" s="123"/>
      <c r="X842" s="123"/>
      <c r="Y842" s="123"/>
      <c r="Z842" s="123"/>
      <c r="AA842" s="123"/>
    </row>
    <row r="843">
      <c r="B843" s="160"/>
      <c r="C843" s="160"/>
      <c r="D843" s="123"/>
      <c r="E843" s="123"/>
      <c r="F843" s="123"/>
      <c r="G843" s="123"/>
      <c r="H843" s="123"/>
      <c r="I843" s="123"/>
      <c r="J843" s="123"/>
      <c r="K843" s="123"/>
      <c r="L843" s="123"/>
      <c r="M843" s="123"/>
      <c r="N843" s="123"/>
      <c r="O843" s="123"/>
      <c r="Q843" s="123"/>
      <c r="R843" s="123"/>
      <c r="S843" s="123"/>
      <c r="T843" s="123"/>
      <c r="U843" s="123"/>
      <c r="V843" s="123"/>
      <c r="W843" s="123"/>
      <c r="X843" s="123"/>
      <c r="Y843" s="123"/>
      <c r="Z843" s="123"/>
      <c r="AA843" s="123"/>
    </row>
    <row r="844">
      <c r="B844" s="160"/>
      <c r="C844" s="160"/>
      <c r="D844" s="123"/>
      <c r="E844" s="123"/>
      <c r="F844" s="123"/>
      <c r="G844" s="123"/>
      <c r="H844" s="123"/>
      <c r="I844" s="123"/>
      <c r="J844" s="123"/>
      <c r="K844" s="123"/>
      <c r="L844" s="123"/>
      <c r="M844" s="123"/>
      <c r="N844" s="123"/>
      <c r="O844" s="123"/>
      <c r="Q844" s="123"/>
      <c r="R844" s="123"/>
      <c r="S844" s="123"/>
      <c r="T844" s="123"/>
      <c r="U844" s="123"/>
      <c r="V844" s="123"/>
      <c r="W844" s="123"/>
      <c r="X844" s="123"/>
      <c r="Y844" s="123"/>
      <c r="Z844" s="123"/>
      <c r="AA844" s="123"/>
    </row>
    <row r="845">
      <c r="B845" s="160"/>
      <c r="C845" s="160"/>
      <c r="D845" s="123"/>
      <c r="E845" s="123"/>
      <c r="F845" s="123"/>
      <c r="G845" s="123"/>
      <c r="H845" s="123"/>
      <c r="I845" s="123"/>
      <c r="J845" s="123"/>
      <c r="K845" s="123"/>
      <c r="L845" s="123"/>
      <c r="M845" s="123"/>
      <c r="N845" s="123"/>
      <c r="O845" s="123"/>
      <c r="Q845" s="123"/>
      <c r="R845" s="123"/>
      <c r="S845" s="123"/>
      <c r="T845" s="123"/>
      <c r="U845" s="123"/>
      <c r="V845" s="123"/>
      <c r="W845" s="123"/>
      <c r="X845" s="123"/>
      <c r="Y845" s="123"/>
      <c r="Z845" s="123"/>
      <c r="AA845" s="123"/>
    </row>
    <row r="846">
      <c r="B846" s="160"/>
      <c r="C846" s="160"/>
      <c r="D846" s="123"/>
      <c r="E846" s="123"/>
      <c r="F846" s="123"/>
      <c r="G846" s="123"/>
      <c r="H846" s="123"/>
      <c r="I846" s="123"/>
      <c r="J846" s="123"/>
      <c r="K846" s="123"/>
      <c r="L846" s="123"/>
      <c r="M846" s="123"/>
      <c r="N846" s="123"/>
      <c r="O846" s="123"/>
      <c r="Q846" s="123"/>
      <c r="R846" s="123"/>
      <c r="S846" s="123"/>
      <c r="T846" s="123"/>
      <c r="U846" s="123"/>
      <c r="V846" s="123"/>
      <c r="W846" s="123"/>
      <c r="X846" s="123"/>
      <c r="Y846" s="123"/>
      <c r="Z846" s="123"/>
      <c r="AA846" s="123"/>
    </row>
    <row r="847">
      <c r="B847" s="160"/>
      <c r="C847" s="160"/>
      <c r="D847" s="123"/>
      <c r="E847" s="123"/>
      <c r="F847" s="123"/>
      <c r="G847" s="123"/>
      <c r="H847" s="123"/>
      <c r="I847" s="123"/>
      <c r="J847" s="123"/>
      <c r="K847" s="123"/>
      <c r="L847" s="123"/>
      <c r="M847" s="123"/>
      <c r="N847" s="123"/>
      <c r="O847" s="123"/>
      <c r="Q847" s="123"/>
      <c r="R847" s="123"/>
      <c r="S847" s="123"/>
      <c r="T847" s="123"/>
      <c r="U847" s="123"/>
      <c r="V847" s="123"/>
      <c r="W847" s="123"/>
      <c r="X847" s="123"/>
      <c r="Y847" s="123"/>
      <c r="Z847" s="123"/>
      <c r="AA847" s="123"/>
    </row>
    <row r="848">
      <c r="B848" s="160"/>
      <c r="C848" s="160"/>
      <c r="D848" s="123"/>
      <c r="E848" s="123"/>
      <c r="F848" s="123"/>
      <c r="G848" s="123"/>
      <c r="H848" s="123"/>
      <c r="I848" s="123"/>
      <c r="J848" s="123"/>
      <c r="K848" s="123"/>
      <c r="L848" s="123"/>
      <c r="M848" s="123"/>
      <c r="N848" s="123"/>
      <c r="O848" s="123"/>
      <c r="Q848" s="123"/>
      <c r="R848" s="123"/>
      <c r="S848" s="123"/>
      <c r="T848" s="123"/>
      <c r="U848" s="123"/>
      <c r="V848" s="123"/>
      <c r="W848" s="123"/>
      <c r="X848" s="123"/>
      <c r="Y848" s="123"/>
      <c r="Z848" s="123"/>
      <c r="AA848" s="123"/>
    </row>
    <row r="849">
      <c r="B849" s="160"/>
      <c r="C849" s="160"/>
      <c r="D849" s="123"/>
      <c r="E849" s="123"/>
      <c r="F849" s="123"/>
      <c r="G849" s="123"/>
      <c r="H849" s="123"/>
      <c r="I849" s="123"/>
      <c r="J849" s="123"/>
      <c r="K849" s="123"/>
      <c r="L849" s="123"/>
      <c r="M849" s="123"/>
      <c r="N849" s="123"/>
      <c r="O849" s="123"/>
      <c r="Q849" s="123"/>
      <c r="R849" s="123"/>
      <c r="S849" s="123"/>
      <c r="T849" s="123"/>
      <c r="U849" s="123"/>
      <c r="V849" s="123"/>
      <c r="W849" s="123"/>
      <c r="X849" s="123"/>
      <c r="Y849" s="123"/>
      <c r="Z849" s="123"/>
      <c r="AA849" s="123"/>
    </row>
    <row r="850">
      <c r="B850" s="160"/>
      <c r="C850" s="160"/>
      <c r="D850" s="123"/>
      <c r="E850" s="123"/>
      <c r="F850" s="123"/>
      <c r="G850" s="123"/>
      <c r="H850" s="123"/>
      <c r="I850" s="123"/>
      <c r="J850" s="123"/>
      <c r="K850" s="123"/>
      <c r="L850" s="123"/>
      <c r="M850" s="123"/>
      <c r="N850" s="123"/>
      <c r="O850" s="123"/>
      <c r="Q850" s="123"/>
      <c r="R850" s="123"/>
      <c r="S850" s="123"/>
      <c r="T850" s="123"/>
      <c r="U850" s="123"/>
      <c r="V850" s="123"/>
      <c r="W850" s="123"/>
      <c r="X850" s="123"/>
      <c r="Y850" s="123"/>
      <c r="Z850" s="123"/>
      <c r="AA850" s="123"/>
    </row>
    <row r="851">
      <c r="B851" s="160"/>
      <c r="C851" s="160"/>
      <c r="D851" s="123"/>
      <c r="E851" s="123"/>
      <c r="F851" s="123"/>
      <c r="G851" s="123"/>
      <c r="H851" s="123"/>
      <c r="I851" s="123"/>
      <c r="J851" s="123"/>
      <c r="K851" s="123"/>
      <c r="L851" s="123"/>
      <c r="M851" s="123"/>
      <c r="N851" s="123"/>
      <c r="O851" s="123"/>
      <c r="Q851" s="123"/>
      <c r="R851" s="123"/>
      <c r="S851" s="123"/>
      <c r="T851" s="123"/>
      <c r="U851" s="123"/>
      <c r="V851" s="123"/>
      <c r="W851" s="123"/>
      <c r="X851" s="123"/>
      <c r="Y851" s="123"/>
      <c r="Z851" s="123"/>
      <c r="AA851" s="123"/>
    </row>
    <row r="852">
      <c r="B852" s="160"/>
      <c r="C852" s="160"/>
      <c r="D852" s="123"/>
      <c r="E852" s="123"/>
      <c r="F852" s="123"/>
      <c r="G852" s="123"/>
      <c r="H852" s="123"/>
      <c r="I852" s="123"/>
      <c r="J852" s="123"/>
      <c r="K852" s="123"/>
      <c r="L852" s="123"/>
      <c r="M852" s="123"/>
      <c r="N852" s="123"/>
      <c r="O852" s="123"/>
      <c r="Q852" s="123"/>
      <c r="R852" s="123"/>
      <c r="S852" s="123"/>
      <c r="T852" s="123"/>
      <c r="U852" s="123"/>
      <c r="V852" s="123"/>
      <c r="W852" s="123"/>
      <c r="X852" s="123"/>
      <c r="Y852" s="123"/>
      <c r="Z852" s="123"/>
      <c r="AA852" s="123"/>
    </row>
    <row r="853">
      <c r="B853" s="160"/>
      <c r="C853" s="160"/>
      <c r="D853" s="123"/>
      <c r="E853" s="123"/>
      <c r="F853" s="123"/>
      <c r="G853" s="123"/>
      <c r="H853" s="123"/>
      <c r="I853" s="123"/>
      <c r="J853" s="123"/>
      <c r="K853" s="123"/>
      <c r="L853" s="123"/>
      <c r="M853" s="123"/>
      <c r="N853" s="123"/>
      <c r="O853" s="123"/>
      <c r="Q853" s="123"/>
      <c r="R853" s="123"/>
      <c r="S853" s="123"/>
      <c r="T853" s="123"/>
      <c r="U853" s="123"/>
      <c r="V853" s="123"/>
      <c r="W853" s="123"/>
      <c r="X853" s="123"/>
      <c r="Y853" s="123"/>
      <c r="Z853" s="123"/>
      <c r="AA853" s="123"/>
    </row>
    <row r="854">
      <c r="B854" s="160"/>
      <c r="C854" s="160"/>
      <c r="D854" s="123"/>
      <c r="E854" s="123"/>
      <c r="F854" s="123"/>
      <c r="G854" s="123"/>
      <c r="H854" s="123"/>
      <c r="I854" s="123"/>
      <c r="J854" s="123"/>
      <c r="K854" s="123"/>
      <c r="L854" s="123"/>
      <c r="M854" s="123"/>
      <c r="N854" s="123"/>
      <c r="O854" s="123"/>
      <c r="Q854" s="123"/>
      <c r="R854" s="123"/>
      <c r="S854" s="123"/>
      <c r="T854" s="123"/>
      <c r="U854" s="123"/>
      <c r="V854" s="123"/>
      <c r="W854" s="123"/>
      <c r="X854" s="123"/>
      <c r="Y854" s="123"/>
      <c r="Z854" s="123"/>
      <c r="AA854" s="123"/>
    </row>
    <row r="855">
      <c r="B855" s="160"/>
      <c r="C855" s="160"/>
      <c r="D855" s="123"/>
      <c r="E855" s="123"/>
      <c r="F855" s="123"/>
      <c r="G855" s="123"/>
      <c r="H855" s="123"/>
      <c r="I855" s="123"/>
      <c r="J855" s="123"/>
      <c r="K855" s="123"/>
      <c r="L855" s="123"/>
      <c r="M855" s="123"/>
      <c r="N855" s="123"/>
      <c r="O855" s="123"/>
      <c r="Q855" s="123"/>
      <c r="R855" s="123"/>
      <c r="S855" s="123"/>
      <c r="T855" s="123"/>
      <c r="U855" s="123"/>
      <c r="V855" s="123"/>
      <c r="W855" s="123"/>
      <c r="X855" s="123"/>
      <c r="Y855" s="123"/>
      <c r="Z855" s="123"/>
      <c r="AA855" s="123"/>
    </row>
    <row r="856">
      <c r="B856" s="160"/>
      <c r="C856" s="160"/>
      <c r="D856" s="123"/>
      <c r="E856" s="123"/>
      <c r="F856" s="123"/>
      <c r="G856" s="123"/>
      <c r="H856" s="123"/>
      <c r="I856" s="123"/>
      <c r="J856" s="123"/>
      <c r="K856" s="123"/>
      <c r="L856" s="123"/>
      <c r="M856" s="123"/>
      <c r="N856" s="123"/>
      <c r="O856" s="123"/>
      <c r="Q856" s="123"/>
      <c r="R856" s="123"/>
      <c r="S856" s="123"/>
      <c r="T856" s="123"/>
      <c r="U856" s="123"/>
      <c r="V856" s="123"/>
      <c r="W856" s="123"/>
      <c r="X856" s="123"/>
      <c r="Y856" s="123"/>
      <c r="Z856" s="123"/>
      <c r="AA856" s="123"/>
    </row>
    <row r="857">
      <c r="B857" s="160"/>
      <c r="C857" s="160"/>
      <c r="D857" s="123"/>
      <c r="E857" s="123"/>
      <c r="F857" s="123"/>
      <c r="G857" s="123"/>
      <c r="H857" s="123"/>
      <c r="I857" s="123"/>
      <c r="J857" s="123"/>
      <c r="K857" s="123"/>
      <c r="L857" s="123"/>
      <c r="M857" s="123"/>
      <c r="N857" s="123"/>
      <c r="O857" s="123"/>
      <c r="Q857" s="123"/>
      <c r="R857" s="123"/>
      <c r="S857" s="123"/>
      <c r="T857" s="123"/>
      <c r="U857" s="123"/>
      <c r="V857" s="123"/>
      <c r="W857" s="123"/>
      <c r="X857" s="123"/>
      <c r="Y857" s="123"/>
      <c r="Z857" s="123"/>
      <c r="AA857" s="123"/>
    </row>
    <row r="858">
      <c r="B858" s="160"/>
      <c r="C858" s="160"/>
      <c r="D858" s="123"/>
      <c r="E858" s="123"/>
      <c r="F858" s="123"/>
      <c r="G858" s="123"/>
      <c r="H858" s="123"/>
      <c r="I858" s="123"/>
      <c r="J858" s="123"/>
      <c r="K858" s="123"/>
      <c r="L858" s="123"/>
      <c r="M858" s="123"/>
      <c r="N858" s="123"/>
      <c r="O858" s="123"/>
      <c r="Q858" s="123"/>
      <c r="R858" s="123"/>
      <c r="S858" s="123"/>
      <c r="T858" s="123"/>
      <c r="U858" s="123"/>
      <c r="V858" s="123"/>
      <c r="W858" s="123"/>
      <c r="X858" s="123"/>
      <c r="Y858" s="123"/>
      <c r="Z858" s="123"/>
      <c r="AA858" s="123"/>
    </row>
    <row r="859">
      <c r="B859" s="160"/>
      <c r="C859" s="160"/>
      <c r="D859" s="123"/>
      <c r="E859" s="123"/>
      <c r="F859" s="123"/>
      <c r="G859" s="123"/>
      <c r="H859" s="123"/>
      <c r="I859" s="123"/>
      <c r="J859" s="123"/>
      <c r="K859" s="123"/>
      <c r="L859" s="123"/>
      <c r="M859" s="123"/>
      <c r="N859" s="123"/>
      <c r="O859" s="123"/>
      <c r="Q859" s="123"/>
      <c r="R859" s="123"/>
      <c r="S859" s="123"/>
      <c r="T859" s="123"/>
      <c r="U859" s="123"/>
      <c r="V859" s="123"/>
      <c r="W859" s="123"/>
      <c r="X859" s="123"/>
      <c r="Y859" s="123"/>
      <c r="Z859" s="123"/>
      <c r="AA859" s="123"/>
    </row>
    <row r="860">
      <c r="B860" s="160"/>
      <c r="C860" s="160"/>
      <c r="D860" s="123"/>
      <c r="E860" s="123"/>
      <c r="F860" s="123"/>
      <c r="G860" s="123"/>
      <c r="H860" s="123"/>
      <c r="I860" s="123"/>
      <c r="J860" s="123"/>
      <c r="K860" s="123"/>
      <c r="L860" s="123"/>
      <c r="M860" s="123"/>
      <c r="N860" s="123"/>
      <c r="O860" s="123"/>
      <c r="Q860" s="123"/>
      <c r="R860" s="123"/>
      <c r="S860" s="123"/>
      <c r="T860" s="123"/>
      <c r="U860" s="123"/>
      <c r="V860" s="123"/>
      <c r="W860" s="123"/>
      <c r="X860" s="123"/>
      <c r="Y860" s="123"/>
      <c r="Z860" s="123"/>
      <c r="AA860" s="123"/>
    </row>
    <row r="861">
      <c r="B861" s="160"/>
      <c r="C861" s="160"/>
      <c r="D861" s="123"/>
      <c r="E861" s="123"/>
      <c r="F861" s="123"/>
      <c r="G861" s="123"/>
      <c r="H861" s="123"/>
      <c r="I861" s="123"/>
      <c r="J861" s="123"/>
      <c r="K861" s="123"/>
      <c r="L861" s="123"/>
      <c r="M861" s="123"/>
      <c r="N861" s="123"/>
      <c r="O861" s="123"/>
      <c r="Q861" s="123"/>
      <c r="R861" s="123"/>
      <c r="S861" s="123"/>
      <c r="T861" s="123"/>
      <c r="U861" s="123"/>
      <c r="V861" s="123"/>
      <c r="W861" s="123"/>
      <c r="X861" s="123"/>
      <c r="Y861" s="123"/>
      <c r="Z861" s="123"/>
      <c r="AA861" s="123"/>
    </row>
    <row r="862">
      <c r="B862" s="160"/>
      <c r="C862" s="160"/>
      <c r="D862" s="123"/>
      <c r="E862" s="123"/>
      <c r="F862" s="123"/>
      <c r="G862" s="123"/>
      <c r="H862" s="123"/>
      <c r="I862" s="123"/>
      <c r="J862" s="123"/>
      <c r="K862" s="123"/>
      <c r="L862" s="123"/>
      <c r="M862" s="123"/>
      <c r="N862" s="123"/>
      <c r="O862" s="123"/>
      <c r="Q862" s="123"/>
      <c r="R862" s="123"/>
      <c r="S862" s="123"/>
      <c r="T862" s="123"/>
      <c r="U862" s="123"/>
      <c r="V862" s="123"/>
      <c r="W862" s="123"/>
      <c r="X862" s="123"/>
      <c r="Y862" s="123"/>
      <c r="Z862" s="123"/>
      <c r="AA862" s="123"/>
    </row>
    <row r="863">
      <c r="B863" s="160"/>
      <c r="C863" s="160"/>
      <c r="D863" s="123"/>
      <c r="E863" s="123"/>
      <c r="F863" s="123"/>
      <c r="G863" s="123"/>
      <c r="H863" s="123"/>
      <c r="I863" s="123"/>
      <c r="J863" s="123"/>
      <c r="K863" s="123"/>
      <c r="L863" s="123"/>
      <c r="M863" s="123"/>
      <c r="N863" s="123"/>
      <c r="O863" s="123"/>
      <c r="Q863" s="123"/>
      <c r="R863" s="123"/>
      <c r="S863" s="123"/>
      <c r="T863" s="123"/>
      <c r="U863" s="123"/>
      <c r="V863" s="123"/>
      <c r="W863" s="123"/>
      <c r="X863" s="123"/>
      <c r="Y863" s="123"/>
      <c r="Z863" s="123"/>
      <c r="AA863" s="123"/>
    </row>
    <row r="864">
      <c r="B864" s="160"/>
      <c r="C864" s="160"/>
      <c r="D864" s="123"/>
      <c r="E864" s="123"/>
      <c r="F864" s="123"/>
      <c r="G864" s="123"/>
      <c r="H864" s="123"/>
      <c r="I864" s="123"/>
      <c r="J864" s="123"/>
      <c r="K864" s="123"/>
      <c r="L864" s="123"/>
      <c r="M864" s="123"/>
      <c r="N864" s="123"/>
      <c r="O864" s="123"/>
      <c r="Q864" s="123"/>
      <c r="R864" s="123"/>
      <c r="S864" s="123"/>
      <c r="T864" s="123"/>
      <c r="U864" s="123"/>
      <c r="V864" s="123"/>
      <c r="W864" s="123"/>
      <c r="X864" s="123"/>
      <c r="Y864" s="123"/>
      <c r="Z864" s="123"/>
      <c r="AA864" s="123"/>
    </row>
    <row r="865">
      <c r="B865" s="160"/>
      <c r="C865" s="160"/>
      <c r="D865" s="123"/>
      <c r="E865" s="123"/>
      <c r="F865" s="123"/>
      <c r="G865" s="123"/>
      <c r="H865" s="123"/>
      <c r="I865" s="123"/>
      <c r="J865" s="123"/>
      <c r="K865" s="123"/>
      <c r="L865" s="123"/>
      <c r="M865" s="123"/>
      <c r="N865" s="123"/>
      <c r="O865" s="123"/>
      <c r="Q865" s="123"/>
      <c r="R865" s="123"/>
      <c r="S865" s="123"/>
      <c r="T865" s="123"/>
      <c r="U865" s="123"/>
      <c r="V865" s="123"/>
      <c r="W865" s="123"/>
      <c r="X865" s="123"/>
      <c r="Y865" s="123"/>
      <c r="Z865" s="123"/>
      <c r="AA865" s="123"/>
    </row>
    <row r="866">
      <c r="B866" s="160"/>
      <c r="C866" s="160"/>
      <c r="D866" s="123"/>
      <c r="E866" s="123"/>
      <c r="F866" s="123"/>
      <c r="G866" s="123"/>
      <c r="H866" s="123"/>
      <c r="I866" s="123"/>
      <c r="J866" s="123"/>
      <c r="K866" s="123"/>
      <c r="L866" s="123"/>
      <c r="M866" s="123"/>
      <c r="N866" s="123"/>
      <c r="O866" s="123"/>
      <c r="Q866" s="123"/>
      <c r="R866" s="123"/>
      <c r="S866" s="123"/>
      <c r="T866" s="123"/>
      <c r="U866" s="123"/>
      <c r="V866" s="123"/>
      <c r="W866" s="123"/>
      <c r="X866" s="123"/>
      <c r="Y866" s="123"/>
      <c r="Z866" s="123"/>
      <c r="AA866" s="123"/>
    </row>
    <row r="867">
      <c r="B867" s="160"/>
      <c r="C867" s="160"/>
      <c r="D867" s="123"/>
      <c r="E867" s="123"/>
      <c r="F867" s="123"/>
      <c r="G867" s="123"/>
      <c r="H867" s="123"/>
      <c r="I867" s="123"/>
      <c r="J867" s="123"/>
      <c r="K867" s="123"/>
      <c r="L867" s="123"/>
      <c r="M867" s="123"/>
      <c r="N867" s="123"/>
      <c r="O867" s="123"/>
      <c r="Q867" s="123"/>
      <c r="R867" s="123"/>
      <c r="S867" s="123"/>
      <c r="T867" s="123"/>
      <c r="U867" s="123"/>
      <c r="V867" s="123"/>
      <c r="W867" s="123"/>
      <c r="X867" s="123"/>
      <c r="Y867" s="123"/>
      <c r="Z867" s="123"/>
      <c r="AA867" s="123"/>
    </row>
    <row r="868">
      <c r="B868" s="160"/>
      <c r="C868" s="160"/>
      <c r="D868" s="123"/>
      <c r="E868" s="123"/>
      <c r="F868" s="123"/>
      <c r="G868" s="123"/>
      <c r="H868" s="123"/>
      <c r="I868" s="123"/>
      <c r="J868" s="123"/>
      <c r="K868" s="123"/>
      <c r="L868" s="123"/>
      <c r="M868" s="123"/>
      <c r="N868" s="123"/>
      <c r="O868" s="123"/>
      <c r="Q868" s="123"/>
      <c r="R868" s="123"/>
      <c r="S868" s="123"/>
      <c r="T868" s="123"/>
      <c r="U868" s="123"/>
      <c r="V868" s="123"/>
      <c r="W868" s="123"/>
      <c r="X868" s="123"/>
      <c r="Y868" s="123"/>
      <c r="Z868" s="123"/>
      <c r="AA868" s="123"/>
    </row>
    <row r="869">
      <c r="B869" s="160"/>
      <c r="C869" s="160"/>
      <c r="D869" s="123"/>
      <c r="E869" s="123"/>
      <c r="F869" s="123"/>
      <c r="G869" s="123"/>
      <c r="H869" s="123"/>
      <c r="I869" s="123"/>
      <c r="J869" s="123"/>
      <c r="K869" s="123"/>
      <c r="L869" s="123"/>
      <c r="M869" s="123"/>
      <c r="N869" s="123"/>
      <c r="O869" s="123"/>
      <c r="Q869" s="123"/>
      <c r="R869" s="123"/>
      <c r="S869" s="123"/>
      <c r="T869" s="123"/>
      <c r="U869" s="123"/>
      <c r="V869" s="123"/>
      <c r="W869" s="123"/>
      <c r="X869" s="123"/>
      <c r="Y869" s="123"/>
      <c r="Z869" s="123"/>
      <c r="AA869" s="123"/>
    </row>
    <row r="870">
      <c r="B870" s="160"/>
      <c r="C870" s="160"/>
      <c r="D870" s="123"/>
      <c r="E870" s="123"/>
      <c r="F870" s="123"/>
      <c r="G870" s="123"/>
      <c r="H870" s="123"/>
      <c r="I870" s="123"/>
      <c r="J870" s="123"/>
      <c r="K870" s="123"/>
      <c r="L870" s="123"/>
      <c r="M870" s="123"/>
      <c r="N870" s="123"/>
      <c r="O870" s="123"/>
      <c r="Q870" s="123"/>
      <c r="R870" s="123"/>
      <c r="S870" s="123"/>
      <c r="T870" s="123"/>
      <c r="U870" s="123"/>
      <c r="V870" s="123"/>
      <c r="W870" s="123"/>
      <c r="X870" s="123"/>
      <c r="Y870" s="123"/>
      <c r="Z870" s="123"/>
      <c r="AA870" s="123"/>
    </row>
    <row r="871">
      <c r="B871" s="160"/>
      <c r="C871" s="160"/>
      <c r="D871" s="123"/>
      <c r="E871" s="123"/>
      <c r="F871" s="123"/>
      <c r="G871" s="123"/>
      <c r="H871" s="123"/>
      <c r="I871" s="123"/>
      <c r="J871" s="123"/>
      <c r="K871" s="123"/>
      <c r="L871" s="123"/>
      <c r="M871" s="123"/>
      <c r="N871" s="123"/>
      <c r="O871" s="123"/>
      <c r="Q871" s="123"/>
      <c r="R871" s="123"/>
      <c r="S871" s="123"/>
      <c r="T871" s="123"/>
      <c r="U871" s="123"/>
      <c r="V871" s="123"/>
      <c r="W871" s="123"/>
      <c r="X871" s="123"/>
      <c r="Y871" s="123"/>
      <c r="Z871" s="123"/>
      <c r="AA871" s="123"/>
    </row>
    <row r="872">
      <c r="B872" s="160"/>
      <c r="C872" s="160"/>
      <c r="D872" s="123"/>
      <c r="E872" s="123"/>
      <c r="F872" s="123"/>
      <c r="G872" s="123"/>
      <c r="H872" s="123"/>
      <c r="I872" s="123"/>
      <c r="J872" s="123"/>
      <c r="K872" s="123"/>
      <c r="L872" s="123"/>
      <c r="M872" s="123"/>
      <c r="N872" s="123"/>
      <c r="O872" s="123"/>
      <c r="Q872" s="123"/>
      <c r="R872" s="123"/>
      <c r="S872" s="123"/>
      <c r="T872" s="123"/>
      <c r="U872" s="123"/>
      <c r="V872" s="123"/>
      <c r="W872" s="123"/>
      <c r="X872" s="123"/>
      <c r="Y872" s="123"/>
      <c r="Z872" s="123"/>
      <c r="AA872" s="123"/>
    </row>
    <row r="873">
      <c r="B873" s="160"/>
      <c r="C873" s="160"/>
      <c r="D873" s="123"/>
      <c r="E873" s="123"/>
      <c r="F873" s="123"/>
      <c r="G873" s="123"/>
      <c r="H873" s="123"/>
      <c r="I873" s="123"/>
      <c r="J873" s="123"/>
      <c r="K873" s="123"/>
      <c r="L873" s="123"/>
      <c r="M873" s="123"/>
      <c r="N873" s="123"/>
      <c r="O873" s="123"/>
      <c r="Q873" s="123"/>
      <c r="R873" s="123"/>
      <c r="S873" s="123"/>
      <c r="T873" s="123"/>
      <c r="U873" s="123"/>
      <c r="V873" s="123"/>
      <c r="W873" s="123"/>
      <c r="X873" s="123"/>
      <c r="Y873" s="123"/>
      <c r="Z873" s="123"/>
      <c r="AA873" s="123"/>
    </row>
    <row r="874">
      <c r="B874" s="160"/>
      <c r="C874" s="160"/>
      <c r="D874" s="123"/>
      <c r="E874" s="123"/>
      <c r="F874" s="123"/>
      <c r="G874" s="123"/>
      <c r="H874" s="123"/>
      <c r="I874" s="123"/>
      <c r="J874" s="123"/>
      <c r="K874" s="123"/>
      <c r="L874" s="123"/>
      <c r="M874" s="123"/>
      <c r="N874" s="123"/>
      <c r="O874" s="123"/>
      <c r="Q874" s="123"/>
      <c r="R874" s="123"/>
      <c r="S874" s="123"/>
      <c r="T874" s="123"/>
      <c r="U874" s="123"/>
      <c r="V874" s="123"/>
      <c r="W874" s="123"/>
      <c r="X874" s="123"/>
      <c r="Y874" s="123"/>
      <c r="Z874" s="123"/>
      <c r="AA874" s="123"/>
    </row>
    <row r="875">
      <c r="B875" s="160"/>
      <c r="C875" s="160"/>
      <c r="D875" s="123"/>
      <c r="E875" s="123"/>
      <c r="F875" s="123"/>
      <c r="G875" s="123"/>
      <c r="H875" s="123"/>
      <c r="I875" s="123"/>
      <c r="J875" s="123"/>
      <c r="K875" s="123"/>
      <c r="L875" s="123"/>
      <c r="M875" s="123"/>
      <c r="N875" s="123"/>
      <c r="O875" s="123"/>
      <c r="Q875" s="123"/>
      <c r="R875" s="123"/>
      <c r="S875" s="123"/>
      <c r="T875" s="123"/>
      <c r="U875" s="123"/>
      <c r="V875" s="123"/>
      <c r="W875" s="123"/>
      <c r="X875" s="123"/>
      <c r="Y875" s="123"/>
      <c r="Z875" s="123"/>
      <c r="AA875" s="123"/>
    </row>
    <row r="876">
      <c r="B876" s="160"/>
      <c r="C876" s="160"/>
      <c r="D876" s="123"/>
      <c r="E876" s="123"/>
      <c r="F876" s="123"/>
      <c r="G876" s="123"/>
      <c r="H876" s="123"/>
      <c r="I876" s="123"/>
      <c r="J876" s="123"/>
      <c r="K876" s="123"/>
      <c r="L876" s="123"/>
      <c r="M876" s="123"/>
      <c r="N876" s="123"/>
      <c r="O876" s="123"/>
      <c r="Q876" s="123"/>
      <c r="R876" s="123"/>
      <c r="S876" s="123"/>
      <c r="T876" s="123"/>
      <c r="U876" s="123"/>
      <c r="V876" s="123"/>
      <c r="W876" s="123"/>
      <c r="X876" s="123"/>
      <c r="Y876" s="123"/>
      <c r="Z876" s="123"/>
      <c r="AA876" s="123"/>
    </row>
    <row r="877">
      <c r="B877" s="160"/>
      <c r="C877" s="160"/>
      <c r="D877" s="123"/>
      <c r="E877" s="123"/>
      <c r="F877" s="123"/>
      <c r="G877" s="123"/>
      <c r="H877" s="123"/>
      <c r="I877" s="123"/>
      <c r="J877" s="123"/>
      <c r="K877" s="123"/>
      <c r="L877" s="123"/>
      <c r="M877" s="123"/>
      <c r="N877" s="123"/>
      <c r="O877" s="123"/>
      <c r="Q877" s="123"/>
      <c r="R877" s="123"/>
      <c r="S877" s="123"/>
      <c r="T877" s="123"/>
      <c r="U877" s="123"/>
      <c r="V877" s="123"/>
      <c r="W877" s="123"/>
      <c r="X877" s="123"/>
      <c r="Y877" s="123"/>
      <c r="Z877" s="123"/>
      <c r="AA877" s="123"/>
    </row>
    <row r="878">
      <c r="B878" s="160"/>
      <c r="C878" s="160"/>
      <c r="D878" s="123"/>
      <c r="E878" s="123"/>
      <c r="F878" s="123"/>
      <c r="G878" s="123"/>
      <c r="H878" s="123"/>
      <c r="I878" s="123"/>
      <c r="J878" s="123"/>
      <c r="K878" s="123"/>
      <c r="L878" s="123"/>
      <c r="M878" s="123"/>
      <c r="N878" s="123"/>
      <c r="O878" s="123"/>
      <c r="Q878" s="123"/>
      <c r="R878" s="123"/>
      <c r="S878" s="123"/>
      <c r="T878" s="123"/>
      <c r="U878" s="123"/>
      <c r="V878" s="123"/>
      <c r="W878" s="123"/>
      <c r="X878" s="123"/>
      <c r="Y878" s="123"/>
      <c r="Z878" s="123"/>
      <c r="AA878" s="123"/>
    </row>
    <row r="879">
      <c r="B879" s="160"/>
      <c r="C879" s="160"/>
      <c r="D879" s="123"/>
      <c r="E879" s="123"/>
      <c r="F879" s="123"/>
      <c r="G879" s="123"/>
      <c r="H879" s="123"/>
      <c r="I879" s="123"/>
      <c r="J879" s="123"/>
      <c r="K879" s="123"/>
      <c r="L879" s="123"/>
      <c r="M879" s="123"/>
      <c r="N879" s="123"/>
      <c r="O879" s="123"/>
      <c r="Q879" s="123"/>
      <c r="R879" s="123"/>
      <c r="S879" s="123"/>
      <c r="T879" s="123"/>
      <c r="U879" s="123"/>
      <c r="V879" s="123"/>
      <c r="W879" s="123"/>
      <c r="X879" s="123"/>
      <c r="Y879" s="123"/>
      <c r="Z879" s="123"/>
      <c r="AA879" s="123"/>
    </row>
    <row r="880">
      <c r="B880" s="160"/>
      <c r="C880" s="160"/>
      <c r="D880" s="123"/>
      <c r="E880" s="123"/>
      <c r="F880" s="123"/>
      <c r="G880" s="123"/>
      <c r="H880" s="123"/>
      <c r="I880" s="123"/>
      <c r="J880" s="123"/>
      <c r="K880" s="123"/>
      <c r="L880" s="123"/>
      <c r="M880" s="123"/>
      <c r="N880" s="123"/>
      <c r="O880" s="123"/>
      <c r="Q880" s="123"/>
      <c r="R880" s="123"/>
      <c r="S880" s="123"/>
      <c r="T880" s="123"/>
      <c r="U880" s="123"/>
      <c r="V880" s="123"/>
      <c r="W880" s="123"/>
      <c r="X880" s="123"/>
      <c r="Y880" s="123"/>
      <c r="Z880" s="123"/>
      <c r="AA880" s="123"/>
    </row>
    <row r="881">
      <c r="B881" s="160"/>
      <c r="C881" s="160"/>
      <c r="D881" s="123"/>
      <c r="E881" s="123"/>
      <c r="F881" s="123"/>
      <c r="G881" s="123"/>
      <c r="H881" s="123"/>
      <c r="I881" s="123"/>
      <c r="J881" s="123"/>
      <c r="K881" s="123"/>
      <c r="L881" s="123"/>
      <c r="M881" s="123"/>
      <c r="N881" s="123"/>
      <c r="O881" s="123"/>
      <c r="Q881" s="123"/>
      <c r="R881" s="123"/>
      <c r="S881" s="123"/>
      <c r="T881" s="123"/>
      <c r="U881" s="123"/>
      <c r="V881" s="123"/>
      <c r="W881" s="123"/>
      <c r="X881" s="123"/>
      <c r="Y881" s="123"/>
      <c r="Z881" s="123"/>
      <c r="AA881" s="123"/>
    </row>
    <row r="882">
      <c r="B882" s="160"/>
      <c r="C882" s="160"/>
      <c r="D882" s="123"/>
      <c r="E882" s="123"/>
      <c r="F882" s="123"/>
      <c r="G882" s="123"/>
      <c r="H882" s="123"/>
      <c r="I882" s="123"/>
      <c r="J882" s="123"/>
      <c r="K882" s="123"/>
      <c r="L882" s="123"/>
      <c r="M882" s="123"/>
      <c r="N882" s="123"/>
      <c r="O882" s="123"/>
      <c r="Q882" s="123"/>
      <c r="R882" s="123"/>
      <c r="S882" s="123"/>
      <c r="T882" s="123"/>
      <c r="U882" s="123"/>
      <c r="V882" s="123"/>
      <c r="W882" s="123"/>
      <c r="X882" s="123"/>
      <c r="Y882" s="123"/>
      <c r="Z882" s="123"/>
      <c r="AA882" s="123"/>
    </row>
    <row r="883">
      <c r="B883" s="160"/>
      <c r="C883" s="160"/>
      <c r="D883" s="123"/>
      <c r="E883" s="123"/>
      <c r="F883" s="123"/>
      <c r="G883" s="123"/>
      <c r="H883" s="123"/>
      <c r="I883" s="123"/>
      <c r="J883" s="123"/>
      <c r="K883" s="123"/>
      <c r="L883" s="123"/>
      <c r="M883" s="123"/>
      <c r="N883" s="123"/>
      <c r="O883" s="123"/>
      <c r="Q883" s="123"/>
      <c r="R883" s="123"/>
      <c r="S883" s="123"/>
      <c r="T883" s="123"/>
      <c r="U883" s="123"/>
      <c r="V883" s="123"/>
      <c r="W883" s="123"/>
      <c r="X883" s="123"/>
      <c r="Y883" s="123"/>
      <c r="Z883" s="123"/>
      <c r="AA883" s="123"/>
    </row>
    <row r="884">
      <c r="B884" s="160"/>
      <c r="C884" s="160"/>
      <c r="D884" s="123"/>
      <c r="E884" s="123"/>
      <c r="F884" s="123"/>
      <c r="G884" s="123"/>
      <c r="H884" s="123"/>
      <c r="I884" s="123"/>
      <c r="J884" s="123"/>
      <c r="K884" s="123"/>
      <c r="L884" s="123"/>
      <c r="M884" s="123"/>
      <c r="N884" s="123"/>
      <c r="O884" s="123"/>
      <c r="Q884" s="123"/>
      <c r="R884" s="123"/>
      <c r="S884" s="123"/>
      <c r="T884" s="123"/>
      <c r="U884" s="123"/>
      <c r="V884" s="123"/>
      <c r="W884" s="123"/>
      <c r="X884" s="123"/>
      <c r="Y884" s="123"/>
      <c r="Z884" s="123"/>
      <c r="AA884" s="123"/>
    </row>
    <row r="885">
      <c r="B885" s="160"/>
      <c r="C885" s="160"/>
      <c r="D885" s="123"/>
      <c r="E885" s="123"/>
      <c r="F885" s="123"/>
      <c r="G885" s="123"/>
      <c r="H885" s="123"/>
      <c r="I885" s="123"/>
      <c r="J885" s="123"/>
      <c r="K885" s="123"/>
      <c r="L885" s="123"/>
      <c r="M885" s="123"/>
      <c r="N885" s="123"/>
      <c r="O885" s="123"/>
      <c r="Q885" s="123"/>
      <c r="R885" s="123"/>
      <c r="S885" s="123"/>
      <c r="T885" s="123"/>
      <c r="U885" s="123"/>
      <c r="V885" s="123"/>
      <c r="W885" s="123"/>
      <c r="X885" s="123"/>
      <c r="Y885" s="123"/>
      <c r="Z885" s="123"/>
      <c r="AA885" s="123"/>
    </row>
    <row r="886">
      <c r="B886" s="160"/>
      <c r="C886" s="160"/>
      <c r="D886" s="123"/>
      <c r="E886" s="123"/>
      <c r="F886" s="123"/>
      <c r="G886" s="123"/>
      <c r="H886" s="123"/>
      <c r="I886" s="123"/>
      <c r="J886" s="123"/>
      <c r="K886" s="123"/>
      <c r="L886" s="123"/>
      <c r="M886" s="123"/>
      <c r="N886" s="123"/>
      <c r="O886" s="123"/>
      <c r="Q886" s="123"/>
      <c r="R886" s="123"/>
      <c r="S886" s="123"/>
      <c r="T886" s="123"/>
      <c r="U886" s="123"/>
      <c r="V886" s="123"/>
      <c r="W886" s="123"/>
      <c r="X886" s="123"/>
      <c r="Y886" s="123"/>
      <c r="Z886" s="123"/>
      <c r="AA886" s="123"/>
    </row>
    <row r="887">
      <c r="B887" s="160"/>
      <c r="C887" s="160"/>
      <c r="D887" s="123"/>
      <c r="E887" s="123"/>
      <c r="F887" s="123"/>
      <c r="G887" s="123"/>
      <c r="H887" s="123"/>
      <c r="I887" s="123"/>
      <c r="J887" s="123"/>
      <c r="K887" s="123"/>
      <c r="L887" s="123"/>
      <c r="M887" s="123"/>
      <c r="N887" s="123"/>
      <c r="O887" s="123"/>
      <c r="Q887" s="123"/>
      <c r="R887" s="123"/>
      <c r="S887" s="123"/>
      <c r="T887" s="123"/>
      <c r="U887" s="123"/>
      <c r="V887" s="123"/>
      <c r="W887" s="123"/>
      <c r="X887" s="123"/>
      <c r="Y887" s="123"/>
      <c r="Z887" s="123"/>
      <c r="AA887" s="123"/>
    </row>
    <row r="888">
      <c r="B888" s="160"/>
      <c r="C888" s="160"/>
      <c r="D888" s="123"/>
      <c r="E888" s="123"/>
      <c r="F888" s="123"/>
      <c r="G888" s="123"/>
      <c r="H888" s="123"/>
      <c r="I888" s="123"/>
      <c r="J888" s="123"/>
      <c r="K888" s="123"/>
      <c r="L888" s="123"/>
      <c r="M888" s="123"/>
      <c r="N888" s="123"/>
      <c r="O888" s="123"/>
      <c r="Q888" s="123"/>
      <c r="R888" s="123"/>
      <c r="S888" s="123"/>
      <c r="T888" s="123"/>
      <c r="U888" s="123"/>
      <c r="V888" s="123"/>
      <c r="W888" s="123"/>
      <c r="X888" s="123"/>
      <c r="Y888" s="123"/>
      <c r="Z888" s="123"/>
      <c r="AA888" s="123"/>
    </row>
    <row r="889">
      <c r="B889" s="160"/>
      <c r="C889" s="160"/>
      <c r="D889" s="123"/>
      <c r="E889" s="123"/>
      <c r="F889" s="123"/>
      <c r="G889" s="123"/>
      <c r="H889" s="123"/>
      <c r="I889" s="123"/>
      <c r="J889" s="123"/>
      <c r="K889" s="123"/>
      <c r="L889" s="123"/>
      <c r="M889" s="123"/>
      <c r="N889" s="123"/>
      <c r="O889" s="123"/>
      <c r="Q889" s="123"/>
      <c r="R889" s="123"/>
      <c r="S889" s="123"/>
      <c r="T889" s="123"/>
      <c r="U889" s="123"/>
      <c r="V889" s="123"/>
      <c r="W889" s="123"/>
      <c r="X889" s="123"/>
      <c r="Y889" s="123"/>
      <c r="Z889" s="123"/>
      <c r="AA889" s="123"/>
    </row>
    <row r="890">
      <c r="B890" s="160"/>
      <c r="C890" s="160"/>
      <c r="D890" s="123"/>
      <c r="E890" s="123"/>
      <c r="F890" s="123"/>
      <c r="G890" s="123"/>
      <c r="H890" s="123"/>
      <c r="I890" s="123"/>
      <c r="J890" s="123"/>
      <c r="K890" s="123"/>
      <c r="L890" s="123"/>
      <c r="M890" s="123"/>
      <c r="N890" s="123"/>
      <c r="O890" s="123"/>
      <c r="Q890" s="123"/>
      <c r="R890" s="123"/>
      <c r="S890" s="123"/>
      <c r="T890" s="123"/>
      <c r="U890" s="123"/>
      <c r="V890" s="123"/>
      <c r="W890" s="123"/>
      <c r="X890" s="123"/>
      <c r="Y890" s="123"/>
      <c r="Z890" s="123"/>
      <c r="AA890" s="123"/>
    </row>
    <row r="891">
      <c r="B891" s="160"/>
      <c r="C891" s="160"/>
      <c r="D891" s="123"/>
      <c r="E891" s="123"/>
      <c r="F891" s="123"/>
      <c r="G891" s="123"/>
      <c r="H891" s="123"/>
      <c r="I891" s="123"/>
      <c r="J891" s="123"/>
      <c r="K891" s="123"/>
      <c r="L891" s="123"/>
      <c r="M891" s="123"/>
      <c r="N891" s="123"/>
      <c r="O891" s="123"/>
      <c r="Q891" s="123"/>
      <c r="R891" s="123"/>
      <c r="S891" s="123"/>
      <c r="T891" s="123"/>
      <c r="U891" s="123"/>
      <c r="V891" s="123"/>
      <c r="W891" s="123"/>
      <c r="X891" s="123"/>
      <c r="Y891" s="123"/>
      <c r="Z891" s="123"/>
      <c r="AA891" s="123"/>
    </row>
    <row r="892">
      <c r="B892" s="160"/>
      <c r="C892" s="160"/>
      <c r="D892" s="123"/>
      <c r="E892" s="123"/>
      <c r="F892" s="123"/>
      <c r="G892" s="123"/>
      <c r="H892" s="123"/>
      <c r="I892" s="123"/>
      <c r="J892" s="123"/>
      <c r="K892" s="123"/>
      <c r="L892" s="123"/>
      <c r="M892" s="123"/>
      <c r="N892" s="123"/>
      <c r="O892" s="123"/>
      <c r="Q892" s="123"/>
      <c r="R892" s="123"/>
      <c r="S892" s="123"/>
      <c r="T892" s="123"/>
      <c r="U892" s="123"/>
      <c r="V892" s="123"/>
      <c r="W892" s="123"/>
      <c r="X892" s="123"/>
      <c r="Y892" s="123"/>
      <c r="Z892" s="123"/>
      <c r="AA892" s="123"/>
    </row>
    <row r="893">
      <c r="B893" s="160"/>
      <c r="C893" s="160"/>
      <c r="D893" s="123"/>
      <c r="E893" s="123"/>
      <c r="F893" s="123"/>
      <c r="G893" s="123"/>
      <c r="H893" s="123"/>
      <c r="I893" s="123"/>
      <c r="J893" s="123"/>
      <c r="K893" s="123"/>
      <c r="L893" s="123"/>
      <c r="M893" s="123"/>
      <c r="N893" s="123"/>
      <c r="O893" s="123"/>
      <c r="Q893" s="123"/>
      <c r="R893" s="123"/>
      <c r="S893" s="123"/>
      <c r="T893" s="123"/>
      <c r="U893" s="123"/>
      <c r="V893" s="123"/>
      <c r="W893" s="123"/>
      <c r="X893" s="123"/>
      <c r="Y893" s="123"/>
      <c r="Z893" s="123"/>
      <c r="AA893" s="123"/>
    </row>
    <row r="894">
      <c r="B894" s="160"/>
      <c r="C894" s="160"/>
      <c r="D894" s="123"/>
      <c r="E894" s="123"/>
      <c r="F894" s="123"/>
      <c r="G894" s="123"/>
      <c r="H894" s="123"/>
      <c r="I894" s="123"/>
      <c r="J894" s="123"/>
      <c r="K894" s="123"/>
      <c r="L894" s="123"/>
      <c r="M894" s="123"/>
      <c r="N894" s="123"/>
      <c r="O894" s="123"/>
      <c r="Q894" s="123"/>
      <c r="R894" s="123"/>
      <c r="S894" s="123"/>
      <c r="T894" s="123"/>
      <c r="U894" s="123"/>
      <c r="V894" s="123"/>
      <c r="W894" s="123"/>
      <c r="X894" s="123"/>
      <c r="Y894" s="123"/>
      <c r="Z894" s="123"/>
      <c r="AA894" s="123"/>
    </row>
    <row r="895">
      <c r="B895" s="160"/>
      <c r="C895" s="160"/>
      <c r="D895" s="123"/>
      <c r="E895" s="123"/>
      <c r="F895" s="123"/>
      <c r="G895" s="123"/>
      <c r="H895" s="123"/>
      <c r="I895" s="123"/>
      <c r="J895" s="123"/>
      <c r="K895" s="123"/>
      <c r="L895" s="123"/>
      <c r="M895" s="123"/>
      <c r="N895" s="123"/>
      <c r="O895" s="123"/>
      <c r="Q895" s="123"/>
      <c r="R895" s="123"/>
      <c r="S895" s="123"/>
      <c r="T895" s="123"/>
      <c r="U895" s="123"/>
      <c r="V895" s="123"/>
      <c r="W895" s="123"/>
      <c r="X895" s="123"/>
      <c r="Y895" s="123"/>
      <c r="Z895" s="123"/>
      <c r="AA895" s="123"/>
    </row>
    <row r="896">
      <c r="B896" s="160"/>
      <c r="C896" s="160"/>
      <c r="D896" s="123"/>
      <c r="E896" s="123"/>
      <c r="F896" s="123"/>
      <c r="G896" s="123"/>
      <c r="H896" s="123"/>
      <c r="I896" s="123"/>
      <c r="J896" s="123"/>
      <c r="K896" s="123"/>
      <c r="L896" s="123"/>
      <c r="M896" s="123"/>
      <c r="N896" s="123"/>
      <c r="O896" s="123"/>
      <c r="Q896" s="123"/>
      <c r="R896" s="123"/>
      <c r="S896" s="123"/>
      <c r="T896" s="123"/>
      <c r="U896" s="123"/>
      <c r="V896" s="123"/>
      <c r="W896" s="123"/>
      <c r="X896" s="123"/>
      <c r="Y896" s="123"/>
      <c r="Z896" s="123"/>
      <c r="AA896" s="123"/>
    </row>
    <row r="897">
      <c r="B897" s="160"/>
      <c r="C897" s="160"/>
      <c r="D897" s="123"/>
      <c r="E897" s="123"/>
      <c r="F897" s="123"/>
      <c r="G897" s="123"/>
      <c r="H897" s="123"/>
      <c r="I897" s="123"/>
      <c r="J897" s="123"/>
      <c r="K897" s="123"/>
      <c r="L897" s="123"/>
      <c r="M897" s="123"/>
      <c r="N897" s="123"/>
      <c r="O897" s="123"/>
      <c r="Q897" s="123"/>
      <c r="R897" s="123"/>
      <c r="S897" s="123"/>
      <c r="T897" s="123"/>
      <c r="U897" s="123"/>
      <c r="V897" s="123"/>
      <c r="W897" s="123"/>
      <c r="X897" s="123"/>
      <c r="Y897" s="123"/>
      <c r="Z897" s="123"/>
      <c r="AA897" s="123"/>
    </row>
    <row r="898">
      <c r="B898" s="160"/>
      <c r="C898" s="160"/>
      <c r="D898" s="123"/>
      <c r="E898" s="123"/>
      <c r="F898" s="123"/>
      <c r="G898" s="123"/>
      <c r="H898" s="123"/>
      <c r="I898" s="123"/>
      <c r="J898" s="123"/>
      <c r="K898" s="123"/>
      <c r="L898" s="123"/>
      <c r="M898" s="123"/>
      <c r="N898" s="123"/>
      <c r="O898" s="123"/>
      <c r="Q898" s="123"/>
      <c r="R898" s="123"/>
      <c r="S898" s="123"/>
      <c r="T898" s="123"/>
      <c r="U898" s="123"/>
      <c r="V898" s="123"/>
      <c r="W898" s="123"/>
      <c r="X898" s="123"/>
      <c r="Y898" s="123"/>
      <c r="Z898" s="123"/>
      <c r="AA898" s="123"/>
    </row>
    <row r="899">
      <c r="B899" s="160"/>
      <c r="C899" s="160"/>
      <c r="D899" s="123"/>
      <c r="E899" s="123"/>
      <c r="F899" s="123"/>
      <c r="G899" s="123"/>
      <c r="H899" s="123"/>
      <c r="I899" s="123"/>
      <c r="J899" s="123"/>
      <c r="K899" s="123"/>
      <c r="L899" s="123"/>
      <c r="M899" s="123"/>
      <c r="N899" s="123"/>
      <c r="O899" s="123"/>
      <c r="Q899" s="123"/>
      <c r="R899" s="123"/>
      <c r="S899" s="123"/>
      <c r="T899" s="123"/>
      <c r="U899" s="123"/>
      <c r="V899" s="123"/>
      <c r="W899" s="123"/>
      <c r="X899" s="123"/>
      <c r="Y899" s="123"/>
      <c r="Z899" s="123"/>
      <c r="AA899" s="123"/>
    </row>
    <row r="900">
      <c r="B900" s="160"/>
      <c r="C900" s="160"/>
      <c r="D900" s="123"/>
      <c r="E900" s="123"/>
      <c r="F900" s="123"/>
      <c r="G900" s="123"/>
      <c r="H900" s="123"/>
      <c r="I900" s="123"/>
      <c r="J900" s="123"/>
      <c r="K900" s="123"/>
      <c r="L900" s="123"/>
      <c r="M900" s="123"/>
      <c r="N900" s="123"/>
      <c r="O900" s="123"/>
      <c r="Q900" s="123"/>
      <c r="R900" s="123"/>
      <c r="S900" s="123"/>
      <c r="T900" s="123"/>
      <c r="U900" s="123"/>
      <c r="V900" s="123"/>
      <c r="W900" s="123"/>
      <c r="X900" s="123"/>
      <c r="Y900" s="123"/>
      <c r="Z900" s="123"/>
      <c r="AA900" s="123"/>
    </row>
    <row r="901">
      <c r="B901" s="160"/>
      <c r="C901" s="160"/>
      <c r="D901" s="123"/>
      <c r="E901" s="123"/>
      <c r="F901" s="123"/>
      <c r="G901" s="123"/>
      <c r="H901" s="123"/>
      <c r="I901" s="123"/>
      <c r="J901" s="123"/>
      <c r="K901" s="123"/>
      <c r="L901" s="123"/>
      <c r="M901" s="123"/>
      <c r="N901" s="123"/>
      <c r="O901" s="123"/>
      <c r="Q901" s="123"/>
      <c r="R901" s="123"/>
      <c r="S901" s="123"/>
      <c r="T901" s="123"/>
      <c r="U901" s="123"/>
      <c r="V901" s="123"/>
      <c r="W901" s="123"/>
      <c r="X901" s="123"/>
      <c r="Y901" s="123"/>
      <c r="Z901" s="123"/>
      <c r="AA901" s="123"/>
    </row>
    <row r="902">
      <c r="B902" s="160"/>
      <c r="C902" s="160"/>
      <c r="D902" s="123"/>
      <c r="E902" s="123"/>
      <c r="F902" s="123"/>
      <c r="G902" s="123"/>
      <c r="H902" s="123"/>
      <c r="I902" s="123"/>
      <c r="J902" s="123"/>
      <c r="K902" s="123"/>
      <c r="L902" s="123"/>
      <c r="M902" s="123"/>
      <c r="N902" s="123"/>
      <c r="O902" s="123"/>
      <c r="Q902" s="123"/>
      <c r="R902" s="123"/>
      <c r="S902" s="123"/>
      <c r="T902" s="123"/>
      <c r="U902" s="123"/>
      <c r="V902" s="123"/>
      <c r="W902" s="123"/>
      <c r="X902" s="123"/>
      <c r="Y902" s="123"/>
      <c r="Z902" s="123"/>
      <c r="AA902" s="123"/>
    </row>
    <row r="903">
      <c r="B903" s="160"/>
      <c r="C903" s="160"/>
      <c r="D903" s="123"/>
      <c r="E903" s="123"/>
      <c r="F903" s="123"/>
      <c r="G903" s="123"/>
      <c r="H903" s="123"/>
      <c r="I903" s="123"/>
      <c r="J903" s="123"/>
      <c r="K903" s="123"/>
      <c r="L903" s="123"/>
      <c r="M903" s="123"/>
      <c r="N903" s="123"/>
      <c r="O903" s="123"/>
      <c r="Q903" s="123"/>
      <c r="R903" s="123"/>
      <c r="S903" s="123"/>
      <c r="T903" s="123"/>
      <c r="U903" s="123"/>
      <c r="V903" s="123"/>
      <c r="W903" s="123"/>
      <c r="X903" s="123"/>
      <c r="Y903" s="123"/>
      <c r="Z903" s="123"/>
      <c r="AA903" s="123"/>
    </row>
    <row r="904">
      <c r="B904" s="160"/>
      <c r="C904" s="160"/>
      <c r="D904" s="123"/>
      <c r="E904" s="123"/>
      <c r="F904" s="123"/>
      <c r="G904" s="123"/>
      <c r="H904" s="123"/>
      <c r="I904" s="123"/>
      <c r="J904" s="123"/>
      <c r="K904" s="123"/>
      <c r="L904" s="123"/>
      <c r="M904" s="123"/>
      <c r="N904" s="123"/>
      <c r="O904" s="123"/>
      <c r="Q904" s="123"/>
      <c r="R904" s="123"/>
      <c r="S904" s="123"/>
      <c r="T904" s="123"/>
      <c r="U904" s="123"/>
      <c r="V904" s="123"/>
      <c r="W904" s="123"/>
      <c r="X904" s="123"/>
      <c r="Y904" s="123"/>
      <c r="Z904" s="123"/>
      <c r="AA904" s="123"/>
    </row>
    <row r="905">
      <c r="B905" s="160"/>
      <c r="C905" s="160"/>
      <c r="D905" s="123"/>
      <c r="E905" s="123"/>
      <c r="F905" s="123"/>
      <c r="G905" s="123"/>
      <c r="H905" s="123"/>
      <c r="I905" s="123"/>
      <c r="J905" s="123"/>
      <c r="K905" s="123"/>
      <c r="L905" s="123"/>
      <c r="M905" s="123"/>
      <c r="N905" s="123"/>
      <c r="O905" s="123"/>
      <c r="Q905" s="123"/>
      <c r="R905" s="123"/>
      <c r="S905" s="123"/>
      <c r="T905" s="123"/>
      <c r="U905" s="123"/>
      <c r="V905" s="123"/>
      <c r="W905" s="123"/>
      <c r="X905" s="123"/>
      <c r="Y905" s="123"/>
      <c r="Z905" s="123"/>
      <c r="AA905" s="123"/>
    </row>
    <row r="906">
      <c r="B906" s="160"/>
      <c r="C906" s="160"/>
      <c r="D906" s="123"/>
      <c r="E906" s="123"/>
      <c r="F906" s="123"/>
      <c r="G906" s="123"/>
      <c r="H906" s="123"/>
      <c r="I906" s="123"/>
      <c r="J906" s="123"/>
      <c r="K906" s="123"/>
      <c r="L906" s="123"/>
      <c r="M906" s="123"/>
      <c r="N906" s="123"/>
      <c r="O906" s="123"/>
      <c r="Q906" s="123"/>
      <c r="R906" s="123"/>
      <c r="S906" s="123"/>
      <c r="T906" s="123"/>
      <c r="U906" s="123"/>
      <c r="V906" s="123"/>
      <c r="W906" s="123"/>
      <c r="X906" s="123"/>
      <c r="Y906" s="123"/>
      <c r="Z906" s="123"/>
      <c r="AA906" s="123"/>
    </row>
    <row r="907">
      <c r="B907" s="160"/>
      <c r="C907" s="160"/>
      <c r="D907" s="123"/>
      <c r="E907" s="123"/>
      <c r="F907" s="123"/>
      <c r="G907" s="123"/>
      <c r="H907" s="123"/>
      <c r="I907" s="123"/>
      <c r="J907" s="123"/>
      <c r="K907" s="123"/>
      <c r="L907" s="123"/>
      <c r="M907" s="123"/>
      <c r="N907" s="123"/>
      <c r="O907" s="123"/>
      <c r="Q907" s="123"/>
      <c r="R907" s="123"/>
      <c r="S907" s="123"/>
      <c r="T907" s="123"/>
      <c r="U907" s="123"/>
      <c r="V907" s="123"/>
      <c r="W907" s="123"/>
      <c r="X907" s="123"/>
      <c r="Y907" s="123"/>
      <c r="Z907" s="123"/>
      <c r="AA907" s="123"/>
    </row>
    <row r="908">
      <c r="B908" s="160"/>
      <c r="C908" s="160"/>
      <c r="D908" s="123"/>
      <c r="E908" s="123"/>
      <c r="F908" s="123"/>
      <c r="G908" s="123"/>
      <c r="H908" s="123"/>
      <c r="I908" s="123"/>
      <c r="J908" s="123"/>
      <c r="K908" s="123"/>
      <c r="L908" s="123"/>
      <c r="M908" s="123"/>
      <c r="N908" s="123"/>
      <c r="O908" s="123"/>
      <c r="Q908" s="123"/>
      <c r="R908" s="123"/>
      <c r="S908" s="123"/>
      <c r="T908" s="123"/>
      <c r="U908" s="123"/>
      <c r="V908" s="123"/>
      <c r="W908" s="123"/>
      <c r="X908" s="123"/>
      <c r="Y908" s="123"/>
      <c r="Z908" s="123"/>
      <c r="AA908" s="123"/>
    </row>
    <row r="909">
      <c r="B909" s="160"/>
      <c r="C909" s="160"/>
      <c r="D909" s="123"/>
      <c r="E909" s="123"/>
      <c r="F909" s="123"/>
      <c r="G909" s="123"/>
      <c r="H909" s="123"/>
      <c r="I909" s="123"/>
      <c r="J909" s="123"/>
      <c r="K909" s="123"/>
      <c r="L909" s="123"/>
      <c r="M909" s="123"/>
      <c r="N909" s="123"/>
      <c r="O909" s="123"/>
      <c r="Q909" s="123"/>
      <c r="R909" s="123"/>
      <c r="S909" s="123"/>
      <c r="T909" s="123"/>
      <c r="U909" s="123"/>
      <c r="V909" s="123"/>
      <c r="W909" s="123"/>
      <c r="X909" s="123"/>
      <c r="Y909" s="123"/>
      <c r="Z909" s="123"/>
      <c r="AA909" s="123"/>
    </row>
    <row r="910">
      <c r="B910" s="160"/>
      <c r="C910" s="160"/>
      <c r="D910" s="123"/>
      <c r="E910" s="123"/>
      <c r="F910" s="123"/>
      <c r="G910" s="123"/>
      <c r="H910" s="123"/>
      <c r="I910" s="123"/>
      <c r="J910" s="123"/>
      <c r="K910" s="123"/>
      <c r="L910" s="123"/>
      <c r="M910" s="123"/>
      <c r="N910" s="123"/>
      <c r="O910" s="123"/>
      <c r="Q910" s="123"/>
      <c r="R910" s="123"/>
      <c r="S910" s="123"/>
      <c r="T910" s="123"/>
      <c r="U910" s="123"/>
      <c r="V910" s="123"/>
      <c r="W910" s="123"/>
      <c r="X910" s="123"/>
      <c r="Y910" s="123"/>
      <c r="Z910" s="123"/>
      <c r="AA910" s="123"/>
    </row>
    <row r="911">
      <c r="B911" s="160"/>
      <c r="C911" s="160"/>
      <c r="D911" s="123"/>
      <c r="E911" s="123"/>
      <c r="F911" s="123"/>
      <c r="G911" s="123"/>
      <c r="H911" s="123"/>
      <c r="I911" s="123"/>
      <c r="J911" s="123"/>
      <c r="K911" s="123"/>
      <c r="L911" s="123"/>
      <c r="M911" s="123"/>
      <c r="N911" s="123"/>
      <c r="O911" s="123"/>
      <c r="Q911" s="123"/>
      <c r="R911" s="123"/>
      <c r="S911" s="123"/>
      <c r="T911" s="123"/>
      <c r="U911" s="123"/>
      <c r="V911" s="123"/>
      <c r="W911" s="123"/>
      <c r="X911" s="123"/>
      <c r="Y911" s="123"/>
      <c r="Z911" s="123"/>
      <c r="AA911" s="123"/>
    </row>
    <row r="912">
      <c r="B912" s="160"/>
      <c r="C912" s="160"/>
      <c r="D912" s="123"/>
      <c r="E912" s="123"/>
      <c r="F912" s="123"/>
      <c r="G912" s="123"/>
      <c r="H912" s="123"/>
      <c r="I912" s="123"/>
      <c r="J912" s="123"/>
      <c r="K912" s="123"/>
      <c r="L912" s="123"/>
      <c r="M912" s="123"/>
      <c r="N912" s="123"/>
      <c r="O912" s="123"/>
      <c r="Q912" s="123"/>
      <c r="R912" s="123"/>
      <c r="S912" s="123"/>
      <c r="T912" s="123"/>
      <c r="U912" s="123"/>
      <c r="V912" s="123"/>
      <c r="W912" s="123"/>
      <c r="X912" s="123"/>
      <c r="Y912" s="123"/>
      <c r="Z912" s="123"/>
      <c r="AA912" s="123"/>
    </row>
    <row r="913">
      <c r="B913" s="160"/>
      <c r="C913" s="160"/>
      <c r="D913" s="123"/>
      <c r="E913" s="123"/>
      <c r="F913" s="123"/>
      <c r="G913" s="123"/>
      <c r="H913" s="123"/>
      <c r="I913" s="123"/>
      <c r="J913" s="123"/>
      <c r="K913" s="123"/>
      <c r="L913" s="123"/>
      <c r="M913" s="123"/>
      <c r="N913" s="123"/>
      <c r="O913" s="123"/>
      <c r="Q913" s="123"/>
      <c r="R913" s="123"/>
      <c r="S913" s="123"/>
      <c r="T913" s="123"/>
      <c r="U913" s="123"/>
      <c r="V913" s="123"/>
      <c r="W913" s="123"/>
      <c r="X913" s="123"/>
      <c r="Y913" s="123"/>
      <c r="Z913" s="123"/>
      <c r="AA913" s="123"/>
    </row>
    <row r="914">
      <c r="B914" s="160"/>
      <c r="C914" s="160"/>
      <c r="D914" s="123"/>
      <c r="E914" s="123"/>
      <c r="F914" s="123"/>
      <c r="G914" s="123"/>
      <c r="H914" s="123"/>
      <c r="I914" s="123"/>
      <c r="J914" s="123"/>
      <c r="K914" s="123"/>
      <c r="L914" s="123"/>
      <c r="M914" s="123"/>
      <c r="N914" s="123"/>
      <c r="O914" s="123"/>
      <c r="Q914" s="123"/>
      <c r="R914" s="123"/>
      <c r="S914" s="123"/>
      <c r="T914" s="123"/>
      <c r="U914" s="123"/>
      <c r="V914" s="123"/>
      <c r="W914" s="123"/>
      <c r="X914" s="123"/>
      <c r="Y914" s="123"/>
      <c r="Z914" s="123"/>
      <c r="AA914" s="123"/>
    </row>
    <row r="915">
      <c r="B915" s="160"/>
      <c r="C915" s="160"/>
      <c r="D915" s="123"/>
      <c r="E915" s="123"/>
      <c r="F915" s="123"/>
      <c r="G915" s="123"/>
      <c r="H915" s="123"/>
      <c r="I915" s="123"/>
      <c r="J915" s="123"/>
      <c r="K915" s="123"/>
      <c r="L915" s="123"/>
      <c r="M915" s="123"/>
      <c r="N915" s="123"/>
      <c r="O915" s="123"/>
      <c r="Q915" s="123"/>
      <c r="R915" s="123"/>
      <c r="S915" s="123"/>
      <c r="T915" s="123"/>
      <c r="U915" s="123"/>
      <c r="V915" s="123"/>
      <c r="W915" s="123"/>
      <c r="X915" s="123"/>
      <c r="Y915" s="123"/>
      <c r="Z915" s="123"/>
      <c r="AA915" s="123"/>
    </row>
    <row r="916">
      <c r="B916" s="160"/>
      <c r="C916" s="160"/>
      <c r="D916" s="123"/>
      <c r="E916" s="123"/>
      <c r="F916" s="123"/>
      <c r="G916" s="123"/>
      <c r="H916" s="123"/>
      <c r="I916" s="123"/>
      <c r="J916" s="123"/>
      <c r="K916" s="123"/>
      <c r="L916" s="123"/>
      <c r="M916" s="123"/>
      <c r="N916" s="123"/>
      <c r="O916" s="123"/>
      <c r="Q916" s="123"/>
      <c r="R916" s="123"/>
      <c r="S916" s="123"/>
      <c r="T916" s="123"/>
      <c r="U916" s="123"/>
      <c r="V916" s="123"/>
      <c r="W916" s="123"/>
      <c r="X916" s="123"/>
      <c r="Y916" s="123"/>
      <c r="Z916" s="123"/>
      <c r="AA916" s="123"/>
    </row>
    <row r="917">
      <c r="B917" s="160"/>
      <c r="C917" s="160"/>
      <c r="D917" s="123"/>
      <c r="E917" s="123"/>
      <c r="F917" s="123"/>
      <c r="G917" s="123"/>
      <c r="H917" s="123"/>
      <c r="I917" s="123"/>
      <c r="J917" s="123"/>
      <c r="K917" s="123"/>
      <c r="L917" s="123"/>
      <c r="M917" s="123"/>
      <c r="N917" s="123"/>
      <c r="O917" s="123"/>
      <c r="Q917" s="123"/>
      <c r="R917" s="123"/>
      <c r="S917" s="123"/>
      <c r="T917" s="123"/>
      <c r="U917" s="123"/>
      <c r="V917" s="123"/>
      <c r="W917" s="123"/>
      <c r="X917" s="123"/>
      <c r="Y917" s="123"/>
      <c r="Z917" s="123"/>
      <c r="AA917" s="123"/>
    </row>
    <row r="918">
      <c r="B918" s="160"/>
      <c r="C918" s="160"/>
      <c r="D918" s="123"/>
      <c r="E918" s="123"/>
      <c r="F918" s="123"/>
      <c r="G918" s="123"/>
      <c r="H918" s="123"/>
      <c r="I918" s="123"/>
      <c r="J918" s="123"/>
      <c r="K918" s="123"/>
      <c r="L918" s="123"/>
      <c r="M918" s="123"/>
      <c r="N918" s="123"/>
      <c r="O918" s="123"/>
      <c r="Q918" s="123"/>
      <c r="R918" s="123"/>
      <c r="S918" s="123"/>
      <c r="T918" s="123"/>
      <c r="U918" s="123"/>
      <c r="V918" s="123"/>
      <c r="W918" s="123"/>
      <c r="X918" s="123"/>
      <c r="Y918" s="123"/>
      <c r="Z918" s="123"/>
      <c r="AA918" s="123"/>
    </row>
    <row r="919">
      <c r="B919" s="160"/>
      <c r="C919" s="160"/>
      <c r="D919" s="123"/>
      <c r="E919" s="123"/>
      <c r="F919" s="123"/>
      <c r="G919" s="123"/>
      <c r="H919" s="123"/>
      <c r="I919" s="123"/>
      <c r="J919" s="123"/>
      <c r="K919" s="123"/>
      <c r="L919" s="123"/>
      <c r="M919" s="123"/>
      <c r="N919" s="123"/>
      <c r="O919" s="123"/>
      <c r="Q919" s="123"/>
      <c r="R919" s="123"/>
      <c r="S919" s="123"/>
      <c r="T919" s="123"/>
      <c r="U919" s="123"/>
      <c r="V919" s="123"/>
      <c r="W919" s="123"/>
      <c r="X919" s="123"/>
      <c r="Y919" s="123"/>
      <c r="Z919" s="123"/>
      <c r="AA919" s="123"/>
    </row>
    <row r="920">
      <c r="B920" s="160"/>
      <c r="C920" s="160"/>
      <c r="D920" s="123"/>
      <c r="E920" s="123"/>
      <c r="F920" s="123"/>
      <c r="G920" s="123"/>
      <c r="H920" s="123"/>
      <c r="I920" s="123"/>
      <c r="J920" s="123"/>
      <c r="K920" s="123"/>
      <c r="L920" s="123"/>
      <c r="M920" s="123"/>
      <c r="N920" s="123"/>
      <c r="O920" s="123"/>
      <c r="Q920" s="123"/>
      <c r="R920" s="123"/>
      <c r="S920" s="123"/>
      <c r="T920" s="123"/>
      <c r="U920" s="123"/>
      <c r="V920" s="123"/>
      <c r="W920" s="123"/>
      <c r="X920" s="123"/>
      <c r="Y920" s="123"/>
      <c r="Z920" s="123"/>
      <c r="AA920" s="123"/>
    </row>
    <row r="921">
      <c r="B921" s="160"/>
      <c r="C921" s="160"/>
      <c r="D921" s="123"/>
      <c r="E921" s="123"/>
      <c r="F921" s="123"/>
      <c r="G921" s="123"/>
      <c r="H921" s="123"/>
      <c r="I921" s="123"/>
      <c r="J921" s="123"/>
      <c r="K921" s="123"/>
      <c r="L921" s="123"/>
      <c r="M921" s="123"/>
      <c r="N921" s="123"/>
      <c r="O921" s="123"/>
      <c r="Q921" s="123"/>
      <c r="R921" s="123"/>
      <c r="S921" s="123"/>
      <c r="T921" s="123"/>
      <c r="U921" s="123"/>
      <c r="V921" s="123"/>
      <c r="W921" s="123"/>
      <c r="X921" s="123"/>
      <c r="Y921" s="123"/>
      <c r="Z921" s="123"/>
      <c r="AA921" s="123"/>
    </row>
    <row r="922">
      <c r="B922" s="160"/>
      <c r="C922" s="160"/>
      <c r="D922" s="123"/>
      <c r="E922" s="123"/>
      <c r="F922" s="123"/>
      <c r="G922" s="123"/>
      <c r="H922" s="123"/>
      <c r="I922" s="123"/>
      <c r="J922" s="123"/>
      <c r="K922" s="123"/>
      <c r="L922" s="123"/>
      <c r="M922" s="123"/>
      <c r="N922" s="123"/>
      <c r="O922" s="123"/>
      <c r="Q922" s="123"/>
      <c r="R922" s="123"/>
      <c r="S922" s="123"/>
      <c r="T922" s="123"/>
      <c r="U922" s="123"/>
      <c r="V922" s="123"/>
      <c r="W922" s="123"/>
      <c r="X922" s="123"/>
      <c r="Y922" s="123"/>
      <c r="Z922" s="123"/>
      <c r="AA922" s="123"/>
    </row>
    <row r="923">
      <c r="B923" s="160"/>
      <c r="C923" s="160"/>
      <c r="D923" s="123"/>
      <c r="E923" s="123"/>
      <c r="F923" s="123"/>
      <c r="G923" s="123"/>
      <c r="H923" s="123"/>
      <c r="I923" s="123"/>
      <c r="J923" s="123"/>
      <c r="K923" s="123"/>
      <c r="L923" s="123"/>
      <c r="M923" s="123"/>
      <c r="N923" s="123"/>
      <c r="O923" s="123"/>
      <c r="Q923" s="123"/>
      <c r="R923" s="123"/>
      <c r="S923" s="123"/>
      <c r="T923" s="123"/>
      <c r="U923" s="123"/>
      <c r="V923" s="123"/>
      <c r="W923" s="123"/>
      <c r="X923" s="123"/>
      <c r="Y923" s="123"/>
      <c r="Z923" s="123"/>
      <c r="AA923" s="123"/>
    </row>
    <row r="924">
      <c r="B924" s="160"/>
      <c r="C924" s="160"/>
      <c r="D924" s="123"/>
      <c r="E924" s="123"/>
      <c r="F924" s="123"/>
      <c r="G924" s="123"/>
      <c r="H924" s="123"/>
      <c r="I924" s="123"/>
      <c r="J924" s="123"/>
      <c r="K924" s="123"/>
      <c r="L924" s="123"/>
      <c r="M924" s="123"/>
      <c r="N924" s="123"/>
      <c r="O924" s="123"/>
      <c r="Q924" s="123"/>
      <c r="R924" s="123"/>
      <c r="S924" s="123"/>
      <c r="T924" s="123"/>
      <c r="U924" s="123"/>
      <c r="V924" s="123"/>
      <c r="W924" s="123"/>
      <c r="X924" s="123"/>
      <c r="Y924" s="123"/>
      <c r="Z924" s="123"/>
      <c r="AA924" s="123"/>
    </row>
    <row r="925">
      <c r="B925" s="160"/>
      <c r="C925" s="160"/>
      <c r="D925" s="123"/>
      <c r="E925" s="123"/>
      <c r="F925" s="123"/>
      <c r="G925" s="123"/>
      <c r="H925" s="123"/>
      <c r="I925" s="123"/>
      <c r="J925" s="123"/>
      <c r="K925" s="123"/>
      <c r="L925" s="123"/>
      <c r="M925" s="123"/>
      <c r="N925" s="123"/>
      <c r="O925" s="123"/>
      <c r="Q925" s="123"/>
      <c r="R925" s="123"/>
      <c r="S925" s="123"/>
      <c r="T925" s="123"/>
      <c r="U925" s="123"/>
      <c r="V925" s="123"/>
      <c r="W925" s="123"/>
      <c r="X925" s="123"/>
      <c r="Y925" s="123"/>
      <c r="Z925" s="123"/>
      <c r="AA925" s="123"/>
    </row>
    <row r="926">
      <c r="B926" s="160"/>
      <c r="C926" s="160"/>
      <c r="D926" s="123"/>
      <c r="E926" s="123"/>
      <c r="F926" s="123"/>
      <c r="G926" s="123"/>
      <c r="H926" s="123"/>
      <c r="I926" s="123"/>
      <c r="J926" s="123"/>
      <c r="K926" s="123"/>
      <c r="L926" s="123"/>
      <c r="M926" s="123"/>
      <c r="N926" s="123"/>
      <c r="O926" s="123"/>
      <c r="Q926" s="123"/>
      <c r="R926" s="123"/>
      <c r="S926" s="123"/>
      <c r="T926" s="123"/>
      <c r="U926" s="123"/>
      <c r="V926" s="123"/>
      <c r="W926" s="123"/>
      <c r="X926" s="123"/>
      <c r="Y926" s="123"/>
      <c r="Z926" s="123"/>
      <c r="AA926" s="123"/>
    </row>
    <row r="927">
      <c r="B927" s="160"/>
      <c r="C927" s="160"/>
      <c r="D927" s="123"/>
      <c r="E927" s="123"/>
      <c r="F927" s="123"/>
      <c r="G927" s="123"/>
      <c r="H927" s="123"/>
      <c r="I927" s="123"/>
      <c r="J927" s="123"/>
      <c r="K927" s="123"/>
      <c r="L927" s="123"/>
      <c r="M927" s="123"/>
      <c r="N927" s="123"/>
      <c r="O927" s="123"/>
      <c r="Q927" s="123"/>
      <c r="R927" s="123"/>
      <c r="S927" s="123"/>
      <c r="T927" s="123"/>
      <c r="U927" s="123"/>
      <c r="V927" s="123"/>
      <c r="W927" s="123"/>
      <c r="X927" s="123"/>
      <c r="Y927" s="123"/>
      <c r="Z927" s="123"/>
      <c r="AA927" s="123"/>
    </row>
    <row r="928">
      <c r="B928" s="160"/>
      <c r="C928" s="160"/>
      <c r="D928" s="123"/>
      <c r="E928" s="123"/>
      <c r="F928" s="123"/>
      <c r="G928" s="123"/>
      <c r="H928" s="123"/>
      <c r="I928" s="123"/>
      <c r="J928" s="123"/>
      <c r="K928" s="123"/>
      <c r="L928" s="123"/>
      <c r="M928" s="123"/>
      <c r="N928" s="123"/>
      <c r="O928" s="123"/>
      <c r="Q928" s="123"/>
      <c r="R928" s="123"/>
      <c r="S928" s="123"/>
      <c r="T928" s="123"/>
      <c r="U928" s="123"/>
      <c r="V928" s="123"/>
      <c r="W928" s="123"/>
      <c r="X928" s="123"/>
      <c r="Y928" s="123"/>
      <c r="Z928" s="123"/>
      <c r="AA928" s="123"/>
    </row>
    <row r="929">
      <c r="B929" s="160"/>
      <c r="C929" s="160"/>
      <c r="D929" s="123"/>
      <c r="E929" s="123"/>
      <c r="F929" s="123"/>
      <c r="G929" s="123"/>
      <c r="H929" s="123"/>
      <c r="I929" s="123"/>
      <c r="J929" s="123"/>
      <c r="K929" s="123"/>
      <c r="L929" s="123"/>
      <c r="M929" s="123"/>
      <c r="N929" s="123"/>
      <c r="O929" s="123"/>
      <c r="Q929" s="123"/>
      <c r="R929" s="123"/>
      <c r="S929" s="123"/>
      <c r="T929" s="123"/>
      <c r="U929" s="123"/>
      <c r="V929" s="123"/>
      <c r="W929" s="123"/>
      <c r="X929" s="123"/>
      <c r="Y929" s="123"/>
      <c r="Z929" s="123"/>
      <c r="AA929" s="123"/>
    </row>
    <row r="930">
      <c r="B930" s="160"/>
      <c r="C930" s="160"/>
      <c r="D930" s="123"/>
      <c r="E930" s="123"/>
      <c r="F930" s="123"/>
      <c r="G930" s="123"/>
      <c r="H930" s="123"/>
      <c r="I930" s="123"/>
      <c r="J930" s="123"/>
      <c r="K930" s="123"/>
      <c r="L930" s="123"/>
      <c r="M930" s="123"/>
      <c r="N930" s="123"/>
      <c r="O930" s="123"/>
      <c r="Q930" s="123"/>
      <c r="R930" s="123"/>
      <c r="S930" s="123"/>
      <c r="T930" s="123"/>
      <c r="U930" s="123"/>
      <c r="V930" s="123"/>
      <c r="W930" s="123"/>
      <c r="X930" s="123"/>
      <c r="Y930" s="123"/>
      <c r="Z930" s="123"/>
      <c r="AA930" s="123"/>
    </row>
    <row r="931">
      <c r="B931" s="160"/>
      <c r="C931" s="160"/>
      <c r="D931" s="123"/>
      <c r="E931" s="123"/>
      <c r="F931" s="123"/>
      <c r="G931" s="123"/>
      <c r="H931" s="123"/>
      <c r="I931" s="123"/>
      <c r="J931" s="123"/>
      <c r="K931" s="123"/>
      <c r="L931" s="123"/>
      <c r="M931" s="123"/>
      <c r="N931" s="123"/>
      <c r="O931" s="123"/>
      <c r="Q931" s="123"/>
      <c r="R931" s="123"/>
      <c r="S931" s="123"/>
      <c r="T931" s="123"/>
      <c r="U931" s="123"/>
      <c r="V931" s="123"/>
      <c r="W931" s="123"/>
      <c r="X931" s="123"/>
      <c r="Y931" s="123"/>
      <c r="Z931" s="123"/>
      <c r="AA931" s="123"/>
    </row>
    <row r="932">
      <c r="B932" s="160"/>
      <c r="C932" s="160"/>
      <c r="D932" s="123"/>
      <c r="E932" s="123"/>
      <c r="F932" s="123"/>
      <c r="G932" s="123"/>
      <c r="H932" s="123"/>
      <c r="I932" s="123"/>
      <c r="J932" s="123"/>
      <c r="K932" s="123"/>
      <c r="L932" s="123"/>
      <c r="M932" s="123"/>
      <c r="N932" s="123"/>
      <c r="O932" s="123"/>
      <c r="Q932" s="123"/>
      <c r="R932" s="123"/>
      <c r="S932" s="123"/>
      <c r="T932" s="123"/>
      <c r="U932" s="123"/>
      <c r="V932" s="123"/>
      <c r="W932" s="123"/>
      <c r="X932" s="123"/>
      <c r="Y932" s="123"/>
      <c r="Z932" s="123"/>
      <c r="AA932" s="123"/>
    </row>
    <row r="933">
      <c r="B933" s="160"/>
      <c r="C933" s="160"/>
      <c r="D933" s="123"/>
      <c r="E933" s="123"/>
      <c r="F933" s="123"/>
      <c r="G933" s="123"/>
      <c r="H933" s="123"/>
      <c r="I933" s="123"/>
      <c r="J933" s="123"/>
      <c r="K933" s="123"/>
      <c r="L933" s="123"/>
      <c r="M933" s="123"/>
      <c r="N933" s="123"/>
      <c r="O933" s="123"/>
      <c r="Q933" s="123"/>
      <c r="R933" s="123"/>
      <c r="S933" s="123"/>
      <c r="T933" s="123"/>
      <c r="U933" s="123"/>
      <c r="V933" s="123"/>
      <c r="W933" s="123"/>
      <c r="X933" s="123"/>
      <c r="Y933" s="123"/>
      <c r="Z933" s="123"/>
      <c r="AA933" s="123"/>
    </row>
    <row r="934">
      <c r="B934" s="160"/>
      <c r="C934" s="160"/>
      <c r="D934" s="123"/>
      <c r="E934" s="123"/>
      <c r="F934" s="123"/>
      <c r="G934" s="123"/>
      <c r="H934" s="123"/>
      <c r="I934" s="123"/>
      <c r="J934" s="123"/>
      <c r="K934" s="123"/>
      <c r="L934" s="123"/>
      <c r="M934" s="123"/>
      <c r="N934" s="123"/>
      <c r="O934" s="123"/>
      <c r="Q934" s="123"/>
      <c r="R934" s="123"/>
      <c r="S934" s="123"/>
      <c r="T934" s="123"/>
      <c r="U934" s="123"/>
      <c r="V934" s="123"/>
      <c r="W934" s="123"/>
      <c r="X934" s="123"/>
      <c r="Y934" s="123"/>
      <c r="Z934" s="123"/>
      <c r="AA934" s="123"/>
    </row>
    <row r="935">
      <c r="B935" s="160"/>
      <c r="C935" s="160"/>
      <c r="D935" s="123"/>
      <c r="E935" s="123"/>
      <c r="F935" s="123"/>
      <c r="G935" s="123"/>
      <c r="H935" s="123"/>
      <c r="I935" s="123"/>
      <c r="J935" s="123"/>
      <c r="K935" s="123"/>
      <c r="L935" s="123"/>
      <c r="M935" s="123"/>
      <c r="N935" s="123"/>
      <c r="O935" s="123"/>
      <c r="Q935" s="123"/>
      <c r="R935" s="123"/>
      <c r="S935" s="123"/>
      <c r="T935" s="123"/>
      <c r="U935" s="123"/>
      <c r="V935" s="123"/>
      <c r="W935" s="123"/>
      <c r="X935" s="123"/>
      <c r="Y935" s="123"/>
      <c r="Z935" s="123"/>
      <c r="AA935" s="123"/>
    </row>
    <row r="936">
      <c r="B936" s="160"/>
      <c r="C936" s="160"/>
      <c r="D936" s="123"/>
      <c r="E936" s="123"/>
      <c r="F936" s="123"/>
      <c r="G936" s="123"/>
      <c r="H936" s="123"/>
      <c r="I936" s="123"/>
      <c r="J936" s="123"/>
      <c r="K936" s="123"/>
      <c r="L936" s="123"/>
      <c r="M936" s="123"/>
      <c r="N936" s="123"/>
      <c r="O936" s="123"/>
      <c r="Q936" s="123"/>
      <c r="R936" s="123"/>
      <c r="S936" s="123"/>
      <c r="T936" s="123"/>
      <c r="U936" s="123"/>
      <c r="V936" s="123"/>
      <c r="W936" s="123"/>
      <c r="X936" s="123"/>
      <c r="Y936" s="123"/>
      <c r="Z936" s="123"/>
      <c r="AA936" s="123"/>
    </row>
    <row r="937">
      <c r="B937" s="160"/>
      <c r="C937" s="160"/>
      <c r="D937" s="123"/>
      <c r="E937" s="123"/>
      <c r="F937" s="123"/>
      <c r="G937" s="123"/>
      <c r="H937" s="123"/>
      <c r="I937" s="123"/>
      <c r="J937" s="123"/>
      <c r="K937" s="123"/>
      <c r="L937" s="123"/>
      <c r="M937" s="123"/>
      <c r="N937" s="123"/>
      <c r="O937" s="123"/>
      <c r="Q937" s="123"/>
      <c r="R937" s="123"/>
      <c r="S937" s="123"/>
      <c r="T937" s="123"/>
      <c r="U937" s="123"/>
      <c r="V937" s="123"/>
      <c r="W937" s="123"/>
      <c r="X937" s="123"/>
      <c r="Y937" s="123"/>
      <c r="Z937" s="123"/>
      <c r="AA937" s="123"/>
    </row>
    <row r="938">
      <c r="B938" s="160"/>
      <c r="C938" s="160"/>
      <c r="D938" s="123"/>
      <c r="E938" s="123"/>
      <c r="F938" s="123"/>
      <c r="G938" s="123"/>
      <c r="H938" s="123"/>
      <c r="I938" s="123"/>
      <c r="J938" s="123"/>
      <c r="K938" s="123"/>
      <c r="L938" s="123"/>
      <c r="M938" s="123"/>
      <c r="N938" s="123"/>
      <c r="O938" s="123"/>
      <c r="Q938" s="123"/>
      <c r="R938" s="123"/>
      <c r="S938" s="123"/>
      <c r="T938" s="123"/>
      <c r="U938" s="123"/>
      <c r="V938" s="123"/>
      <c r="W938" s="123"/>
      <c r="X938" s="123"/>
      <c r="Y938" s="123"/>
      <c r="Z938" s="123"/>
      <c r="AA938" s="123"/>
    </row>
    <row r="939">
      <c r="B939" s="160"/>
      <c r="C939" s="160"/>
      <c r="D939" s="123"/>
      <c r="E939" s="123"/>
      <c r="F939" s="123"/>
      <c r="G939" s="123"/>
      <c r="H939" s="123"/>
      <c r="I939" s="123"/>
      <c r="J939" s="123"/>
      <c r="K939" s="123"/>
      <c r="L939" s="123"/>
      <c r="M939" s="123"/>
      <c r="N939" s="123"/>
      <c r="O939" s="123"/>
      <c r="Q939" s="123"/>
      <c r="R939" s="123"/>
      <c r="S939" s="123"/>
      <c r="T939" s="123"/>
      <c r="U939" s="123"/>
      <c r="V939" s="123"/>
      <c r="W939" s="123"/>
      <c r="X939" s="123"/>
      <c r="Y939" s="123"/>
      <c r="Z939" s="123"/>
      <c r="AA939" s="123"/>
    </row>
    <row r="940">
      <c r="B940" s="160"/>
      <c r="C940" s="160"/>
      <c r="D940" s="123"/>
      <c r="E940" s="123"/>
      <c r="F940" s="123"/>
      <c r="G940" s="123"/>
      <c r="H940" s="123"/>
      <c r="I940" s="123"/>
      <c r="J940" s="123"/>
      <c r="K940" s="123"/>
      <c r="L940" s="123"/>
      <c r="M940" s="123"/>
      <c r="N940" s="123"/>
      <c r="O940" s="123"/>
      <c r="Q940" s="123"/>
      <c r="R940" s="123"/>
      <c r="S940" s="123"/>
      <c r="T940" s="123"/>
      <c r="U940" s="123"/>
      <c r="V940" s="123"/>
      <c r="W940" s="123"/>
      <c r="X940" s="123"/>
      <c r="Y940" s="123"/>
      <c r="Z940" s="123"/>
      <c r="AA940" s="123"/>
    </row>
    <row r="941">
      <c r="B941" s="160"/>
      <c r="C941" s="160"/>
      <c r="D941" s="123"/>
      <c r="E941" s="123"/>
      <c r="F941" s="123"/>
      <c r="G941" s="123"/>
      <c r="H941" s="123"/>
      <c r="I941" s="123"/>
      <c r="J941" s="123"/>
      <c r="K941" s="123"/>
      <c r="L941" s="123"/>
      <c r="M941" s="123"/>
      <c r="N941" s="123"/>
      <c r="O941" s="123"/>
      <c r="Q941" s="123"/>
      <c r="R941" s="123"/>
      <c r="S941" s="123"/>
      <c r="T941" s="123"/>
      <c r="U941" s="123"/>
      <c r="V941" s="123"/>
      <c r="W941" s="123"/>
      <c r="X941" s="123"/>
      <c r="Y941" s="123"/>
      <c r="Z941" s="123"/>
      <c r="AA941" s="123"/>
    </row>
    <row r="942">
      <c r="B942" s="160"/>
      <c r="C942" s="160"/>
      <c r="D942" s="123"/>
      <c r="E942" s="123"/>
      <c r="F942" s="123"/>
      <c r="G942" s="123"/>
      <c r="H942" s="123"/>
      <c r="I942" s="123"/>
      <c r="J942" s="123"/>
      <c r="K942" s="123"/>
      <c r="L942" s="123"/>
      <c r="M942" s="123"/>
      <c r="N942" s="123"/>
      <c r="O942" s="123"/>
      <c r="Q942" s="123"/>
      <c r="R942" s="123"/>
      <c r="S942" s="123"/>
      <c r="T942" s="123"/>
      <c r="U942" s="123"/>
      <c r="V942" s="123"/>
      <c r="W942" s="123"/>
      <c r="X942" s="123"/>
      <c r="Y942" s="123"/>
      <c r="Z942" s="123"/>
      <c r="AA942" s="123"/>
    </row>
    <row r="943">
      <c r="B943" s="160"/>
      <c r="C943" s="160"/>
      <c r="D943" s="123"/>
      <c r="E943" s="123"/>
      <c r="F943" s="123"/>
      <c r="G943" s="123"/>
      <c r="H943" s="123"/>
      <c r="I943" s="123"/>
      <c r="J943" s="123"/>
      <c r="K943" s="123"/>
      <c r="L943" s="123"/>
      <c r="M943" s="123"/>
      <c r="N943" s="123"/>
      <c r="O943" s="123"/>
      <c r="Q943" s="123"/>
      <c r="R943" s="123"/>
      <c r="S943" s="123"/>
      <c r="T943" s="123"/>
      <c r="U943" s="123"/>
      <c r="V943" s="123"/>
      <c r="W943" s="123"/>
      <c r="X943" s="123"/>
      <c r="Y943" s="123"/>
      <c r="Z943" s="123"/>
      <c r="AA943" s="123"/>
    </row>
    <row r="944">
      <c r="B944" s="160"/>
      <c r="C944" s="160"/>
      <c r="D944" s="123"/>
      <c r="E944" s="123"/>
      <c r="F944" s="123"/>
      <c r="G944" s="123"/>
      <c r="H944" s="123"/>
      <c r="I944" s="123"/>
      <c r="J944" s="123"/>
      <c r="K944" s="123"/>
      <c r="L944" s="123"/>
      <c r="M944" s="123"/>
      <c r="N944" s="123"/>
      <c r="O944" s="123"/>
      <c r="Q944" s="123"/>
      <c r="R944" s="123"/>
      <c r="S944" s="123"/>
      <c r="T944" s="123"/>
      <c r="U944" s="123"/>
      <c r="V944" s="123"/>
      <c r="W944" s="123"/>
      <c r="X944" s="123"/>
      <c r="Y944" s="123"/>
      <c r="Z944" s="123"/>
      <c r="AA944" s="123"/>
    </row>
    <row r="945">
      <c r="B945" s="160"/>
      <c r="C945" s="160"/>
      <c r="D945" s="123"/>
      <c r="E945" s="123"/>
      <c r="F945" s="123"/>
      <c r="G945" s="123"/>
      <c r="H945" s="123"/>
      <c r="I945" s="123"/>
      <c r="J945" s="123"/>
      <c r="K945" s="123"/>
      <c r="L945" s="123"/>
      <c r="M945" s="123"/>
      <c r="N945" s="123"/>
      <c r="O945" s="123"/>
      <c r="Q945" s="123"/>
      <c r="R945" s="123"/>
      <c r="S945" s="123"/>
      <c r="T945" s="123"/>
      <c r="U945" s="123"/>
      <c r="V945" s="123"/>
      <c r="W945" s="123"/>
      <c r="X945" s="123"/>
      <c r="Y945" s="123"/>
      <c r="Z945" s="123"/>
      <c r="AA945" s="123"/>
    </row>
    <row r="946">
      <c r="B946" s="160"/>
      <c r="C946" s="160"/>
      <c r="D946" s="123"/>
      <c r="E946" s="123"/>
      <c r="F946" s="123"/>
      <c r="G946" s="123"/>
      <c r="H946" s="123"/>
      <c r="I946" s="123"/>
      <c r="J946" s="123"/>
      <c r="K946" s="123"/>
      <c r="L946" s="123"/>
      <c r="M946" s="123"/>
      <c r="N946" s="123"/>
      <c r="O946" s="123"/>
      <c r="Q946" s="123"/>
      <c r="R946" s="123"/>
      <c r="S946" s="123"/>
      <c r="T946" s="123"/>
      <c r="U946" s="123"/>
      <c r="V946" s="123"/>
      <c r="W946" s="123"/>
      <c r="X946" s="123"/>
      <c r="Y946" s="123"/>
      <c r="Z946" s="123"/>
      <c r="AA946" s="123"/>
    </row>
    <row r="947">
      <c r="B947" s="160"/>
      <c r="C947" s="160"/>
      <c r="D947" s="123"/>
      <c r="E947" s="123"/>
      <c r="F947" s="123"/>
      <c r="G947" s="123"/>
      <c r="H947" s="123"/>
      <c r="I947" s="123"/>
      <c r="J947" s="123"/>
      <c r="K947" s="123"/>
      <c r="L947" s="123"/>
      <c r="M947" s="123"/>
      <c r="N947" s="123"/>
      <c r="O947" s="123"/>
      <c r="Q947" s="123"/>
      <c r="R947" s="123"/>
      <c r="S947" s="123"/>
      <c r="T947" s="123"/>
      <c r="U947" s="123"/>
      <c r="V947" s="123"/>
      <c r="W947" s="123"/>
      <c r="X947" s="123"/>
      <c r="Y947" s="123"/>
      <c r="Z947" s="123"/>
      <c r="AA947" s="123"/>
    </row>
    <row r="948">
      <c r="B948" s="160"/>
      <c r="C948" s="160"/>
      <c r="D948" s="123"/>
      <c r="E948" s="123"/>
      <c r="F948" s="123"/>
      <c r="G948" s="123"/>
      <c r="H948" s="123"/>
      <c r="I948" s="123"/>
      <c r="J948" s="123"/>
      <c r="K948" s="123"/>
      <c r="L948" s="123"/>
      <c r="M948" s="123"/>
      <c r="N948" s="123"/>
      <c r="O948" s="123"/>
      <c r="Q948" s="123"/>
      <c r="R948" s="123"/>
      <c r="S948" s="123"/>
      <c r="T948" s="123"/>
      <c r="U948" s="123"/>
      <c r="V948" s="123"/>
      <c r="W948" s="123"/>
      <c r="X948" s="123"/>
      <c r="Y948" s="123"/>
      <c r="Z948" s="123"/>
      <c r="AA948" s="123"/>
    </row>
    <row r="949">
      <c r="B949" s="160"/>
      <c r="C949" s="160"/>
      <c r="D949" s="123"/>
      <c r="E949" s="123"/>
      <c r="F949" s="123"/>
      <c r="G949" s="123"/>
      <c r="H949" s="123"/>
      <c r="I949" s="123"/>
      <c r="J949" s="123"/>
      <c r="K949" s="123"/>
      <c r="L949" s="123"/>
      <c r="M949" s="123"/>
      <c r="N949" s="123"/>
      <c r="O949" s="123"/>
      <c r="Q949" s="123"/>
      <c r="R949" s="123"/>
      <c r="S949" s="123"/>
      <c r="T949" s="123"/>
      <c r="U949" s="123"/>
      <c r="V949" s="123"/>
      <c r="W949" s="123"/>
      <c r="X949" s="123"/>
      <c r="Y949" s="123"/>
      <c r="Z949" s="123"/>
      <c r="AA949" s="123"/>
    </row>
    <row r="950">
      <c r="B950" s="160"/>
      <c r="C950" s="160"/>
      <c r="D950" s="123"/>
      <c r="E950" s="123"/>
      <c r="F950" s="123"/>
      <c r="G950" s="123"/>
      <c r="H950" s="123"/>
      <c r="I950" s="123"/>
      <c r="J950" s="123"/>
      <c r="K950" s="123"/>
      <c r="L950" s="123"/>
      <c r="M950" s="123"/>
      <c r="N950" s="123"/>
      <c r="O950" s="123"/>
      <c r="Q950" s="123"/>
      <c r="R950" s="123"/>
      <c r="S950" s="123"/>
      <c r="T950" s="123"/>
      <c r="U950" s="123"/>
      <c r="V950" s="123"/>
      <c r="W950" s="123"/>
      <c r="X950" s="123"/>
      <c r="Y950" s="123"/>
      <c r="Z950" s="123"/>
      <c r="AA950" s="123"/>
    </row>
    <row r="951">
      <c r="B951" s="160"/>
      <c r="C951" s="160"/>
      <c r="D951" s="123"/>
      <c r="E951" s="123"/>
      <c r="F951" s="123"/>
      <c r="G951" s="123"/>
      <c r="H951" s="123"/>
      <c r="I951" s="123"/>
      <c r="J951" s="123"/>
      <c r="K951" s="123"/>
      <c r="L951" s="123"/>
      <c r="M951" s="123"/>
      <c r="N951" s="123"/>
      <c r="O951" s="123"/>
      <c r="Q951" s="123"/>
      <c r="R951" s="123"/>
      <c r="S951" s="123"/>
      <c r="T951" s="123"/>
      <c r="U951" s="123"/>
      <c r="V951" s="123"/>
      <c r="W951" s="123"/>
      <c r="X951" s="123"/>
      <c r="Y951" s="123"/>
      <c r="Z951" s="123"/>
      <c r="AA951" s="123"/>
    </row>
    <row r="952">
      <c r="B952" s="160"/>
      <c r="C952" s="160"/>
      <c r="D952" s="123"/>
      <c r="E952" s="123"/>
      <c r="F952" s="123"/>
      <c r="G952" s="123"/>
      <c r="H952" s="123"/>
      <c r="I952" s="123"/>
      <c r="J952" s="123"/>
      <c r="K952" s="123"/>
      <c r="L952" s="123"/>
      <c r="M952" s="123"/>
      <c r="N952" s="123"/>
      <c r="O952" s="123"/>
      <c r="Q952" s="123"/>
      <c r="R952" s="123"/>
      <c r="S952" s="123"/>
      <c r="T952" s="123"/>
      <c r="U952" s="123"/>
      <c r="V952" s="123"/>
      <c r="W952" s="123"/>
      <c r="X952" s="123"/>
      <c r="Y952" s="123"/>
      <c r="Z952" s="123"/>
      <c r="AA952" s="123"/>
    </row>
    <row r="953">
      <c r="B953" s="160"/>
      <c r="C953" s="160"/>
      <c r="D953" s="123"/>
      <c r="E953" s="123"/>
      <c r="F953" s="123"/>
      <c r="G953" s="123"/>
      <c r="H953" s="123"/>
      <c r="I953" s="123"/>
      <c r="J953" s="123"/>
      <c r="K953" s="123"/>
      <c r="L953" s="123"/>
      <c r="M953" s="123"/>
      <c r="N953" s="123"/>
      <c r="O953" s="123"/>
      <c r="Q953" s="123"/>
      <c r="R953" s="123"/>
      <c r="S953" s="123"/>
      <c r="T953" s="123"/>
      <c r="U953" s="123"/>
      <c r="V953" s="123"/>
      <c r="W953" s="123"/>
      <c r="X953" s="123"/>
      <c r="Y953" s="123"/>
      <c r="Z953" s="123"/>
      <c r="AA953" s="123"/>
    </row>
    <row r="954">
      <c r="B954" s="160"/>
      <c r="C954" s="160"/>
      <c r="D954" s="123"/>
      <c r="E954" s="123"/>
      <c r="F954" s="123"/>
      <c r="G954" s="123"/>
      <c r="H954" s="123"/>
      <c r="I954" s="123"/>
      <c r="J954" s="123"/>
      <c r="K954" s="123"/>
      <c r="L954" s="123"/>
      <c r="M954" s="123"/>
      <c r="N954" s="123"/>
      <c r="O954" s="123"/>
      <c r="Q954" s="123"/>
      <c r="R954" s="123"/>
      <c r="S954" s="123"/>
      <c r="T954" s="123"/>
      <c r="U954" s="123"/>
      <c r="V954" s="123"/>
      <c r="W954" s="123"/>
      <c r="X954" s="123"/>
      <c r="Y954" s="123"/>
      <c r="Z954" s="123"/>
      <c r="AA954" s="123"/>
    </row>
    <row r="955">
      <c r="B955" s="160"/>
      <c r="C955" s="160"/>
      <c r="D955" s="123"/>
      <c r="E955" s="123"/>
      <c r="F955" s="123"/>
      <c r="G955" s="123"/>
      <c r="H955" s="123"/>
      <c r="I955" s="123"/>
      <c r="J955" s="123"/>
      <c r="K955" s="123"/>
      <c r="L955" s="123"/>
      <c r="M955" s="123"/>
      <c r="N955" s="123"/>
      <c r="O955" s="123"/>
      <c r="Q955" s="123"/>
      <c r="R955" s="123"/>
      <c r="S955" s="123"/>
      <c r="T955" s="123"/>
      <c r="U955" s="123"/>
      <c r="V955" s="123"/>
      <c r="W955" s="123"/>
      <c r="X955" s="123"/>
      <c r="Y955" s="123"/>
      <c r="Z955" s="123"/>
      <c r="AA955" s="123"/>
    </row>
    <row r="956">
      <c r="B956" s="160"/>
      <c r="C956" s="160"/>
      <c r="D956" s="123"/>
      <c r="E956" s="123"/>
      <c r="F956" s="123"/>
      <c r="G956" s="123"/>
      <c r="H956" s="123"/>
      <c r="I956" s="123"/>
      <c r="J956" s="123"/>
      <c r="K956" s="123"/>
      <c r="L956" s="123"/>
      <c r="M956" s="123"/>
      <c r="N956" s="123"/>
      <c r="O956" s="123"/>
      <c r="Q956" s="123"/>
      <c r="R956" s="123"/>
      <c r="S956" s="123"/>
      <c r="T956" s="123"/>
      <c r="U956" s="123"/>
      <c r="V956" s="123"/>
      <c r="W956" s="123"/>
      <c r="X956" s="123"/>
      <c r="Y956" s="123"/>
      <c r="Z956" s="123"/>
      <c r="AA956" s="123"/>
    </row>
    <row r="957">
      <c r="B957" s="160"/>
      <c r="C957" s="160"/>
      <c r="D957" s="123"/>
      <c r="E957" s="123"/>
      <c r="F957" s="123"/>
      <c r="G957" s="123"/>
      <c r="H957" s="123"/>
      <c r="I957" s="123"/>
      <c r="J957" s="123"/>
      <c r="K957" s="123"/>
      <c r="L957" s="123"/>
      <c r="M957" s="123"/>
      <c r="N957" s="123"/>
      <c r="O957" s="123"/>
      <c r="Q957" s="123"/>
      <c r="R957" s="123"/>
      <c r="S957" s="123"/>
      <c r="T957" s="123"/>
      <c r="U957" s="123"/>
      <c r="V957" s="123"/>
      <c r="W957" s="123"/>
      <c r="X957" s="123"/>
      <c r="Y957" s="123"/>
      <c r="Z957" s="123"/>
      <c r="AA957" s="123"/>
    </row>
    <row r="958">
      <c r="B958" s="160"/>
      <c r="C958" s="160"/>
      <c r="D958" s="123"/>
      <c r="E958" s="123"/>
      <c r="F958" s="123"/>
      <c r="G958" s="123"/>
      <c r="H958" s="123"/>
      <c r="I958" s="123"/>
      <c r="J958" s="123"/>
      <c r="K958" s="123"/>
      <c r="L958" s="123"/>
      <c r="M958" s="123"/>
      <c r="N958" s="123"/>
      <c r="O958" s="123"/>
      <c r="Q958" s="123"/>
      <c r="R958" s="123"/>
      <c r="S958" s="123"/>
      <c r="T958" s="123"/>
      <c r="U958" s="123"/>
      <c r="V958" s="123"/>
      <c r="W958" s="123"/>
      <c r="X958" s="123"/>
      <c r="Y958" s="123"/>
      <c r="Z958" s="123"/>
      <c r="AA958" s="123"/>
    </row>
    <row r="959">
      <c r="B959" s="160"/>
      <c r="C959" s="160"/>
      <c r="D959" s="123"/>
      <c r="E959" s="123"/>
      <c r="F959" s="123"/>
      <c r="G959" s="123"/>
      <c r="H959" s="123"/>
      <c r="I959" s="123"/>
      <c r="J959" s="123"/>
      <c r="K959" s="123"/>
      <c r="L959" s="123"/>
      <c r="M959" s="123"/>
      <c r="N959" s="123"/>
      <c r="O959" s="123"/>
      <c r="Q959" s="123"/>
      <c r="R959" s="123"/>
      <c r="S959" s="123"/>
      <c r="T959" s="123"/>
      <c r="U959" s="123"/>
      <c r="V959" s="123"/>
      <c r="W959" s="123"/>
      <c r="X959" s="123"/>
      <c r="Y959" s="123"/>
      <c r="Z959" s="123"/>
      <c r="AA959" s="123"/>
    </row>
    <row r="960">
      <c r="B960" s="160"/>
      <c r="C960" s="160"/>
      <c r="D960" s="123"/>
      <c r="E960" s="123"/>
      <c r="F960" s="123"/>
      <c r="G960" s="123"/>
      <c r="H960" s="123"/>
      <c r="I960" s="123"/>
      <c r="J960" s="123"/>
      <c r="K960" s="123"/>
      <c r="L960" s="123"/>
      <c r="M960" s="123"/>
      <c r="N960" s="123"/>
      <c r="O960" s="123"/>
      <c r="Q960" s="123"/>
      <c r="R960" s="123"/>
      <c r="S960" s="123"/>
      <c r="T960" s="123"/>
      <c r="U960" s="123"/>
      <c r="V960" s="123"/>
      <c r="W960" s="123"/>
      <c r="X960" s="123"/>
      <c r="Y960" s="123"/>
      <c r="Z960" s="123"/>
      <c r="AA960" s="123"/>
    </row>
    <row r="961">
      <c r="B961" s="160"/>
      <c r="C961" s="160"/>
      <c r="D961" s="123"/>
      <c r="E961" s="123"/>
      <c r="F961" s="123"/>
      <c r="G961" s="123"/>
      <c r="H961" s="123"/>
      <c r="I961" s="123"/>
      <c r="J961" s="123"/>
      <c r="K961" s="123"/>
      <c r="L961" s="123"/>
      <c r="M961" s="123"/>
      <c r="N961" s="123"/>
      <c r="O961" s="123"/>
      <c r="Q961" s="123"/>
      <c r="R961" s="123"/>
      <c r="S961" s="123"/>
      <c r="T961" s="123"/>
      <c r="U961" s="123"/>
      <c r="V961" s="123"/>
      <c r="W961" s="123"/>
      <c r="X961" s="123"/>
      <c r="Y961" s="123"/>
      <c r="Z961" s="123"/>
      <c r="AA961" s="123"/>
    </row>
    <row r="962">
      <c r="B962" s="160"/>
      <c r="C962" s="160"/>
      <c r="D962" s="123"/>
      <c r="E962" s="123"/>
      <c r="F962" s="123"/>
      <c r="G962" s="123"/>
      <c r="H962" s="123"/>
      <c r="I962" s="123"/>
      <c r="J962" s="123"/>
      <c r="K962" s="123"/>
      <c r="L962" s="123"/>
      <c r="M962" s="123"/>
      <c r="N962" s="123"/>
      <c r="O962" s="123"/>
      <c r="Q962" s="123"/>
      <c r="R962" s="123"/>
      <c r="S962" s="123"/>
      <c r="T962" s="123"/>
      <c r="U962" s="123"/>
      <c r="V962" s="123"/>
      <c r="W962" s="123"/>
      <c r="X962" s="123"/>
      <c r="Y962" s="123"/>
      <c r="Z962" s="123"/>
      <c r="AA962" s="123"/>
    </row>
    <row r="963">
      <c r="B963" s="160"/>
      <c r="C963" s="160"/>
      <c r="D963" s="123"/>
      <c r="E963" s="123"/>
      <c r="F963" s="123"/>
      <c r="G963" s="123"/>
      <c r="H963" s="123"/>
      <c r="I963" s="123"/>
      <c r="J963" s="123"/>
      <c r="K963" s="123"/>
      <c r="L963" s="123"/>
      <c r="M963" s="123"/>
      <c r="N963" s="123"/>
      <c r="O963" s="123"/>
      <c r="Q963" s="123"/>
      <c r="R963" s="123"/>
      <c r="S963" s="123"/>
      <c r="T963" s="123"/>
      <c r="U963" s="123"/>
      <c r="V963" s="123"/>
      <c r="W963" s="123"/>
      <c r="X963" s="123"/>
      <c r="Y963" s="123"/>
      <c r="Z963" s="123"/>
      <c r="AA963" s="123"/>
    </row>
    <row r="964">
      <c r="B964" s="160"/>
      <c r="C964" s="160"/>
      <c r="D964" s="123"/>
      <c r="E964" s="123"/>
      <c r="F964" s="123"/>
      <c r="G964" s="123"/>
      <c r="H964" s="123"/>
      <c r="I964" s="123"/>
      <c r="J964" s="123"/>
      <c r="K964" s="123"/>
      <c r="L964" s="123"/>
      <c r="M964" s="123"/>
      <c r="N964" s="123"/>
      <c r="O964" s="123"/>
      <c r="Q964" s="123"/>
      <c r="R964" s="123"/>
      <c r="S964" s="123"/>
      <c r="T964" s="123"/>
      <c r="U964" s="123"/>
      <c r="V964" s="123"/>
      <c r="W964" s="123"/>
      <c r="X964" s="123"/>
      <c r="Y964" s="123"/>
      <c r="Z964" s="123"/>
      <c r="AA964" s="123"/>
    </row>
    <row r="965">
      <c r="B965" s="160"/>
      <c r="C965" s="160"/>
      <c r="D965" s="123"/>
      <c r="E965" s="123"/>
      <c r="F965" s="123"/>
      <c r="G965" s="123"/>
      <c r="H965" s="123"/>
      <c r="I965" s="123"/>
      <c r="J965" s="123"/>
      <c r="K965" s="123"/>
      <c r="L965" s="123"/>
      <c r="M965" s="123"/>
      <c r="N965" s="123"/>
      <c r="O965" s="123"/>
      <c r="Q965" s="123"/>
      <c r="R965" s="123"/>
      <c r="S965" s="123"/>
      <c r="T965" s="123"/>
      <c r="U965" s="123"/>
      <c r="V965" s="123"/>
      <c r="W965" s="123"/>
      <c r="X965" s="123"/>
      <c r="Y965" s="123"/>
      <c r="Z965" s="123"/>
      <c r="AA965" s="123"/>
    </row>
    <row r="966">
      <c r="B966" s="160"/>
      <c r="C966" s="160"/>
      <c r="D966" s="123"/>
      <c r="E966" s="123"/>
      <c r="F966" s="123"/>
      <c r="G966" s="123"/>
      <c r="H966" s="123"/>
      <c r="I966" s="123"/>
      <c r="J966" s="123"/>
      <c r="K966" s="123"/>
      <c r="L966" s="123"/>
      <c r="M966" s="123"/>
      <c r="N966" s="123"/>
      <c r="O966" s="123"/>
      <c r="Q966" s="123"/>
      <c r="R966" s="123"/>
      <c r="S966" s="123"/>
      <c r="T966" s="123"/>
      <c r="U966" s="123"/>
      <c r="V966" s="123"/>
      <c r="W966" s="123"/>
      <c r="X966" s="123"/>
      <c r="Y966" s="123"/>
      <c r="Z966" s="123"/>
      <c r="AA966" s="123"/>
    </row>
    <row r="967">
      <c r="B967" s="160"/>
      <c r="C967" s="160"/>
      <c r="D967" s="123"/>
      <c r="E967" s="123"/>
      <c r="F967" s="123"/>
      <c r="G967" s="123"/>
      <c r="H967" s="123"/>
      <c r="I967" s="123"/>
      <c r="J967" s="123"/>
      <c r="K967" s="123"/>
      <c r="L967" s="123"/>
      <c r="M967" s="123"/>
      <c r="N967" s="123"/>
      <c r="O967" s="123"/>
      <c r="Q967" s="123"/>
      <c r="R967" s="123"/>
      <c r="S967" s="123"/>
      <c r="T967" s="123"/>
      <c r="U967" s="123"/>
      <c r="V967" s="123"/>
      <c r="W967" s="123"/>
      <c r="X967" s="123"/>
      <c r="Y967" s="123"/>
      <c r="Z967" s="123"/>
      <c r="AA967" s="123"/>
    </row>
    <row r="968">
      <c r="B968" s="160"/>
      <c r="C968" s="160"/>
      <c r="D968" s="123"/>
      <c r="E968" s="123"/>
      <c r="F968" s="123"/>
      <c r="G968" s="123"/>
      <c r="H968" s="123"/>
      <c r="I968" s="123"/>
      <c r="J968" s="123"/>
      <c r="K968" s="123"/>
      <c r="L968" s="123"/>
      <c r="M968" s="123"/>
      <c r="N968" s="123"/>
      <c r="O968" s="123"/>
      <c r="Q968" s="123"/>
      <c r="R968" s="123"/>
      <c r="S968" s="123"/>
      <c r="T968" s="123"/>
      <c r="U968" s="123"/>
      <c r="V968" s="123"/>
      <c r="W968" s="123"/>
      <c r="X968" s="123"/>
      <c r="Y968" s="123"/>
      <c r="Z968" s="123"/>
      <c r="AA968" s="123"/>
    </row>
    <row r="969">
      <c r="B969" s="160"/>
      <c r="C969" s="160"/>
      <c r="D969" s="123"/>
      <c r="E969" s="123"/>
      <c r="F969" s="123"/>
      <c r="G969" s="123"/>
      <c r="H969" s="123"/>
      <c r="I969" s="123"/>
      <c r="J969" s="123"/>
      <c r="K969" s="123"/>
      <c r="L969" s="123"/>
      <c r="M969" s="123"/>
      <c r="N969" s="123"/>
      <c r="O969" s="123"/>
      <c r="Q969" s="123"/>
      <c r="R969" s="123"/>
      <c r="S969" s="123"/>
      <c r="T969" s="123"/>
      <c r="U969" s="123"/>
      <c r="V969" s="123"/>
      <c r="W969" s="123"/>
      <c r="X969" s="123"/>
      <c r="Y969" s="123"/>
      <c r="Z969" s="123"/>
      <c r="AA969" s="123"/>
    </row>
    <row r="970">
      <c r="B970" s="160"/>
      <c r="C970" s="160"/>
      <c r="D970" s="123"/>
      <c r="E970" s="123"/>
      <c r="F970" s="123"/>
      <c r="G970" s="123"/>
      <c r="H970" s="123"/>
      <c r="I970" s="123"/>
      <c r="J970" s="123"/>
      <c r="K970" s="123"/>
      <c r="L970" s="123"/>
      <c r="M970" s="123"/>
      <c r="N970" s="123"/>
      <c r="O970" s="123"/>
      <c r="Q970" s="123"/>
      <c r="R970" s="123"/>
      <c r="S970" s="123"/>
      <c r="T970" s="123"/>
      <c r="U970" s="123"/>
      <c r="V970" s="123"/>
      <c r="W970" s="123"/>
      <c r="X970" s="123"/>
      <c r="Y970" s="123"/>
      <c r="Z970" s="123"/>
      <c r="AA970" s="123"/>
    </row>
    <row r="971">
      <c r="B971" s="160"/>
      <c r="C971" s="160"/>
      <c r="D971" s="123"/>
      <c r="E971" s="123"/>
      <c r="F971" s="123"/>
      <c r="G971" s="123"/>
      <c r="H971" s="123"/>
      <c r="I971" s="123"/>
      <c r="J971" s="123"/>
      <c r="K971" s="123"/>
      <c r="L971" s="123"/>
      <c r="M971" s="123"/>
      <c r="N971" s="123"/>
      <c r="O971" s="123"/>
      <c r="Q971" s="123"/>
      <c r="R971" s="123"/>
      <c r="S971" s="123"/>
      <c r="T971" s="123"/>
      <c r="U971" s="123"/>
      <c r="V971" s="123"/>
      <c r="W971" s="123"/>
      <c r="X971" s="123"/>
      <c r="Y971" s="123"/>
      <c r="Z971" s="123"/>
      <c r="AA971" s="123"/>
    </row>
    <row r="972">
      <c r="B972" s="160"/>
      <c r="C972" s="160"/>
      <c r="D972" s="123"/>
      <c r="E972" s="123"/>
      <c r="F972" s="123"/>
      <c r="G972" s="123"/>
      <c r="H972" s="123"/>
      <c r="I972" s="123"/>
      <c r="J972" s="123"/>
      <c r="K972" s="123"/>
      <c r="L972" s="123"/>
      <c r="M972" s="123"/>
      <c r="N972" s="123"/>
      <c r="O972" s="123"/>
      <c r="Q972" s="123"/>
      <c r="R972" s="123"/>
      <c r="S972" s="123"/>
      <c r="T972" s="123"/>
      <c r="U972" s="123"/>
      <c r="V972" s="123"/>
      <c r="W972" s="123"/>
      <c r="X972" s="123"/>
      <c r="Y972" s="123"/>
      <c r="Z972" s="123"/>
      <c r="AA972" s="123"/>
    </row>
    <row r="973">
      <c r="B973" s="160"/>
      <c r="C973" s="160"/>
      <c r="D973" s="123"/>
      <c r="E973" s="123"/>
      <c r="F973" s="123"/>
      <c r="G973" s="123"/>
      <c r="H973" s="123"/>
      <c r="I973" s="123"/>
      <c r="J973" s="123"/>
      <c r="K973" s="123"/>
      <c r="L973" s="123"/>
      <c r="M973" s="123"/>
      <c r="N973" s="123"/>
      <c r="O973" s="123"/>
      <c r="Q973" s="123"/>
      <c r="R973" s="123"/>
      <c r="S973" s="123"/>
      <c r="T973" s="123"/>
      <c r="U973" s="123"/>
      <c r="V973" s="123"/>
      <c r="W973" s="123"/>
      <c r="X973" s="123"/>
      <c r="Y973" s="123"/>
      <c r="Z973" s="123"/>
      <c r="AA973" s="123"/>
    </row>
    <row r="974">
      <c r="B974" s="160"/>
      <c r="C974" s="160"/>
      <c r="D974" s="123"/>
      <c r="E974" s="123"/>
      <c r="F974" s="123"/>
      <c r="G974" s="123"/>
      <c r="H974" s="123"/>
      <c r="I974" s="123"/>
      <c r="J974" s="123"/>
      <c r="K974" s="123"/>
      <c r="L974" s="123"/>
      <c r="M974" s="123"/>
      <c r="N974" s="123"/>
      <c r="O974" s="123"/>
      <c r="Q974" s="123"/>
      <c r="R974" s="123"/>
      <c r="S974" s="123"/>
      <c r="T974" s="123"/>
      <c r="U974" s="123"/>
      <c r="V974" s="123"/>
      <c r="W974" s="123"/>
      <c r="X974" s="123"/>
      <c r="Y974" s="123"/>
      <c r="Z974" s="123"/>
      <c r="AA974" s="123"/>
    </row>
    <row r="975">
      <c r="B975" s="160"/>
      <c r="C975" s="160"/>
      <c r="D975" s="123"/>
      <c r="E975" s="123"/>
      <c r="F975" s="123"/>
      <c r="G975" s="123"/>
      <c r="H975" s="123"/>
      <c r="I975" s="123"/>
      <c r="J975" s="123"/>
      <c r="K975" s="123"/>
      <c r="L975" s="123"/>
      <c r="M975" s="123"/>
      <c r="N975" s="123"/>
      <c r="O975" s="123"/>
      <c r="Q975" s="123"/>
      <c r="R975" s="123"/>
      <c r="S975" s="123"/>
      <c r="T975" s="123"/>
      <c r="U975" s="123"/>
      <c r="V975" s="123"/>
      <c r="W975" s="123"/>
      <c r="X975" s="123"/>
      <c r="Y975" s="123"/>
      <c r="Z975" s="123"/>
      <c r="AA975" s="123"/>
    </row>
    <row r="976">
      <c r="B976" s="160"/>
      <c r="C976" s="160"/>
      <c r="D976" s="123"/>
      <c r="E976" s="123"/>
      <c r="F976" s="123"/>
      <c r="G976" s="123"/>
      <c r="H976" s="123"/>
      <c r="I976" s="123"/>
      <c r="J976" s="123"/>
      <c r="K976" s="123"/>
      <c r="L976" s="123"/>
      <c r="M976" s="123"/>
      <c r="N976" s="123"/>
      <c r="O976" s="123"/>
      <c r="Q976" s="123"/>
      <c r="R976" s="123"/>
      <c r="S976" s="123"/>
      <c r="T976" s="123"/>
      <c r="U976" s="123"/>
      <c r="V976" s="123"/>
      <c r="W976" s="123"/>
      <c r="X976" s="123"/>
      <c r="Y976" s="123"/>
      <c r="Z976" s="123"/>
      <c r="AA976" s="123"/>
    </row>
    <row r="977">
      <c r="B977" s="160"/>
      <c r="C977" s="160"/>
      <c r="D977" s="123"/>
      <c r="E977" s="123"/>
      <c r="F977" s="123"/>
      <c r="G977" s="123"/>
      <c r="H977" s="123"/>
      <c r="I977" s="123"/>
      <c r="J977" s="123"/>
      <c r="K977" s="123"/>
      <c r="L977" s="123"/>
      <c r="M977" s="123"/>
      <c r="N977" s="123"/>
      <c r="O977" s="123"/>
      <c r="Q977" s="123"/>
      <c r="R977" s="123"/>
      <c r="S977" s="123"/>
      <c r="T977" s="123"/>
      <c r="U977" s="123"/>
      <c r="V977" s="123"/>
      <c r="W977" s="123"/>
      <c r="X977" s="123"/>
      <c r="Y977" s="123"/>
      <c r="Z977" s="123"/>
      <c r="AA977" s="123"/>
    </row>
    <row r="978">
      <c r="B978" s="160"/>
      <c r="C978" s="160"/>
      <c r="D978" s="123"/>
      <c r="E978" s="123"/>
      <c r="F978" s="123"/>
      <c r="G978" s="123"/>
      <c r="H978" s="123"/>
      <c r="I978" s="123"/>
      <c r="J978" s="123"/>
      <c r="K978" s="123"/>
      <c r="L978" s="123"/>
      <c r="M978" s="123"/>
      <c r="N978" s="123"/>
      <c r="O978" s="123"/>
      <c r="Q978" s="123"/>
      <c r="R978" s="123"/>
      <c r="S978" s="123"/>
      <c r="T978" s="123"/>
      <c r="U978" s="123"/>
      <c r="V978" s="123"/>
      <c r="W978" s="123"/>
      <c r="X978" s="123"/>
      <c r="Y978" s="123"/>
      <c r="Z978" s="123"/>
      <c r="AA978" s="123"/>
    </row>
    <row r="979">
      <c r="B979" s="160"/>
      <c r="C979" s="160"/>
      <c r="D979" s="123"/>
      <c r="E979" s="123"/>
      <c r="F979" s="123"/>
      <c r="G979" s="123"/>
      <c r="H979" s="123"/>
      <c r="I979" s="123"/>
      <c r="J979" s="123"/>
      <c r="K979" s="123"/>
      <c r="L979" s="123"/>
      <c r="M979" s="123"/>
      <c r="N979" s="123"/>
      <c r="O979" s="123"/>
      <c r="Q979" s="123"/>
      <c r="R979" s="123"/>
      <c r="S979" s="123"/>
      <c r="T979" s="123"/>
      <c r="U979" s="123"/>
      <c r="V979" s="123"/>
      <c r="W979" s="123"/>
      <c r="X979" s="123"/>
      <c r="Y979" s="123"/>
      <c r="Z979" s="123"/>
      <c r="AA979" s="123"/>
    </row>
    <row r="980">
      <c r="B980" s="160"/>
      <c r="C980" s="160"/>
      <c r="D980" s="123"/>
      <c r="E980" s="123"/>
      <c r="F980" s="123"/>
      <c r="G980" s="123"/>
      <c r="H980" s="123"/>
      <c r="I980" s="123"/>
      <c r="J980" s="123"/>
      <c r="K980" s="123"/>
      <c r="L980" s="123"/>
      <c r="M980" s="123"/>
      <c r="N980" s="123"/>
      <c r="O980" s="123"/>
      <c r="Q980" s="123"/>
      <c r="R980" s="123"/>
      <c r="S980" s="123"/>
      <c r="T980" s="123"/>
      <c r="U980" s="123"/>
      <c r="V980" s="123"/>
      <c r="W980" s="123"/>
      <c r="X980" s="123"/>
      <c r="Y980" s="123"/>
      <c r="Z980" s="123"/>
      <c r="AA980" s="123"/>
    </row>
    <row r="981">
      <c r="B981" s="160"/>
      <c r="C981" s="160"/>
      <c r="D981" s="123"/>
      <c r="E981" s="123"/>
      <c r="F981" s="123"/>
      <c r="G981" s="123"/>
      <c r="H981" s="123"/>
      <c r="I981" s="123"/>
      <c r="J981" s="123"/>
      <c r="K981" s="123"/>
      <c r="L981" s="123"/>
      <c r="M981" s="123"/>
      <c r="N981" s="123"/>
      <c r="O981" s="123"/>
      <c r="Q981" s="123"/>
      <c r="R981" s="123"/>
      <c r="S981" s="123"/>
      <c r="T981" s="123"/>
      <c r="U981" s="123"/>
      <c r="V981" s="123"/>
      <c r="W981" s="123"/>
      <c r="X981" s="123"/>
      <c r="Y981" s="123"/>
      <c r="Z981" s="123"/>
      <c r="AA981" s="123"/>
    </row>
    <row r="982">
      <c r="B982" s="160"/>
      <c r="C982" s="160"/>
      <c r="D982" s="123"/>
      <c r="E982" s="123"/>
      <c r="F982" s="123"/>
      <c r="G982" s="123"/>
      <c r="H982" s="123"/>
      <c r="I982" s="123"/>
      <c r="J982" s="123"/>
      <c r="K982" s="123"/>
      <c r="L982" s="123"/>
      <c r="M982" s="123"/>
      <c r="N982" s="123"/>
      <c r="O982" s="123"/>
      <c r="Q982" s="123"/>
      <c r="R982" s="123"/>
      <c r="S982" s="123"/>
      <c r="T982" s="123"/>
      <c r="U982" s="123"/>
      <c r="V982" s="123"/>
      <c r="W982" s="123"/>
      <c r="X982" s="123"/>
      <c r="Y982" s="123"/>
      <c r="Z982" s="123"/>
      <c r="AA982" s="123"/>
    </row>
    <row r="983">
      <c r="B983" s="160"/>
      <c r="C983" s="160"/>
      <c r="D983" s="123"/>
      <c r="E983" s="123"/>
      <c r="F983" s="123"/>
      <c r="G983" s="123"/>
      <c r="H983" s="123"/>
      <c r="I983" s="123"/>
      <c r="J983" s="123"/>
      <c r="K983" s="123"/>
      <c r="L983" s="123"/>
      <c r="M983" s="123"/>
      <c r="N983" s="123"/>
      <c r="O983" s="123"/>
      <c r="Q983" s="123"/>
      <c r="R983" s="123"/>
      <c r="S983" s="123"/>
      <c r="T983" s="123"/>
      <c r="U983" s="123"/>
      <c r="V983" s="123"/>
      <c r="W983" s="123"/>
      <c r="X983" s="123"/>
      <c r="Y983" s="123"/>
      <c r="Z983" s="123"/>
      <c r="AA983" s="123"/>
    </row>
    <row r="984">
      <c r="B984" s="160"/>
      <c r="C984" s="160"/>
      <c r="D984" s="123"/>
      <c r="E984" s="123"/>
      <c r="F984" s="123"/>
      <c r="G984" s="123"/>
      <c r="H984" s="123"/>
      <c r="I984" s="123"/>
      <c r="J984" s="123"/>
      <c r="K984" s="123"/>
      <c r="L984" s="123"/>
      <c r="M984" s="123"/>
      <c r="N984" s="123"/>
      <c r="O984" s="123"/>
      <c r="Q984" s="123"/>
      <c r="R984" s="123"/>
      <c r="S984" s="123"/>
      <c r="T984" s="123"/>
      <c r="U984" s="123"/>
      <c r="V984" s="123"/>
      <c r="W984" s="123"/>
      <c r="X984" s="123"/>
      <c r="Y984" s="123"/>
      <c r="Z984" s="123"/>
      <c r="AA984" s="123"/>
    </row>
    <row r="985">
      <c r="B985" s="160"/>
      <c r="C985" s="160"/>
      <c r="D985" s="123"/>
      <c r="E985" s="123"/>
      <c r="F985" s="123"/>
      <c r="G985" s="123"/>
      <c r="H985" s="123"/>
      <c r="I985" s="123"/>
      <c r="J985" s="123"/>
      <c r="K985" s="123"/>
      <c r="L985" s="123"/>
      <c r="M985" s="123"/>
      <c r="N985" s="123"/>
      <c r="O985" s="123"/>
      <c r="Q985" s="123"/>
      <c r="R985" s="123"/>
      <c r="S985" s="123"/>
      <c r="T985" s="123"/>
      <c r="U985" s="123"/>
      <c r="V985" s="123"/>
      <c r="W985" s="123"/>
      <c r="X985" s="123"/>
      <c r="Y985" s="123"/>
      <c r="Z985" s="123"/>
      <c r="AA985" s="123"/>
    </row>
    <row r="986">
      <c r="B986" s="160"/>
      <c r="C986" s="160"/>
      <c r="D986" s="123"/>
      <c r="E986" s="123"/>
      <c r="F986" s="123"/>
      <c r="G986" s="123"/>
      <c r="H986" s="123"/>
      <c r="I986" s="123"/>
      <c r="J986" s="123"/>
      <c r="K986" s="123"/>
      <c r="L986" s="123"/>
      <c r="M986" s="123"/>
      <c r="N986" s="123"/>
      <c r="O986" s="123"/>
      <c r="Q986" s="123"/>
      <c r="R986" s="123"/>
      <c r="S986" s="123"/>
      <c r="T986" s="123"/>
      <c r="U986" s="123"/>
      <c r="V986" s="123"/>
      <c r="W986" s="123"/>
      <c r="X986" s="123"/>
      <c r="Y986" s="123"/>
      <c r="Z986" s="123"/>
      <c r="AA986" s="123"/>
    </row>
    <row r="987">
      <c r="B987" s="160"/>
      <c r="C987" s="160"/>
      <c r="D987" s="123"/>
      <c r="E987" s="123"/>
      <c r="F987" s="123"/>
      <c r="G987" s="123"/>
      <c r="H987" s="123"/>
      <c r="I987" s="123"/>
      <c r="J987" s="123"/>
      <c r="K987" s="123"/>
      <c r="L987" s="123"/>
      <c r="M987" s="123"/>
      <c r="N987" s="123"/>
      <c r="O987" s="123"/>
      <c r="Q987" s="123"/>
      <c r="R987" s="123"/>
      <c r="S987" s="123"/>
      <c r="T987" s="123"/>
      <c r="U987" s="123"/>
      <c r="V987" s="123"/>
      <c r="W987" s="123"/>
      <c r="X987" s="123"/>
      <c r="Y987" s="123"/>
      <c r="Z987" s="123"/>
      <c r="AA987" s="123"/>
    </row>
    <row r="988">
      <c r="B988" s="160"/>
      <c r="C988" s="160"/>
      <c r="D988" s="123"/>
      <c r="E988" s="123"/>
      <c r="F988" s="123"/>
      <c r="G988" s="123"/>
      <c r="H988" s="123"/>
      <c r="I988" s="123"/>
      <c r="J988" s="123"/>
      <c r="K988" s="123"/>
      <c r="L988" s="123"/>
      <c r="M988" s="123"/>
      <c r="N988" s="123"/>
      <c r="O988" s="123"/>
      <c r="Q988" s="123"/>
      <c r="R988" s="123"/>
      <c r="S988" s="123"/>
      <c r="T988" s="123"/>
      <c r="U988" s="123"/>
      <c r="V988" s="123"/>
      <c r="W988" s="123"/>
      <c r="X988" s="123"/>
      <c r="Y988" s="123"/>
      <c r="Z988" s="123"/>
      <c r="AA988" s="123"/>
    </row>
    <row r="989">
      <c r="B989" s="160"/>
      <c r="C989" s="160"/>
      <c r="D989" s="123"/>
      <c r="E989" s="123"/>
      <c r="F989" s="123"/>
      <c r="G989" s="123"/>
      <c r="H989" s="123"/>
      <c r="I989" s="123"/>
      <c r="J989" s="123"/>
      <c r="K989" s="123"/>
      <c r="L989" s="123"/>
      <c r="M989" s="123"/>
      <c r="N989" s="123"/>
      <c r="O989" s="123"/>
      <c r="Q989" s="123"/>
      <c r="R989" s="123"/>
      <c r="S989" s="123"/>
      <c r="T989" s="123"/>
      <c r="U989" s="123"/>
      <c r="V989" s="123"/>
      <c r="W989" s="123"/>
      <c r="X989" s="123"/>
      <c r="Y989" s="123"/>
      <c r="Z989" s="123"/>
      <c r="AA989" s="123"/>
    </row>
    <row r="990">
      <c r="B990" s="160"/>
      <c r="C990" s="160"/>
      <c r="D990" s="123"/>
      <c r="E990" s="123"/>
      <c r="F990" s="123"/>
      <c r="G990" s="123"/>
      <c r="H990" s="123"/>
      <c r="I990" s="123"/>
      <c r="J990" s="123"/>
      <c r="K990" s="123"/>
      <c r="L990" s="123"/>
      <c r="M990" s="123"/>
      <c r="N990" s="123"/>
      <c r="O990" s="123"/>
      <c r="Q990" s="123"/>
      <c r="R990" s="123"/>
      <c r="S990" s="123"/>
      <c r="T990" s="123"/>
      <c r="U990" s="123"/>
      <c r="V990" s="123"/>
      <c r="W990" s="123"/>
      <c r="X990" s="123"/>
      <c r="Y990" s="123"/>
      <c r="Z990" s="123"/>
      <c r="AA990" s="123"/>
    </row>
    <row r="991">
      <c r="B991" s="160"/>
      <c r="C991" s="160"/>
      <c r="D991" s="123"/>
      <c r="E991" s="123"/>
      <c r="F991" s="123"/>
      <c r="G991" s="123"/>
      <c r="H991" s="123"/>
      <c r="I991" s="123"/>
      <c r="J991" s="123"/>
      <c r="K991" s="123"/>
      <c r="L991" s="123"/>
      <c r="M991" s="123"/>
      <c r="N991" s="123"/>
      <c r="O991" s="123"/>
      <c r="Q991" s="123"/>
      <c r="R991" s="123"/>
      <c r="S991" s="123"/>
      <c r="T991" s="123"/>
      <c r="U991" s="123"/>
      <c r="V991" s="123"/>
      <c r="W991" s="123"/>
      <c r="X991" s="123"/>
      <c r="Y991" s="123"/>
      <c r="Z991" s="123"/>
      <c r="AA991" s="123"/>
    </row>
    <row r="992">
      <c r="B992" s="160"/>
      <c r="C992" s="160"/>
      <c r="D992" s="123"/>
      <c r="E992" s="123"/>
      <c r="F992" s="123"/>
      <c r="G992" s="123"/>
      <c r="H992" s="123"/>
      <c r="I992" s="123"/>
      <c r="J992" s="123"/>
      <c r="K992" s="123"/>
      <c r="L992" s="123"/>
      <c r="M992" s="123"/>
      <c r="N992" s="123"/>
      <c r="O992" s="123"/>
      <c r="Q992" s="123"/>
      <c r="R992" s="123"/>
      <c r="S992" s="123"/>
      <c r="T992" s="123"/>
      <c r="U992" s="123"/>
      <c r="V992" s="123"/>
      <c r="W992" s="123"/>
      <c r="X992" s="123"/>
      <c r="Y992" s="123"/>
      <c r="Z992" s="123"/>
      <c r="AA992" s="123"/>
    </row>
    <row r="993">
      <c r="B993" s="160"/>
      <c r="C993" s="160"/>
      <c r="D993" s="123"/>
      <c r="E993" s="123"/>
      <c r="F993" s="123"/>
      <c r="G993" s="123"/>
      <c r="H993" s="123"/>
      <c r="I993" s="123"/>
      <c r="J993" s="123"/>
      <c r="K993" s="123"/>
      <c r="L993" s="123"/>
      <c r="M993" s="123"/>
      <c r="N993" s="123"/>
      <c r="O993" s="123"/>
      <c r="Q993" s="123"/>
      <c r="R993" s="123"/>
      <c r="S993" s="123"/>
      <c r="T993" s="123"/>
      <c r="U993" s="123"/>
      <c r="V993" s="123"/>
      <c r="W993" s="123"/>
      <c r="X993" s="123"/>
      <c r="Y993" s="123"/>
      <c r="Z993" s="123"/>
      <c r="AA993" s="123"/>
    </row>
    <row r="994">
      <c r="B994" s="160"/>
      <c r="C994" s="160"/>
      <c r="D994" s="123"/>
      <c r="E994" s="123"/>
      <c r="F994" s="123"/>
      <c r="G994" s="123"/>
      <c r="H994" s="123"/>
      <c r="I994" s="123"/>
      <c r="J994" s="123"/>
      <c r="K994" s="123"/>
      <c r="L994" s="123"/>
      <c r="M994" s="123"/>
      <c r="N994" s="123"/>
      <c r="O994" s="123"/>
      <c r="Q994" s="123"/>
      <c r="R994" s="123"/>
      <c r="S994" s="123"/>
      <c r="T994" s="123"/>
      <c r="U994" s="123"/>
      <c r="V994" s="123"/>
      <c r="W994" s="123"/>
      <c r="X994" s="123"/>
      <c r="Y994" s="123"/>
      <c r="Z994" s="123"/>
      <c r="AA994" s="123"/>
    </row>
    <row r="995">
      <c r="B995" s="160"/>
      <c r="C995" s="160"/>
      <c r="D995" s="123"/>
      <c r="E995" s="123"/>
      <c r="F995" s="123"/>
      <c r="G995" s="123"/>
      <c r="H995" s="123"/>
      <c r="I995" s="123"/>
      <c r="J995" s="123"/>
      <c r="K995" s="123"/>
      <c r="L995" s="123"/>
      <c r="M995" s="123"/>
      <c r="N995" s="123"/>
      <c r="O995" s="123"/>
      <c r="Q995" s="123"/>
      <c r="R995" s="123"/>
      <c r="S995" s="123"/>
      <c r="T995" s="123"/>
      <c r="U995" s="123"/>
      <c r="V995" s="123"/>
      <c r="W995" s="123"/>
      <c r="X995" s="123"/>
      <c r="Y995" s="123"/>
      <c r="Z995" s="123"/>
      <c r="AA995" s="123"/>
    </row>
    <row r="996">
      <c r="B996" s="160"/>
      <c r="C996" s="160"/>
      <c r="D996" s="123"/>
      <c r="E996" s="123"/>
      <c r="F996" s="123"/>
      <c r="G996" s="123"/>
      <c r="H996" s="123"/>
      <c r="I996" s="123"/>
      <c r="J996" s="123"/>
      <c r="K996" s="123"/>
      <c r="L996" s="123"/>
      <c r="M996" s="123"/>
      <c r="N996" s="123"/>
      <c r="O996" s="123"/>
      <c r="Q996" s="123"/>
      <c r="R996" s="123"/>
      <c r="S996" s="123"/>
      <c r="T996" s="123"/>
      <c r="U996" s="123"/>
      <c r="V996" s="123"/>
      <c r="W996" s="123"/>
      <c r="X996" s="123"/>
      <c r="Y996" s="123"/>
      <c r="Z996" s="123"/>
      <c r="AA996" s="123"/>
    </row>
    <row r="997">
      <c r="B997" s="160"/>
      <c r="C997" s="160"/>
      <c r="D997" s="123"/>
      <c r="E997" s="123"/>
      <c r="F997" s="123"/>
      <c r="G997" s="123"/>
      <c r="H997" s="123"/>
      <c r="I997" s="123"/>
      <c r="J997" s="123"/>
      <c r="K997" s="123"/>
      <c r="L997" s="123"/>
      <c r="M997" s="123"/>
      <c r="N997" s="123"/>
      <c r="O997" s="123"/>
      <c r="Q997" s="123"/>
      <c r="R997" s="123"/>
      <c r="S997" s="123"/>
      <c r="T997" s="123"/>
      <c r="U997" s="123"/>
      <c r="V997" s="123"/>
      <c r="W997" s="123"/>
      <c r="X997" s="123"/>
      <c r="Y997" s="123"/>
      <c r="Z997" s="123"/>
      <c r="AA997" s="123"/>
    </row>
    <row r="998">
      <c r="B998" s="160"/>
      <c r="C998" s="160"/>
      <c r="D998" s="123"/>
      <c r="E998" s="123"/>
      <c r="F998" s="123"/>
      <c r="G998" s="123"/>
      <c r="H998" s="123"/>
      <c r="I998" s="123"/>
      <c r="J998" s="123"/>
      <c r="K998" s="123"/>
      <c r="L998" s="123"/>
      <c r="M998" s="123"/>
      <c r="N998" s="123"/>
      <c r="O998" s="123"/>
      <c r="Q998" s="123"/>
      <c r="R998" s="123"/>
      <c r="S998" s="123"/>
      <c r="T998" s="123"/>
      <c r="U998" s="123"/>
      <c r="V998" s="123"/>
      <c r="W998" s="123"/>
      <c r="X998" s="123"/>
      <c r="Y998" s="123"/>
      <c r="Z998" s="123"/>
      <c r="AA998" s="123"/>
    </row>
    <row r="999">
      <c r="B999" s="160"/>
      <c r="C999" s="160"/>
      <c r="D999" s="123"/>
      <c r="E999" s="123"/>
      <c r="F999" s="123"/>
      <c r="G999" s="123"/>
      <c r="H999" s="123"/>
      <c r="I999" s="123"/>
      <c r="J999" s="123"/>
      <c r="K999" s="123"/>
      <c r="L999" s="123"/>
      <c r="M999" s="123"/>
      <c r="N999" s="123"/>
      <c r="O999" s="123"/>
      <c r="Q999" s="123"/>
      <c r="R999" s="123"/>
      <c r="S999" s="123"/>
      <c r="T999" s="123"/>
      <c r="U999" s="123"/>
      <c r="V999" s="123"/>
      <c r="W999" s="123"/>
      <c r="X999" s="123"/>
      <c r="Y999" s="123"/>
      <c r="Z999" s="123"/>
      <c r="AA999" s="123"/>
    </row>
    <row r="1000">
      <c r="B1000" s="160"/>
      <c r="C1000" s="160"/>
      <c r="D1000" s="123"/>
      <c r="E1000" s="123"/>
      <c r="F1000" s="123"/>
      <c r="G1000" s="123"/>
      <c r="H1000" s="123"/>
      <c r="I1000" s="123"/>
      <c r="J1000" s="123"/>
      <c r="K1000" s="123"/>
      <c r="L1000" s="123"/>
      <c r="M1000" s="123"/>
      <c r="N1000" s="123"/>
      <c r="O1000" s="123"/>
      <c r="Q1000" s="123"/>
      <c r="R1000" s="123"/>
      <c r="S1000" s="123"/>
      <c r="T1000" s="123"/>
      <c r="U1000" s="123"/>
      <c r="V1000" s="123"/>
      <c r="W1000" s="123"/>
      <c r="X1000" s="123"/>
      <c r="Y1000" s="123"/>
      <c r="Z1000" s="123"/>
      <c r="AA1000" s="123"/>
    </row>
    <row r="1001">
      <c r="B1001" s="160"/>
      <c r="C1001" s="160"/>
      <c r="D1001" s="123"/>
      <c r="E1001" s="123"/>
      <c r="F1001" s="123"/>
      <c r="G1001" s="123"/>
      <c r="H1001" s="123"/>
      <c r="I1001" s="123"/>
      <c r="J1001" s="123"/>
      <c r="K1001" s="123"/>
      <c r="L1001" s="123"/>
      <c r="M1001" s="123"/>
      <c r="N1001" s="123"/>
      <c r="O1001" s="123"/>
      <c r="Q1001" s="123"/>
      <c r="R1001" s="123"/>
      <c r="S1001" s="123"/>
      <c r="T1001" s="123"/>
      <c r="U1001" s="123"/>
      <c r="V1001" s="123"/>
      <c r="W1001" s="123"/>
      <c r="X1001" s="123"/>
      <c r="Y1001" s="123"/>
      <c r="Z1001" s="123"/>
      <c r="AA1001" s="123"/>
    </row>
  </sheetData>
  <mergeCells count="13">
    <mergeCell ref="H2:J3"/>
    <mergeCell ref="K2:K4"/>
    <mergeCell ref="L2:N3"/>
    <mergeCell ref="O2:O4"/>
    <mergeCell ref="B23:C23"/>
    <mergeCell ref="B24:O24"/>
    <mergeCell ref="A1:A1001"/>
    <mergeCell ref="B1:B4"/>
    <mergeCell ref="C1:C4"/>
    <mergeCell ref="D1:O1"/>
    <mergeCell ref="P1:P1001"/>
    <mergeCell ref="D2:F3"/>
    <mergeCell ref="G2:G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7.25"/>
    <col customWidth="1" min="2" max="2" width="20.5"/>
    <col customWidth="1" min="3" max="3" width="32.0"/>
    <col customWidth="1" min="4" max="14" width="10.75"/>
    <col customWidth="1" min="15" max="15" width="13.5"/>
  </cols>
  <sheetData>
    <row r="1">
      <c r="A1" s="168" t="s">
        <v>15</v>
      </c>
      <c r="B1" s="168" t="s">
        <v>1</v>
      </c>
      <c r="C1" s="168" t="s">
        <v>7029</v>
      </c>
      <c r="D1" s="169" t="s">
        <v>7033</v>
      </c>
      <c r="E1" s="4"/>
      <c r="F1" s="4"/>
      <c r="G1" s="4"/>
      <c r="H1" s="4"/>
      <c r="I1" s="4"/>
      <c r="J1" s="4"/>
      <c r="K1" s="4"/>
      <c r="L1" s="4"/>
      <c r="M1" s="4"/>
      <c r="N1" s="4"/>
      <c r="O1" s="5"/>
    </row>
    <row r="2">
      <c r="A2" s="7"/>
      <c r="B2" s="7"/>
      <c r="C2" s="7"/>
      <c r="D2" s="170" t="s">
        <v>3</v>
      </c>
      <c r="E2" s="9"/>
      <c r="F2" s="10"/>
      <c r="G2" s="171" t="s">
        <v>4</v>
      </c>
      <c r="H2" s="172" t="s">
        <v>5</v>
      </c>
      <c r="I2" s="9"/>
      <c r="J2" s="10"/>
      <c r="K2" s="173" t="s">
        <v>4</v>
      </c>
      <c r="L2" s="174" t="s">
        <v>6</v>
      </c>
      <c r="O2" s="175" t="s">
        <v>7</v>
      </c>
    </row>
    <row r="3">
      <c r="A3" s="7"/>
      <c r="B3" s="7"/>
      <c r="C3" s="7"/>
      <c r="D3" s="17"/>
      <c r="E3" s="18"/>
      <c r="F3" s="19"/>
      <c r="G3" s="7"/>
      <c r="H3" s="17"/>
      <c r="I3" s="18"/>
      <c r="J3" s="19"/>
      <c r="K3" s="7"/>
      <c r="L3" s="17"/>
      <c r="M3" s="18"/>
      <c r="N3" s="18"/>
      <c r="O3" s="7"/>
    </row>
    <row r="4">
      <c r="A4" s="20"/>
      <c r="B4" s="20"/>
      <c r="C4" s="20"/>
      <c r="D4" s="176" t="s">
        <v>8</v>
      </c>
      <c r="E4" s="176" t="s">
        <v>9</v>
      </c>
      <c r="F4" s="176" t="s">
        <v>10</v>
      </c>
      <c r="G4" s="20"/>
      <c r="H4" s="177" t="s">
        <v>8</v>
      </c>
      <c r="I4" s="177" t="s">
        <v>9</v>
      </c>
      <c r="J4" s="177" t="s">
        <v>10</v>
      </c>
      <c r="K4" s="20"/>
      <c r="L4" s="178" t="s">
        <v>8</v>
      </c>
      <c r="M4" s="178" t="s">
        <v>9</v>
      </c>
      <c r="N4" s="178" t="s">
        <v>10</v>
      </c>
      <c r="O4" s="20"/>
    </row>
    <row r="5">
      <c r="A5" s="179" t="s">
        <v>11</v>
      </c>
      <c r="B5" s="179" t="s">
        <v>12</v>
      </c>
      <c r="C5" s="180" t="s">
        <v>7149</v>
      </c>
      <c r="D5" s="181"/>
      <c r="E5" s="181"/>
      <c r="F5" s="181"/>
      <c r="G5" s="182">
        <f t="shared" ref="G5:G8" si="1">sum(D5:F5)</f>
        <v>0</v>
      </c>
      <c r="H5" s="181"/>
      <c r="I5" s="181"/>
      <c r="J5" s="181"/>
      <c r="K5" s="183">
        <f t="shared" ref="K5:K8" si="2">SUM(H5:J5)</f>
        <v>0</v>
      </c>
      <c r="L5" s="181"/>
      <c r="M5" s="181"/>
      <c r="N5" s="181"/>
      <c r="O5" s="184">
        <f t="shared" ref="O5:O8" si="3">SUM(L5:N5)</f>
        <v>0</v>
      </c>
    </row>
    <row r="6">
      <c r="A6" s="7"/>
      <c r="B6" s="7"/>
      <c r="C6" s="180" t="s">
        <v>7208</v>
      </c>
      <c r="D6" s="181"/>
      <c r="E6" s="181"/>
      <c r="F6" s="181"/>
      <c r="G6" s="182">
        <f t="shared" si="1"/>
        <v>0</v>
      </c>
      <c r="H6" s="181"/>
      <c r="I6" s="181"/>
      <c r="J6" s="181"/>
      <c r="K6" s="183">
        <f t="shared" si="2"/>
        <v>0</v>
      </c>
      <c r="L6" s="181"/>
      <c r="M6" s="181"/>
      <c r="N6" s="181"/>
      <c r="O6" s="184">
        <f t="shared" si="3"/>
        <v>0</v>
      </c>
    </row>
    <row r="7">
      <c r="A7" s="7"/>
      <c r="B7" s="7"/>
      <c r="C7" s="180" t="s">
        <v>7222</v>
      </c>
      <c r="D7" s="181"/>
      <c r="E7" s="181"/>
      <c r="F7" s="181"/>
      <c r="G7" s="182">
        <f t="shared" si="1"/>
        <v>0</v>
      </c>
      <c r="H7" s="181"/>
      <c r="I7" s="181"/>
      <c r="J7" s="181"/>
      <c r="K7" s="183">
        <f t="shared" si="2"/>
        <v>0</v>
      </c>
      <c r="L7" s="181"/>
      <c r="M7" s="181"/>
      <c r="N7" s="181"/>
      <c r="O7" s="184">
        <f t="shared" si="3"/>
        <v>0</v>
      </c>
    </row>
    <row r="8">
      <c r="A8" s="20"/>
      <c r="B8" s="20"/>
      <c r="C8" s="180" t="s">
        <v>7232</v>
      </c>
      <c r="D8" s="181"/>
      <c r="E8" s="181"/>
      <c r="F8" s="181"/>
      <c r="G8" s="182">
        <f t="shared" si="1"/>
        <v>0</v>
      </c>
      <c r="H8" s="181"/>
      <c r="I8" s="181"/>
      <c r="J8" s="181"/>
      <c r="K8" s="183">
        <f t="shared" si="2"/>
        <v>0</v>
      </c>
      <c r="L8" s="181"/>
      <c r="M8" s="181"/>
      <c r="N8" s="181"/>
      <c r="O8" s="184">
        <f t="shared" si="3"/>
        <v>0</v>
      </c>
    </row>
    <row r="9">
      <c r="A9" s="185" t="s">
        <v>7242</v>
      </c>
      <c r="B9" s="4"/>
      <c r="C9" s="5"/>
      <c r="D9" s="176">
        <f t="shared" ref="D9:O9" si="4">sum(D5:D8)</f>
        <v>0</v>
      </c>
      <c r="E9" s="176">
        <f t="shared" si="4"/>
        <v>0</v>
      </c>
      <c r="F9" s="176">
        <f t="shared" si="4"/>
        <v>0</v>
      </c>
      <c r="G9" s="176">
        <f t="shared" si="4"/>
        <v>0</v>
      </c>
      <c r="H9" s="186">
        <f t="shared" si="4"/>
        <v>0</v>
      </c>
      <c r="I9" s="186">
        <f t="shared" si="4"/>
        <v>0</v>
      </c>
      <c r="J9" s="186">
        <f t="shared" si="4"/>
        <v>0</v>
      </c>
      <c r="K9" s="186">
        <f t="shared" si="4"/>
        <v>0</v>
      </c>
      <c r="L9" s="178">
        <f t="shared" si="4"/>
        <v>0</v>
      </c>
      <c r="M9" s="178">
        <f t="shared" si="4"/>
        <v>0</v>
      </c>
      <c r="N9" s="178">
        <f t="shared" si="4"/>
        <v>0</v>
      </c>
      <c r="O9" s="178">
        <f t="shared" si="4"/>
        <v>0</v>
      </c>
    </row>
    <row r="10">
      <c r="A10" s="179" t="s">
        <v>52</v>
      </c>
      <c r="B10" s="179" t="s">
        <v>89</v>
      </c>
      <c r="C10" s="180" t="s">
        <v>53</v>
      </c>
      <c r="D10" s="181"/>
      <c r="E10" s="181"/>
      <c r="F10" s="181"/>
      <c r="G10" s="182">
        <f t="shared" ref="G10:G13" si="5">sum(D10:F10)</f>
        <v>0</v>
      </c>
      <c r="H10" s="181"/>
      <c r="I10" s="181"/>
      <c r="J10" s="181"/>
      <c r="K10" s="183">
        <f t="shared" ref="K10:K13" si="6">SUM(H10:J10)</f>
        <v>0</v>
      </c>
      <c r="L10" s="181"/>
      <c r="M10" s="181"/>
      <c r="N10" s="181"/>
      <c r="O10" s="184">
        <f t="shared" ref="O10:O13" si="7">SUM(L10:N10)</f>
        <v>0</v>
      </c>
    </row>
    <row r="11">
      <c r="A11" s="7"/>
      <c r="B11" s="7"/>
      <c r="C11" s="180" t="s">
        <v>109</v>
      </c>
      <c r="D11" s="181"/>
      <c r="E11" s="181"/>
      <c r="F11" s="181"/>
      <c r="G11" s="182">
        <f t="shared" si="5"/>
        <v>0</v>
      </c>
      <c r="H11" s="181"/>
      <c r="I11" s="181"/>
      <c r="J11" s="181"/>
      <c r="K11" s="183">
        <f t="shared" si="6"/>
        <v>0</v>
      </c>
      <c r="L11" s="181"/>
      <c r="M11" s="181"/>
      <c r="N11" s="181"/>
      <c r="O11" s="184">
        <f t="shared" si="7"/>
        <v>0</v>
      </c>
    </row>
    <row r="12">
      <c r="A12" s="7"/>
      <c r="B12" s="7"/>
      <c r="C12" s="180" t="s">
        <v>166</v>
      </c>
      <c r="D12" s="181"/>
      <c r="E12" s="181"/>
      <c r="F12" s="181"/>
      <c r="G12" s="182">
        <f t="shared" si="5"/>
        <v>0</v>
      </c>
      <c r="H12" s="181"/>
      <c r="I12" s="181"/>
      <c r="J12" s="181"/>
      <c r="K12" s="183">
        <f t="shared" si="6"/>
        <v>0</v>
      </c>
      <c r="L12" s="181"/>
      <c r="M12" s="181"/>
      <c r="N12" s="181"/>
      <c r="O12" s="184">
        <f t="shared" si="7"/>
        <v>0</v>
      </c>
    </row>
    <row r="13">
      <c r="A13" s="20"/>
      <c r="B13" s="20"/>
      <c r="C13" s="180" t="s">
        <v>206</v>
      </c>
      <c r="D13" s="181"/>
      <c r="E13" s="181"/>
      <c r="F13" s="181"/>
      <c r="G13" s="182">
        <f t="shared" si="5"/>
        <v>0</v>
      </c>
      <c r="H13" s="181"/>
      <c r="I13" s="181"/>
      <c r="J13" s="181"/>
      <c r="K13" s="183">
        <f t="shared" si="6"/>
        <v>0</v>
      </c>
      <c r="L13" s="181"/>
      <c r="M13" s="181"/>
      <c r="N13" s="181"/>
      <c r="O13" s="184">
        <f t="shared" si="7"/>
        <v>0</v>
      </c>
    </row>
    <row r="14">
      <c r="A14" s="185" t="s">
        <v>7242</v>
      </c>
      <c r="B14" s="4"/>
      <c r="C14" s="5"/>
      <c r="D14" s="176">
        <f t="shared" ref="D14:O14" si="8">sum(D10:D13)</f>
        <v>0</v>
      </c>
      <c r="E14" s="176">
        <f t="shared" si="8"/>
        <v>0</v>
      </c>
      <c r="F14" s="176">
        <f t="shared" si="8"/>
        <v>0</v>
      </c>
      <c r="G14" s="176">
        <f t="shared" si="8"/>
        <v>0</v>
      </c>
      <c r="H14" s="186">
        <f t="shared" si="8"/>
        <v>0</v>
      </c>
      <c r="I14" s="186">
        <f t="shared" si="8"/>
        <v>0</v>
      </c>
      <c r="J14" s="186">
        <f t="shared" si="8"/>
        <v>0</v>
      </c>
      <c r="K14" s="186">
        <f t="shared" si="8"/>
        <v>0</v>
      </c>
      <c r="L14" s="178">
        <f t="shared" si="8"/>
        <v>0</v>
      </c>
      <c r="M14" s="178">
        <f t="shared" si="8"/>
        <v>0</v>
      </c>
      <c r="N14" s="178">
        <f t="shared" si="8"/>
        <v>0</v>
      </c>
      <c r="O14" s="178">
        <f t="shared" si="8"/>
        <v>0</v>
      </c>
    </row>
    <row r="15">
      <c r="A15" s="179" t="s">
        <v>188</v>
      </c>
      <c r="B15" s="179" t="s">
        <v>189</v>
      </c>
      <c r="C15" s="180" t="s">
        <v>316</v>
      </c>
      <c r="D15" s="181"/>
      <c r="E15" s="181"/>
      <c r="F15" s="181"/>
      <c r="G15" s="182">
        <f t="shared" ref="G15:G19" si="9">sum(D15:F15)</f>
        <v>0</v>
      </c>
      <c r="H15" s="181"/>
      <c r="I15" s="181"/>
      <c r="J15" s="181"/>
      <c r="K15" s="183">
        <f t="shared" ref="K15:K19" si="10">SUM(H15:J15)</f>
        <v>0</v>
      </c>
      <c r="L15" s="181"/>
      <c r="M15" s="181"/>
      <c r="N15" s="181"/>
      <c r="O15" s="184">
        <f t="shared" ref="O15:O19" si="11">SUM(L15:N15)</f>
        <v>0</v>
      </c>
    </row>
    <row r="16">
      <c r="A16" s="7"/>
      <c r="B16" s="7"/>
      <c r="C16" s="180" t="s">
        <v>366</v>
      </c>
      <c r="D16" s="181"/>
      <c r="E16" s="181"/>
      <c r="F16" s="181"/>
      <c r="G16" s="182">
        <f t="shared" si="9"/>
        <v>0</v>
      </c>
      <c r="H16" s="181"/>
      <c r="I16" s="181"/>
      <c r="J16" s="181"/>
      <c r="K16" s="183">
        <f t="shared" si="10"/>
        <v>0</v>
      </c>
      <c r="L16" s="181"/>
      <c r="M16" s="181"/>
      <c r="N16" s="181"/>
      <c r="O16" s="184">
        <f t="shared" si="11"/>
        <v>0</v>
      </c>
    </row>
    <row r="17">
      <c r="A17" s="7"/>
      <c r="B17" s="7"/>
      <c r="C17" s="180" t="s">
        <v>485</v>
      </c>
      <c r="D17" s="181"/>
      <c r="E17" s="181"/>
      <c r="F17" s="181"/>
      <c r="G17" s="182">
        <f t="shared" si="9"/>
        <v>0</v>
      </c>
      <c r="H17" s="181"/>
      <c r="I17" s="181"/>
      <c r="J17" s="181"/>
      <c r="K17" s="183">
        <f t="shared" si="10"/>
        <v>0</v>
      </c>
      <c r="L17" s="181"/>
      <c r="M17" s="181"/>
      <c r="N17" s="181"/>
      <c r="O17" s="184">
        <f t="shared" si="11"/>
        <v>0</v>
      </c>
    </row>
    <row r="18">
      <c r="A18" s="7"/>
      <c r="B18" s="7"/>
      <c r="C18" s="180" t="s">
        <v>530</v>
      </c>
      <c r="D18" s="181"/>
      <c r="E18" s="181"/>
      <c r="F18" s="181"/>
      <c r="G18" s="182">
        <f t="shared" si="9"/>
        <v>0</v>
      </c>
      <c r="H18" s="181"/>
      <c r="I18" s="181"/>
      <c r="J18" s="181"/>
      <c r="K18" s="183">
        <f t="shared" si="10"/>
        <v>0</v>
      </c>
      <c r="L18" s="181"/>
      <c r="M18" s="181"/>
      <c r="N18" s="181"/>
      <c r="O18" s="184">
        <f t="shared" si="11"/>
        <v>0</v>
      </c>
    </row>
    <row r="19">
      <c r="A19" s="20"/>
      <c r="B19" s="20"/>
      <c r="C19" s="180" t="s">
        <v>7420</v>
      </c>
      <c r="D19" s="181"/>
      <c r="E19" s="181"/>
      <c r="F19" s="181"/>
      <c r="G19" s="182">
        <f t="shared" si="9"/>
        <v>0</v>
      </c>
      <c r="H19" s="181"/>
      <c r="I19" s="181"/>
      <c r="J19" s="181"/>
      <c r="K19" s="183">
        <f t="shared" si="10"/>
        <v>0</v>
      </c>
      <c r="L19" s="181"/>
      <c r="M19" s="181"/>
      <c r="N19" s="181"/>
      <c r="O19" s="184">
        <f t="shared" si="11"/>
        <v>0</v>
      </c>
    </row>
    <row r="20">
      <c r="A20" s="185" t="s">
        <v>7242</v>
      </c>
      <c r="B20" s="4"/>
      <c r="C20" s="5"/>
      <c r="D20" s="176">
        <f t="shared" ref="D20:O20" si="12">sum(D15:D19)</f>
        <v>0</v>
      </c>
      <c r="E20" s="176">
        <f t="shared" si="12"/>
        <v>0</v>
      </c>
      <c r="F20" s="176">
        <f t="shared" si="12"/>
        <v>0</v>
      </c>
      <c r="G20" s="176">
        <f t="shared" si="12"/>
        <v>0</v>
      </c>
      <c r="H20" s="186">
        <f t="shared" si="12"/>
        <v>0</v>
      </c>
      <c r="I20" s="186">
        <f t="shared" si="12"/>
        <v>0</v>
      </c>
      <c r="J20" s="186">
        <f t="shared" si="12"/>
        <v>0</v>
      </c>
      <c r="K20" s="186">
        <f t="shared" si="12"/>
        <v>0</v>
      </c>
      <c r="L20" s="178">
        <f t="shared" si="12"/>
        <v>0</v>
      </c>
      <c r="M20" s="178">
        <f t="shared" si="12"/>
        <v>0</v>
      </c>
      <c r="N20" s="178">
        <f t="shared" si="12"/>
        <v>0</v>
      </c>
      <c r="O20" s="178">
        <f t="shared" si="12"/>
        <v>0</v>
      </c>
    </row>
    <row r="21">
      <c r="A21" s="179" t="s">
        <v>265</v>
      </c>
      <c r="B21" s="179" t="s">
        <v>268</v>
      </c>
      <c r="C21" s="180" t="s">
        <v>1776</v>
      </c>
      <c r="D21" s="181"/>
      <c r="E21" s="181"/>
      <c r="F21" s="181"/>
      <c r="G21" s="182">
        <f t="shared" ref="G21:G27" si="13">sum(D21:F21)</f>
        <v>0</v>
      </c>
      <c r="H21" s="181"/>
      <c r="I21" s="181"/>
      <c r="J21" s="181"/>
      <c r="K21" s="183">
        <f t="shared" ref="K21:K27" si="14">sum(H21:J21)</f>
        <v>0</v>
      </c>
      <c r="L21" s="181"/>
      <c r="M21" s="181"/>
      <c r="N21" s="181"/>
      <c r="O21" s="184">
        <f t="shared" ref="O21:O26" si="15">sum(L22:N22)</f>
        <v>0</v>
      </c>
    </row>
    <row r="22">
      <c r="A22" s="7"/>
      <c r="B22" s="7"/>
      <c r="C22" s="180" t="s">
        <v>579</v>
      </c>
      <c r="D22" s="181"/>
      <c r="E22" s="181"/>
      <c r="F22" s="181"/>
      <c r="G22" s="182">
        <f t="shared" si="13"/>
        <v>0</v>
      </c>
      <c r="H22" s="191"/>
      <c r="I22" s="181"/>
      <c r="J22" s="181"/>
      <c r="K22" s="183">
        <f t="shared" si="14"/>
        <v>0</v>
      </c>
      <c r="L22" s="181"/>
      <c r="M22" s="181"/>
      <c r="N22" s="181"/>
      <c r="O22" s="184">
        <f t="shared" si="15"/>
        <v>0</v>
      </c>
    </row>
    <row r="23">
      <c r="A23" s="7"/>
      <c r="B23" s="7"/>
      <c r="C23" s="180" t="s">
        <v>709</v>
      </c>
      <c r="D23" s="181"/>
      <c r="E23" s="181"/>
      <c r="F23" s="181"/>
      <c r="G23" s="182">
        <f t="shared" si="13"/>
        <v>0</v>
      </c>
      <c r="H23" s="181"/>
      <c r="I23" s="181"/>
      <c r="J23" s="181"/>
      <c r="K23" s="183">
        <f t="shared" si="14"/>
        <v>0</v>
      </c>
      <c r="L23" s="181"/>
      <c r="M23" s="181"/>
      <c r="N23" s="181"/>
      <c r="O23" s="184">
        <f t="shared" si="15"/>
        <v>0</v>
      </c>
    </row>
    <row r="24">
      <c r="A24" s="7"/>
      <c r="B24" s="7"/>
      <c r="C24" s="180" t="s">
        <v>774</v>
      </c>
      <c r="D24" s="181"/>
      <c r="E24" s="181"/>
      <c r="F24" s="181"/>
      <c r="G24" s="182">
        <f t="shared" si="13"/>
        <v>0</v>
      </c>
      <c r="H24" s="181"/>
      <c r="I24" s="181"/>
      <c r="J24" s="181"/>
      <c r="K24" s="183">
        <f t="shared" si="14"/>
        <v>0</v>
      </c>
      <c r="L24" s="181"/>
      <c r="M24" s="181"/>
      <c r="N24" s="181"/>
      <c r="O24" s="184">
        <f t="shared" si="15"/>
        <v>0</v>
      </c>
    </row>
    <row r="25">
      <c r="A25" s="7"/>
      <c r="B25" s="7"/>
      <c r="C25" s="180" t="s">
        <v>881</v>
      </c>
      <c r="D25" s="181"/>
      <c r="E25" s="181"/>
      <c r="F25" s="181"/>
      <c r="G25" s="182">
        <f t="shared" si="13"/>
        <v>0</v>
      </c>
      <c r="H25" s="181"/>
      <c r="I25" s="181"/>
      <c r="J25" s="181"/>
      <c r="K25" s="183">
        <f t="shared" si="14"/>
        <v>0</v>
      </c>
      <c r="L25" s="181"/>
      <c r="M25" s="181"/>
      <c r="N25" s="181"/>
      <c r="O25" s="184">
        <f t="shared" si="15"/>
        <v>0</v>
      </c>
    </row>
    <row r="26">
      <c r="A26" s="7"/>
      <c r="B26" s="7"/>
      <c r="C26" s="180" t="s">
        <v>2719</v>
      </c>
      <c r="D26" s="181"/>
      <c r="E26" s="181"/>
      <c r="F26" s="181"/>
      <c r="G26" s="182">
        <f t="shared" si="13"/>
        <v>0</v>
      </c>
      <c r="H26" s="181"/>
      <c r="I26" s="181"/>
      <c r="J26" s="181"/>
      <c r="K26" s="183">
        <f t="shared" si="14"/>
        <v>0</v>
      </c>
      <c r="L26" s="181"/>
      <c r="M26" s="181"/>
      <c r="N26" s="181"/>
      <c r="O26" s="184">
        <f t="shared" si="15"/>
        <v>0</v>
      </c>
    </row>
    <row r="27">
      <c r="A27" s="20"/>
      <c r="B27" s="20"/>
      <c r="C27" s="180" t="s">
        <v>2864</v>
      </c>
      <c r="D27" s="181"/>
      <c r="E27" s="181"/>
      <c r="F27" s="181"/>
      <c r="G27" s="182">
        <f t="shared" si="13"/>
        <v>0</v>
      </c>
      <c r="H27" s="181"/>
      <c r="I27" s="181"/>
      <c r="J27" s="181"/>
      <c r="K27" s="183">
        <f t="shared" si="14"/>
        <v>0</v>
      </c>
      <c r="L27" s="181"/>
      <c r="M27" s="181"/>
      <c r="N27" s="181"/>
      <c r="O27" s="184">
        <f>sum(L21:N21)</f>
        <v>0</v>
      </c>
    </row>
    <row r="28">
      <c r="A28" s="185" t="s">
        <v>7242</v>
      </c>
      <c r="B28" s="4"/>
      <c r="C28" s="5"/>
      <c r="D28" s="176">
        <f t="shared" ref="D28:N28" si="16">sum(D22:D27)</f>
        <v>0</v>
      </c>
      <c r="E28" s="176">
        <f t="shared" si="16"/>
        <v>0</v>
      </c>
      <c r="F28" s="176">
        <f t="shared" si="16"/>
        <v>0</v>
      </c>
      <c r="G28" s="176">
        <f t="shared" si="16"/>
        <v>0</v>
      </c>
      <c r="H28" s="186">
        <f t="shared" si="16"/>
        <v>0</v>
      </c>
      <c r="I28" s="186">
        <f t="shared" si="16"/>
        <v>0</v>
      </c>
      <c r="J28" s="186">
        <f t="shared" si="16"/>
        <v>0</v>
      </c>
      <c r="K28" s="186">
        <f t="shared" si="16"/>
        <v>0</v>
      </c>
      <c r="L28" s="178">
        <f t="shared" si="16"/>
        <v>0</v>
      </c>
      <c r="M28" s="178">
        <f t="shared" si="16"/>
        <v>0</v>
      </c>
      <c r="N28" s="178">
        <f t="shared" si="16"/>
        <v>0</v>
      </c>
      <c r="O28" s="178">
        <f>sum(O21:O27)</f>
        <v>0</v>
      </c>
    </row>
    <row r="29">
      <c r="A29" s="179" t="s">
        <v>351</v>
      </c>
      <c r="B29" s="179" t="s">
        <v>353</v>
      </c>
      <c r="C29" s="180" t="s">
        <v>935</v>
      </c>
      <c r="D29" s="181"/>
      <c r="E29" s="181"/>
      <c r="F29" s="181"/>
      <c r="G29" s="182">
        <f t="shared" ref="G29:G33" si="17">sum(D29:F29)</f>
        <v>0</v>
      </c>
      <c r="H29" s="181"/>
      <c r="I29" s="181"/>
      <c r="J29" s="181"/>
      <c r="K29" s="183">
        <f t="shared" ref="K29:K33" si="18">SUM(H29:J29)</f>
        <v>0</v>
      </c>
      <c r="L29" s="181"/>
      <c r="M29" s="181"/>
      <c r="N29" s="181"/>
      <c r="O29" s="184">
        <f t="shared" ref="O29:O33" si="19">sum(L29:N29)</f>
        <v>0</v>
      </c>
    </row>
    <row r="30">
      <c r="A30" s="7"/>
      <c r="B30" s="7"/>
      <c r="C30" s="180" t="s">
        <v>994</v>
      </c>
      <c r="D30" s="181"/>
      <c r="E30" s="181"/>
      <c r="F30" s="181"/>
      <c r="G30" s="182">
        <f t="shared" si="17"/>
        <v>0</v>
      </c>
      <c r="H30" s="181"/>
      <c r="I30" s="181"/>
      <c r="J30" s="181"/>
      <c r="K30" s="183">
        <f t="shared" si="18"/>
        <v>0</v>
      </c>
      <c r="L30" s="181"/>
      <c r="M30" s="181"/>
      <c r="N30" s="181"/>
      <c r="O30" s="184">
        <f t="shared" si="19"/>
        <v>0</v>
      </c>
    </row>
    <row r="31">
      <c r="A31" s="7"/>
      <c r="B31" s="7"/>
      <c r="C31" s="180" t="s">
        <v>3306</v>
      </c>
      <c r="D31" s="181"/>
      <c r="E31" s="181"/>
      <c r="F31" s="181"/>
      <c r="G31" s="182">
        <f t="shared" si="17"/>
        <v>0</v>
      </c>
      <c r="H31" s="181"/>
      <c r="I31" s="181"/>
      <c r="J31" s="181"/>
      <c r="K31" s="183">
        <f t="shared" si="18"/>
        <v>0</v>
      </c>
      <c r="L31" s="181"/>
      <c r="M31" s="181"/>
      <c r="N31" s="181"/>
      <c r="O31" s="184">
        <f t="shared" si="19"/>
        <v>0</v>
      </c>
    </row>
    <row r="32">
      <c r="A32" s="7"/>
      <c r="B32" s="7"/>
      <c r="C32" s="180" t="s">
        <v>1054</v>
      </c>
      <c r="D32" s="181"/>
      <c r="E32" s="181"/>
      <c r="F32" s="181"/>
      <c r="G32" s="182">
        <f t="shared" si="17"/>
        <v>0</v>
      </c>
      <c r="H32" s="181"/>
      <c r="I32" s="181"/>
      <c r="J32" s="181"/>
      <c r="K32" s="183">
        <f t="shared" si="18"/>
        <v>0</v>
      </c>
      <c r="L32" s="181"/>
      <c r="M32" s="181"/>
      <c r="N32" s="181"/>
      <c r="O32" s="184">
        <f t="shared" si="19"/>
        <v>0</v>
      </c>
    </row>
    <row r="33">
      <c r="A33" s="20"/>
      <c r="B33" s="20"/>
      <c r="C33" s="180" t="s">
        <v>3806</v>
      </c>
      <c r="D33" s="181"/>
      <c r="E33" s="181"/>
      <c r="F33" s="181"/>
      <c r="G33" s="182">
        <f t="shared" si="17"/>
        <v>0</v>
      </c>
      <c r="H33" s="181"/>
      <c r="I33" s="181"/>
      <c r="J33" s="181"/>
      <c r="K33" s="183">
        <f t="shared" si="18"/>
        <v>0</v>
      </c>
      <c r="L33" s="181"/>
      <c r="M33" s="181"/>
      <c r="N33" s="181"/>
      <c r="O33" s="184">
        <f t="shared" si="19"/>
        <v>0</v>
      </c>
    </row>
    <row r="34">
      <c r="A34" s="185" t="s">
        <v>7242</v>
      </c>
      <c r="B34" s="4"/>
      <c r="C34" s="5"/>
      <c r="D34" s="176">
        <f t="shared" ref="D34:O34" si="20">sum(D29:D33)</f>
        <v>0</v>
      </c>
      <c r="E34" s="176">
        <f t="shared" si="20"/>
        <v>0</v>
      </c>
      <c r="F34" s="176">
        <f t="shared" si="20"/>
        <v>0</v>
      </c>
      <c r="G34" s="176">
        <f t="shared" si="20"/>
        <v>0</v>
      </c>
      <c r="H34" s="186">
        <f t="shared" si="20"/>
        <v>0</v>
      </c>
      <c r="I34" s="186">
        <f t="shared" si="20"/>
        <v>0</v>
      </c>
      <c r="J34" s="186">
        <f t="shared" si="20"/>
        <v>0</v>
      </c>
      <c r="K34" s="186">
        <f t="shared" si="20"/>
        <v>0</v>
      </c>
      <c r="L34" s="178">
        <f t="shared" si="20"/>
        <v>0</v>
      </c>
      <c r="M34" s="178">
        <f t="shared" si="20"/>
        <v>0</v>
      </c>
      <c r="N34" s="178">
        <f t="shared" si="20"/>
        <v>0</v>
      </c>
      <c r="O34" s="178">
        <f t="shared" si="20"/>
        <v>0</v>
      </c>
    </row>
    <row r="35">
      <c r="A35" s="179" t="s">
        <v>422</v>
      </c>
      <c r="B35" s="179" t="s">
        <v>423</v>
      </c>
      <c r="C35" s="180" t="s">
        <v>3975</v>
      </c>
      <c r="D35" s="181"/>
      <c r="E35" s="181"/>
      <c r="F35" s="181"/>
      <c r="G35" s="182">
        <f t="shared" ref="G35:G39" si="21">sum(D35:F35)</f>
        <v>0</v>
      </c>
      <c r="H35" s="181"/>
      <c r="I35" s="181"/>
      <c r="J35" s="181"/>
      <c r="K35" s="183">
        <f t="shared" ref="K35:K39" si="22">SUM(H35:J35)</f>
        <v>0</v>
      </c>
      <c r="L35" s="181"/>
      <c r="M35" s="181"/>
      <c r="N35" s="181"/>
      <c r="O35" s="184">
        <f t="shared" ref="O35:O39" si="23">SUM(L35:N35)</f>
        <v>0</v>
      </c>
    </row>
    <row r="36">
      <c r="A36" s="7"/>
      <c r="B36" s="7"/>
      <c r="C36" s="180" t="s">
        <v>3994</v>
      </c>
      <c r="D36" s="181"/>
      <c r="E36" s="181"/>
      <c r="F36" s="181"/>
      <c r="G36" s="182">
        <f t="shared" si="21"/>
        <v>0</v>
      </c>
      <c r="H36" s="181"/>
      <c r="I36" s="181"/>
      <c r="J36" s="181"/>
      <c r="K36" s="183">
        <f t="shared" si="22"/>
        <v>0</v>
      </c>
      <c r="L36" s="181"/>
      <c r="M36" s="181"/>
      <c r="N36" s="181"/>
      <c r="O36" s="184">
        <f t="shared" si="23"/>
        <v>0</v>
      </c>
    </row>
    <row r="37">
      <c r="A37" s="7"/>
      <c r="B37" s="7"/>
      <c r="C37" s="180" t="s">
        <v>4042</v>
      </c>
      <c r="D37" s="181"/>
      <c r="E37" s="181"/>
      <c r="F37" s="181"/>
      <c r="G37" s="182">
        <f t="shared" si="21"/>
        <v>0</v>
      </c>
      <c r="H37" s="181"/>
      <c r="I37" s="181"/>
      <c r="J37" s="181"/>
      <c r="K37" s="183">
        <f t="shared" si="22"/>
        <v>0</v>
      </c>
      <c r="L37" s="181"/>
      <c r="M37" s="181"/>
      <c r="N37" s="181"/>
      <c r="O37" s="184">
        <f t="shared" si="23"/>
        <v>0</v>
      </c>
    </row>
    <row r="38">
      <c r="A38" s="7"/>
      <c r="B38" s="7"/>
      <c r="C38" s="180" t="s">
        <v>1100</v>
      </c>
      <c r="D38" s="181"/>
      <c r="E38" s="181"/>
      <c r="F38" s="181"/>
      <c r="G38" s="182">
        <f t="shared" si="21"/>
        <v>0</v>
      </c>
      <c r="H38" s="181"/>
      <c r="I38" s="181"/>
      <c r="J38" s="181"/>
      <c r="K38" s="183">
        <f t="shared" si="22"/>
        <v>0</v>
      </c>
      <c r="L38" s="181"/>
      <c r="M38" s="181"/>
      <c r="N38" s="181"/>
      <c r="O38" s="184">
        <f t="shared" si="23"/>
        <v>0</v>
      </c>
    </row>
    <row r="39">
      <c r="A39" s="20"/>
      <c r="B39" s="20"/>
      <c r="C39" s="180" t="s">
        <v>4206</v>
      </c>
      <c r="D39" s="181"/>
      <c r="E39" s="181"/>
      <c r="F39" s="181"/>
      <c r="G39" s="182">
        <f t="shared" si="21"/>
        <v>0</v>
      </c>
      <c r="H39" s="181"/>
      <c r="I39" s="181"/>
      <c r="J39" s="181"/>
      <c r="K39" s="183">
        <f t="shared" si="22"/>
        <v>0</v>
      </c>
      <c r="L39" s="181"/>
      <c r="M39" s="181"/>
      <c r="N39" s="181"/>
      <c r="O39" s="184">
        <f t="shared" si="23"/>
        <v>0</v>
      </c>
    </row>
    <row r="40">
      <c r="A40" s="185" t="s">
        <v>7242</v>
      </c>
      <c r="B40" s="4"/>
      <c r="C40" s="5"/>
      <c r="D40" s="176">
        <f t="shared" ref="D40:O40" si="24">sum(D35:D39)</f>
        <v>0</v>
      </c>
      <c r="E40" s="176">
        <f t="shared" si="24"/>
        <v>0</v>
      </c>
      <c r="F40" s="176">
        <f t="shared" si="24"/>
        <v>0</v>
      </c>
      <c r="G40" s="176">
        <f t="shared" si="24"/>
        <v>0</v>
      </c>
      <c r="H40" s="186">
        <f t="shared" si="24"/>
        <v>0</v>
      </c>
      <c r="I40" s="186">
        <f t="shared" si="24"/>
        <v>0</v>
      </c>
      <c r="J40" s="186">
        <f t="shared" si="24"/>
        <v>0</v>
      </c>
      <c r="K40" s="186">
        <f t="shared" si="24"/>
        <v>0</v>
      </c>
      <c r="L40" s="178">
        <f t="shared" si="24"/>
        <v>0</v>
      </c>
      <c r="M40" s="178">
        <f t="shared" si="24"/>
        <v>0</v>
      </c>
      <c r="N40" s="178">
        <f t="shared" si="24"/>
        <v>0</v>
      </c>
      <c r="O40" s="178">
        <f t="shared" si="24"/>
        <v>0</v>
      </c>
    </row>
    <row r="41">
      <c r="A41" s="179" t="s">
        <v>509</v>
      </c>
      <c r="B41" s="179" t="s">
        <v>511</v>
      </c>
      <c r="C41" s="180" t="s">
        <v>1167</v>
      </c>
      <c r="D41" s="191"/>
      <c r="E41" s="191"/>
      <c r="F41" s="191"/>
      <c r="G41" s="182">
        <f t="shared" ref="G41:G46" si="25">sum(D41:F41)</f>
        <v>0</v>
      </c>
      <c r="H41" s="181"/>
      <c r="I41" s="181"/>
      <c r="J41" s="181"/>
      <c r="K41" s="183">
        <f t="shared" ref="K41:K46" si="26">SUM(H41:J41)</f>
        <v>0</v>
      </c>
      <c r="L41" s="181"/>
      <c r="M41" s="181"/>
      <c r="N41" s="181"/>
      <c r="O41" s="184">
        <f t="shared" ref="O41:O46" si="27">SUM(L41:N41)</f>
        <v>0</v>
      </c>
    </row>
    <row r="42">
      <c r="A42" s="7"/>
      <c r="B42" s="7"/>
      <c r="C42" s="180" t="s">
        <v>4339</v>
      </c>
      <c r="D42" s="191"/>
      <c r="E42" s="191"/>
      <c r="F42" s="191"/>
      <c r="G42" s="182">
        <f t="shared" si="25"/>
        <v>0</v>
      </c>
      <c r="H42" s="181"/>
      <c r="I42" s="181"/>
      <c r="J42" s="181"/>
      <c r="K42" s="183">
        <f t="shared" si="26"/>
        <v>0</v>
      </c>
      <c r="L42" s="181"/>
      <c r="M42" s="181"/>
      <c r="N42" s="181"/>
      <c r="O42" s="184">
        <f t="shared" si="27"/>
        <v>0</v>
      </c>
    </row>
    <row r="43">
      <c r="A43" s="7"/>
      <c r="B43" s="7"/>
      <c r="C43" s="180" t="s">
        <v>1209</v>
      </c>
      <c r="D43" s="191"/>
      <c r="E43" s="191"/>
      <c r="F43" s="191"/>
      <c r="G43" s="182">
        <f t="shared" si="25"/>
        <v>0</v>
      </c>
      <c r="H43" s="181"/>
      <c r="I43" s="181"/>
      <c r="J43" s="181"/>
      <c r="K43" s="183">
        <f t="shared" si="26"/>
        <v>0</v>
      </c>
      <c r="L43" s="181"/>
      <c r="M43" s="181"/>
      <c r="N43" s="181"/>
      <c r="O43" s="184">
        <f t="shared" si="27"/>
        <v>0</v>
      </c>
    </row>
    <row r="44">
      <c r="A44" s="7"/>
      <c r="B44" s="7"/>
      <c r="C44" s="180" t="s">
        <v>4417</v>
      </c>
      <c r="D44" s="191"/>
      <c r="E44" s="191"/>
      <c r="F44" s="191"/>
      <c r="G44" s="182">
        <f t="shared" si="25"/>
        <v>0</v>
      </c>
      <c r="H44" s="181"/>
      <c r="I44" s="181"/>
      <c r="J44" s="181"/>
      <c r="K44" s="183">
        <f t="shared" si="26"/>
        <v>0</v>
      </c>
      <c r="L44" s="181"/>
      <c r="M44" s="181"/>
      <c r="N44" s="181"/>
      <c r="O44" s="184">
        <f t="shared" si="27"/>
        <v>0</v>
      </c>
    </row>
    <row r="45">
      <c r="A45" s="7"/>
      <c r="B45" s="7"/>
      <c r="C45" s="180" t="s">
        <v>4486</v>
      </c>
      <c r="D45" s="191"/>
      <c r="E45" s="191"/>
      <c r="F45" s="191"/>
      <c r="G45" s="182">
        <f t="shared" si="25"/>
        <v>0</v>
      </c>
      <c r="H45" s="181"/>
      <c r="I45" s="181"/>
      <c r="J45" s="181"/>
      <c r="K45" s="183">
        <f t="shared" si="26"/>
        <v>0</v>
      </c>
      <c r="L45" s="181"/>
      <c r="M45" s="181"/>
      <c r="N45" s="181"/>
      <c r="O45" s="184">
        <f t="shared" si="27"/>
        <v>0</v>
      </c>
    </row>
    <row r="46">
      <c r="A46" s="20"/>
      <c r="B46" s="20"/>
      <c r="C46" s="180" t="s">
        <v>4527</v>
      </c>
      <c r="D46" s="191"/>
      <c r="E46" s="191"/>
      <c r="F46" s="191"/>
      <c r="G46" s="182">
        <f t="shared" si="25"/>
        <v>0</v>
      </c>
      <c r="H46" s="181"/>
      <c r="I46" s="181"/>
      <c r="J46" s="181"/>
      <c r="K46" s="183">
        <f t="shared" si="26"/>
        <v>0</v>
      </c>
      <c r="L46" s="181"/>
      <c r="M46" s="181"/>
      <c r="N46" s="181"/>
      <c r="O46" s="184">
        <f t="shared" si="27"/>
        <v>0</v>
      </c>
    </row>
    <row r="47">
      <c r="A47" s="185" t="s">
        <v>7242</v>
      </c>
      <c r="B47" s="4"/>
      <c r="C47" s="5"/>
      <c r="D47" s="176">
        <f t="shared" ref="D47:O47" si="28">sum(D41:D46)</f>
        <v>0</v>
      </c>
      <c r="E47" s="176">
        <f t="shared" si="28"/>
        <v>0</v>
      </c>
      <c r="F47" s="176">
        <f t="shared" si="28"/>
        <v>0</v>
      </c>
      <c r="G47" s="176">
        <f t="shared" si="28"/>
        <v>0</v>
      </c>
      <c r="H47" s="186">
        <f t="shared" si="28"/>
        <v>0</v>
      </c>
      <c r="I47" s="186">
        <f t="shared" si="28"/>
        <v>0</v>
      </c>
      <c r="J47" s="186">
        <f t="shared" si="28"/>
        <v>0</v>
      </c>
      <c r="K47" s="186">
        <f t="shared" si="28"/>
        <v>0</v>
      </c>
      <c r="L47" s="178">
        <f t="shared" si="28"/>
        <v>0</v>
      </c>
      <c r="M47" s="178">
        <f t="shared" si="28"/>
        <v>0</v>
      </c>
      <c r="N47" s="178">
        <f t="shared" si="28"/>
        <v>0</v>
      </c>
      <c r="O47" s="178">
        <f t="shared" si="28"/>
        <v>0</v>
      </c>
    </row>
    <row r="48">
      <c r="A48" s="179" t="s">
        <v>581</v>
      </c>
      <c r="B48" s="179" t="s">
        <v>587</v>
      </c>
      <c r="C48" s="180" t="s">
        <v>4618</v>
      </c>
      <c r="D48" s="191"/>
      <c r="E48" s="191"/>
      <c r="F48" s="191"/>
      <c r="G48" s="182">
        <f t="shared" ref="G48:G53" si="29">sum(D48:F48)</f>
        <v>0</v>
      </c>
      <c r="H48" s="181"/>
      <c r="I48" s="181"/>
      <c r="J48" s="181"/>
      <c r="K48" s="183">
        <f t="shared" ref="K48:K53" si="30">SUM(H48:J48)</f>
        <v>0</v>
      </c>
      <c r="L48" s="181"/>
      <c r="M48" s="181"/>
      <c r="N48" s="181"/>
      <c r="O48" s="184">
        <f t="shared" ref="O48:O53" si="31">SUM(L48:N48)</f>
        <v>0</v>
      </c>
    </row>
    <row r="49">
      <c r="A49" s="7"/>
      <c r="B49" s="7"/>
      <c r="C49" s="180" t="s">
        <v>4660</v>
      </c>
      <c r="D49" s="191"/>
      <c r="E49" s="191"/>
      <c r="F49" s="191"/>
      <c r="G49" s="182">
        <f t="shared" si="29"/>
        <v>0</v>
      </c>
      <c r="H49" s="181"/>
      <c r="I49" s="181"/>
      <c r="J49" s="181"/>
      <c r="K49" s="183">
        <f t="shared" si="30"/>
        <v>0</v>
      </c>
      <c r="L49" s="181"/>
      <c r="M49" s="181"/>
      <c r="N49" s="181"/>
      <c r="O49" s="184">
        <f t="shared" si="31"/>
        <v>0</v>
      </c>
    </row>
    <row r="50">
      <c r="A50" s="7"/>
      <c r="B50" s="7"/>
      <c r="C50" s="180" t="s">
        <v>4717</v>
      </c>
      <c r="D50" s="191"/>
      <c r="E50" s="191"/>
      <c r="F50" s="191"/>
      <c r="G50" s="182">
        <f t="shared" si="29"/>
        <v>0</v>
      </c>
      <c r="H50" s="181"/>
      <c r="I50" s="181"/>
      <c r="J50" s="181"/>
      <c r="K50" s="183">
        <f t="shared" si="30"/>
        <v>0</v>
      </c>
      <c r="L50" s="181"/>
      <c r="M50" s="181"/>
      <c r="N50" s="181"/>
      <c r="O50" s="184">
        <f t="shared" si="31"/>
        <v>0</v>
      </c>
    </row>
    <row r="51">
      <c r="A51" s="7"/>
      <c r="B51" s="7"/>
      <c r="C51" s="180" t="s">
        <v>1274</v>
      </c>
      <c r="D51" s="191"/>
      <c r="E51" s="191"/>
      <c r="F51" s="191"/>
      <c r="G51" s="182">
        <f t="shared" si="29"/>
        <v>0</v>
      </c>
      <c r="H51" s="181"/>
      <c r="I51" s="181"/>
      <c r="J51" s="181"/>
      <c r="K51" s="183">
        <f t="shared" si="30"/>
        <v>0</v>
      </c>
      <c r="L51" s="181"/>
      <c r="M51" s="181"/>
      <c r="N51" s="181"/>
      <c r="O51" s="184">
        <f t="shared" si="31"/>
        <v>0</v>
      </c>
    </row>
    <row r="52">
      <c r="A52" s="7"/>
      <c r="B52" s="7"/>
      <c r="C52" s="180" t="s">
        <v>4794</v>
      </c>
      <c r="D52" s="191"/>
      <c r="E52" s="191"/>
      <c r="F52" s="191"/>
      <c r="G52" s="182">
        <f t="shared" si="29"/>
        <v>0</v>
      </c>
      <c r="H52" s="181"/>
      <c r="I52" s="181"/>
      <c r="J52" s="181"/>
      <c r="K52" s="183">
        <f t="shared" si="30"/>
        <v>0</v>
      </c>
      <c r="L52" s="181"/>
      <c r="M52" s="181"/>
      <c r="N52" s="181"/>
      <c r="O52" s="184">
        <f t="shared" si="31"/>
        <v>0</v>
      </c>
    </row>
    <row r="53">
      <c r="A53" s="20"/>
      <c r="B53" s="20"/>
      <c r="C53" s="180" t="s">
        <v>3617</v>
      </c>
      <c r="D53" s="191"/>
      <c r="E53" s="191"/>
      <c r="F53" s="191"/>
      <c r="G53" s="182">
        <f t="shared" si="29"/>
        <v>0</v>
      </c>
      <c r="H53" s="181"/>
      <c r="I53" s="181"/>
      <c r="J53" s="181"/>
      <c r="K53" s="183">
        <f t="shared" si="30"/>
        <v>0</v>
      </c>
      <c r="L53" s="181"/>
      <c r="M53" s="181"/>
      <c r="N53" s="181"/>
      <c r="O53" s="184">
        <f t="shared" si="31"/>
        <v>0</v>
      </c>
    </row>
    <row r="54">
      <c r="A54" s="185" t="s">
        <v>7242</v>
      </c>
      <c r="B54" s="4"/>
      <c r="C54" s="5"/>
      <c r="D54" s="176">
        <f t="shared" ref="D54:O54" si="32">sum(D48:D53)</f>
        <v>0</v>
      </c>
      <c r="E54" s="176">
        <f t="shared" si="32"/>
        <v>0</v>
      </c>
      <c r="F54" s="176">
        <f t="shared" si="32"/>
        <v>0</v>
      </c>
      <c r="G54" s="176">
        <f t="shared" si="32"/>
        <v>0</v>
      </c>
      <c r="H54" s="186">
        <f t="shared" si="32"/>
        <v>0</v>
      </c>
      <c r="I54" s="186">
        <f t="shared" si="32"/>
        <v>0</v>
      </c>
      <c r="J54" s="186">
        <f t="shared" si="32"/>
        <v>0</v>
      </c>
      <c r="K54" s="186">
        <f t="shared" si="32"/>
        <v>0</v>
      </c>
      <c r="L54" s="178">
        <f t="shared" si="32"/>
        <v>0</v>
      </c>
      <c r="M54" s="178">
        <f t="shared" si="32"/>
        <v>0</v>
      </c>
      <c r="N54" s="178">
        <f t="shared" si="32"/>
        <v>0</v>
      </c>
      <c r="O54" s="178">
        <f t="shared" si="32"/>
        <v>0</v>
      </c>
    </row>
    <row r="55">
      <c r="A55" s="179" t="s">
        <v>682</v>
      </c>
      <c r="B55" s="179" t="s">
        <v>684</v>
      </c>
      <c r="C55" s="180" t="s">
        <v>7998</v>
      </c>
      <c r="D55" s="191"/>
      <c r="E55" s="191"/>
      <c r="F55" s="191"/>
      <c r="G55" s="182">
        <f t="shared" ref="G55:G58" si="33">sum(D55:F55)</f>
        <v>0</v>
      </c>
      <c r="H55" s="181"/>
      <c r="I55" s="181"/>
      <c r="J55" s="181"/>
      <c r="K55" s="183">
        <f t="shared" ref="K55:K58" si="34">SUM(H55:J55)</f>
        <v>0</v>
      </c>
      <c r="L55" s="181"/>
      <c r="M55" s="181"/>
      <c r="N55" s="181"/>
      <c r="O55" s="184">
        <f t="shared" ref="O55:O58" si="35">SUM(L55:N55)</f>
        <v>0</v>
      </c>
    </row>
    <row r="56">
      <c r="A56" s="7"/>
      <c r="B56" s="7"/>
      <c r="C56" s="180" t="s">
        <v>8022</v>
      </c>
      <c r="D56" s="191"/>
      <c r="E56" s="191"/>
      <c r="F56" s="191"/>
      <c r="G56" s="182">
        <f t="shared" si="33"/>
        <v>0</v>
      </c>
      <c r="H56" s="181"/>
      <c r="I56" s="192"/>
      <c r="J56" s="181"/>
      <c r="K56" s="183">
        <f t="shared" si="34"/>
        <v>0</v>
      </c>
      <c r="L56" s="181"/>
      <c r="M56" s="181"/>
      <c r="N56" s="181"/>
      <c r="O56" s="184">
        <f t="shared" si="35"/>
        <v>0</v>
      </c>
    </row>
    <row r="57">
      <c r="A57" s="7"/>
      <c r="B57" s="7"/>
      <c r="C57" s="180" t="s">
        <v>1408</v>
      </c>
      <c r="D57" s="191"/>
      <c r="E57" s="191"/>
      <c r="F57" s="191"/>
      <c r="G57" s="182">
        <f t="shared" si="33"/>
        <v>0</v>
      </c>
      <c r="H57" s="181"/>
      <c r="I57" s="181"/>
      <c r="J57" s="181"/>
      <c r="K57" s="183">
        <f t="shared" si="34"/>
        <v>0</v>
      </c>
      <c r="L57" s="181"/>
      <c r="M57" s="181"/>
      <c r="N57" s="181"/>
      <c r="O57" s="184">
        <f t="shared" si="35"/>
        <v>0</v>
      </c>
    </row>
    <row r="58">
      <c r="A58" s="20"/>
      <c r="B58" s="20"/>
      <c r="C58" s="180" t="s">
        <v>1498</v>
      </c>
      <c r="D58" s="191"/>
      <c r="E58" s="191"/>
      <c r="F58" s="191"/>
      <c r="G58" s="182">
        <f t="shared" si="33"/>
        <v>0</v>
      </c>
      <c r="H58" s="181"/>
      <c r="I58" s="181"/>
      <c r="J58" s="181"/>
      <c r="K58" s="183">
        <f t="shared" si="34"/>
        <v>0</v>
      </c>
      <c r="L58" s="181"/>
      <c r="M58" s="181"/>
      <c r="N58" s="181"/>
      <c r="O58" s="184">
        <f t="shared" si="35"/>
        <v>0</v>
      </c>
    </row>
    <row r="59">
      <c r="A59" s="185" t="s">
        <v>7242</v>
      </c>
      <c r="B59" s="4"/>
      <c r="C59" s="5"/>
      <c r="D59" s="176">
        <f t="shared" ref="D59:O59" si="36">sum(D55:D58)</f>
        <v>0</v>
      </c>
      <c r="E59" s="176">
        <f t="shared" si="36"/>
        <v>0</v>
      </c>
      <c r="F59" s="176">
        <f t="shared" si="36"/>
        <v>0</v>
      </c>
      <c r="G59" s="176">
        <f t="shared" si="36"/>
        <v>0</v>
      </c>
      <c r="H59" s="186">
        <f t="shared" si="36"/>
        <v>0</v>
      </c>
      <c r="I59" s="186">
        <f t="shared" si="36"/>
        <v>0</v>
      </c>
      <c r="J59" s="186">
        <f t="shared" si="36"/>
        <v>0</v>
      </c>
      <c r="K59" s="186">
        <f t="shared" si="36"/>
        <v>0</v>
      </c>
      <c r="L59" s="178">
        <f t="shared" si="36"/>
        <v>0</v>
      </c>
      <c r="M59" s="178">
        <f t="shared" si="36"/>
        <v>0</v>
      </c>
      <c r="N59" s="178">
        <f t="shared" si="36"/>
        <v>0</v>
      </c>
      <c r="O59" s="178">
        <f t="shared" si="36"/>
        <v>0</v>
      </c>
    </row>
    <row r="60">
      <c r="A60" s="179" t="s">
        <v>764</v>
      </c>
      <c r="B60" s="179" t="s">
        <v>765</v>
      </c>
      <c r="C60" s="180" t="s">
        <v>5506</v>
      </c>
      <c r="D60" s="191"/>
      <c r="E60" s="191"/>
      <c r="F60" s="191"/>
      <c r="G60" s="182">
        <f t="shared" ref="G60:G65" si="37">sum(D60:F60)</f>
        <v>0</v>
      </c>
      <c r="H60" s="181"/>
      <c r="I60" s="181"/>
      <c r="J60" s="181"/>
      <c r="K60" s="183">
        <f t="shared" ref="K60:K65" si="38">SUM(H60:J60)</f>
        <v>0</v>
      </c>
      <c r="L60" s="181"/>
      <c r="M60" s="181"/>
      <c r="N60" s="181"/>
      <c r="O60" s="184">
        <f t="shared" ref="O60:O65" si="39">SUM(L60:N60)</f>
        <v>0</v>
      </c>
    </row>
    <row r="61">
      <c r="A61" s="7"/>
      <c r="B61" s="7"/>
      <c r="C61" s="180" t="s">
        <v>8115</v>
      </c>
      <c r="D61" s="191"/>
      <c r="E61" s="191"/>
      <c r="F61" s="191"/>
      <c r="G61" s="182">
        <f t="shared" si="37"/>
        <v>0</v>
      </c>
      <c r="H61" s="181"/>
      <c r="I61" s="181"/>
      <c r="J61" s="181"/>
      <c r="K61" s="183">
        <f t="shared" si="38"/>
        <v>0</v>
      </c>
      <c r="L61" s="181"/>
      <c r="M61" s="181"/>
      <c r="N61" s="181"/>
      <c r="O61" s="184">
        <f t="shared" si="39"/>
        <v>0</v>
      </c>
    </row>
    <row r="62">
      <c r="A62" s="7"/>
      <c r="B62" s="7"/>
      <c r="C62" s="180" t="s">
        <v>8125</v>
      </c>
      <c r="D62" s="191"/>
      <c r="E62" s="191"/>
      <c r="F62" s="191"/>
      <c r="G62" s="182">
        <f t="shared" si="37"/>
        <v>0</v>
      </c>
      <c r="H62" s="181"/>
      <c r="I62" s="181"/>
      <c r="J62" s="181"/>
      <c r="K62" s="183">
        <f t="shared" si="38"/>
        <v>0</v>
      </c>
      <c r="L62" s="181"/>
      <c r="M62" s="181"/>
      <c r="N62" s="181"/>
      <c r="O62" s="184">
        <f t="shared" si="39"/>
        <v>0</v>
      </c>
    </row>
    <row r="63">
      <c r="A63" s="7"/>
      <c r="B63" s="7"/>
      <c r="C63" s="180" t="s">
        <v>8136</v>
      </c>
      <c r="D63" s="191"/>
      <c r="E63" s="191"/>
      <c r="F63" s="191"/>
      <c r="G63" s="182">
        <f t="shared" si="37"/>
        <v>0</v>
      </c>
      <c r="H63" s="181"/>
      <c r="I63" s="181"/>
      <c r="J63" s="192"/>
      <c r="K63" s="183">
        <f t="shared" si="38"/>
        <v>0</v>
      </c>
      <c r="L63" s="181"/>
      <c r="M63" s="181"/>
      <c r="N63" s="181"/>
      <c r="O63" s="184">
        <f t="shared" si="39"/>
        <v>0</v>
      </c>
    </row>
    <row r="64">
      <c r="A64" s="7"/>
      <c r="B64" s="7"/>
      <c r="C64" s="180" t="s">
        <v>8146</v>
      </c>
      <c r="D64" s="191"/>
      <c r="E64" s="191"/>
      <c r="F64" s="191"/>
      <c r="G64" s="182">
        <f t="shared" si="37"/>
        <v>0</v>
      </c>
      <c r="H64" s="181"/>
      <c r="I64" s="181"/>
      <c r="J64" s="181"/>
      <c r="K64" s="183">
        <f t="shared" si="38"/>
        <v>0</v>
      </c>
      <c r="L64" s="181"/>
      <c r="M64" s="181"/>
      <c r="N64" s="181"/>
      <c r="O64" s="184">
        <f t="shared" si="39"/>
        <v>0</v>
      </c>
    </row>
    <row r="65">
      <c r="A65" s="20"/>
      <c r="B65" s="20"/>
      <c r="C65" s="180" t="s">
        <v>8158</v>
      </c>
      <c r="D65" s="191"/>
      <c r="E65" s="191"/>
      <c r="F65" s="191"/>
      <c r="G65" s="182">
        <f t="shared" si="37"/>
        <v>0</v>
      </c>
      <c r="H65" s="181"/>
      <c r="I65" s="181"/>
      <c r="J65" s="181"/>
      <c r="K65" s="183">
        <f t="shared" si="38"/>
        <v>0</v>
      </c>
      <c r="L65" s="181"/>
      <c r="M65" s="181"/>
      <c r="N65" s="181"/>
      <c r="O65" s="184">
        <f t="shared" si="39"/>
        <v>0</v>
      </c>
    </row>
    <row r="66">
      <c r="A66" s="185" t="s">
        <v>7242</v>
      </c>
      <c r="B66" s="4"/>
      <c r="C66" s="5"/>
      <c r="D66" s="176">
        <f t="shared" ref="D66:O66" si="40">sum(D60:D65)</f>
        <v>0</v>
      </c>
      <c r="E66" s="176">
        <f t="shared" si="40"/>
        <v>0</v>
      </c>
      <c r="F66" s="176">
        <f t="shared" si="40"/>
        <v>0</v>
      </c>
      <c r="G66" s="176">
        <f t="shared" si="40"/>
        <v>0</v>
      </c>
      <c r="H66" s="186">
        <f t="shared" si="40"/>
        <v>0</v>
      </c>
      <c r="I66" s="186">
        <f t="shared" si="40"/>
        <v>0</v>
      </c>
      <c r="J66" s="186">
        <f t="shared" si="40"/>
        <v>0</v>
      </c>
      <c r="K66" s="186">
        <f t="shared" si="40"/>
        <v>0</v>
      </c>
      <c r="L66" s="178">
        <f t="shared" si="40"/>
        <v>0</v>
      </c>
      <c r="M66" s="178">
        <f t="shared" si="40"/>
        <v>0</v>
      </c>
      <c r="N66" s="178">
        <f t="shared" si="40"/>
        <v>0</v>
      </c>
      <c r="O66" s="178">
        <f t="shared" si="40"/>
        <v>0</v>
      </c>
    </row>
    <row r="67">
      <c r="A67" s="179" t="s">
        <v>808</v>
      </c>
      <c r="B67" s="179" t="s">
        <v>809</v>
      </c>
      <c r="C67" s="180" t="s">
        <v>2197</v>
      </c>
      <c r="D67" s="191"/>
      <c r="E67" s="191"/>
      <c r="F67" s="191"/>
      <c r="G67" s="182">
        <f t="shared" ref="G67:G71" si="41">sum(D67:F67)</f>
        <v>0</v>
      </c>
      <c r="H67" s="181"/>
      <c r="I67" s="181"/>
      <c r="J67" s="181"/>
      <c r="K67" s="183">
        <f t="shared" ref="K67:K71" si="42">SUM(H67:J67)</f>
        <v>0</v>
      </c>
      <c r="L67" s="181"/>
      <c r="M67" s="181"/>
      <c r="N67" s="181"/>
      <c r="O67" s="184">
        <f t="shared" ref="O67:O71" si="43">SUM(L67:N67)</f>
        <v>0</v>
      </c>
    </row>
    <row r="68">
      <c r="A68" s="7"/>
      <c r="B68" s="7"/>
      <c r="C68" s="180" t="s">
        <v>2274</v>
      </c>
      <c r="D68" s="191"/>
      <c r="E68" s="191"/>
      <c r="F68" s="191"/>
      <c r="G68" s="182">
        <f t="shared" si="41"/>
        <v>0</v>
      </c>
      <c r="H68" s="181"/>
      <c r="I68" s="181"/>
      <c r="J68" s="181"/>
      <c r="K68" s="183">
        <f t="shared" si="42"/>
        <v>0</v>
      </c>
      <c r="L68" s="181"/>
      <c r="M68" s="181"/>
      <c r="N68" s="181"/>
      <c r="O68" s="184">
        <f t="shared" si="43"/>
        <v>0</v>
      </c>
    </row>
    <row r="69">
      <c r="A69" s="7"/>
      <c r="B69" s="7"/>
      <c r="C69" s="180" t="s">
        <v>1952</v>
      </c>
      <c r="D69" s="191"/>
      <c r="E69" s="191"/>
      <c r="F69" s="191"/>
      <c r="G69" s="182">
        <f t="shared" si="41"/>
        <v>0</v>
      </c>
      <c r="H69" s="181"/>
      <c r="I69" s="181"/>
      <c r="J69" s="181"/>
      <c r="K69" s="183">
        <f t="shared" si="42"/>
        <v>0</v>
      </c>
      <c r="L69" s="181"/>
      <c r="M69" s="181"/>
      <c r="N69" s="181"/>
      <c r="O69" s="184">
        <f t="shared" si="43"/>
        <v>0</v>
      </c>
    </row>
    <row r="70">
      <c r="A70" s="7"/>
      <c r="B70" s="7"/>
      <c r="C70" s="180" t="s">
        <v>2072</v>
      </c>
      <c r="D70" s="191"/>
      <c r="E70" s="191"/>
      <c r="F70" s="191"/>
      <c r="G70" s="182">
        <f t="shared" si="41"/>
        <v>0</v>
      </c>
      <c r="H70" s="181"/>
      <c r="I70" s="181"/>
      <c r="J70" s="181"/>
      <c r="K70" s="183">
        <f t="shared" si="42"/>
        <v>0</v>
      </c>
      <c r="L70" s="181"/>
      <c r="M70" s="181"/>
      <c r="N70" s="181"/>
      <c r="O70" s="184">
        <f t="shared" si="43"/>
        <v>0</v>
      </c>
    </row>
    <row r="71">
      <c r="A71" s="20"/>
      <c r="B71" s="20"/>
      <c r="C71" s="180" t="s">
        <v>6094</v>
      </c>
      <c r="D71" s="191"/>
      <c r="E71" s="191"/>
      <c r="F71" s="191"/>
      <c r="G71" s="182">
        <f t="shared" si="41"/>
        <v>0</v>
      </c>
      <c r="H71" s="181"/>
      <c r="I71" s="181"/>
      <c r="J71" s="181"/>
      <c r="K71" s="183">
        <f t="shared" si="42"/>
        <v>0</v>
      </c>
      <c r="L71" s="181"/>
      <c r="M71" s="181"/>
      <c r="N71" s="181"/>
      <c r="O71" s="184">
        <f t="shared" si="43"/>
        <v>0</v>
      </c>
    </row>
    <row r="72">
      <c r="A72" s="185" t="s">
        <v>7242</v>
      </c>
      <c r="B72" s="4"/>
      <c r="C72" s="5"/>
      <c r="D72" s="176">
        <f>sum(D67:D71)</f>
        <v>0</v>
      </c>
      <c r="E72" s="176">
        <f t="shared" ref="E72:F72" si="44">sum(E69:E71)</f>
        <v>0</v>
      </c>
      <c r="F72" s="176">
        <f t="shared" si="44"/>
        <v>0</v>
      </c>
      <c r="G72" s="176">
        <f t="shared" ref="G72:H72" si="45">sum(G67:G71)</f>
        <v>0</v>
      </c>
      <c r="H72" s="186">
        <f t="shared" si="45"/>
        <v>0</v>
      </c>
      <c r="I72" s="186">
        <f t="shared" ref="I72:J72" si="46">sum(I69:I71)</f>
        <v>0</v>
      </c>
      <c r="J72" s="186">
        <f t="shared" si="46"/>
        <v>0</v>
      </c>
      <c r="K72" s="186">
        <f>sum(K67:K71)</f>
        <v>0</v>
      </c>
      <c r="L72" s="178">
        <f t="shared" ref="L72:N72" si="47">sum(L69:L71)</f>
        <v>0</v>
      </c>
      <c r="M72" s="178">
        <f t="shared" si="47"/>
        <v>0</v>
      </c>
      <c r="N72" s="178">
        <f t="shared" si="47"/>
        <v>0</v>
      </c>
      <c r="O72" s="178">
        <f>sum(O67:O71)</f>
        <v>0</v>
      </c>
    </row>
    <row r="73">
      <c r="A73" s="179" t="s">
        <v>887</v>
      </c>
      <c r="B73" s="179" t="s">
        <v>890</v>
      </c>
      <c r="C73" s="180" t="s">
        <v>6115</v>
      </c>
      <c r="D73" s="191"/>
      <c r="E73" s="191"/>
      <c r="F73" s="191"/>
      <c r="G73" s="182">
        <f t="shared" ref="G73:G78" si="48">sum(D73:F73)</f>
        <v>0</v>
      </c>
      <c r="H73" s="181"/>
      <c r="I73" s="181"/>
      <c r="J73" s="181"/>
      <c r="K73" s="183">
        <f t="shared" ref="K73:K78" si="49">SUM(H73:J73)</f>
        <v>0</v>
      </c>
      <c r="L73" s="181"/>
      <c r="M73" s="181"/>
      <c r="N73" s="181"/>
      <c r="O73" s="184">
        <f t="shared" ref="O73:O78" si="50">SUM(L73:N73)</f>
        <v>0</v>
      </c>
    </row>
    <row r="74">
      <c r="A74" s="7"/>
      <c r="B74" s="7"/>
      <c r="C74" s="180" t="s">
        <v>2310</v>
      </c>
      <c r="D74" s="191"/>
      <c r="E74" s="191"/>
      <c r="F74" s="191"/>
      <c r="G74" s="182">
        <f t="shared" si="48"/>
        <v>0</v>
      </c>
      <c r="H74" s="181"/>
      <c r="I74" s="181"/>
      <c r="J74" s="181"/>
      <c r="K74" s="183">
        <f t="shared" si="49"/>
        <v>0</v>
      </c>
      <c r="L74" s="181"/>
      <c r="M74" s="181"/>
      <c r="N74" s="181"/>
      <c r="O74" s="184">
        <f t="shared" si="50"/>
        <v>0</v>
      </c>
    </row>
    <row r="75">
      <c r="A75" s="7"/>
      <c r="B75" s="7"/>
      <c r="C75" s="180" t="s">
        <v>6201</v>
      </c>
      <c r="D75" s="191"/>
      <c r="E75" s="191"/>
      <c r="F75" s="191"/>
      <c r="G75" s="182">
        <f t="shared" si="48"/>
        <v>0</v>
      </c>
      <c r="H75" s="181"/>
      <c r="I75" s="181"/>
      <c r="J75" s="181"/>
      <c r="K75" s="183">
        <f t="shared" si="49"/>
        <v>0</v>
      </c>
      <c r="L75" s="181"/>
      <c r="M75" s="181"/>
      <c r="N75" s="181"/>
      <c r="O75" s="184">
        <f t="shared" si="50"/>
        <v>0</v>
      </c>
    </row>
    <row r="76">
      <c r="A76" s="7"/>
      <c r="B76" s="7"/>
      <c r="C76" s="180" t="s">
        <v>2333</v>
      </c>
      <c r="D76" s="191"/>
      <c r="E76" s="191"/>
      <c r="F76" s="191"/>
      <c r="G76" s="182">
        <f t="shared" si="48"/>
        <v>0</v>
      </c>
      <c r="H76" s="192"/>
      <c r="I76" s="181"/>
      <c r="J76" s="181"/>
      <c r="K76" s="183">
        <f t="shared" si="49"/>
        <v>0</v>
      </c>
      <c r="L76" s="181"/>
      <c r="M76" s="181"/>
      <c r="N76" s="181"/>
      <c r="O76" s="184">
        <f t="shared" si="50"/>
        <v>0</v>
      </c>
    </row>
    <row r="77">
      <c r="A77" s="7"/>
      <c r="B77" s="7"/>
      <c r="C77" s="180" t="s">
        <v>2358</v>
      </c>
      <c r="D77" s="191"/>
      <c r="E77" s="191"/>
      <c r="F77" s="191"/>
      <c r="G77" s="182">
        <f t="shared" si="48"/>
        <v>0</v>
      </c>
      <c r="H77" s="181"/>
      <c r="I77" s="181"/>
      <c r="J77" s="181"/>
      <c r="K77" s="183">
        <f t="shared" si="49"/>
        <v>0</v>
      </c>
      <c r="L77" s="181"/>
      <c r="M77" s="181"/>
      <c r="N77" s="181"/>
      <c r="O77" s="184">
        <f t="shared" si="50"/>
        <v>0</v>
      </c>
    </row>
    <row r="78">
      <c r="A78" s="20"/>
      <c r="B78" s="20"/>
      <c r="C78" s="180" t="s">
        <v>2388</v>
      </c>
      <c r="D78" s="191"/>
      <c r="E78" s="191"/>
      <c r="F78" s="191"/>
      <c r="G78" s="182">
        <f t="shared" si="48"/>
        <v>0</v>
      </c>
      <c r="H78" s="181"/>
      <c r="I78" s="181"/>
      <c r="J78" s="181"/>
      <c r="K78" s="183">
        <f t="shared" si="49"/>
        <v>0</v>
      </c>
      <c r="L78" s="181"/>
      <c r="M78" s="181"/>
      <c r="N78" s="181"/>
      <c r="O78" s="184">
        <f t="shared" si="50"/>
        <v>0</v>
      </c>
    </row>
    <row r="79">
      <c r="A79" s="185" t="s">
        <v>7242</v>
      </c>
      <c r="B79" s="4"/>
      <c r="C79" s="5"/>
      <c r="D79" s="176">
        <f t="shared" ref="D79:O79" si="51">sum(D73:D78)</f>
        <v>0</v>
      </c>
      <c r="E79" s="176">
        <f t="shared" si="51"/>
        <v>0</v>
      </c>
      <c r="F79" s="176">
        <f t="shared" si="51"/>
        <v>0</v>
      </c>
      <c r="G79" s="176">
        <f t="shared" si="51"/>
        <v>0</v>
      </c>
      <c r="H79" s="186">
        <f t="shared" si="51"/>
        <v>0</v>
      </c>
      <c r="I79" s="186">
        <f t="shared" si="51"/>
        <v>0</v>
      </c>
      <c r="J79" s="186">
        <f t="shared" si="51"/>
        <v>0</v>
      </c>
      <c r="K79" s="186">
        <f t="shared" si="51"/>
        <v>0</v>
      </c>
      <c r="L79" s="178">
        <f t="shared" si="51"/>
        <v>0</v>
      </c>
      <c r="M79" s="178">
        <f t="shared" si="51"/>
        <v>0</v>
      </c>
      <c r="N79" s="178">
        <f t="shared" si="51"/>
        <v>0</v>
      </c>
      <c r="O79" s="178">
        <f t="shared" si="51"/>
        <v>0</v>
      </c>
    </row>
    <row r="80">
      <c r="A80" s="179" t="s">
        <v>949</v>
      </c>
      <c r="B80" s="179" t="s">
        <v>951</v>
      </c>
      <c r="C80" s="180" t="s">
        <v>2420</v>
      </c>
      <c r="D80" s="191"/>
      <c r="E80" s="191"/>
      <c r="F80" s="191"/>
      <c r="G80" s="182">
        <f t="shared" ref="G80:G84" si="52">sum(D80:F80)</f>
        <v>0</v>
      </c>
      <c r="H80" s="181"/>
      <c r="I80" s="181"/>
      <c r="J80" s="181"/>
      <c r="K80" s="183">
        <f t="shared" ref="K80:K84" si="53">SUM(H80:J80)</f>
        <v>0</v>
      </c>
      <c r="L80" s="181"/>
      <c r="M80" s="181"/>
      <c r="N80" s="181"/>
      <c r="O80" s="184">
        <f t="shared" ref="O80:O84" si="54">SUM(L80:N80)</f>
        <v>0</v>
      </c>
    </row>
    <row r="81">
      <c r="A81" s="7"/>
      <c r="B81" s="7"/>
      <c r="C81" s="180" t="s">
        <v>2457</v>
      </c>
      <c r="D81" s="191"/>
      <c r="E81" s="191"/>
      <c r="F81" s="191"/>
      <c r="G81" s="182">
        <f t="shared" si="52"/>
        <v>0</v>
      </c>
      <c r="H81" s="181"/>
      <c r="I81" s="181"/>
      <c r="J81" s="181"/>
      <c r="K81" s="183">
        <f t="shared" si="53"/>
        <v>0</v>
      </c>
      <c r="L81" s="181"/>
      <c r="M81" s="181"/>
      <c r="N81" s="181"/>
      <c r="O81" s="184">
        <f t="shared" si="54"/>
        <v>0</v>
      </c>
    </row>
    <row r="82">
      <c r="A82" s="7"/>
      <c r="B82" s="7"/>
      <c r="C82" s="180" t="s">
        <v>6691</v>
      </c>
      <c r="D82" s="191"/>
      <c r="E82" s="191"/>
      <c r="F82" s="191"/>
      <c r="G82" s="182">
        <f t="shared" si="52"/>
        <v>0</v>
      </c>
      <c r="H82" s="181"/>
      <c r="I82" s="181"/>
      <c r="J82" s="181"/>
      <c r="K82" s="183">
        <f t="shared" si="53"/>
        <v>0</v>
      </c>
      <c r="L82" s="181"/>
      <c r="M82" s="181"/>
      <c r="N82" s="181"/>
      <c r="O82" s="184">
        <f t="shared" si="54"/>
        <v>0</v>
      </c>
    </row>
    <row r="83">
      <c r="A83" s="7"/>
      <c r="B83" s="7"/>
      <c r="C83" s="180" t="s">
        <v>6487</v>
      </c>
      <c r="D83" s="191"/>
      <c r="E83" s="191"/>
      <c r="F83" s="191"/>
      <c r="G83" s="182">
        <f t="shared" si="52"/>
        <v>0</v>
      </c>
      <c r="H83" s="181"/>
      <c r="I83" s="181"/>
      <c r="J83" s="181"/>
      <c r="K83" s="183">
        <f t="shared" si="53"/>
        <v>0</v>
      </c>
      <c r="L83" s="181"/>
      <c r="M83" s="181"/>
      <c r="N83" s="181"/>
      <c r="O83" s="184">
        <f t="shared" si="54"/>
        <v>0</v>
      </c>
    </row>
    <row r="84">
      <c r="A84" s="20"/>
      <c r="B84" s="20"/>
      <c r="C84" s="180" t="s">
        <v>2497</v>
      </c>
      <c r="D84" s="191"/>
      <c r="E84" s="191"/>
      <c r="F84" s="191"/>
      <c r="G84" s="182">
        <f t="shared" si="52"/>
        <v>0</v>
      </c>
      <c r="H84" s="181"/>
      <c r="I84" s="181"/>
      <c r="J84" s="181"/>
      <c r="K84" s="183">
        <f t="shared" si="53"/>
        <v>0</v>
      </c>
      <c r="L84" s="181"/>
      <c r="M84" s="181"/>
      <c r="N84" s="181"/>
      <c r="O84" s="184">
        <f t="shared" si="54"/>
        <v>0</v>
      </c>
    </row>
    <row r="85">
      <c r="A85" s="185" t="s">
        <v>7242</v>
      </c>
      <c r="B85" s="4"/>
      <c r="C85" s="5"/>
      <c r="D85" s="176">
        <f t="shared" ref="D85:O85" si="55">sum(D80:D84)</f>
        <v>0</v>
      </c>
      <c r="E85" s="176">
        <f t="shared" si="55"/>
        <v>0</v>
      </c>
      <c r="F85" s="176">
        <f t="shared" si="55"/>
        <v>0</v>
      </c>
      <c r="G85" s="176">
        <f t="shared" si="55"/>
        <v>0</v>
      </c>
      <c r="H85" s="186">
        <f t="shared" si="55"/>
        <v>0</v>
      </c>
      <c r="I85" s="186">
        <f t="shared" si="55"/>
        <v>0</v>
      </c>
      <c r="J85" s="186">
        <f t="shared" si="55"/>
        <v>0</v>
      </c>
      <c r="K85" s="186">
        <f t="shared" si="55"/>
        <v>0</v>
      </c>
      <c r="L85" s="178">
        <f t="shared" si="55"/>
        <v>0</v>
      </c>
      <c r="M85" s="178">
        <f t="shared" si="55"/>
        <v>0</v>
      </c>
      <c r="N85" s="178">
        <f t="shared" si="55"/>
        <v>0</v>
      </c>
      <c r="O85" s="178">
        <f t="shared" si="55"/>
        <v>0</v>
      </c>
    </row>
    <row r="86">
      <c r="A86" s="179" t="s">
        <v>1026</v>
      </c>
      <c r="B86" s="179" t="s">
        <v>1028</v>
      </c>
      <c r="C86" s="180" t="s">
        <v>6709</v>
      </c>
      <c r="D86" s="191"/>
      <c r="E86" s="191"/>
      <c r="F86" s="191"/>
      <c r="G86" s="182">
        <f t="shared" ref="G86:G91" si="56">sum(D86:F86)</f>
        <v>0</v>
      </c>
      <c r="H86" s="181"/>
      <c r="I86" s="181"/>
      <c r="J86" s="181"/>
      <c r="K86" s="183">
        <f t="shared" ref="K86:K91" si="57">SUM(H86:J86)</f>
        <v>0</v>
      </c>
      <c r="L86" s="181"/>
      <c r="M86" s="181"/>
      <c r="N86" s="181"/>
      <c r="O86" s="184">
        <f t="shared" ref="O86:O91" si="58">SUM(L86:N86)</f>
        <v>0</v>
      </c>
    </row>
    <row r="87">
      <c r="A87" s="7"/>
      <c r="B87" s="7"/>
      <c r="C87" s="180" t="s">
        <v>2538</v>
      </c>
      <c r="D87" s="191"/>
      <c r="E87" s="191"/>
      <c r="F87" s="191"/>
      <c r="G87" s="182">
        <f t="shared" si="56"/>
        <v>0</v>
      </c>
      <c r="H87" s="181"/>
      <c r="I87" s="181"/>
      <c r="J87" s="181"/>
      <c r="K87" s="183">
        <f t="shared" si="57"/>
        <v>0</v>
      </c>
      <c r="L87" s="181"/>
      <c r="M87" s="181"/>
      <c r="N87" s="181"/>
      <c r="O87" s="184">
        <f t="shared" si="58"/>
        <v>0</v>
      </c>
    </row>
    <row r="88">
      <c r="A88" s="7"/>
      <c r="B88" s="7"/>
      <c r="C88" s="180" t="s">
        <v>2594</v>
      </c>
      <c r="D88" s="191"/>
      <c r="E88" s="191"/>
      <c r="F88" s="191"/>
      <c r="G88" s="182">
        <f t="shared" si="56"/>
        <v>0</v>
      </c>
      <c r="H88" s="181"/>
      <c r="I88" s="181"/>
      <c r="J88" s="181"/>
      <c r="K88" s="183">
        <f t="shared" si="57"/>
        <v>0</v>
      </c>
      <c r="L88" s="181"/>
      <c r="M88" s="181"/>
      <c r="N88" s="181"/>
      <c r="O88" s="184">
        <f t="shared" si="58"/>
        <v>0</v>
      </c>
    </row>
    <row r="89">
      <c r="A89" s="7"/>
      <c r="B89" s="7"/>
      <c r="C89" s="180" t="s">
        <v>2615</v>
      </c>
      <c r="D89" s="191"/>
      <c r="E89" s="191"/>
      <c r="F89" s="191"/>
      <c r="G89" s="182">
        <f t="shared" si="56"/>
        <v>0</v>
      </c>
      <c r="H89" s="181"/>
      <c r="I89" s="181"/>
      <c r="J89" s="181"/>
      <c r="K89" s="183">
        <f t="shared" si="57"/>
        <v>0</v>
      </c>
      <c r="L89" s="181"/>
      <c r="M89" s="181"/>
      <c r="N89" s="181"/>
      <c r="O89" s="184">
        <f t="shared" si="58"/>
        <v>0</v>
      </c>
    </row>
    <row r="90">
      <c r="A90" s="7"/>
      <c r="B90" s="7"/>
      <c r="C90" s="180" t="s">
        <v>2539</v>
      </c>
      <c r="D90" s="191"/>
      <c r="E90" s="191"/>
      <c r="F90" s="191"/>
      <c r="G90" s="182">
        <f t="shared" si="56"/>
        <v>0</v>
      </c>
      <c r="H90" s="181"/>
      <c r="I90" s="181"/>
      <c r="J90" s="181"/>
      <c r="K90" s="183">
        <f t="shared" si="57"/>
        <v>0</v>
      </c>
      <c r="L90" s="181"/>
      <c r="M90" s="181"/>
      <c r="N90" s="181"/>
      <c r="O90" s="184">
        <f t="shared" si="58"/>
        <v>0</v>
      </c>
    </row>
    <row r="91">
      <c r="A91" s="20"/>
      <c r="B91" s="20"/>
      <c r="C91" s="180" t="s">
        <v>6875</v>
      </c>
      <c r="D91" s="191"/>
      <c r="E91" s="191"/>
      <c r="F91" s="191"/>
      <c r="G91" s="182">
        <f t="shared" si="56"/>
        <v>0</v>
      </c>
      <c r="H91" s="181"/>
      <c r="I91" s="181"/>
      <c r="J91" s="181"/>
      <c r="K91" s="183">
        <f t="shared" si="57"/>
        <v>0</v>
      </c>
      <c r="L91" s="181"/>
      <c r="M91" s="181"/>
      <c r="N91" s="181"/>
      <c r="O91" s="184">
        <f t="shared" si="58"/>
        <v>0</v>
      </c>
    </row>
    <row r="92">
      <c r="A92" s="185" t="s">
        <v>7242</v>
      </c>
      <c r="B92" s="4"/>
      <c r="C92" s="5"/>
      <c r="D92" s="176">
        <f t="shared" ref="D92:O92" si="59">sum(D86:D91)</f>
        <v>0</v>
      </c>
      <c r="E92" s="176">
        <f t="shared" si="59"/>
        <v>0</v>
      </c>
      <c r="F92" s="176">
        <f t="shared" si="59"/>
        <v>0</v>
      </c>
      <c r="G92" s="176">
        <f t="shared" si="59"/>
        <v>0</v>
      </c>
      <c r="H92" s="186">
        <f t="shared" si="59"/>
        <v>0</v>
      </c>
      <c r="I92" s="186">
        <f t="shared" si="59"/>
        <v>0</v>
      </c>
      <c r="J92" s="186">
        <f t="shared" si="59"/>
        <v>0</v>
      </c>
      <c r="K92" s="186">
        <f t="shared" si="59"/>
        <v>0</v>
      </c>
      <c r="L92" s="178">
        <f t="shared" si="59"/>
        <v>0</v>
      </c>
      <c r="M92" s="178">
        <f t="shared" si="59"/>
        <v>0</v>
      </c>
      <c r="N92" s="178">
        <f t="shared" si="59"/>
        <v>0</v>
      </c>
      <c r="O92" s="178">
        <f t="shared" si="59"/>
        <v>0</v>
      </c>
    </row>
    <row r="93">
      <c r="A93" s="179" t="s">
        <v>1098</v>
      </c>
      <c r="B93" s="179" t="s">
        <v>1099</v>
      </c>
      <c r="C93" s="180" t="s">
        <v>7082</v>
      </c>
      <c r="D93" s="191"/>
      <c r="E93" s="191"/>
      <c r="F93" s="191"/>
      <c r="G93" s="182">
        <f t="shared" ref="G93:G96" si="60">sum(D93:F93)</f>
        <v>0</v>
      </c>
      <c r="H93" s="181"/>
      <c r="I93" s="181"/>
      <c r="J93" s="181"/>
      <c r="K93" s="183">
        <f t="shared" ref="K93:K96" si="61">SUM(H93:J93)</f>
        <v>0</v>
      </c>
      <c r="L93" s="181"/>
      <c r="M93" s="181"/>
      <c r="N93" s="181"/>
      <c r="O93" s="184">
        <f t="shared" ref="O93:O96" si="62">SUM(L93:N93)</f>
        <v>0</v>
      </c>
    </row>
    <row r="94">
      <c r="A94" s="7"/>
      <c r="B94" s="7"/>
      <c r="C94" s="180" t="s">
        <v>7127</v>
      </c>
      <c r="D94" s="191"/>
      <c r="E94" s="191"/>
      <c r="F94" s="191"/>
      <c r="G94" s="182">
        <f t="shared" si="60"/>
        <v>0</v>
      </c>
      <c r="H94" s="181"/>
      <c r="I94" s="181"/>
      <c r="J94" s="181"/>
      <c r="K94" s="183">
        <f t="shared" si="61"/>
        <v>0</v>
      </c>
      <c r="L94" s="181"/>
      <c r="M94" s="181"/>
      <c r="N94" s="181"/>
      <c r="O94" s="184">
        <f t="shared" si="62"/>
        <v>0</v>
      </c>
    </row>
    <row r="95">
      <c r="A95" s="7"/>
      <c r="B95" s="7"/>
      <c r="C95" s="180" t="s">
        <v>2640</v>
      </c>
      <c r="D95" s="191"/>
      <c r="E95" s="191"/>
      <c r="F95" s="191"/>
      <c r="G95" s="182">
        <f t="shared" si="60"/>
        <v>0</v>
      </c>
      <c r="H95" s="181"/>
      <c r="I95" s="181"/>
      <c r="J95" s="181"/>
      <c r="K95" s="183">
        <f t="shared" si="61"/>
        <v>0</v>
      </c>
      <c r="L95" s="181"/>
      <c r="M95" s="181"/>
      <c r="N95" s="181"/>
      <c r="O95" s="184">
        <f t="shared" si="62"/>
        <v>0</v>
      </c>
    </row>
    <row r="96">
      <c r="A96" s="20"/>
      <c r="B96" s="20"/>
      <c r="C96" s="180" t="s">
        <v>2681</v>
      </c>
      <c r="D96" s="191"/>
      <c r="E96" s="191"/>
      <c r="F96" s="191"/>
      <c r="G96" s="182">
        <f t="shared" si="60"/>
        <v>0</v>
      </c>
      <c r="H96" s="181"/>
      <c r="I96" s="181"/>
      <c r="J96" s="181"/>
      <c r="K96" s="183">
        <f t="shared" si="61"/>
        <v>0</v>
      </c>
      <c r="L96" s="181"/>
      <c r="M96" s="181"/>
      <c r="N96" s="181"/>
      <c r="O96" s="184">
        <f t="shared" si="62"/>
        <v>0</v>
      </c>
    </row>
    <row r="97">
      <c r="A97" s="185" t="s">
        <v>7242</v>
      </c>
      <c r="B97" s="4"/>
      <c r="C97" s="5"/>
      <c r="D97" s="176">
        <f t="shared" ref="D97:O97" si="63">sum(D93:D96)</f>
        <v>0</v>
      </c>
      <c r="E97" s="176">
        <f t="shared" si="63"/>
        <v>0</v>
      </c>
      <c r="F97" s="176">
        <f t="shared" si="63"/>
        <v>0</v>
      </c>
      <c r="G97" s="176">
        <f t="shared" si="63"/>
        <v>0</v>
      </c>
      <c r="H97" s="186">
        <f t="shared" si="63"/>
        <v>0</v>
      </c>
      <c r="I97" s="186">
        <f t="shared" si="63"/>
        <v>0</v>
      </c>
      <c r="J97" s="186">
        <f t="shared" si="63"/>
        <v>0</v>
      </c>
      <c r="K97" s="186">
        <f t="shared" si="63"/>
        <v>0</v>
      </c>
      <c r="L97" s="178">
        <f t="shared" si="63"/>
        <v>0</v>
      </c>
      <c r="M97" s="178">
        <f t="shared" si="63"/>
        <v>0</v>
      </c>
      <c r="N97" s="178">
        <f t="shared" si="63"/>
        <v>0</v>
      </c>
      <c r="O97" s="178">
        <f t="shared" si="63"/>
        <v>0</v>
      </c>
    </row>
    <row r="98">
      <c r="A98" s="179" t="s">
        <v>1323</v>
      </c>
      <c r="B98" s="179" t="s">
        <v>4380</v>
      </c>
      <c r="C98" s="180" t="s">
        <v>8583</v>
      </c>
      <c r="D98" s="191"/>
      <c r="E98" s="191"/>
      <c r="F98" s="191"/>
      <c r="G98" s="193">
        <f t="shared" ref="G98:G103" si="64">sum(D98:F98)</f>
        <v>0</v>
      </c>
      <c r="H98" s="181"/>
      <c r="I98" s="181"/>
      <c r="J98" s="181"/>
      <c r="K98" s="183">
        <f t="shared" ref="K98:K103" si="65">SUM(H98:J98)</f>
        <v>0</v>
      </c>
      <c r="L98" s="194"/>
      <c r="M98" s="194"/>
      <c r="N98" s="194"/>
      <c r="O98" s="184">
        <f t="shared" ref="O98:O103" si="66">sum(L98:N98)</f>
        <v>0</v>
      </c>
    </row>
    <row r="99">
      <c r="A99" s="7"/>
      <c r="B99" s="7"/>
      <c r="C99" s="180" t="s">
        <v>3761</v>
      </c>
      <c r="D99" s="191"/>
      <c r="E99" s="191"/>
      <c r="F99" s="191"/>
      <c r="G99" s="193">
        <f t="shared" si="64"/>
        <v>0</v>
      </c>
      <c r="H99" s="181"/>
      <c r="I99" s="181"/>
      <c r="J99" s="181"/>
      <c r="K99" s="183">
        <f t="shared" si="65"/>
        <v>0</v>
      </c>
      <c r="L99" s="194"/>
      <c r="M99" s="194"/>
      <c r="N99" s="194"/>
      <c r="O99" s="184">
        <f t="shared" si="66"/>
        <v>0</v>
      </c>
    </row>
    <row r="100">
      <c r="A100" s="7"/>
      <c r="B100" s="7"/>
      <c r="C100" s="180" t="s">
        <v>8707</v>
      </c>
      <c r="D100" s="191"/>
      <c r="E100" s="191"/>
      <c r="F100" s="191"/>
      <c r="G100" s="193">
        <f t="shared" si="64"/>
        <v>0</v>
      </c>
      <c r="H100" s="181"/>
      <c r="I100" s="181"/>
      <c r="J100" s="181"/>
      <c r="K100" s="183">
        <f t="shared" si="65"/>
        <v>0</v>
      </c>
      <c r="L100" s="194"/>
      <c r="M100" s="194"/>
      <c r="N100" s="194"/>
      <c r="O100" s="184">
        <f t="shared" si="66"/>
        <v>0</v>
      </c>
    </row>
    <row r="101">
      <c r="A101" s="7"/>
      <c r="B101" s="7"/>
      <c r="C101" s="180" t="s">
        <v>8760</v>
      </c>
      <c r="D101" s="191"/>
      <c r="E101" s="191"/>
      <c r="F101" s="191"/>
      <c r="G101" s="193">
        <f t="shared" si="64"/>
        <v>0</v>
      </c>
      <c r="H101" s="181"/>
      <c r="I101" s="181"/>
      <c r="J101" s="181"/>
      <c r="K101" s="183">
        <f t="shared" si="65"/>
        <v>0</v>
      </c>
      <c r="L101" s="194"/>
      <c r="M101" s="194"/>
      <c r="N101" s="194"/>
      <c r="O101" s="184">
        <f t="shared" si="66"/>
        <v>0</v>
      </c>
    </row>
    <row r="102">
      <c r="A102" s="7"/>
      <c r="B102" s="7"/>
      <c r="C102" s="180" t="s">
        <v>3804</v>
      </c>
      <c r="D102" s="191"/>
      <c r="E102" s="191"/>
      <c r="F102" s="191"/>
      <c r="G102" s="193">
        <f t="shared" si="64"/>
        <v>0</v>
      </c>
      <c r="H102" s="181"/>
      <c r="I102" s="181"/>
      <c r="J102" s="181"/>
      <c r="K102" s="183">
        <f t="shared" si="65"/>
        <v>0</v>
      </c>
      <c r="L102" s="194"/>
      <c r="M102" s="194"/>
      <c r="N102" s="194"/>
      <c r="O102" s="184">
        <f t="shared" si="66"/>
        <v>0</v>
      </c>
    </row>
    <row r="103">
      <c r="A103" s="20"/>
      <c r="B103" s="20"/>
      <c r="C103" s="180" t="s">
        <v>3672</v>
      </c>
      <c r="D103" s="191"/>
      <c r="E103" s="191"/>
      <c r="F103" s="191"/>
      <c r="G103" s="193">
        <f t="shared" si="64"/>
        <v>0</v>
      </c>
      <c r="H103" s="181"/>
      <c r="I103" s="181"/>
      <c r="J103" s="181"/>
      <c r="K103" s="183">
        <f t="shared" si="65"/>
        <v>0</v>
      </c>
      <c r="L103" s="194"/>
      <c r="M103" s="194"/>
      <c r="N103" s="194"/>
      <c r="O103" s="184">
        <f t="shared" si="66"/>
        <v>0</v>
      </c>
    </row>
    <row r="104">
      <c r="A104" s="185" t="s">
        <v>7242</v>
      </c>
      <c r="B104" s="4"/>
      <c r="C104" s="5"/>
      <c r="D104" s="176">
        <f t="shared" ref="D104:O104" si="67">sum(D98:D103)</f>
        <v>0</v>
      </c>
      <c r="E104" s="176">
        <f t="shared" si="67"/>
        <v>0</v>
      </c>
      <c r="F104" s="176">
        <f t="shared" si="67"/>
        <v>0</v>
      </c>
      <c r="G104" s="176">
        <f t="shared" si="67"/>
        <v>0</v>
      </c>
      <c r="H104" s="186">
        <f t="shared" si="67"/>
        <v>0</v>
      </c>
      <c r="I104" s="186">
        <f t="shared" si="67"/>
        <v>0</v>
      </c>
      <c r="J104" s="186">
        <f t="shared" si="67"/>
        <v>0</v>
      </c>
      <c r="K104" s="186">
        <f t="shared" si="67"/>
        <v>0</v>
      </c>
      <c r="L104" s="178">
        <f t="shared" si="67"/>
        <v>0</v>
      </c>
      <c r="M104" s="178">
        <f t="shared" si="67"/>
        <v>0</v>
      </c>
      <c r="N104" s="178">
        <f t="shared" si="67"/>
        <v>0</v>
      </c>
      <c r="O104" s="178">
        <f t="shared" si="67"/>
        <v>0</v>
      </c>
    </row>
    <row r="105">
      <c r="A105" s="179" t="s">
        <v>1418</v>
      </c>
      <c r="B105" s="179" t="s">
        <v>1420</v>
      </c>
      <c r="C105" s="180" t="s">
        <v>2197</v>
      </c>
      <c r="D105" s="191"/>
      <c r="E105" s="191"/>
      <c r="F105" s="191"/>
      <c r="G105" s="182">
        <f t="shared" ref="G105:G109" si="68">sum(D105:F105)</f>
        <v>0</v>
      </c>
      <c r="H105" s="181"/>
      <c r="I105" s="181"/>
      <c r="J105" s="181"/>
      <c r="K105" s="183">
        <f t="shared" ref="K105:K109" si="69">SUM(H105:J105)</f>
        <v>0</v>
      </c>
      <c r="L105" s="181"/>
      <c r="M105" s="181"/>
      <c r="N105" s="181"/>
      <c r="O105" s="184">
        <f t="shared" ref="O105:O109" si="70">SUM(L105:N105)</f>
        <v>0</v>
      </c>
    </row>
    <row r="106">
      <c r="A106" s="7"/>
      <c r="B106" s="7"/>
      <c r="C106" s="180" t="s">
        <v>2333</v>
      </c>
      <c r="D106" s="191"/>
      <c r="E106" s="191"/>
      <c r="F106" s="191"/>
      <c r="G106" s="182">
        <f t="shared" si="68"/>
        <v>0</v>
      </c>
      <c r="H106" s="181"/>
      <c r="I106" s="181"/>
      <c r="J106" s="181"/>
      <c r="K106" s="183">
        <f t="shared" si="69"/>
        <v>0</v>
      </c>
      <c r="L106" s="181"/>
      <c r="M106" s="181"/>
      <c r="N106" s="181"/>
      <c r="O106" s="184">
        <f t="shared" si="70"/>
        <v>0</v>
      </c>
    </row>
    <row r="107">
      <c r="A107" s="7"/>
      <c r="B107" s="7"/>
      <c r="C107" s="180" t="s">
        <v>2274</v>
      </c>
      <c r="D107" s="191"/>
      <c r="E107" s="191"/>
      <c r="F107" s="191"/>
      <c r="G107" s="182">
        <f t="shared" si="68"/>
        <v>0</v>
      </c>
      <c r="H107" s="181"/>
      <c r="I107" s="181"/>
      <c r="J107" s="181"/>
      <c r="K107" s="183">
        <f t="shared" si="69"/>
        <v>0</v>
      </c>
      <c r="L107" s="181"/>
      <c r="M107" s="181"/>
      <c r="N107" s="181"/>
      <c r="O107" s="184">
        <f t="shared" si="70"/>
        <v>0</v>
      </c>
    </row>
    <row r="108">
      <c r="A108" s="7"/>
      <c r="B108" s="7"/>
      <c r="C108" s="180" t="s">
        <v>8849</v>
      </c>
      <c r="D108" s="191"/>
      <c r="E108" s="191"/>
      <c r="F108" s="191"/>
      <c r="G108" s="182">
        <f t="shared" si="68"/>
        <v>0</v>
      </c>
      <c r="H108" s="181"/>
      <c r="I108" s="181"/>
      <c r="J108" s="181"/>
      <c r="K108" s="183">
        <f t="shared" si="69"/>
        <v>0</v>
      </c>
      <c r="L108" s="181"/>
      <c r="M108" s="181"/>
      <c r="N108" s="181"/>
      <c r="O108" s="184">
        <f t="shared" si="70"/>
        <v>0</v>
      </c>
    </row>
    <row r="109">
      <c r="A109" s="20"/>
      <c r="B109" s="20"/>
      <c r="C109" s="180" t="s">
        <v>2538</v>
      </c>
      <c r="D109" s="191"/>
      <c r="E109" s="191"/>
      <c r="F109" s="191"/>
      <c r="G109" s="182">
        <f t="shared" si="68"/>
        <v>0</v>
      </c>
      <c r="H109" s="181"/>
      <c r="I109" s="181"/>
      <c r="J109" s="181"/>
      <c r="K109" s="183">
        <f t="shared" si="69"/>
        <v>0</v>
      </c>
      <c r="L109" s="181"/>
      <c r="M109" s="181"/>
      <c r="N109" s="181"/>
      <c r="O109" s="184">
        <f t="shared" si="70"/>
        <v>0</v>
      </c>
    </row>
    <row r="110">
      <c r="A110" s="197" t="s">
        <v>7242</v>
      </c>
      <c r="B110" s="4"/>
      <c r="C110" s="5"/>
      <c r="D110" s="176">
        <f t="shared" ref="D110:O110" si="71">sum(D105:D109)</f>
        <v>0</v>
      </c>
      <c r="E110" s="176">
        <f t="shared" si="71"/>
        <v>0</v>
      </c>
      <c r="F110" s="176">
        <f t="shared" si="71"/>
        <v>0</v>
      </c>
      <c r="G110" s="176">
        <f t="shared" si="71"/>
        <v>0</v>
      </c>
      <c r="H110" s="186">
        <f t="shared" si="71"/>
        <v>0</v>
      </c>
      <c r="I110" s="186">
        <f t="shared" si="71"/>
        <v>0</v>
      </c>
      <c r="J110" s="186">
        <f t="shared" si="71"/>
        <v>0</v>
      </c>
      <c r="K110" s="186">
        <f t="shared" si="71"/>
        <v>0</v>
      </c>
      <c r="L110" s="178">
        <f t="shared" si="71"/>
        <v>0</v>
      </c>
      <c r="M110" s="178">
        <f t="shared" si="71"/>
        <v>0</v>
      </c>
      <c r="N110" s="178">
        <f t="shared" si="71"/>
        <v>0</v>
      </c>
      <c r="O110" s="178">
        <f t="shared" si="71"/>
        <v>0</v>
      </c>
    </row>
    <row r="111" ht="46.5" customHeight="1">
      <c r="A111" s="201" t="s">
        <v>4597</v>
      </c>
      <c r="B111" s="4"/>
      <c r="C111" s="5"/>
      <c r="D111" s="202">
        <f t="shared" ref="D111:F111" si="72">sum(D110,D104,D97,D92,D85,D79,D72,D66,D59,D54,D47,D40,D34,D28,D20,D14,D9)</f>
        <v>0</v>
      </c>
      <c r="E111" s="202">
        <f t="shared" si="72"/>
        <v>0</v>
      </c>
      <c r="F111" s="202">
        <f t="shared" si="72"/>
        <v>0</v>
      </c>
      <c r="G111" s="203">
        <f>sum(D111:F111)</f>
        <v>0</v>
      </c>
      <c r="H111" s="204">
        <f t="shared" ref="H111:J111" si="73">sum(H110,H104,H97,H92,H85,H79,H72,H66,H59,H54,H47,H40,H34,H28,H20,H14,H9)</f>
        <v>0</v>
      </c>
      <c r="I111" s="204">
        <f t="shared" si="73"/>
        <v>0</v>
      </c>
      <c r="J111" s="204">
        <f t="shared" si="73"/>
        <v>0</v>
      </c>
      <c r="K111" s="204">
        <f>SUM(H111:J111)</f>
        <v>0</v>
      </c>
      <c r="L111" s="206">
        <f t="shared" ref="L111:O111" si="74">sum(L110,L104,L97,L92,L85,L79,L72,L66,L59,L54,L47,L40,L34,L28,L20,L14,L9)</f>
        <v>0</v>
      </c>
      <c r="M111" s="206">
        <f t="shared" si="74"/>
        <v>0</v>
      </c>
      <c r="N111" s="206">
        <f t="shared" si="74"/>
        <v>0</v>
      </c>
      <c r="O111" s="206">
        <f t="shared" si="74"/>
        <v>0</v>
      </c>
    </row>
  </sheetData>
  <mergeCells count="62">
    <mergeCell ref="A60:A65"/>
    <mergeCell ref="B60:B65"/>
    <mergeCell ref="A66:C66"/>
    <mergeCell ref="A67:A71"/>
    <mergeCell ref="B67:B71"/>
    <mergeCell ref="A72:C72"/>
    <mergeCell ref="A73:A78"/>
    <mergeCell ref="A98:A103"/>
    <mergeCell ref="B98:B103"/>
    <mergeCell ref="A104:C104"/>
    <mergeCell ref="A105:A109"/>
    <mergeCell ref="B105:B109"/>
    <mergeCell ref="A110:C110"/>
    <mergeCell ref="A111:C111"/>
    <mergeCell ref="B73:B78"/>
    <mergeCell ref="A79:C79"/>
    <mergeCell ref="A80:A84"/>
    <mergeCell ref="B80:B84"/>
    <mergeCell ref="A85:C85"/>
    <mergeCell ref="B86:B91"/>
    <mergeCell ref="A92:C92"/>
    <mergeCell ref="H2:J3"/>
    <mergeCell ref="L2:N3"/>
    <mergeCell ref="B1:B4"/>
    <mergeCell ref="C1:C4"/>
    <mergeCell ref="D1:O1"/>
    <mergeCell ref="D2:F3"/>
    <mergeCell ref="G2:G4"/>
    <mergeCell ref="K2:K4"/>
    <mergeCell ref="O2:O4"/>
    <mergeCell ref="A1:A4"/>
    <mergeCell ref="A5:A8"/>
    <mergeCell ref="B5:B8"/>
    <mergeCell ref="A9:C9"/>
    <mergeCell ref="A10:A13"/>
    <mergeCell ref="B10:B13"/>
    <mergeCell ref="A14:C14"/>
    <mergeCell ref="A15:A19"/>
    <mergeCell ref="B15:B19"/>
    <mergeCell ref="A20:C20"/>
    <mergeCell ref="A21:A27"/>
    <mergeCell ref="B21:B27"/>
    <mergeCell ref="A28:C28"/>
    <mergeCell ref="A29:A33"/>
    <mergeCell ref="B29:B33"/>
    <mergeCell ref="A34:C34"/>
    <mergeCell ref="A35:A39"/>
    <mergeCell ref="B35:B39"/>
    <mergeCell ref="A40:C40"/>
    <mergeCell ref="B41:B46"/>
    <mergeCell ref="A47:C47"/>
    <mergeCell ref="A41:A46"/>
    <mergeCell ref="A48:A53"/>
    <mergeCell ref="B48:B53"/>
    <mergeCell ref="A54:C54"/>
    <mergeCell ref="A55:A58"/>
    <mergeCell ref="B55:B58"/>
    <mergeCell ref="A59:C59"/>
    <mergeCell ref="A86:A91"/>
    <mergeCell ref="A93:A96"/>
    <mergeCell ref="B93:B96"/>
    <mergeCell ref="A97:C97"/>
  </mergeCells>
  <printOptions/>
  <pageMargins bottom="0.75" footer="0.0" header="0.0" left="0.7" right="0.7" top="0.75"/>
  <pageSetup paperSize="9" orientation="landscape"/>
  <headerFooter>
    <oddHeader>&amp;LNumber of Regulated Hospitals as of Dec. 31, 2022</oddHeader>
  </headerFooter>
  <colBreaks count="2" manualBreakCount="2">
    <brk man="1"/>
    <brk id="15" man="1"/>
  </colBrea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0"/>
    <col customWidth="1" min="2" max="2" width="34.88"/>
    <col customWidth="1" min="3" max="14" width="11.75"/>
    <col hidden="1" min="15" max="26" width="12.63"/>
  </cols>
  <sheetData>
    <row r="1">
      <c r="A1" s="207" t="s">
        <v>15</v>
      </c>
      <c r="B1" s="207" t="s">
        <v>1</v>
      </c>
      <c r="C1" s="169" t="s">
        <v>9192</v>
      </c>
      <c r="D1" s="4"/>
      <c r="E1" s="4"/>
      <c r="F1" s="4"/>
      <c r="G1" s="4"/>
      <c r="H1" s="4"/>
      <c r="I1" s="4"/>
      <c r="J1" s="4"/>
      <c r="K1" s="4"/>
      <c r="L1" s="4"/>
      <c r="M1" s="4"/>
      <c r="N1" s="5"/>
    </row>
    <row r="2">
      <c r="A2" s="7"/>
      <c r="B2" s="7"/>
      <c r="C2" s="170" t="s">
        <v>3</v>
      </c>
      <c r="D2" s="9"/>
      <c r="E2" s="10"/>
      <c r="F2" s="171" t="s">
        <v>4</v>
      </c>
      <c r="G2" s="172" t="s">
        <v>5</v>
      </c>
      <c r="H2" s="9"/>
      <c r="I2" s="10"/>
      <c r="J2" s="173" t="s">
        <v>4</v>
      </c>
      <c r="K2" s="174" t="s">
        <v>6</v>
      </c>
      <c r="N2" s="175" t="s">
        <v>7</v>
      </c>
    </row>
    <row r="3">
      <c r="A3" s="7"/>
      <c r="B3" s="7"/>
      <c r="C3" s="17"/>
      <c r="D3" s="18"/>
      <c r="E3" s="19"/>
      <c r="F3" s="7"/>
      <c r="G3" s="17"/>
      <c r="H3" s="18"/>
      <c r="I3" s="19"/>
      <c r="J3" s="7"/>
      <c r="K3" s="17"/>
      <c r="L3" s="18"/>
      <c r="M3" s="18"/>
      <c r="N3" s="7"/>
    </row>
    <row r="4">
      <c r="A4" s="20"/>
      <c r="B4" s="20"/>
      <c r="C4" s="176" t="s">
        <v>8</v>
      </c>
      <c r="D4" s="176" t="s">
        <v>9</v>
      </c>
      <c r="E4" s="176" t="s">
        <v>10</v>
      </c>
      <c r="F4" s="20"/>
      <c r="G4" s="177" t="s">
        <v>8</v>
      </c>
      <c r="H4" s="177" t="s">
        <v>9</v>
      </c>
      <c r="I4" s="177" t="s">
        <v>10</v>
      </c>
      <c r="J4" s="20"/>
      <c r="K4" s="178" t="s">
        <v>8</v>
      </c>
      <c r="L4" s="178" t="s">
        <v>9</v>
      </c>
      <c r="M4" s="178" t="s">
        <v>10</v>
      </c>
      <c r="N4" s="20"/>
    </row>
    <row r="5" ht="33.75" customHeight="1">
      <c r="A5" s="209" t="s">
        <v>11</v>
      </c>
      <c r="B5" s="209" t="s">
        <v>12</v>
      </c>
      <c r="C5" s="181">
        <f>SUMIFS( Government!U:U, Government!C:C, "NCR",Government!K:K, "Level 1")</f>
        <v>16</v>
      </c>
      <c r="D5" s="181">
        <f>SUMIFS( Government!U:U, Government!C:C, "NCR",Government!K:K, "Level 2")</f>
        <v>22</v>
      </c>
      <c r="E5" s="181">
        <f>SUMIFS( Government!U:U, Government!C:C, "NCR",Government!K:K, "Level 3")</f>
        <v>420</v>
      </c>
      <c r="F5" s="182">
        <f t="shared" ref="F5:F23" si="2">sum(C5:E5)</f>
        <v>458</v>
      </c>
      <c r="G5" s="181">
        <f>SUMIFS( Private!U:U, Private!C:C, "NCR",Private!K:K, "Level 1")</f>
        <v>42</v>
      </c>
      <c r="H5" s="181">
        <f>SUMIFS( Private!U:U, Private!C:C, "NCR",Private!K:K, "Level 2")</f>
        <v>397</v>
      </c>
      <c r="I5" s="181">
        <f>SUMIFS( Private!U:U, Private!C:C, "NCR",Private!K:K, "Level 3")</f>
        <v>479</v>
      </c>
      <c r="J5" s="183">
        <f t="shared" ref="J5:J23" si="3">SUM(G5:I5)</f>
        <v>918</v>
      </c>
      <c r="K5" s="181">
        <f t="shared" ref="K5:M5" si="1">SUM(C5,G5)</f>
        <v>58</v>
      </c>
      <c r="L5" s="181">
        <f t="shared" si="1"/>
        <v>419</v>
      </c>
      <c r="M5" s="181">
        <f t="shared" si="1"/>
        <v>899</v>
      </c>
      <c r="N5" s="184">
        <f t="shared" ref="N5:N22" si="5">SUM(K5:M5)</f>
        <v>1376</v>
      </c>
    </row>
    <row r="6" ht="33.75" customHeight="1">
      <c r="A6" s="209" t="s">
        <v>52</v>
      </c>
      <c r="B6" s="209" t="s">
        <v>89</v>
      </c>
      <c r="C6" s="181">
        <f>SUMIFS( Government!U:U, Government!C:C, "Region 1",Government!K:K, "Level 1")</f>
        <v>37</v>
      </c>
      <c r="D6" s="181">
        <f>SUMIFS( Government!U:U, Government!C:C, "Region 1",Government!K:K, "Level 2")</f>
        <v>47</v>
      </c>
      <c r="E6" s="181">
        <f>SUMIFS( Government!U:U, Government!C:C, "Region 1",Government!K:K, "Level 3")</f>
        <v>37</v>
      </c>
      <c r="F6" s="182">
        <f t="shared" si="2"/>
        <v>121</v>
      </c>
      <c r="G6" s="181">
        <f>SUMIFS( Private!U:U, Private!C:C, "Region 1",Private!K:K, "Level 1")</f>
        <v>51</v>
      </c>
      <c r="H6" s="181">
        <f>SUMIFS( Private!U:U, Private!C:C, "Region 1",Private!K:K, "Level 2")</f>
        <v>214</v>
      </c>
      <c r="I6" s="181">
        <f>SUMIFS( Private!U:U, Private!C:C, "Region 1",Private!K:K, "Level 3")</f>
        <v>22</v>
      </c>
      <c r="J6" s="183">
        <f t="shared" si="3"/>
        <v>287</v>
      </c>
      <c r="K6" s="181">
        <f t="shared" ref="K6:M6" si="4">SUM(C6,G6)</f>
        <v>88</v>
      </c>
      <c r="L6" s="181">
        <f t="shared" si="4"/>
        <v>261</v>
      </c>
      <c r="M6" s="181">
        <f t="shared" si="4"/>
        <v>59</v>
      </c>
      <c r="N6" s="184">
        <f t="shared" si="5"/>
        <v>408</v>
      </c>
    </row>
    <row r="7" ht="33.75" customHeight="1">
      <c r="A7" s="209" t="s">
        <v>188</v>
      </c>
      <c r="B7" s="209" t="s">
        <v>189</v>
      </c>
      <c r="C7" s="181">
        <f>SUMIFS( Government!U:U, Government!C:C, "Region 2",Government!K:K, "Level 1")</f>
        <v>65</v>
      </c>
      <c r="D7" s="181">
        <f>SUMIFS( Government!U:U, Government!C:C, "Region 2",Government!K:K, "Level 2")</f>
        <v>10</v>
      </c>
      <c r="E7" s="181">
        <f>SUMIFS( Government!U:U, Government!C:C, "Region 2",Government!K:K, "Level 3")</f>
        <v>37</v>
      </c>
      <c r="F7" s="182">
        <f t="shared" si="2"/>
        <v>112</v>
      </c>
      <c r="G7" s="181">
        <f>SUMIFS( Private!U:U, Private!C:C, "Region 2",Private!K:K, "Level 1")</f>
        <v>85</v>
      </c>
      <c r="H7" s="181">
        <f>SUMIFS( Private!U:U, Private!C:C, "Region 2",Private!K:K, "Level 2")</f>
        <v>138</v>
      </c>
      <c r="I7" s="181">
        <f>SUMIFS( Private!U:U, Private!C:C, "Region 2",Private!K:K, "Level 3")</f>
        <v>0</v>
      </c>
      <c r="J7" s="183">
        <f t="shared" si="3"/>
        <v>223</v>
      </c>
      <c r="K7" s="181">
        <f t="shared" ref="K7:M7" si="6">SUM(C7,G7)</f>
        <v>150</v>
      </c>
      <c r="L7" s="181">
        <f t="shared" si="6"/>
        <v>148</v>
      </c>
      <c r="M7" s="181">
        <f t="shared" si="6"/>
        <v>37</v>
      </c>
      <c r="N7" s="184">
        <f t="shared" si="5"/>
        <v>335</v>
      </c>
    </row>
    <row r="8" ht="33.75" customHeight="1">
      <c r="A8" s="209" t="s">
        <v>265</v>
      </c>
      <c r="B8" s="209" t="s">
        <v>268</v>
      </c>
      <c r="C8" s="181">
        <f>SUMIFS( Government!U:U, Government!C:C, "Region 3",Government!K:K, "Level 1")</f>
        <v>111</v>
      </c>
      <c r="D8" s="181">
        <f>SUMIFS( Government!U:U, Government!C:C, "Region 3",Government!K:K, "Level 2")</f>
        <v>5</v>
      </c>
      <c r="E8" s="181">
        <f>SUMIFS( Government!U:U, Government!C:C, "Region 3",Government!K:K, "Level 3")</f>
        <v>161</v>
      </c>
      <c r="F8" s="182">
        <f t="shared" si="2"/>
        <v>277</v>
      </c>
      <c r="G8" s="181">
        <f>SUMIFS( Private!U:U, Private!C:C, "Region 3",Private!K:K, "Level 1")</f>
        <v>259</v>
      </c>
      <c r="H8" s="181">
        <f>SUMIFS( Private!U:U, Private!C:C, "Region 3",Private!K:K, "Level 2")</f>
        <v>776</v>
      </c>
      <c r="I8" s="181">
        <f>SUMIFS( Private!U:U, Private!C:C, "Region 3",Private!K:K, "Level 3")</f>
        <v>106</v>
      </c>
      <c r="J8" s="183">
        <f t="shared" si="3"/>
        <v>1141</v>
      </c>
      <c r="K8" s="181">
        <f t="shared" ref="K8:M8" si="7">SUM(C8,G8)</f>
        <v>370</v>
      </c>
      <c r="L8" s="181">
        <f t="shared" si="7"/>
        <v>781</v>
      </c>
      <c r="M8" s="181">
        <f t="shared" si="7"/>
        <v>267</v>
      </c>
      <c r="N8" s="184">
        <f t="shared" si="5"/>
        <v>1418</v>
      </c>
    </row>
    <row r="9" ht="33.75" customHeight="1">
      <c r="A9" s="209" t="s">
        <v>351</v>
      </c>
      <c r="B9" s="209" t="s">
        <v>353</v>
      </c>
      <c r="C9" s="181">
        <f>SUMIFS( Government!U:U, Government!C:C, "Region 4-A",Government!K:K, "Level 1")</f>
        <v>142</v>
      </c>
      <c r="D9" s="181">
        <f>SUMIFS( Government!U:U, Government!C:C, "Region 4-A",Government!K:K, "Level 2")</f>
        <v>17</v>
      </c>
      <c r="E9" s="181">
        <f>SUMIFS( Government!U:U, Government!C:C, "Region 4-a",Government!K:K, "Level 3")</f>
        <v>36</v>
      </c>
      <c r="F9" s="182">
        <f t="shared" si="2"/>
        <v>195</v>
      </c>
      <c r="G9" s="181">
        <f>SUMIFS( Private!U:U, Private!C:C, "Region 4-A",Private!K:K, "Level 1")</f>
        <v>225</v>
      </c>
      <c r="H9" s="181">
        <f>SUMIFS( Private!U:U, Private!C:C, "Region 4-A",Private!K:K, "Level 2")</f>
        <v>1152</v>
      </c>
      <c r="I9" s="181">
        <f>SUMIFS( Private!U:U, Private!C:C, "Region 4-A",Private!K:K, "Level 3")</f>
        <v>91</v>
      </c>
      <c r="J9" s="183">
        <f t="shared" si="3"/>
        <v>1468</v>
      </c>
      <c r="K9" s="181">
        <f t="shared" ref="K9:M9" si="8">SUM(C9,G9)</f>
        <v>367</v>
      </c>
      <c r="L9" s="181">
        <f t="shared" si="8"/>
        <v>1169</v>
      </c>
      <c r="M9" s="181">
        <f t="shared" si="8"/>
        <v>127</v>
      </c>
      <c r="N9" s="184">
        <f t="shared" si="5"/>
        <v>1663</v>
      </c>
    </row>
    <row r="10" ht="33.75" customHeight="1">
      <c r="A10" s="209" t="s">
        <v>422</v>
      </c>
      <c r="B10" s="209" t="s">
        <v>423</v>
      </c>
      <c r="C10" s="181">
        <f>SUMIFS( Government!U:U, Government!C:C, "Region 4-b",Government!K:K, "Level 1")</f>
        <v>32</v>
      </c>
      <c r="D10" s="181">
        <f>SUMIFS( Government!U:U, Government!C:C, "Region 4-b",Government!K:K, "Level 2")</f>
        <v>25</v>
      </c>
      <c r="E10" s="181">
        <f>SUMIFS( Government!U:U, Government!C:C, "Region 4-b",Government!K:K, "Level 3")</f>
        <v>0</v>
      </c>
      <c r="F10" s="182">
        <f t="shared" si="2"/>
        <v>57</v>
      </c>
      <c r="G10" s="181">
        <f>SUMIFS( Private!U:U, Private!C:C, "Region 4-B",Private!K:K, "Level 1")</f>
        <v>18</v>
      </c>
      <c r="H10" s="181">
        <f>SUMIFS( Private!U:U, Private!C:C, "Region 4-B",Private!K:K, "Level 2")</f>
        <v>36</v>
      </c>
      <c r="I10" s="181">
        <f>SUMIFS( Private!U:U, Private!C:C, "Region 4-B",Private!K:K, "Level 3")</f>
        <v>0</v>
      </c>
      <c r="J10" s="183">
        <f t="shared" si="3"/>
        <v>54</v>
      </c>
      <c r="K10" s="181">
        <f t="shared" ref="K10:M10" si="9">SUM(C10,G10)</f>
        <v>50</v>
      </c>
      <c r="L10" s="181">
        <f t="shared" si="9"/>
        <v>61</v>
      </c>
      <c r="M10" s="181">
        <f t="shared" si="9"/>
        <v>0</v>
      </c>
      <c r="N10" s="184">
        <f t="shared" si="5"/>
        <v>111</v>
      </c>
    </row>
    <row r="11" ht="33.75" customHeight="1">
      <c r="A11" s="209" t="s">
        <v>509</v>
      </c>
      <c r="B11" s="209" t="s">
        <v>511</v>
      </c>
      <c r="C11" s="181">
        <f>SUMIFS( Government!U:U, Government!C:C, "Region 5",Government!K:K, "Level 1")</f>
        <v>21</v>
      </c>
      <c r="D11" s="181">
        <f>SUMIFS( Government!U:U, Government!C:C, "Region 5",Government!K:K, "Level 2")</f>
        <v>34</v>
      </c>
      <c r="E11" s="181">
        <f>SUMIFS( Government!U:U, Government!C:C, "Region 5",Government!K:K, "Level 3")</f>
        <v>39</v>
      </c>
      <c r="F11" s="182">
        <f t="shared" si="2"/>
        <v>94</v>
      </c>
      <c r="G11" s="181">
        <f>SUMIFS( Private!U:U, Private!C:C, "Region 5",Private!K:K, "Level 1")</f>
        <v>84</v>
      </c>
      <c r="H11" s="181">
        <f>SUMIFS( Private!U:U, Private!C:C, "Region 5",Private!K:K, "Level 2")</f>
        <v>112</v>
      </c>
      <c r="I11" s="181">
        <f>SUMIFS( Private!U:U, Private!C:C, "Region 5",Private!K:K, "Level 3")</f>
        <v>10</v>
      </c>
      <c r="J11" s="183">
        <f t="shared" si="3"/>
        <v>206</v>
      </c>
      <c r="K11" s="181">
        <f t="shared" ref="K11:M11" si="10">SUM(C11,G11)</f>
        <v>105</v>
      </c>
      <c r="L11" s="181">
        <f t="shared" si="10"/>
        <v>146</v>
      </c>
      <c r="M11" s="181">
        <f t="shared" si="10"/>
        <v>49</v>
      </c>
      <c r="N11" s="184">
        <f t="shared" si="5"/>
        <v>300</v>
      </c>
    </row>
    <row r="12" ht="33.75" customHeight="1">
      <c r="A12" s="209" t="s">
        <v>581</v>
      </c>
      <c r="B12" s="209" t="s">
        <v>587</v>
      </c>
      <c r="C12" s="181">
        <f>SUMIFS( Government!U:U, Government!C:C, "Region 6",Government!K:K, "Level 1")</f>
        <v>22</v>
      </c>
      <c r="D12" s="181">
        <f>SUMIFS( Government!U:U, Government!C:C, "Region 6",Government!K:K, "Level 2")</f>
        <v>44</v>
      </c>
      <c r="E12" s="181">
        <f>SUMIFS( Government!U:U, Government!C:C, "Region 6",Government!K:K, "Level 3")</f>
        <v>76</v>
      </c>
      <c r="F12" s="182">
        <f t="shared" si="2"/>
        <v>142</v>
      </c>
      <c r="G12" s="181">
        <f>SUMIFS( Private!U:U, Private!C:C, "Region 6",Private!K:K, "Level 1")</f>
        <v>0</v>
      </c>
      <c r="H12" s="181">
        <f>SUMIFS( Private!U:U, Private!C:C, "Region 6",Private!K:K, "Level 2")</f>
        <v>125</v>
      </c>
      <c r="I12" s="181">
        <f>SUMIFS( Private!U:U, Private!C:C, "Region 6",Private!K:K, "Level 3")</f>
        <v>32</v>
      </c>
      <c r="J12" s="183">
        <f t="shared" si="3"/>
        <v>157</v>
      </c>
      <c r="K12" s="181">
        <f t="shared" ref="K12:M12" si="11">SUM(C12,G12)</f>
        <v>22</v>
      </c>
      <c r="L12" s="181">
        <f t="shared" si="11"/>
        <v>169</v>
      </c>
      <c r="M12" s="181">
        <f t="shared" si="11"/>
        <v>108</v>
      </c>
      <c r="N12" s="184">
        <f t="shared" si="5"/>
        <v>299</v>
      </c>
    </row>
    <row r="13" ht="33.75" customHeight="1">
      <c r="A13" s="209" t="s">
        <v>682</v>
      </c>
      <c r="B13" s="209" t="s">
        <v>684</v>
      </c>
      <c r="C13" s="181">
        <f>SUMIFS( Government!U:U, Government!C:C, "Region 7",Government!K:K, "Level 1")</f>
        <v>52</v>
      </c>
      <c r="D13" s="181">
        <f>SUMIFS( Government!U:U, Government!C:C, "Region 7",Government!K:K, "Level 2")</f>
        <v>52</v>
      </c>
      <c r="E13" s="181">
        <f>SUMIFS( Government!U:U, Government!C:C, "Region 7",Government!K:K, "Level 3")</f>
        <v>44</v>
      </c>
      <c r="F13" s="182">
        <f t="shared" si="2"/>
        <v>148</v>
      </c>
      <c r="G13" s="181">
        <f>SUMIFS( Private!U:U, Private!C:C, "Region 7",Private!K:K, "Level 1")</f>
        <v>30</v>
      </c>
      <c r="H13" s="181">
        <f>SUMIFS( Private!U:U, Private!C:C, "Region 7",Private!K:K, "Level 2")</f>
        <v>213</v>
      </c>
      <c r="I13" s="181">
        <f>SUMIFS( Private!U:U, Private!C:C, "Region 7",Private!K:K, "Level 3")</f>
        <v>214</v>
      </c>
      <c r="J13" s="183">
        <f t="shared" si="3"/>
        <v>457</v>
      </c>
      <c r="K13" s="181">
        <f t="shared" ref="K13:M13" si="12">SUM(C13,G13)</f>
        <v>82</v>
      </c>
      <c r="L13" s="181">
        <f t="shared" si="12"/>
        <v>265</v>
      </c>
      <c r="M13" s="181">
        <f t="shared" si="12"/>
        <v>258</v>
      </c>
      <c r="N13" s="184">
        <f t="shared" si="5"/>
        <v>605</v>
      </c>
    </row>
    <row r="14" ht="33.75" customHeight="1">
      <c r="A14" s="209" t="s">
        <v>764</v>
      </c>
      <c r="B14" s="209" t="s">
        <v>765</v>
      </c>
      <c r="C14" s="181">
        <f>SUMIFS( Government!U:U, Government!C:C, "Region 8",Government!K:K, "Level 1")</f>
        <v>44</v>
      </c>
      <c r="D14" s="181">
        <f>SUMIFS( Government!U:U, Government!C:C, "Region 8",Government!K:K, "Level 2")</f>
        <v>11</v>
      </c>
      <c r="E14" s="181">
        <f>SUMIFS( Government!U:U, Government!C:C, "Region 8",Government!K:K, "Level 3")</f>
        <v>30</v>
      </c>
      <c r="F14" s="182">
        <f t="shared" si="2"/>
        <v>85</v>
      </c>
      <c r="G14" s="181">
        <f>SUMIFS( Private!U:U, Private!C:C, "Region 8",Private!K:K, "Level 1")</f>
        <v>93</v>
      </c>
      <c r="H14" s="181">
        <f>SUMIFS( Private!U:U, Private!C:C, "Region 8",Private!K:K, "Level 2")</f>
        <v>79</v>
      </c>
      <c r="I14" s="181">
        <f>SUMIFS( Private!U:U, Private!C:C, "Region 8",Private!K:K, "Level 3")</f>
        <v>13</v>
      </c>
      <c r="J14" s="183">
        <f t="shared" si="3"/>
        <v>185</v>
      </c>
      <c r="K14" s="181">
        <f t="shared" ref="K14:M14" si="13">SUM(C14,G14)</f>
        <v>137</v>
      </c>
      <c r="L14" s="181">
        <f t="shared" si="13"/>
        <v>90</v>
      </c>
      <c r="M14" s="181">
        <f t="shared" si="13"/>
        <v>43</v>
      </c>
      <c r="N14" s="184">
        <f t="shared" si="5"/>
        <v>270</v>
      </c>
    </row>
    <row r="15" ht="33.75" customHeight="1">
      <c r="A15" s="209" t="s">
        <v>808</v>
      </c>
      <c r="B15" s="209" t="s">
        <v>809</v>
      </c>
      <c r="C15" s="181">
        <f>SUMIFS( Government!U:U, Government!C:C, "Region 9",Government!K:K, "Level 1")</f>
        <v>10</v>
      </c>
      <c r="D15" s="181">
        <f>SUMIFS( Government!U:U, Government!C:C, "Region 9",Government!K:K, "Level 2")</f>
        <v>59</v>
      </c>
      <c r="E15" s="181">
        <f>SUMIFS( Government!U:U, Government!C:C, "Region 9",Government!K:K, "Level 3")</f>
        <v>30</v>
      </c>
      <c r="F15" s="182">
        <f t="shared" si="2"/>
        <v>99</v>
      </c>
      <c r="G15" s="181">
        <f>SUMIFS( Private!U:U, Private!C:C, "Region 9",Private!K:K, "Level 1")</f>
        <v>7</v>
      </c>
      <c r="H15" s="181">
        <f>SUMIFS( Private!U:U, Private!C:C, "Region 9",Private!K:K, "Level 2")</f>
        <v>75</v>
      </c>
      <c r="I15" s="181">
        <f>SUMIFS( Private!U:U, Private!C:C, "Region 9",Private!K:K, "Level 3")</f>
        <v>0</v>
      </c>
      <c r="J15" s="183">
        <f t="shared" si="3"/>
        <v>82</v>
      </c>
      <c r="K15" s="181">
        <f t="shared" ref="K15:M15" si="14">SUM(C15,G15)</f>
        <v>17</v>
      </c>
      <c r="L15" s="181">
        <f t="shared" si="14"/>
        <v>134</v>
      </c>
      <c r="M15" s="181">
        <f t="shared" si="14"/>
        <v>30</v>
      </c>
      <c r="N15" s="184">
        <f t="shared" si="5"/>
        <v>181</v>
      </c>
    </row>
    <row r="16" ht="33.75" customHeight="1">
      <c r="A16" s="209" t="s">
        <v>887</v>
      </c>
      <c r="B16" s="209" t="s">
        <v>890</v>
      </c>
      <c r="C16" s="181">
        <f>SUMIFS( Government!U:U, Government!C:C, "Region 10",Government!K:K, "Level 1")</f>
        <v>34</v>
      </c>
      <c r="D16" s="181">
        <f>SUMIFS( Government!U:U, Government!C:C, "Region 10",Government!K:K, "Level 2")</f>
        <v>54</v>
      </c>
      <c r="E16" s="181">
        <f>SUMIFS( Government!U:U, Government!C:C, "Region 10",Government!K:K, "Level 3")</f>
        <v>76</v>
      </c>
      <c r="F16" s="182">
        <f t="shared" si="2"/>
        <v>164</v>
      </c>
      <c r="G16" s="181">
        <f>SUMIFS( Private!U:U, Private!C:C, "Region 10",Private!K:K, "Level 1")</f>
        <v>63</v>
      </c>
      <c r="H16" s="181">
        <f>SUMIFS( Private!U:U, Private!C:C, "Region 10",Private!K:K, "Level 2")</f>
        <v>302</v>
      </c>
      <c r="I16" s="181">
        <f>SUMIFS( Private!U:U, Private!C:C, "Region 10",Private!K:K, "Level 3")</f>
        <v>10</v>
      </c>
      <c r="J16" s="183">
        <f t="shared" si="3"/>
        <v>375</v>
      </c>
      <c r="K16" s="181">
        <f t="shared" ref="K16:M16" si="15">SUM(C16,G16)</f>
        <v>97</v>
      </c>
      <c r="L16" s="181">
        <f t="shared" si="15"/>
        <v>356</v>
      </c>
      <c r="M16" s="181">
        <f t="shared" si="15"/>
        <v>86</v>
      </c>
      <c r="N16" s="184">
        <f t="shared" si="5"/>
        <v>539</v>
      </c>
    </row>
    <row r="17" ht="33.75" customHeight="1">
      <c r="A17" s="209" t="s">
        <v>949</v>
      </c>
      <c r="B17" s="209" t="s">
        <v>951</v>
      </c>
      <c r="C17" s="181">
        <f>SUMIFS( Government!U:U, Government!C:C, "Region 11",Government!K:K, "Level 1")</f>
        <v>0</v>
      </c>
      <c r="D17" s="181">
        <f>SUMIFS( Government!U:U, Government!C:C, "Region 11",Government!K:K, "Level 2")</f>
        <v>0</v>
      </c>
      <c r="E17" s="181">
        <f>SUMIFS( Government!U:U, Government!C:C, "Region 11",Government!K:K, "Level 3")</f>
        <v>109</v>
      </c>
      <c r="F17" s="182">
        <f t="shared" si="2"/>
        <v>109</v>
      </c>
      <c r="G17" s="181">
        <f>SUMIFS( Private!U:U, Private!C:C, "Region 11",Private!K:K, "Level 1")</f>
        <v>28</v>
      </c>
      <c r="H17" s="181">
        <f>SUMIFS( Private!U:U, Private!C:C, "Region 11",Private!K:K, "Level 2")</f>
        <v>134</v>
      </c>
      <c r="I17" s="181">
        <f>SUMIFS( Private!U:U, Private!C:C, "Region 11",Private!K:K, "Level 3")</f>
        <v>66</v>
      </c>
      <c r="J17" s="183">
        <f t="shared" si="3"/>
        <v>228</v>
      </c>
      <c r="K17" s="181">
        <f t="shared" ref="K17:M17" si="16">SUM(C17,G17)</f>
        <v>28</v>
      </c>
      <c r="L17" s="181">
        <f t="shared" si="16"/>
        <v>134</v>
      </c>
      <c r="M17" s="181">
        <f t="shared" si="16"/>
        <v>175</v>
      </c>
      <c r="N17" s="184">
        <f t="shared" si="5"/>
        <v>337</v>
      </c>
    </row>
    <row r="18" ht="33.75" customHeight="1">
      <c r="A18" s="209" t="s">
        <v>1026</v>
      </c>
      <c r="B18" s="209" t="s">
        <v>1028</v>
      </c>
      <c r="C18" s="181">
        <f>SUMIFS( Government!U:U, Government!C:C, "Region 12",Government!K:K, "Level 1")</f>
        <v>17</v>
      </c>
      <c r="D18" s="181">
        <f>SUMIFS( Government!U:U, Government!C:C, "Region 12",Government!K:K, "Level 2")</f>
        <v>62</v>
      </c>
      <c r="E18" s="181">
        <f>SUMIFS( Government!U:U, Government!C:C, "Region 12",Government!K:K, "Level 3")</f>
        <v>21</v>
      </c>
      <c r="F18" s="182">
        <f t="shared" si="2"/>
        <v>100</v>
      </c>
      <c r="G18" s="181">
        <f>SUMIFS( Private!U:U, Private!C:C, "Region 12",Private!K:K, "Level 1")</f>
        <v>97</v>
      </c>
      <c r="H18" s="181">
        <f>SUMIFS( Private!U:U, Private!C:C, "Region 12",Private!K:K, "Level 2")</f>
        <v>298</v>
      </c>
      <c r="I18" s="181">
        <f>SUMIFS( Private!U:U, Private!C:C, "Region 12",Private!K:K, "Level 3")</f>
        <v>42</v>
      </c>
      <c r="J18" s="183">
        <f t="shared" si="3"/>
        <v>437</v>
      </c>
      <c r="K18" s="181">
        <f t="shared" ref="K18:M18" si="17">SUM(C18,G18)</f>
        <v>114</v>
      </c>
      <c r="L18" s="181">
        <f t="shared" si="17"/>
        <v>360</v>
      </c>
      <c r="M18" s="181">
        <f t="shared" si="17"/>
        <v>63</v>
      </c>
      <c r="N18" s="184">
        <f t="shared" si="5"/>
        <v>537</v>
      </c>
    </row>
    <row r="19" ht="33.75" customHeight="1">
      <c r="A19" s="209" t="s">
        <v>1098</v>
      </c>
      <c r="B19" s="209" t="s">
        <v>1099</v>
      </c>
      <c r="C19" s="181">
        <f>SUMIFS( Government!U:U, Government!C:C, "Region 13",Government!K:K, "Level 1")</f>
        <v>0</v>
      </c>
      <c r="D19" s="181">
        <f>SUMIFS( Government!U:U, Government!C:C, "Region 13",Government!K:K, "Level 2")</f>
        <v>11</v>
      </c>
      <c r="E19" s="181">
        <f>SUMIFS( Government!U:U, Government!C:C, "Region 13",Government!K:K, "Level 3")</f>
        <v>12</v>
      </c>
      <c r="F19" s="182">
        <f t="shared" si="2"/>
        <v>23</v>
      </c>
      <c r="G19" s="181">
        <f>SUMIFS( Private!U:U, Private!C:C, "Region 13",Private!K:K, "Level 1")</f>
        <v>31</v>
      </c>
      <c r="H19" s="181">
        <f>SUMIFS( Private!U:U, Private!C:C, "Region 13",Private!K:K, "Level 2")</f>
        <v>79</v>
      </c>
      <c r="I19" s="181">
        <f>SUMIFS( Private!U:U, Private!C:C, "Region 13",Private!K:K, "Level 3")</f>
        <v>0</v>
      </c>
      <c r="J19" s="183">
        <f t="shared" si="3"/>
        <v>110</v>
      </c>
      <c r="K19" s="181">
        <f t="shared" ref="K19:M19" si="18">SUM(C19,G19)</f>
        <v>31</v>
      </c>
      <c r="L19" s="181">
        <f t="shared" si="18"/>
        <v>90</v>
      </c>
      <c r="M19" s="181">
        <f t="shared" si="18"/>
        <v>12</v>
      </c>
      <c r="N19" s="184">
        <f t="shared" si="5"/>
        <v>133</v>
      </c>
    </row>
    <row r="20" ht="33.75" customHeight="1">
      <c r="A20" s="180" t="s">
        <v>1215</v>
      </c>
      <c r="B20" s="180" t="s">
        <v>1229</v>
      </c>
      <c r="C20" s="181">
        <f>SUMIFS( Government!U:U, Government!C:C, "NIR",Government!K:K, "Level 1")</f>
        <v>24</v>
      </c>
      <c r="D20" s="181">
        <f>SUMIFS( Government!U:U, Government!C:C, "NIR",Government!K:K, "Level 2")</f>
        <v>26</v>
      </c>
      <c r="E20" s="181">
        <f>SUMIFS( Government!U:U, Government!C:C, "NIR",Government!K:K, "Level 3")</f>
        <v>6</v>
      </c>
      <c r="F20" s="182">
        <f t="shared" si="2"/>
        <v>56</v>
      </c>
      <c r="G20" s="181">
        <f>SUMIFS( Private!U:U, Private!C:C, "NIR",Private!K:K, "Level 1")</f>
        <v>21</v>
      </c>
      <c r="H20" s="181">
        <f>SUMIFS( Private!U:U, Private!C:C, "NIR",Private!K:K, "Level 2")</f>
        <v>135</v>
      </c>
      <c r="I20" s="181">
        <f>SUMIFS( Private!U:U, Private!C:C, "NIR",Private!K:K, "Level 3")</f>
        <v>122</v>
      </c>
      <c r="J20" s="183">
        <f t="shared" si="3"/>
        <v>278</v>
      </c>
      <c r="K20" s="181">
        <f t="shared" ref="K20:M20" si="19">SUM(C20,G20)</f>
        <v>45</v>
      </c>
      <c r="L20" s="181">
        <f t="shared" si="19"/>
        <v>161</v>
      </c>
      <c r="M20" s="181">
        <f t="shared" si="19"/>
        <v>128</v>
      </c>
      <c r="N20" s="184">
        <f t="shared" si="5"/>
        <v>334</v>
      </c>
    </row>
    <row r="21" ht="33.75" customHeight="1">
      <c r="A21" s="209" t="s">
        <v>1323</v>
      </c>
      <c r="B21" s="209" t="s">
        <v>4380</v>
      </c>
      <c r="C21" s="181">
        <f>SUMIFS( Government!U:U, Government!C:C, "Cordillera",Government!K:K, "Level 1")</f>
        <v>17</v>
      </c>
      <c r="D21" s="181">
        <f>SUMIFS( Government!U:U, Government!C:C, "Cordillera",Government!K:K, "Level 2")</f>
        <v>53</v>
      </c>
      <c r="E21" s="181">
        <f>SUMIFS( Government!U:U, Government!C:C, "Cordillera",Government!K:K, "Level 3")</f>
        <v>30</v>
      </c>
      <c r="F21" s="182">
        <f t="shared" si="2"/>
        <v>100</v>
      </c>
      <c r="G21" s="181">
        <f>SUMIFS( Private!U:U, Private!C:C, "Cordillera",Private!K:K, "Level 1")</f>
        <v>32</v>
      </c>
      <c r="H21" s="181">
        <f>SUMIFS( Private!U:U, Private!C:C, "Cordillera",Private!K:K, "Level 2")</f>
        <v>54</v>
      </c>
      <c r="I21" s="181">
        <f>SUMIFS( Private!U:U, Private!C:C, "Cordillera",Private!K:K, "Level 3")</f>
        <v>7</v>
      </c>
      <c r="J21" s="183">
        <f t="shared" si="3"/>
        <v>93</v>
      </c>
      <c r="K21" s="181">
        <f t="shared" ref="K21:M21" si="20">SUM(C21,G21)</f>
        <v>49</v>
      </c>
      <c r="L21" s="181">
        <f t="shared" si="20"/>
        <v>107</v>
      </c>
      <c r="M21" s="181">
        <f t="shared" si="20"/>
        <v>37</v>
      </c>
      <c r="N21" s="184">
        <f t="shared" si="5"/>
        <v>193</v>
      </c>
    </row>
    <row r="22" ht="33.75" customHeight="1">
      <c r="A22" s="209" t="s">
        <v>1418</v>
      </c>
      <c r="B22" s="209" t="s">
        <v>1420</v>
      </c>
      <c r="C22" s="181">
        <f>SUMIFS( Government!U:U, Government!C:C, "BARMM",Government!K:K, "Level 1")</f>
        <v>0</v>
      </c>
      <c r="D22" s="181">
        <f>SUMIFS( Government!U:U, Government!C:C, "BARMM",Government!K:K, "Level 2")</f>
        <v>10</v>
      </c>
      <c r="E22" s="181">
        <f>SUMIFS( Government!U:U, Government!C:C, "BARMM",Government!K:K, "Level 3")</f>
        <v>0</v>
      </c>
      <c r="F22" s="182">
        <f t="shared" si="2"/>
        <v>10</v>
      </c>
      <c r="G22" s="181">
        <f>SUMIFS( Private!U:U, Private!C:C, "BARMM",Private!K:K, "Level 1")</f>
        <v>34</v>
      </c>
      <c r="H22" s="181">
        <f>SUMIFS( Private!U:U, Private!C:C, "BARMM",Private!K:K, "Level 2")</f>
        <v>0</v>
      </c>
      <c r="I22" s="181">
        <f>SUMIFS( Private!U:U, Private!C:C, "BARMM",Private!K:K, "Level 3")</f>
        <v>0</v>
      </c>
      <c r="J22" s="183">
        <f t="shared" si="3"/>
        <v>34</v>
      </c>
      <c r="K22" s="181">
        <f t="shared" ref="K22:M22" si="21">SUM(C22,G22)</f>
        <v>34</v>
      </c>
      <c r="L22" s="181">
        <f t="shared" si="21"/>
        <v>10</v>
      </c>
      <c r="M22" s="181">
        <f t="shared" si="21"/>
        <v>0</v>
      </c>
      <c r="N22" s="184">
        <f t="shared" si="5"/>
        <v>44</v>
      </c>
    </row>
    <row r="23" ht="33.75" customHeight="1">
      <c r="A23" s="212" t="s">
        <v>1504</v>
      </c>
      <c r="B23" s="5"/>
      <c r="C23" s="213">
        <f t="shared" ref="C23:E23" si="22">sum(C5:C22)</f>
        <v>644</v>
      </c>
      <c r="D23" s="213">
        <f t="shared" si="22"/>
        <v>542</v>
      </c>
      <c r="E23" s="213">
        <f t="shared" si="22"/>
        <v>1164</v>
      </c>
      <c r="F23" s="214">
        <f t="shared" si="2"/>
        <v>2350</v>
      </c>
      <c r="G23" s="215">
        <f t="shared" ref="G23:I23" si="23">SUM(G5:G22)</f>
        <v>1200</v>
      </c>
      <c r="H23" s="215">
        <f t="shared" si="23"/>
        <v>4319</v>
      </c>
      <c r="I23" s="215">
        <f t="shared" si="23"/>
        <v>1214</v>
      </c>
      <c r="J23" s="216">
        <f t="shared" si="3"/>
        <v>6733</v>
      </c>
      <c r="K23" s="217">
        <f t="shared" ref="K23:N23" si="24">SUM(K5:K22)</f>
        <v>1844</v>
      </c>
      <c r="L23" s="217">
        <f t="shared" si="24"/>
        <v>4861</v>
      </c>
      <c r="M23" s="217">
        <f t="shared" si="24"/>
        <v>2378</v>
      </c>
      <c r="N23" s="221">
        <f t="shared" si="24"/>
        <v>9083</v>
      </c>
    </row>
    <row r="24" ht="15.75" hidden="1" customHeight="1">
      <c r="A24" s="89"/>
      <c r="B24" s="89"/>
      <c r="C24" s="223"/>
      <c r="D24" s="223"/>
      <c r="E24" s="223"/>
      <c r="F24" s="223"/>
      <c r="G24" s="223"/>
      <c r="H24" s="223"/>
      <c r="I24" s="223"/>
      <c r="J24" s="223"/>
      <c r="K24" s="223"/>
      <c r="L24" s="223"/>
      <c r="M24" s="223"/>
      <c r="N24" s="90"/>
    </row>
    <row r="25" ht="15.75" hidden="1" customHeight="1">
      <c r="A25" s="89"/>
      <c r="B25" s="89"/>
      <c r="C25" s="223"/>
      <c r="D25" s="223"/>
      <c r="E25" s="223"/>
      <c r="F25" s="223"/>
      <c r="G25" s="223"/>
      <c r="H25" s="223"/>
      <c r="I25" s="223"/>
      <c r="J25" s="223"/>
      <c r="K25" s="223"/>
      <c r="L25" s="223"/>
      <c r="M25" s="223"/>
      <c r="N25" s="223"/>
    </row>
    <row r="26" ht="15.75" hidden="1" customHeight="1">
      <c r="A26" s="93" t="s">
        <v>15</v>
      </c>
      <c r="B26" s="227" t="s">
        <v>3</v>
      </c>
      <c r="C26" s="5"/>
      <c r="D26" s="229" t="s">
        <v>5</v>
      </c>
      <c r="E26" s="5"/>
      <c r="F26" s="223"/>
      <c r="G26" s="223"/>
      <c r="H26" s="223"/>
      <c r="I26" s="223"/>
      <c r="J26" s="223"/>
      <c r="K26" s="223"/>
      <c r="L26" s="223"/>
      <c r="M26" s="223"/>
      <c r="N26" s="223"/>
    </row>
    <row r="27" ht="15.75" hidden="1" customHeight="1">
      <c r="A27" s="7"/>
      <c r="B27" s="96" t="s">
        <v>1598</v>
      </c>
      <c r="C27" s="232" t="s">
        <v>1607</v>
      </c>
      <c r="D27" s="233" t="s">
        <v>1598</v>
      </c>
      <c r="E27" s="233" t="s">
        <v>1607</v>
      </c>
      <c r="F27" s="223"/>
      <c r="G27" s="223"/>
      <c r="H27" s="223"/>
      <c r="I27" s="223"/>
      <c r="J27" s="223"/>
      <c r="K27" s="223"/>
      <c r="L27" s="223"/>
      <c r="M27" s="223"/>
      <c r="N27" s="223"/>
    </row>
    <row r="28" ht="15.75" hidden="1" customHeight="1">
      <c r="A28" s="20"/>
      <c r="B28" s="19"/>
      <c r="C28" s="19"/>
      <c r="D28" s="19"/>
      <c r="E28" s="19"/>
      <c r="F28" s="223"/>
      <c r="G28" s="223"/>
      <c r="H28" s="223"/>
      <c r="I28" s="223"/>
      <c r="J28" s="223"/>
      <c r="K28" s="223"/>
      <c r="L28" s="223"/>
      <c r="M28" s="223"/>
      <c r="N28" s="223"/>
    </row>
    <row r="29" ht="15.75" hidden="1" customHeight="1">
      <c r="A29" s="100" t="s">
        <v>11</v>
      </c>
      <c r="B29" s="101">
        <f>COUNTIFS(MASTERLIST.!B:B, "NCR", MASTERLIST.!I:I, "Government", MASTERLIST.!K:K, "General")</f>
        <v>0</v>
      </c>
      <c r="C29" s="239">
        <f>COUNTIFS(MASTERLIST.!B:B, "NCR", MASTERLIST.!I:I, "Government", MASTERLIST.!K:K, "Specialty")</f>
        <v>0</v>
      </c>
      <c r="D29" s="239">
        <f>COUNTIFS(MASTERLIST.!B:B, "NCR", MASTERLIST.!I:I, "Private", MASTERLIST.!K:K, "General")</f>
        <v>0</v>
      </c>
      <c r="E29" s="239">
        <f>COUNTIFS(MASTERLIST.!B:B, "NCR", MASTERLIST.!I:I, "Private", MASTERLIST.!K:K, "Specialty")</f>
        <v>0</v>
      </c>
      <c r="F29" s="223"/>
      <c r="G29" s="223"/>
      <c r="H29" s="223"/>
      <c r="I29" s="223"/>
      <c r="J29" s="223"/>
      <c r="K29" s="223"/>
      <c r="L29" s="223"/>
      <c r="M29" s="223"/>
      <c r="N29" s="223"/>
    </row>
    <row r="30" ht="15.75" hidden="1" customHeight="1">
      <c r="A30" s="100" t="s">
        <v>52</v>
      </c>
      <c r="B30" s="101">
        <f>COUNTIFS(MASTERLIST.!B:B, "REGION 1", MASTERLIST.!I:I, "Government", MASTERLIST.!K:K, "General")</f>
        <v>0</v>
      </c>
      <c r="C30" s="239">
        <f>COUNTIFS(MASTERLIST.!B:B, "REGION 1", MASTERLIST.!I:I, "Government", MASTERLIST.!K:K, "Specialty")</f>
        <v>0</v>
      </c>
      <c r="D30" s="239">
        <f>COUNTIFS(MASTERLIST.!B:B, "REGION 1", MASTERLIST.!I:I, "Private", MASTERLIST.!K:K, "General")</f>
        <v>0</v>
      </c>
      <c r="E30" s="239">
        <f>COUNTIFS(MASTERLIST.!B:B, "REGION 1", MASTERLIST.!I:I, "Private", MASTERLIST.!K:K, "Specialty")</f>
        <v>0</v>
      </c>
      <c r="F30" s="223"/>
      <c r="G30" s="223"/>
      <c r="H30" s="223"/>
      <c r="I30" s="223"/>
      <c r="J30" s="223"/>
      <c r="K30" s="223"/>
      <c r="L30" s="223"/>
      <c r="M30" s="223"/>
      <c r="N30" s="223"/>
    </row>
    <row r="31" ht="15.75" hidden="1" customHeight="1">
      <c r="A31" s="100" t="s">
        <v>188</v>
      </c>
      <c r="B31" s="101">
        <f>COUNTIFS(MASTERLIST.!B:B, "REGION 2", MASTERLIST.!I:I, "Government", MASTERLIST.!K:K, "General")</f>
        <v>0</v>
      </c>
      <c r="C31" s="239">
        <f>COUNTIFS(MASTERLIST.!B:B, "REGION 2", MASTERLIST.!I:I, "Government", MASTERLIST.!K:K, "Specialty")</f>
        <v>0</v>
      </c>
      <c r="D31" s="239">
        <f>COUNTIFS(MASTERLIST.!B:B, "REGION 2", MASTERLIST.!I:I, "Private", MASTERLIST.!K:K, "General")</f>
        <v>0</v>
      </c>
      <c r="E31" s="239">
        <f>COUNTIFS(MASTERLIST.!B:B, "REGION 2", MASTERLIST.!I:I, "Private", MASTERLIST.!K:K, "Specialty")</f>
        <v>0</v>
      </c>
      <c r="F31" s="223"/>
      <c r="G31" s="223"/>
      <c r="H31" s="223"/>
      <c r="I31" s="223"/>
      <c r="J31" s="223"/>
      <c r="K31" s="223"/>
      <c r="L31" s="223"/>
      <c r="M31" s="223"/>
      <c r="N31" s="223"/>
    </row>
    <row r="32" ht="15.75" hidden="1" customHeight="1">
      <c r="A32" s="100" t="s">
        <v>265</v>
      </c>
      <c r="B32" s="101">
        <f>COUNTIFS(MASTERLIST.!B:B, "REGION 3", MASTERLIST.!I:I, "Government", MASTERLIST.!K:K, "General")</f>
        <v>0</v>
      </c>
      <c r="C32" s="239">
        <f>COUNTIFS(MASTERLIST.!B:B, "REGION 3", MASTERLIST.!I:I, "Government", MASTERLIST.!K:K, "Specialty")</f>
        <v>0</v>
      </c>
      <c r="D32" s="239">
        <f>COUNTIFS(MASTERLIST.!B:B, "REGION 3", MASTERLIST.!I:I, "Private", MASTERLIST.!K:K, "General")</f>
        <v>0</v>
      </c>
      <c r="E32" s="239">
        <f>COUNTIFS(MASTERLIST.!B:B, "REGION 3", MASTERLIST.!I:I, "Private", MASTERLIST.!K:K, "Specialty")</f>
        <v>0</v>
      </c>
      <c r="F32" s="223"/>
      <c r="G32" s="223"/>
      <c r="H32" s="223"/>
      <c r="I32" s="223"/>
      <c r="J32" s="223"/>
      <c r="K32" s="223"/>
      <c r="L32" s="223"/>
      <c r="M32" s="223"/>
      <c r="N32" s="223"/>
    </row>
    <row r="33" ht="15.75" hidden="1" customHeight="1">
      <c r="A33" s="100" t="s">
        <v>351</v>
      </c>
      <c r="B33" s="101">
        <f>COUNTIFS(MASTERLIST.!B:B, "REGION 4-A", MASTERLIST.!I:I, "Government", MASTERLIST.!K:K, "General")</f>
        <v>0</v>
      </c>
      <c r="C33" s="239">
        <f>COUNTIFS(MASTERLIST.!B:B, "REGION 4-A", MASTERLIST.!I:I, "Government", MASTERLIST.!K:K, "Specialty")</f>
        <v>0</v>
      </c>
      <c r="D33" s="239">
        <f>COUNTIFS(MASTERLIST.!B:B, "REGION 4-A", MASTERLIST.!I:I, "Private", MASTERLIST.!K:K, "General")</f>
        <v>0</v>
      </c>
      <c r="E33" s="239">
        <f>COUNTIFS(MASTERLIST.!B:B, "REGION 4-A", MASTERLIST.!I:I, "Private", MASTERLIST.!K:K, "Specialty")</f>
        <v>0</v>
      </c>
      <c r="F33" s="223"/>
      <c r="G33" s="223"/>
      <c r="H33" s="223"/>
      <c r="I33" s="223"/>
      <c r="J33" s="223"/>
      <c r="K33" s="223"/>
      <c r="L33" s="223"/>
      <c r="M33" s="223"/>
      <c r="N33" s="223"/>
    </row>
    <row r="34" ht="15.75" hidden="1" customHeight="1">
      <c r="A34" s="100" t="s">
        <v>422</v>
      </c>
      <c r="B34" s="101">
        <f>COUNTIFS(MASTERLIST.!B:B, "REGION 4-B", MASTERLIST.!I:I, "Government", MASTERLIST.!K:K, "General")</f>
        <v>0</v>
      </c>
      <c r="C34" s="239">
        <f>COUNTIFS(MASTERLIST.!B:B, "REGION 4-B", MASTERLIST.!I:I, "Government", MASTERLIST.!K:K, "Specialty")</f>
        <v>0</v>
      </c>
      <c r="D34" s="239">
        <f>COUNTIFS(MASTERLIST.!B:B, "REGION 4-B", MASTERLIST.!I:I, "Private", MASTERLIST.!K:K, "General")</f>
        <v>0</v>
      </c>
      <c r="E34" s="239">
        <f>COUNTIFS(MASTERLIST.!B:B, "REGION 4-B", MASTERLIST.!I:I, "Private", MASTERLIST.!K:K, "Specialty")</f>
        <v>0</v>
      </c>
      <c r="F34" s="223"/>
      <c r="G34" s="223"/>
      <c r="H34" s="223"/>
      <c r="I34" s="223"/>
      <c r="J34" s="223"/>
      <c r="K34" s="223"/>
      <c r="L34" s="223"/>
      <c r="M34" s="223"/>
      <c r="N34" s="223"/>
    </row>
    <row r="35" ht="15.75" hidden="1" customHeight="1">
      <c r="A35" s="100" t="s">
        <v>509</v>
      </c>
      <c r="B35" s="101">
        <f>COUNTIFS(MASTERLIST.!B:B, "REGION 5", MASTERLIST.!I:I, "Government", MASTERLIST.!K:K, "General")</f>
        <v>0</v>
      </c>
      <c r="C35" s="239">
        <f>COUNTIFS(MASTERLIST.!B:B, "REGION 5", MASTERLIST.!I:I, "Government", MASTERLIST.!K:K, "Specialty")</f>
        <v>0</v>
      </c>
      <c r="D35" s="239">
        <f>COUNTIFS(MASTERLIST.!B:B, "REGION 5", MASTERLIST.!I:I, "Private", MASTERLIST.!K:K, "General")</f>
        <v>0</v>
      </c>
      <c r="E35" s="239">
        <f>COUNTIFS(MASTERLIST.!B:B, "REGION 5", MASTERLIST.!I:I, "Private", MASTERLIST.!K:K, "Specialty")</f>
        <v>0</v>
      </c>
      <c r="F35" s="223"/>
      <c r="G35" s="223"/>
      <c r="H35" s="223"/>
      <c r="I35" s="223"/>
      <c r="J35" s="223"/>
      <c r="K35" s="223"/>
      <c r="L35" s="223"/>
      <c r="M35" s="223"/>
      <c r="N35" s="223"/>
    </row>
    <row r="36" ht="15.75" hidden="1" customHeight="1">
      <c r="A36" s="100" t="s">
        <v>581</v>
      </c>
      <c r="B36" s="101">
        <f>COUNTIFS(MASTERLIST.!B:B, "REGION 6", MASTERLIST.!I:I, "Government", MASTERLIST.!K:K, "General")</f>
        <v>0</v>
      </c>
      <c r="C36" s="239">
        <f>COUNTIFS(MASTERLIST.!B:B, "REGION 6", MASTERLIST.!I:I, "Government", MASTERLIST.!K:K, "Specialty")</f>
        <v>0</v>
      </c>
      <c r="D36" s="239">
        <f>COUNTIFS(MASTERLIST.!B:B, "REGION 6", MASTERLIST.!I:I, "Private", MASTERLIST.!K:K, "General")</f>
        <v>0</v>
      </c>
      <c r="E36" s="239">
        <f>COUNTIFS(MASTERLIST.!B:B, "REGION 6", MASTERLIST.!I:I, "Private", MASTERLIST.!K:K, "Specialty")</f>
        <v>0</v>
      </c>
      <c r="F36" s="223"/>
      <c r="G36" s="223"/>
      <c r="H36" s="223"/>
      <c r="I36" s="223"/>
      <c r="J36" s="223"/>
      <c r="K36" s="223"/>
      <c r="L36" s="223"/>
      <c r="M36" s="223"/>
      <c r="N36" s="223"/>
    </row>
    <row r="37" ht="15.75" hidden="1" customHeight="1">
      <c r="A37" s="100" t="s">
        <v>682</v>
      </c>
      <c r="B37" s="101">
        <f>COUNTIFS(MASTERLIST.!B:B, "REGION 7", MASTERLIST.!I:I, "Government", MASTERLIST.!K:K, "General")</f>
        <v>0</v>
      </c>
      <c r="C37" s="239">
        <f>COUNTIFS(MASTERLIST.!B:B, "REGION 7", MASTERLIST.!I:I, "Government", MASTERLIST.!K:K, "Specialty")</f>
        <v>0</v>
      </c>
      <c r="D37" s="239">
        <f>COUNTIFS(MASTERLIST.!B:B, "REGION 7", MASTERLIST.!I:I, "Private", MASTERLIST.!K:K, "General")</f>
        <v>0</v>
      </c>
      <c r="E37" s="239">
        <f>COUNTIFS(MASTERLIST.!B:B, "REGION 7", MASTERLIST.!I:I, "Private", MASTERLIST.!K:K, "Specialty")</f>
        <v>0</v>
      </c>
      <c r="F37" s="223"/>
      <c r="G37" s="223"/>
      <c r="H37" s="223"/>
      <c r="I37" s="223"/>
      <c r="J37" s="223"/>
      <c r="K37" s="223"/>
      <c r="L37" s="223"/>
      <c r="M37" s="223"/>
      <c r="N37" s="223"/>
    </row>
    <row r="38" ht="15.75" hidden="1" customHeight="1">
      <c r="A38" s="100" t="s">
        <v>764</v>
      </c>
      <c r="B38" s="101">
        <f>COUNTIFS(MASTERLIST.!B:B, "REGION 8", MASTERLIST.!I:I, "Government", MASTERLIST.!K:K, "General")</f>
        <v>0</v>
      </c>
      <c r="C38" s="239">
        <f>COUNTIFS(MASTERLIST.!B:B, "REGION 8", MASTERLIST.!I:I, "Government", MASTERLIST.!K:K, "Specialty")</f>
        <v>0</v>
      </c>
      <c r="D38" s="239">
        <f>COUNTIFS(MASTERLIST.!B:B, "REGION 8", MASTERLIST.!I:I, "Private", MASTERLIST.!K:K, "General")</f>
        <v>0</v>
      </c>
      <c r="E38" s="239">
        <f>COUNTIFS(MASTERLIST.!B:B, "REGION 8", MASTERLIST.!I:I, "Private", MASTERLIST.!K:K, "Specialty")</f>
        <v>0</v>
      </c>
      <c r="F38" s="223"/>
      <c r="G38" s="223"/>
      <c r="H38" s="223"/>
      <c r="I38" s="223"/>
      <c r="J38" s="223"/>
      <c r="K38" s="223"/>
      <c r="L38" s="223"/>
      <c r="M38" s="223"/>
      <c r="N38" s="223"/>
    </row>
    <row r="39" ht="15.75" hidden="1" customHeight="1">
      <c r="A39" s="100" t="s">
        <v>808</v>
      </c>
      <c r="B39" s="101">
        <f>COUNTIFS(MASTERLIST.!B:B, "REGION 9", MASTERLIST.!I:I, "Government", MASTERLIST.!K:K, "General")</f>
        <v>0</v>
      </c>
      <c r="C39" s="239">
        <f>COUNTIFS(MASTERLIST.!B:B, "REGION 9", MASTERLIST.!I:I, "Government", MASTERLIST.!K:K, "Specialty")</f>
        <v>0</v>
      </c>
      <c r="D39" s="239">
        <f>COUNTIFS(MASTERLIST.!B:B, "REGION 9", MASTERLIST.!I:I, "Private", MASTERLIST.!K:K, "General")</f>
        <v>0</v>
      </c>
      <c r="E39" s="239">
        <f>COUNTIFS(MASTERLIST.!B:B, "REGION 9", MASTERLIST.!I:I, "Private", MASTERLIST.!K:K, "Specialty")</f>
        <v>0</v>
      </c>
      <c r="F39" s="223"/>
      <c r="G39" s="223"/>
      <c r="H39" s="223"/>
      <c r="I39" s="223"/>
      <c r="J39" s="223"/>
      <c r="K39" s="223"/>
      <c r="L39" s="223"/>
      <c r="M39" s="223"/>
      <c r="N39" s="223"/>
    </row>
    <row r="40" ht="15.75" hidden="1" customHeight="1">
      <c r="A40" s="100" t="s">
        <v>887</v>
      </c>
      <c r="B40" s="101">
        <f>COUNTIFS(MASTERLIST.!B:B, "REGION 10", MASTERLIST.!I:I, "Government", MASTERLIST.!K:K, "General")</f>
        <v>0</v>
      </c>
      <c r="C40" s="239">
        <f>COUNTIFS(MASTERLIST.!B:B, "REGION 10", MASTERLIST.!I:I, "Government", MASTERLIST.!K:K, "Specialty")</f>
        <v>0</v>
      </c>
      <c r="D40" s="239">
        <f>COUNTIFS(MASTERLIST.!B:B, "REGION 10", MASTERLIST.!I:I, "Private", MASTERLIST.!K:K, "General")</f>
        <v>0</v>
      </c>
      <c r="E40" s="239">
        <f>COUNTIFS(MASTERLIST.!B:B, "REGION 10", MASTERLIST.!I:I, "Private", MASTERLIST.!K:K, "Specialty")</f>
        <v>0</v>
      </c>
      <c r="F40" s="223"/>
      <c r="G40" s="223"/>
      <c r="H40" s="223"/>
      <c r="I40" s="223"/>
      <c r="J40" s="223"/>
      <c r="K40" s="223"/>
      <c r="L40" s="223"/>
      <c r="M40" s="223"/>
      <c r="N40" s="223"/>
    </row>
    <row r="41" ht="15.75" hidden="1" customHeight="1">
      <c r="A41" s="100" t="s">
        <v>949</v>
      </c>
      <c r="B41" s="101">
        <f>COUNTIFS(MASTERLIST.!B:B, "REGION 11", MASTERLIST.!I:I, "Government", MASTERLIST.!K:K, "General")</f>
        <v>0</v>
      </c>
      <c r="C41" s="239">
        <f>COUNTIFS(MASTERLIST.!B:B, "REGION 11", MASTERLIST.!I:I, "Government", MASTERLIST.!K:K, "Specialty")</f>
        <v>0</v>
      </c>
      <c r="D41" s="239">
        <f>COUNTIFS(MASTERLIST.!B:B, "REGION 11", MASTERLIST.!I:I, "Private", MASTERLIST.!K:K, "General")</f>
        <v>0</v>
      </c>
      <c r="E41" s="239">
        <f>COUNTIFS(MASTERLIST.!B:B, "REGION 11", MASTERLIST.!I:I, "Private", MASTERLIST.!K:K, "Specialty")</f>
        <v>0</v>
      </c>
      <c r="F41" s="223"/>
      <c r="G41" s="223"/>
      <c r="H41" s="223"/>
      <c r="I41" s="223"/>
      <c r="J41" s="223"/>
      <c r="K41" s="223"/>
      <c r="L41" s="223"/>
      <c r="M41" s="223"/>
      <c r="N41" s="223"/>
    </row>
    <row r="42" ht="15.75" hidden="1" customHeight="1">
      <c r="A42" s="100" t="s">
        <v>1026</v>
      </c>
      <c r="B42" s="101">
        <f>COUNTIFS(MASTERLIST.!B:B, "REGION 12", MASTERLIST.!I:I, "Government", MASTERLIST.!K:K, "General")</f>
        <v>0</v>
      </c>
      <c r="C42" s="239">
        <f>COUNTIFS(MASTERLIST.!B:B, "REGION 12", MASTERLIST.!I:I, "Government", MASTERLIST.!K:K, "Specialty")</f>
        <v>0</v>
      </c>
      <c r="D42" s="239">
        <f>COUNTIFS(MASTERLIST.!B:B, "REGION 12", MASTERLIST.!I:I, "Private", MASTERLIST.!K:K, "General")</f>
        <v>0</v>
      </c>
      <c r="E42" s="239">
        <f>COUNTIFS(MASTERLIST.!B:B, "REGION 12", MASTERLIST.!I:I, "Private", MASTERLIST.!K:K, "Specialty")</f>
        <v>0</v>
      </c>
      <c r="F42" s="223"/>
      <c r="G42" s="223"/>
      <c r="H42" s="223"/>
      <c r="I42" s="223"/>
      <c r="J42" s="223"/>
      <c r="K42" s="223"/>
      <c r="L42" s="223"/>
      <c r="M42" s="223"/>
      <c r="N42" s="223"/>
    </row>
    <row r="43" ht="15.75" hidden="1" customHeight="1">
      <c r="A43" s="100" t="s">
        <v>1098</v>
      </c>
      <c r="B43" s="101">
        <f>COUNTIFS(MASTERLIST.!B:B, "REGION 13", MASTERLIST.!I:I, "Government", MASTERLIST.!K:K, "General")</f>
        <v>0</v>
      </c>
      <c r="C43" s="239">
        <f>COUNTIFS(MASTERLIST.!B:B, "REGION 13", MASTERLIST.!I:I, "Government", MASTERLIST.!K:K, "Specialty")</f>
        <v>0</v>
      </c>
      <c r="D43" s="239">
        <f>COUNTIFS(MASTERLIST.!B:B, "REGION 13", MASTERLIST.!I:I, "Private", MASTERLIST.!K:K, "General")</f>
        <v>0</v>
      </c>
      <c r="E43" s="239">
        <f>COUNTIFS(MASTERLIST.!B:B, "REGION 13", MASTERLIST.!I:I, "Private", MASTERLIST.!K:K, "Specialty")</f>
        <v>0</v>
      </c>
      <c r="F43" s="223"/>
      <c r="G43" s="223"/>
      <c r="H43" s="223"/>
      <c r="I43" s="223"/>
      <c r="J43" s="223"/>
      <c r="K43" s="223"/>
      <c r="L43" s="223"/>
      <c r="M43" s="223"/>
      <c r="N43" s="223"/>
    </row>
    <row r="44" ht="15.75" hidden="1" customHeight="1">
      <c r="A44" s="100" t="s">
        <v>1323</v>
      </c>
      <c r="B44" s="101">
        <f>COUNTIFS(MASTERLIST.!B:B, "CORDILLERA", MASTERLIST.!I:I, "Government", MASTERLIST.!K:K, "General")</f>
        <v>0</v>
      </c>
      <c r="C44" s="239">
        <f>COUNTIFS(MASTERLIST.!B:B, "CORDILLERA", MASTERLIST.!I:I, "Government", MASTERLIST.!K:K, "Specialty")</f>
        <v>0</v>
      </c>
      <c r="D44" s="239">
        <f>COUNTIFS(MASTERLIST.!B:B, "CORDILLERA", MASTERLIST.!I:I, "Private", MASTERLIST.!K:K, "General")</f>
        <v>0</v>
      </c>
      <c r="E44" s="239">
        <f>COUNTIFS(MASTERLIST.!B:B, "CORDILLERA", MASTERLIST.!I:I, "Private", MASTERLIST.!K:K, "Specialty")</f>
        <v>0</v>
      </c>
      <c r="F44" s="223"/>
      <c r="G44" s="223"/>
      <c r="H44" s="223"/>
      <c r="I44" s="223"/>
      <c r="J44" s="223"/>
      <c r="K44" s="223"/>
      <c r="L44" s="223"/>
      <c r="M44" s="223"/>
      <c r="N44" s="223"/>
    </row>
    <row r="45" ht="15.75" hidden="1" customHeight="1">
      <c r="A45" s="100" t="s">
        <v>1418</v>
      </c>
      <c r="B45" s="101">
        <f>COUNTIFS(MASTERLIST.!B:B, "BARMM", MASTERLIST.!I:I, "Government", MASTERLIST.!K:K, "General")</f>
        <v>0</v>
      </c>
      <c r="C45" s="239">
        <f>COUNTIFS(MASTERLIST.!B:B, "BARMM", MASTERLIST.!I:I, "Government", MASTERLIST.!K:K, "Specialty")</f>
        <v>0</v>
      </c>
      <c r="D45" s="239">
        <f>COUNTIFS(MASTERLIST.!B:B, "BARMM", MASTERLIST.!I:I, "Private", MASTERLIST.!K:K, "General")</f>
        <v>0</v>
      </c>
      <c r="E45" s="239">
        <f>COUNTIFS(MASTERLIST.!B:B, "BARMM", MASTERLIST.!I:I, "Private", MASTERLIST.!K:K, "Specialty")</f>
        <v>0</v>
      </c>
      <c r="F45" s="223"/>
      <c r="G45" s="223"/>
      <c r="H45" s="223"/>
      <c r="I45" s="223"/>
      <c r="J45" s="223"/>
      <c r="K45" s="223"/>
      <c r="L45" s="223"/>
      <c r="M45" s="223"/>
      <c r="N45" s="223"/>
    </row>
    <row r="46" ht="15.75" hidden="1" customHeight="1">
      <c r="A46" s="100" t="s">
        <v>1683</v>
      </c>
      <c r="B46" s="101">
        <f t="shared" ref="B46:E46" si="25">SUM(B29:B45)</f>
        <v>0</v>
      </c>
      <c r="C46" s="239">
        <f t="shared" si="25"/>
        <v>0</v>
      </c>
      <c r="D46" s="239">
        <f t="shared" si="25"/>
        <v>0</v>
      </c>
      <c r="E46" s="239">
        <f t="shared" si="25"/>
        <v>0</v>
      </c>
      <c r="F46" s="223">
        <f>sum(B46:E46)</f>
        <v>0</v>
      </c>
      <c r="G46" s="223"/>
      <c r="H46" s="223"/>
      <c r="I46" s="223"/>
      <c r="J46" s="223"/>
      <c r="K46" s="223"/>
      <c r="L46" s="223"/>
      <c r="M46" s="223"/>
      <c r="N46" s="223"/>
    </row>
    <row r="47" ht="15.75" hidden="1" customHeight="1">
      <c r="A47" s="89"/>
      <c r="B47" s="89"/>
      <c r="C47" s="223"/>
      <c r="D47" s="223"/>
      <c r="E47" s="223"/>
      <c r="F47" s="223"/>
      <c r="G47" s="223"/>
      <c r="H47" s="223"/>
      <c r="I47" s="223"/>
      <c r="J47" s="223"/>
      <c r="K47" s="223"/>
      <c r="L47" s="223"/>
      <c r="M47" s="223"/>
      <c r="N47" s="223"/>
    </row>
    <row r="48" ht="15.75" hidden="1" customHeight="1">
      <c r="A48" s="89"/>
      <c r="B48" s="89"/>
      <c r="C48" s="223"/>
      <c r="D48" s="223"/>
      <c r="E48" s="223"/>
      <c r="F48" s="223"/>
      <c r="G48" s="223"/>
      <c r="H48" s="223"/>
      <c r="I48" s="223"/>
      <c r="J48" s="223"/>
      <c r="K48" s="223"/>
      <c r="L48" s="223"/>
      <c r="M48" s="223"/>
      <c r="N48" s="223"/>
    </row>
    <row r="49" ht="15.75" hidden="1" customHeight="1">
      <c r="A49" s="89"/>
      <c r="B49" s="89"/>
      <c r="C49" s="223"/>
      <c r="D49" s="223"/>
      <c r="E49" s="223"/>
      <c r="F49" s="223"/>
      <c r="G49" s="223"/>
      <c r="H49" s="223"/>
      <c r="I49" s="223"/>
      <c r="J49" s="223"/>
      <c r="K49" s="223"/>
      <c r="L49" s="223"/>
      <c r="M49" s="223"/>
      <c r="N49" s="223"/>
    </row>
    <row r="50" ht="15.75" hidden="1" customHeight="1">
      <c r="A50" s="89"/>
      <c r="B50" s="89"/>
      <c r="C50" s="223"/>
      <c r="D50" s="223"/>
      <c r="E50" s="223"/>
      <c r="F50" s="223"/>
      <c r="G50" s="223"/>
      <c r="H50" s="223"/>
      <c r="I50" s="223"/>
      <c r="J50" s="223"/>
      <c r="K50" s="223"/>
      <c r="L50" s="223"/>
      <c r="M50" s="223"/>
      <c r="N50" s="223"/>
    </row>
    <row r="51" ht="15.75" hidden="1" customHeight="1">
      <c r="A51" s="89"/>
      <c r="B51" s="89"/>
      <c r="C51" s="223"/>
      <c r="D51" s="223"/>
      <c r="E51" s="223"/>
      <c r="F51" s="223"/>
      <c r="G51" s="223"/>
      <c r="H51" s="223"/>
      <c r="I51" s="223"/>
      <c r="J51" s="223"/>
      <c r="K51" s="223"/>
      <c r="L51" s="223"/>
      <c r="M51" s="223"/>
      <c r="N51" s="223"/>
    </row>
    <row r="52" ht="15.75" hidden="1" customHeight="1">
      <c r="A52" s="89"/>
      <c r="B52" s="89"/>
      <c r="C52" s="223"/>
      <c r="D52" s="223"/>
      <c r="E52" s="223"/>
      <c r="F52" s="223"/>
      <c r="G52" s="223"/>
      <c r="H52" s="223"/>
      <c r="I52" s="223"/>
      <c r="J52" s="223"/>
      <c r="K52" s="223"/>
      <c r="L52" s="223"/>
      <c r="M52" s="223"/>
      <c r="N52" s="223"/>
    </row>
    <row r="53" ht="15.75" hidden="1" customHeight="1">
      <c r="A53" s="89"/>
      <c r="B53" s="89"/>
      <c r="C53" s="223"/>
      <c r="D53" s="223"/>
      <c r="E53" s="223"/>
      <c r="F53" s="223"/>
      <c r="G53" s="223"/>
      <c r="H53" s="223"/>
      <c r="I53" s="223"/>
      <c r="J53" s="223"/>
      <c r="K53" s="223"/>
      <c r="L53" s="223"/>
      <c r="M53" s="223"/>
      <c r="N53" s="223"/>
    </row>
    <row r="54" ht="15.75" hidden="1" customHeight="1">
      <c r="A54" s="89"/>
      <c r="B54" s="89"/>
      <c r="C54" s="223"/>
      <c r="D54" s="223"/>
      <c r="E54" s="223"/>
      <c r="F54" s="223"/>
      <c r="G54" s="223"/>
      <c r="H54" s="223"/>
      <c r="I54" s="223"/>
      <c r="J54" s="223"/>
      <c r="K54" s="223"/>
      <c r="L54" s="223"/>
      <c r="M54" s="223"/>
      <c r="N54" s="223"/>
    </row>
    <row r="55" ht="15.75" hidden="1" customHeight="1">
      <c r="A55" s="89"/>
      <c r="B55" s="89"/>
      <c r="C55" s="223"/>
      <c r="D55" s="223"/>
      <c r="E55" s="223"/>
      <c r="F55" s="223"/>
      <c r="G55" s="223"/>
      <c r="H55" s="223"/>
      <c r="I55" s="223"/>
      <c r="J55" s="223"/>
      <c r="K55" s="223"/>
      <c r="L55" s="223"/>
      <c r="M55" s="223"/>
      <c r="N55" s="223"/>
    </row>
    <row r="56" ht="15.75" hidden="1" customHeight="1">
      <c r="A56" s="89"/>
      <c r="B56" s="89"/>
      <c r="C56" s="223"/>
      <c r="D56" s="223"/>
      <c r="E56" s="223"/>
      <c r="F56" s="223"/>
      <c r="G56" s="223"/>
      <c r="H56" s="223"/>
      <c r="I56" s="223"/>
      <c r="J56" s="223"/>
      <c r="K56" s="223"/>
      <c r="L56" s="223"/>
      <c r="M56" s="223"/>
      <c r="N56" s="223"/>
    </row>
    <row r="57" ht="15.75" hidden="1" customHeight="1">
      <c r="A57" s="89"/>
      <c r="B57" s="89"/>
      <c r="C57" s="223"/>
      <c r="D57" s="223"/>
      <c r="E57" s="223"/>
      <c r="F57" s="223"/>
      <c r="G57" s="223"/>
      <c r="H57" s="223"/>
      <c r="I57" s="223"/>
      <c r="J57" s="223"/>
      <c r="K57" s="223"/>
      <c r="L57" s="223"/>
      <c r="M57" s="223"/>
      <c r="N57" s="223"/>
    </row>
    <row r="58" ht="15.75" hidden="1" customHeight="1">
      <c r="A58" s="89"/>
      <c r="B58" s="89"/>
      <c r="C58" s="223"/>
      <c r="D58" s="223"/>
      <c r="E58" s="223"/>
      <c r="F58" s="223"/>
      <c r="G58" s="223"/>
      <c r="H58" s="223"/>
      <c r="I58" s="223"/>
      <c r="J58" s="223"/>
      <c r="K58" s="223"/>
      <c r="L58" s="223"/>
      <c r="M58" s="223"/>
      <c r="N58" s="223"/>
    </row>
    <row r="59" ht="15.75" hidden="1" customHeight="1">
      <c r="A59" s="89"/>
      <c r="B59" s="89"/>
      <c r="C59" s="223"/>
      <c r="D59" s="223"/>
      <c r="E59" s="223"/>
      <c r="F59" s="223"/>
      <c r="G59" s="223"/>
      <c r="H59" s="223"/>
      <c r="I59" s="223"/>
      <c r="J59" s="223"/>
      <c r="K59" s="223"/>
      <c r="L59" s="223"/>
      <c r="M59" s="223"/>
      <c r="N59" s="223"/>
    </row>
    <row r="60" ht="15.75" hidden="1" customHeight="1">
      <c r="A60" s="89"/>
      <c r="B60" s="89"/>
      <c r="C60" s="223"/>
      <c r="D60" s="223"/>
      <c r="E60" s="223"/>
      <c r="F60" s="223"/>
      <c r="G60" s="223"/>
      <c r="H60" s="223"/>
      <c r="I60" s="223"/>
      <c r="J60" s="223"/>
      <c r="K60" s="223"/>
      <c r="L60" s="223"/>
      <c r="M60" s="223"/>
      <c r="N60" s="223"/>
    </row>
    <row r="61" ht="15.75" hidden="1" customHeight="1">
      <c r="A61" s="89"/>
      <c r="B61" s="89"/>
      <c r="C61" s="223"/>
      <c r="D61" s="223"/>
      <c r="E61" s="223"/>
      <c r="F61" s="223"/>
      <c r="G61" s="223"/>
      <c r="H61" s="223"/>
      <c r="I61" s="223"/>
      <c r="J61" s="223"/>
      <c r="K61" s="223"/>
      <c r="L61" s="223"/>
      <c r="M61" s="223"/>
      <c r="N61" s="223"/>
    </row>
    <row r="62" ht="15.75" hidden="1" customHeight="1">
      <c r="A62" s="89"/>
      <c r="B62" s="89"/>
      <c r="C62" s="223"/>
      <c r="D62" s="223"/>
      <c r="E62" s="223"/>
      <c r="F62" s="223"/>
      <c r="G62" s="223"/>
      <c r="H62" s="223"/>
      <c r="I62" s="223"/>
      <c r="J62" s="223"/>
      <c r="K62" s="223"/>
      <c r="L62" s="223"/>
      <c r="M62" s="223"/>
      <c r="N62" s="223"/>
    </row>
    <row r="63" ht="15.75" hidden="1" customHeight="1">
      <c r="A63" s="89"/>
      <c r="B63" s="89"/>
      <c r="C63" s="223"/>
      <c r="D63" s="223"/>
      <c r="E63" s="223"/>
      <c r="F63" s="223"/>
      <c r="G63" s="223"/>
      <c r="H63" s="223"/>
      <c r="I63" s="223"/>
      <c r="J63" s="223"/>
      <c r="K63" s="223"/>
      <c r="L63" s="223"/>
      <c r="M63" s="223"/>
      <c r="N63" s="223"/>
    </row>
    <row r="64" ht="15.75" hidden="1" customHeight="1">
      <c r="A64" s="89"/>
      <c r="B64" s="89"/>
      <c r="C64" s="223"/>
      <c r="D64" s="223"/>
      <c r="E64" s="223"/>
      <c r="F64" s="223"/>
      <c r="G64" s="223"/>
      <c r="H64" s="223"/>
      <c r="I64" s="223"/>
      <c r="J64" s="223"/>
      <c r="K64" s="223"/>
      <c r="L64" s="223"/>
      <c r="M64" s="223"/>
      <c r="N64" s="223"/>
    </row>
    <row r="65" ht="15.75" hidden="1" customHeight="1">
      <c r="A65" s="89"/>
      <c r="B65" s="89"/>
      <c r="C65" s="223"/>
      <c r="D65" s="223"/>
      <c r="E65" s="223"/>
      <c r="F65" s="223"/>
      <c r="G65" s="223"/>
      <c r="H65" s="223"/>
      <c r="I65" s="223"/>
      <c r="J65" s="223"/>
      <c r="K65" s="223"/>
      <c r="L65" s="223"/>
      <c r="M65" s="223"/>
      <c r="N65" s="223"/>
    </row>
    <row r="66" ht="15.75" hidden="1" customHeight="1">
      <c r="A66" s="89"/>
      <c r="B66" s="89"/>
      <c r="C66" s="223"/>
      <c r="D66" s="223"/>
      <c r="E66" s="223"/>
      <c r="F66" s="223"/>
      <c r="G66" s="223"/>
      <c r="H66" s="223"/>
      <c r="I66" s="223"/>
      <c r="J66" s="223"/>
      <c r="K66" s="223"/>
      <c r="L66" s="223"/>
      <c r="M66" s="223"/>
      <c r="N66" s="223"/>
    </row>
    <row r="67" ht="15.75" hidden="1" customHeight="1">
      <c r="A67" s="89"/>
      <c r="B67" s="89"/>
      <c r="C67" s="223"/>
      <c r="D67" s="223"/>
      <c r="E67" s="223"/>
      <c r="F67" s="223"/>
      <c r="G67" s="223"/>
      <c r="H67" s="223"/>
      <c r="I67" s="223"/>
      <c r="J67" s="223"/>
      <c r="K67" s="223"/>
      <c r="L67" s="223"/>
      <c r="M67" s="223"/>
      <c r="N67" s="223"/>
    </row>
    <row r="68" ht="15.75" hidden="1" customHeight="1">
      <c r="A68" s="89"/>
      <c r="B68" s="89"/>
      <c r="C68" s="223"/>
      <c r="D68" s="223"/>
      <c r="E68" s="223"/>
      <c r="F68" s="223"/>
      <c r="G68" s="223"/>
      <c r="H68" s="223"/>
      <c r="I68" s="223"/>
      <c r="J68" s="223"/>
      <c r="K68" s="223"/>
      <c r="L68" s="223"/>
      <c r="M68" s="223"/>
      <c r="N68" s="223"/>
    </row>
    <row r="69" ht="15.75" hidden="1" customHeight="1">
      <c r="A69" s="89"/>
      <c r="B69" s="89"/>
      <c r="C69" s="223"/>
      <c r="D69" s="223"/>
      <c r="E69" s="223"/>
      <c r="F69" s="223"/>
      <c r="G69" s="223"/>
      <c r="H69" s="223"/>
      <c r="I69" s="223"/>
      <c r="J69" s="223"/>
      <c r="K69" s="223"/>
      <c r="L69" s="223"/>
      <c r="M69" s="223"/>
      <c r="N69" s="223"/>
    </row>
    <row r="70" ht="15.75" hidden="1" customHeight="1">
      <c r="A70" s="89"/>
      <c r="B70" s="89"/>
      <c r="C70" s="223"/>
      <c r="D70" s="223"/>
      <c r="E70" s="223"/>
      <c r="F70" s="223"/>
      <c r="G70" s="223"/>
      <c r="H70" s="223"/>
      <c r="I70" s="223"/>
      <c r="J70" s="223"/>
      <c r="K70" s="223"/>
      <c r="L70" s="223"/>
      <c r="M70" s="223"/>
      <c r="N70" s="223"/>
    </row>
    <row r="71" ht="15.75" hidden="1" customHeight="1">
      <c r="A71" s="89"/>
      <c r="B71" s="89"/>
      <c r="C71" s="223"/>
      <c r="D71" s="223"/>
      <c r="E71" s="223"/>
      <c r="F71" s="223"/>
      <c r="G71" s="223"/>
      <c r="H71" s="223"/>
      <c r="I71" s="223"/>
      <c r="J71" s="223"/>
      <c r="K71" s="223"/>
      <c r="L71" s="223"/>
      <c r="M71" s="223"/>
      <c r="N71" s="223"/>
    </row>
    <row r="72" ht="15.75" hidden="1" customHeight="1">
      <c r="A72" s="89"/>
      <c r="B72" s="89"/>
      <c r="C72" s="223"/>
      <c r="D72" s="223"/>
      <c r="E72" s="223"/>
      <c r="F72" s="223"/>
      <c r="G72" s="223"/>
      <c r="H72" s="223"/>
      <c r="I72" s="223"/>
      <c r="J72" s="223"/>
      <c r="K72" s="223"/>
      <c r="L72" s="223"/>
      <c r="M72" s="223"/>
      <c r="N72" s="223"/>
    </row>
    <row r="73" ht="15.75" hidden="1" customHeight="1">
      <c r="A73" s="89"/>
      <c r="B73" s="89"/>
      <c r="C73" s="223"/>
      <c r="D73" s="223"/>
      <c r="E73" s="223"/>
      <c r="F73" s="223"/>
      <c r="G73" s="223"/>
      <c r="H73" s="223"/>
      <c r="I73" s="223"/>
      <c r="J73" s="223"/>
      <c r="K73" s="223"/>
      <c r="L73" s="223"/>
      <c r="M73" s="223"/>
      <c r="N73" s="223"/>
    </row>
    <row r="74" ht="15.75" hidden="1" customHeight="1">
      <c r="A74" s="89"/>
      <c r="B74" s="89"/>
      <c r="C74" s="223"/>
      <c r="D74" s="223"/>
      <c r="E74" s="223"/>
      <c r="F74" s="223"/>
      <c r="G74" s="223"/>
      <c r="H74" s="223"/>
      <c r="I74" s="223"/>
      <c r="J74" s="223"/>
      <c r="K74" s="223"/>
      <c r="L74" s="223"/>
      <c r="M74" s="223"/>
      <c r="N74" s="223"/>
    </row>
    <row r="75" ht="15.75" hidden="1" customHeight="1">
      <c r="A75" s="89"/>
      <c r="B75" s="89"/>
      <c r="C75" s="223"/>
      <c r="D75" s="223"/>
      <c r="E75" s="223"/>
      <c r="F75" s="223"/>
      <c r="G75" s="223"/>
      <c r="H75" s="223"/>
      <c r="I75" s="223"/>
      <c r="J75" s="223"/>
      <c r="K75" s="223"/>
      <c r="L75" s="223"/>
      <c r="M75" s="223"/>
      <c r="N75" s="223"/>
    </row>
    <row r="76" ht="15.75" hidden="1" customHeight="1">
      <c r="A76" s="89"/>
      <c r="B76" s="89"/>
      <c r="C76" s="223"/>
      <c r="D76" s="223"/>
      <c r="E76" s="223"/>
      <c r="F76" s="223"/>
      <c r="G76" s="223"/>
      <c r="H76" s="223"/>
      <c r="I76" s="223"/>
      <c r="J76" s="223"/>
      <c r="K76" s="223"/>
      <c r="L76" s="223"/>
      <c r="M76" s="223"/>
      <c r="N76" s="223"/>
    </row>
    <row r="77" ht="15.75" hidden="1" customHeight="1">
      <c r="A77" s="89"/>
      <c r="B77" s="89"/>
      <c r="C77" s="223"/>
      <c r="D77" s="223"/>
      <c r="E77" s="223"/>
      <c r="F77" s="223"/>
      <c r="G77" s="223"/>
      <c r="H77" s="223"/>
      <c r="I77" s="223"/>
      <c r="J77" s="223"/>
      <c r="K77" s="223"/>
      <c r="L77" s="223"/>
      <c r="M77" s="223"/>
      <c r="N77" s="223"/>
    </row>
    <row r="78" ht="15.75" hidden="1" customHeight="1">
      <c r="A78" s="89"/>
      <c r="B78" s="89"/>
      <c r="C78" s="223"/>
      <c r="D78" s="223"/>
      <c r="E78" s="223"/>
      <c r="F78" s="223"/>
      <c r="G78" s="223"/>
      <c r="H78" s="223"/>
      <c r="I78" s="223"/>
      <c r="J78" s="223"/>
      <c r="K78" s="223"/>
      <c r="L78" s="223"/>
      <c r="M78" s="223"/>
      <c r="N78" s="223"/>
    </row>
    <row r="79" ht="15.75" hidden="1" customHeight="1">
      <c r="A79" s="89"/>
      <c r="B79" s="89"/>
      <c r="C79" s="223"/>
      <c r="D79" s="223"/>
      <c r="E79" s="223"/>
      <c r="F79" s="223"/>
      <c r="G79" s="223"/>
      <c r="H79" s="223"/>
      <c r="I79" s="223"/>
      <c r="J79" s="223"/>
      <c r="K79" s="223"/>
      <c r="L79" s="223"/>
      <c r="M79" s="223"/>
      <c r="N79" s="223"/>
    </row>
    <row r="80" ht="15.75" hidden="1" customHeight="1">
      <c r="A80" s="89"/>
      <c r="B80" s="89"/>
      <c r="C80" s="223"/>
      <c r="D80" s="223"/>
      <c r="E80" s="223"/>
      <c r="F80" s="223"/>
      <c r="G80" s="223"/>
      <c r="H80" s="223"/>
      <c r="I80" s="223"/>
      <c r="J80" s="223"/>
      <c r="K80" s="223"/>
      <c r="L80" s="223"/>
      <c r="M80" s="223"/>
      <c r="N80" s="223"/>
    </row>
    <row r="81" ht="15.75" hidden="1" customHeight="1">
      <c r="A81" s="89"/>
      <c r="B81" s="89"/>
      <c r="C81" s="223"/>
      <c r="D81" s="223"/>
      <c r="E81" s="223"/>
      <c r="F81" s="223"/>
      <c r="G81" s="223"/>
      <c r="H81" s="223"/>
      <c r="I81" s="223"/>
      <c r="J81" s="223"/>
      <c r="K81" s="223"/>
      <c r="L81" s="223"/>
      <c r="M81" s="223"/>
      <c r="N81" s="223"/>
    </row>
    <row r="82" ht="15.75" hidden="1" customHeight="1">
      <c r="A82" s="89"/>
      <c r="B82" s="89"/>
      <c r="C82" s="223"/>
      <c r="D82" s="223"/>
      <c r="E82" s="223"/>
      <c r="F82" s="223"/>
      <c r="G82" s="223"/>
      <c r="H82" s="223"/>
      <c r="I82" s="223"/>
      <c r="J82" s="223"/>
      <c r="K82" s="223"/>
      <c r="L82" s="223"/>
      <c r="M82" s="223"/>
      <c r="N82" s="223"/>
    </row>
    <row r="83" ht="15.75" hidden="1" customHeight="1">
      <c r="A83" s="89"/>
      <c r="B83" s="89"/>
      <c r="C83" s="223"/>
      <c r="D83" s="223"/>
      <c r="E83" s="223"/>
      <c r="F83" s="223"/>
      <c r="G83" s="223"/>
      <c r="H83" s="223"/>
      <c r="I83" s="223"/>
      <c r="J83" s="223"/>
      <c r="K83" s="223"/>
      <c r="L83" s="223"/>
      <c r="M83" s="223"/>
      <c r="N83" s="223"/>
    </row>
    <row r="84" ht="15.75" hidden="1" customHeight="1">
      <c r="A84" s="89"/>
      <c r="B84" s="89"/>
      <c r="C84" s="223"/>
      <c r="D84" s="223"/>
      <c r="E84" s="223"/>
      <c r="F84" s="223"/>
      <c r="G84" s="223"/>
      <c r="H84" s="223"/>
      <c r="I84" s="223"/>
      <c r="J84" s="223"/>
      <c r="K84" s="223"/>
      <c r="L84" s="223"/>
      <c r="M84" s="223"/>
      <c r="N84" s="223"/>
    </row>
    <row r="85" ht="15.75" hidden="1" customHeight="1">
      <c r="A85" s="89"/>
      <c r="B85" s="89"/>
      <c r="C85" s="223"/>
      <c r="D85" s="223"/>
      <c r="E85" s="223"/>
      <c r="F85" s="223"/>
      <c r="G85" s="223"/>
      <c r="H85" s="223"/>
      <c r="I85" s="223"/>
      <c r="J85" s="223"/>
      <c r="K85" s="223"/>
      <c r="L85" s="223"/>
      <c r="M85" s="223"/>
      <c r="N85" s="223"/>
    </row>
    <row r="86" ht="15.75" hidden="1" customHeight="1">
      <c r="A86" s="89"/>
      <c r="B86" s="89"/>
      <c r="C86" s="223"/>
      <c r="D86" s="223"/>
      <c r="E86" s="223"/>
      <c r="F86" s="223"/>
      <c r="G86" s="223"/>
      <c r="H86" s="223"/>
      <c r="I86" s="223"/>
      <c r="J86" s="223"/>
      <c r="K86" s="223"/>
      <c r="L86" s="223"/>
      <c r="M86" s="223"/>
      <c r="N86" s="223"/>
    </row>
    <row r="87" ht="15.75" hidden="1" customHeight="1">
      <c r="A87" s="89"/>
      <c r="B87" s="89"/>
      <c r="C87" s="223"/>
      <c r="D87" s="223"/>
      <c r="E87" s="223"/>
      <c r="F87" s="223"/>
      <c r="G87" s="223"/>
      <c r="H87" s="223"/>
      <c r="I87" s="223"/>
      <c r="J87" s="223"/>
      <c r="K87" s="223"/>
      <c r="L87" s="223"/>
      <c r="M87" s="223"/>
      <c r="N87" s="223"/>
    </row>
    <row r="88" ht="15.75" hidden="1" customHeight="1">
      <c r="A88" s="89"/>
      <c r="B88" s="89"/>
      <c r="C88" s="223"/>
      <c r="D88" s="223"/>
      <c r="E88" s="223"/>
      <c r="F88" s="223"/>
      <c r="G88" s="223"/>
      <c r="H88" s="223"/>
      <c r="I88" s="223"/>
      <c r="J88" s="223"/>
      <c r="K88" s="223"/>
      <c r="L88" s="223"/>
      <c r="M88" s="223"/>
      <c r="N88" s="223"/>
    </row>
    <row r="89" ht="15.75" hidden="1" customHeight="1">
      <c r="A89" s="89"/>
      <c r="B89" s="89"/>
      <c r="C89" s="223"/>
      <c r="D89" s="223"/>
      <c r="E89" s="223"/>
      <c r="F89" s="223"/>
      <c r="G89" s="223"/>
      <c r="H89" s="223"/>
      <c r="I89" s="223"/>
      <c r="J89" s="223"/>
      <c r="K89" s="223"/>
      <c r="L89" s="223"/>
      <c r="M89" s="223"/>
      <c r="N89" s="223"/>
    </row>
    <row r="90" ht="15.75" hidden="1" customHeight="1">
      <c r="A90" s="89"/>
      <c r="B90" s="89"/>
      <c r="C90" s="223"/>
      <c r="D90" s="223"/>
      <c r="E90" s="223"/>
      <c r="F90" s="223"/>
      <c r="G90" s="223"/>
      <c r="H90" s="223"/>
      <c r="I90" s="223"/>
      <c r="J90" s="223"/>
      <c r="K90" s="223"/>
      <c r="L90" s="223"/>
      <c r="M90" s="223"/>
      <c r="N90" s="223"/>
    </row>
    <row r="91" ht="15.75" hidden="1" customHeight="1">
      <c r="A91" s="89"/>
      <c r="B91" s="89"/>
      <c r="C91" s="223"/>
      <c r="D91" s="223"/>
      <c r="E91" s="223"/>
      <c r="F91" s="223"/>
      <c r="G91" s="223"/>
      <c r="H91" s="223"/>
      <c r="I91" s="223"/>
      <c r="J91" s="223"/>
      <c r="K91" s="223"/>
      <c r="L91" s="223"/>
      <c r="M91" s="223"/>
      <c r="N91" s="223"/>
    </row>
    <row r="92" ht="15.75" hidden="1" customHeight="1">
      <c r="A92" s="89"/>
      <c r="B92" s="89"/>
      <c r="C92" s="223"/>
      <c r="D92" s="223"/>
      <c r="E92" s="223"/>
      <c r="F92" s="223"/>
      <c r="G92" s="223"/>
      <c r="H92" s="223"/>
      <c r="I92" s="223"/>
      <c r="J92" s="223"/>
      <c r="K92" s="223"/>
      <c r="L92" s="223"/>
      <c r="M92" s="223"/>
      <c r="N92" s="223"/>
    </row>
    <row r="93" ht="15.75" hidden="1" customHeight="1">
      <c r="A93" s="89"/>
      <c r="B93" s="89"/>
      <c r="C93" s="223"/>
      <c r="D93" s="223"/>
      <c r="E93" s="223"/>
      <c r="F93" s="223"/>
      <c r="G93" s="223"/>
      <c r="H93" s="223"/>
      <c r="I93" s="223"/>
      <c r="J93" s="223"/>
      <c r="K93" s="223"/>
      <c r="L93" s="223"/>
      <c r="M93" s="223"/>
      <c r="N93" s="223"/>
    </row>
    <row r="94" ht="15.75" hidden="1" customHeight="1">
      <c r="A94" s="89"/>
      <c r="B94" s="89"/>
      <c r="C94" s="223"/>
      <c r="D94" s="223"/>
      <c r="E94" s="223"/>
      <c r="F94" s="223"/>
      <c r="G94" s="223"/>
      <c r="H94" s="223"/>
      <c r="I94" s="223"/>
      <c r="J94" s="223"/>
      <c r="K94" s="223"/>
      <c r="L94" s="223"/>
      <c r="M94" s="223"/>
      <c r="N94" s="223"/>
    </row>
    <row r="95" ht="15.75" hidden="1" customHeight="1">
      <c r="A95" s="89"/>
      <c r="B95" s="89"/>
      <c r="C95" s="223"/>
      <c r="D95" s="223"/>
      <c r="E95" s="223"/>
      <c r="F95" s="223"/>
      <c r="G95" s="223"/>
      <c r="H95" s="223"/>
      <c r="I95" s="223"/>
      <c r="J95" s="223"/>
      <c r="K95" s="223"/>
      <c r="L95" s="223"/>
      <c r="M95" s="223"/>
      <c r="N95" s="223"/>
    </row>
    <row r="96" ht="15.75" hidden="1" customHeight="1">
      <c r="A96" s="89"/>
      <c r="B96" s="89"/>
      <c r="C96" s="223"/>
      <c r="D96" s="223"/>
      <c r="E96" s="223"/>
      <c r="F96" s="223"/>
      <c r="G96" s="223"/>
      <c r="H96" s="223"/>
      <c r="I96" s="223"/>
      <c r="J96" s="223"/>
      <c r="K96" s="223"/>
      <c r="L96" s="223"/>
      <c r="M96" s="223"/>
      <c r="N96" s="223"/>
    </row>
    <row r="97" ht="15.75" hidden="1" customHeight="1">
      <c r="A97" s="89"/>
      <c r="B97" s="89"/>
      <c r="C97" s="223"/>
      <c r="D97" s="223"/>
      <c r="E97" s="223"/>
      <c r="F97" s="223"/>
      <c r="G97" s="223"/>
      <c r="H97" s="223"/>
      <c r="I97" s="223"/>
      <c r="J97" s="223"/>
      <c r="K97" s="223"/>
      <c r="L97" s="223"/>
      <c r="M97" s="223"/>
      <c r="N97" s="223"/>
    </row>
    <row r="98" ht="15.75" hidden="1" customHeight="1">
      <c r="A98" s="89"/>
      <c r="B98" s="89"/>
      <c r="C98" s="223"/>
      <c r="D98" s="223"/>
      <c r="E98" s="223"/>
      <c r="F98" s="223"/>
      <c r="G98" s="223"/>
      <c r="H98" s="223"/>
      <c r="I98" s="223"/>
      <c r="J98" s="223"/>
      <c r="K98" s="223"/>
      <c r="L98" s="223"/>
      <c r="M98" s="223"/>
      <c r="N98" s="223"/>
    </row>
    <row r="99" ht="15.75" hidden="1" customHeight="1">
      <c r="A99" s="89"/>
      <c r="B99" s="89"/>
      <c r="C99" s="223"/>
      <c r="D99" s="223"/>
      <c r="E99" s="223"/>
      <c r="F99" s="223"/>
      <c r="G99" s="223"/>
      <c r="H99" s="223"/>
      <c r="I99" s="223"/>
      <c r="J99" s="223"/>
      <c r="K99" s="223"/>
      <c r="L99" s="223"/>
      <c r="M99" s="223"/>
      <c r="N99" s="223"/>
    </row>
    <row r="100" ht="15.75" hidden="1" customHeight="1">
      <c r="A100" s="89"/>
      <c r="B100" s="89"/>
      <c r="C100" s="223"/>
      <c r="D100" s="223"/>
      <c r="E100" s="223"/>
      <c r="F100" s="223"/>
      <c r="G100" s="223"/>
      <c r="H100" s="223"/>
      <c r="I100" s="223"/>
      <c r="J100" s="223"/>
      <c r="K100" s="223"/>
      <c r="L100" s="223"/>
      <c r="M100" s="223"/>
      <c r="N100" s="223"/>
    </row>
    <row r="101" ht="15.75" hidden="1" customHeight="1">
      <c r="A101" s="89"/>
      <c r="B101" s="89"/>
      <c r="C101" s="223"/>
      <c r="D101" s="223"/>
      <c r="E101" s="223"/>
      <c r="F101" s="223"/>
      <c r="G101" s="223"/>
      <c r="H101" s="223"/>
      <c r="I101" s="223"/>
      <c r="J101" s="223"/>
      <c r="K101" s="223"/>
      <c r="L101" s="223"/>
      <c r="M101" s="223"/>
      <c r="N101" s="223"/>
    </row>
    <row r="102" ht="15.75" hidden="1" customHeight="1">
      <c r="A102" s="89"/>
      <c r="B102" s="89"/>
      <c r="C102" s="223"/>
      <c r="D102" s="223"/>
      <c r="E102" s="223"/>
      <c r="F102" s="223"/>
      <c r="G102" s="223"/>
      <c r="H102" s="223"/>
      <c r="I102" s="223"/>
      <c r="J102" s="223"/>
      <c r="K102" s="223"/>
      <c r="L102" s="223"/>
      <c r="M102" s="223"/>
      <c r="N102" s="223"/>
    </row>
    <row r="103" ht="15.75" hidden="1" customHeight="1">
      <c r="A103" s="89"/>
      <c r="B103" s="89"/>
      <c r="C103" s="223"/>
      <c r="D103" s="223"/>
      <c r="E103" s="223"/>
      <c r="F103" s="223"/>
      <c r="G103" s="223"/>
      <c r="H103" s="223"/>
      <c r="I103" s="223"/>
      <c r="J103" s="223"/>
      <c r="K103" s="223"/>
      <c r="L103" s="223"/>
      <c r="M103" s="223"/>
      <c r="N103" s="223"/>
    </row>
    <row r="104" ht="15.75" hidden="1" customHeight="1">
      <c r="A104" s="89"/>
      <c r="B104" s="89"/>
      <c r="C104" s="223"/>
      <c r="D104" s="223"/>
      <c r="E104" s="223"/>
      <c r="F104" s="223"/>
      <c r="G104" s="223"/>
      <c r="H104" s="223"/>
      <c r="I104" s="223"/>
      <c r="J104" s="223"/>
      <c r="K104" s="223"/>
      <c r="L104" s="223"/>
      <c r="M104" s="223"/>
      <c r="N104" s="223"/>
    </row>
    <row r="105" ht="15.75" hidden="1" customHeight="1">
      <c r="A105" s="89"/>
      <c r="B105" s="89"/>
      <c r="C105" s="223"/>
      <c r="D105" s="223"/>
      <c r="E105" s="223"/>
      <c r="F105" s="223"/>
      <c r="G105" s="223"/>
      <c r="H105" s="223"/>
      <c r="I105" s="223"/>
      <c r="J105" s="223"/>
      <c r="K105" s="223"/>
      <c r="L105" s="223"/>
      <c r="M105" s="223"/>
      <c r="N105" s="223"/>
    </row>
    <row r="106" ht="15.75" hidden="1" customHeight="1">
      <c r="A106" s="89"/>
      <c r="B106" s="89"/>
      <c r="C106" s="223"/>
      <c r="D106" s="223"/>
      <c r="E106" s="223"/>
      <c r="F106" s="223"/>
      <c r="G106" s="223"/>
      <c r="H106" s="223"/>
      <c r="I106" s="223"/>
      <c r="J106" s="223"/>
      <c r="K106" s="223"/>
      <c r="L106" s="223"/>
      <c r="M106" s="223"/>
      <c r="N106" s="223"/>
    </row>
    <row r="107" ht="15.75" hidden="1" customHeight="1">
      <c r="A107" s="89"/>
      <c r="B107" s="89"/>
      <c r="C107" s="223"/>
      <c r="D107" s="223"/>
      <c r="E107" s="223"/>
      <c r="F107" s="223"/>
      <c r="G107" s="223"/>
      <c r="H107" s="223"/>
      <c r="I107" s="223"/>
      <c r="J107" s="223"/>
      <c r="K107" s="223"/>
      <c r="L107" s="223"/>
      <c r="M107" s="223"/>
      <c r="N107" s="223"/>
    </row>
    <row r="108" ht="15.75" hidden="1" customHeight="1">
      <c r="A108" s="89"/>
      <c r="B108" s="89"/>
      <c r="C108" s="223"/>
      <c r="D108" s="223"/>
      <c r="E108" s="223"/>
      <c r="F108" s="223"/>
      <c r="G108" s="223"/>
      <c r="H108" s="223"/>
      <c r="I108" s="223"/>
      <c r="J108" s="223"/>
      <c r="K108" s="223"/>
      <c r="L108" s="223"/>
      <c r="M108" s="223"/>
      <c r="N108" s="223"/>
    </row>
    <row r="109" ht="15.75" hidden="1" customHeight="1">
      <c r="A109" s="89"/>
      <c r="B109" s="89"/>
      <c r="C109" s="223"/>
      <c r="D109" s="223"/>
      <c r="E109" s="223"/>
      <c r="F109" s="223"/>
      <c r="G109" s="223"/>
      <c r="H109" s="223"/>
      <c r="I109" s="223"/>
      <c r="J109" s="223"/>
      <c r="K109" s="223"/>
      <c r="L109" s="223"/>
      <c r="M109" s="223"/>
      <c r="N109" s="223"/>
    </row>
    <row r="110" ht="15.75" hidden="1" customHeight="1">
      <c r="A110" s="89"/>
      <c r="B110" s="89"/>
      <c r="C110" s="223"/>
      <c r="D110" s="223"/>
      <c r="E110" s="223"/>
      <c r="F110" s="223"/>
      <c r="G110" s="223"/>
      <c r="H110" s="223"/>
      <c r="I110" s="223"/>
      <c r="J110" s="223"/>
      <c r="K110" s="223"/>
      <c r="L110" s="223"/>
      <c r="M110" s="223"/>
      <c r="N110" s="223"/>
    </row>
    <row r="111" ht="15.75" hidden="1" customHeight="1">
      <c r="A111" s="89"/>
      <c r="B111" s="89"/>
      <c r="C111" s="223"/>
      <c r="D111" s="223"/>
      <c r="E111" s="223"/>
      <c r="F111" s="223"/>
      <c r="G111" s="223"/>
      <c r="H111" s="223"/>
      <c r="I111" s="223"/>
      <c r="J111" s="223"/>
      <c r="K111" s="223"/>
      <c r="L111" s="223"/>
      <c r="M111" s="223"/>
      <c r="N111" s="223"/>
    </row>
    <row r="112" ht="15.75" hidden="1" customHeight="1">
      <c r="A112" s="89"/>
      <c r="B112" s="89"/>
      <c r="C112" s="223"/>
      <c r="D112" s="223"/>
      <c r="E112" s="223"/>
      <c r="F112" s="223"/>
      <c r="G112" s="223"/>
      <c r="H112" s="223"/>
      <c r="I112" s="223"/>
      <c r="J112" s="223"/>
      <c r="K112" s="223"/>
      <c r="L112" s="223"/>
      <c r="M112" s="223"/>
      <c r="N112" s="223"/>
    </row>
    <row r="113" ht="15.75" hidden="1" customHeight="1">
      <c r="A113" s="89"/>
      <c r="B113" s="89"/>
      <c r="C113" s="223"/>
      <c r="D113" s="223"/>
      <c r="E113" s="223"/>
      <c r="F113" s="223"/>
      <c r="G113" s="223"/>
      <c r="H113" s="223"/>
      <c r="I113" s="223"/>
      <c r="J113" s="223"/>
      <c r="K113" s="223"/>
      <c r="L113" s="223"/>
      <c r="M113" s="223"/>
      <c r="N113" s="223"/>
    </row>
    <row r="114" ht="15.75" hidden="1" customHeight="1">
      <c r="A114" s="89"/>
      <c r="B114" s="89"/>
      <c r="C114" s="223"/>
      <c r="D114" s="223"/>
      <c r="E114" s="223"/>
      <c r="F114" s="223"/>
      <c r="G114" s="223"/>
      <c r="H114" s="223"/>
      <c r="I114" s="223"/>
      <c r="J114" s="223"/>
      <c r="K114" s="223"/>
      <c r="L114" s="223"/>
      <c r="M114" s="223"/>
      <c r="N114" s="223"/>
    </row>
    <row r="115" ht="15.75" hidden="1" customHeight="1">
      <c r="A115" s="89"/>
      <c r="B115" s="89"/>
      <c r="C115" s="223"/>
      <c r="D115" s="223"/>
      <c r="E115" s="223"/>
      <c r="F115" s="223"/>
      <c r="G115" s="223"/>
      <c r="H115" s="223"/>
      <c r="I115" s="223"/>
      <c r="J115" s="223"/>
      <c r="K115" s="223"/>
      <c r="L115" s="223"/>
      <c r="M115" s="223"/>
      <c r="N115" s="223"/>
    </row>
    <row r="116" ht="15.75" hidden="1" customHeight="1">
      <c r="A116" s="89"/>
      <c r="B116" s="89"/>
      <c r="C116" s="223"/>
      <c r="D116" s="223"/>
      <c r="E116" s="223"/>
      <c r="F116" s="223"/>
      <c r="G116" s="223"/>
      <c r="H116" s="223"/>
      <c r="I116" s="223"/>
      <c r="J116" s="223"/>
      <c r="K116" s="223"/>
      <c r="L116" s="223"/>
      <c r="M116" s="223"/>
      <c r="N116" s="223"/>
    </row>
    <row r="117" ht="15.75" hidden="1" customHeight="1">
      <c r="A117" s="89"/>
      <c r="B117" s="89"/>
      <c r="C117" s="223"/>
      <c r="D117" s="223"/>
      <c r="E117" s="223"/>
      <c r="F117" s="223"/>
      <c r="G117" s="223"/>
      <c r="H117" s="223"/>
      <c r="I117" s="223"/>
      <c r="J117" s="223"/>
      <c r="K117" s="223"/>
      <c r="L117" s="223"/>
      <c r="M117" s="223"/>
      <c r="N117" s="223"/>
    </row>
    <row r="118" ht="15.75" hidden="1" customHeight="1">
      <c r="A118" s="89"/>
      <c r="B118" s="89"/>
      <c r="C118" s="223"/>
      <c r="D118" s="223"/>
      <c r="E118" s="223"/>
      <c r="F118" s="223"/>
      <c r="G118" s="223"/>
      <c r="H118" s="223"/>
      <c r="I118" s="223"/>
      <c r="J118" s="223"/>
      <c r="K118" s="223"/>
      <c r="L118" s="223"/>
      <c r="M118" s="223"/>
      <c r="N118" s="223"/>
    </row>
    <row r="119" ht="15.75" hidden="1" customHeight="1">
      <c r="A119" s="89"/>
      <c r="B119" s="89"/>
      <c r="C119" s="223"/>
      <c r="D119" s="223"/>
      <c r="E119" s="223"/>
      <c r="F119" s="223"/>
      <c r="G119" s="223"/>
      <c r="H119" s="223"/>
      <c r="I119" s="223"/>
      <c r="J119" s="223"/>
      <c r="K119" s="223"/>
      <c r="L119" s="223"/>
      <c r="M119" s="223"/>
      <c r="N119" s="223"/>
    </row>
    <row r="120" ht="15.75" hidden="1" customHeight="1">
      <c r="A120" s="89"/>
      <c r="B120" s="89"/>
      <c r="C120" s="223"/>
      <c r="D120" s="223"/>
      <c r="E120" s="223"/>
      <c r="F120" s="223"/>
      <c r="G120" s="223"/>
      <c r="H120" s="223"/>
      <c r="I120" s="223"/>
      <c r="J120" s="223"/>
      <c r="K120" s="223"/>
      <c r="L120" s="223"/>
      <c r="M120" s="223"/>
      <c r="N120" s="223"/>
    </row>
    <row r="121" ht="15.75" hidden="1" customHeight="1">
      <c r="A121" s="89"/>
      <c r="B121" s="89"/>
      <c r="C121" s="223"/>
      <c r="D121" s="223"/>
      <c r="E121" s="223"/>
      <c r="F121" s="223"/>
      <c r="G121" s="223"/>
      <c r="H121" s="223"/>
      <c r="I121" s="223"/>
      <c r="J121" s="223"/>
      <c r="K121" s="223"/>
      <c r="L121" s="223"/>
      <c r="M121" s="223"/>
      <c r="N121" s="223"/>
    </row>
    <row r="122" ht="15.75" hidden="1" customHeight="1">
      <c r="A122" s="89"/>
      <c r="B122" s="89"/>
      <c r="C122" s="223"/>
      <c r="D122" s="223"/>
      <c r="E122" s="223"/>
      <c r="F122" s="223"/>
      <c r="G122" s="223"/>
      <c r="H122" s="223"/>
      <c r="I122" s="223"/>
      <c r="J122" s="223"/>
      <c r="K122" s="223"/>
      <c r="L122" s="223"/>
      <c r="M122" s="223"/>
      <c r="N122" s="223"/>
    </row>
    <row r="123" ht="15.75" hidden="1" customHeight="1">
      <c r="A123" s="89"/>
      <c r="B123" s="89"/>
      <c r="C123" s="223"/>
      <c r="D123" s="223"/>
      <c r="E123" s="223"/>
      <c r="F123" s="223"/>
      <c r="G123" s="223"/>
      <c r="H123" s="223"/>
      <c r="I123" s="223"/>
      <c r="J123" s="223"/>
      <c r="K123" s="223"/>
      <c r="L123" s="223"/>
      <c r="M123" s="223"/>
      <c r="N123" s="223"/>
    </row>
    <row r="124" ht="15.75" hidden="1" customHeight="1">
      <c r="A124" s="89"/>
      <c r="B124" s="89"/>
      <c r="C124" s="223"/>
      <c r="D124" s="223"/>
      <c r="E124" s="223"/>
      <c r="F124" s="223"/>
      <c r="G124" s="223"/>
      <c r="H124" s="223"/>
      <c r="I124" s="223"/>
      <c r="J124" s="223"/>
      <c r="K124" s="223"/>
      <c r="L124" s="223"/>
      <c r="M124" s="223"/>
      <c r="N124" s="223"/>
    </row>
    <row r="125" ht="15.75" hidden="1" customHeight="1">
      <c r="A125" s="89"/>
      <c r="B125" s="89"/>
      <c r="C125" s="223"/>
      <c r="D125" s="223"/>
      <c r="E125" s="223"/>
      <c r="F125" s="223"/>
      <c r="G125" s="223"/>
      <c r="H125" s="223"/>
      <c r="I125" s="223"/>
      <c r="J125" s="223"/>
      <c r="K125" s="223"/>
      <c r="L125" s="223"/>
      <c r="M125" s="223"/>
      <c r="N125" s="223"/>
    </row>
    <row r="126" ht="15.75" hidden="1" customHeight="1">
      <c r="A126" s="89"/>
      <c r="B126" s="89"/>
      <c r="C126" s="223"/>
      <c r="D126" s="223"/>
      <c r="E126" s="223"/>
      <c r="F126" s="223"/>
      <c r="G126" s="223"/>
      <c r="H126" s="223"/>
      <c r="I126" s="223"/>
      <c r="J126" s="223"/>
      <c r="K126" s="223"/>
      <c r="L126" s="223"/>
      <c r="M126" s="223"/>
      <c r="N126" s="223"/>
    </row>
    <row r="127" ht="15.75" hidden="1" customHeight="1">
      <c r="A127" s="89"/>
      <c r="B127" s="89"/>
      <c r="C127" s="223"/>
      <c r="D127" s="223"/>
      <c r="E127" s="223"/>
      <c r="F127" s="223"/>
      <c r="G127" s="223"/>
      <c r="H127" s="223"/>
      <c r="I127" s="223"/>
      <c r="J127" s="223"/>
      <c r="K127" s="223"/>
      <c r="L127" s="223"/>
      <c r="M127" s="223"/>
      <c r="N127" s="223"/>
    </row>
    <row r="128" ht="15.75" hidden="1" customHeight="1">
      <c r="A128" s="89"/>
      <c r="B128" s="89"/>
      <c r="C128" s="223"/>
      <c r="D128" s="223"/>
      <c r="E128" s="223"/>
      <c r="F128" s="223"/>
      <c r="G128" s="223"/>
      <c r="H128" s="223"/>
      <c r="I128" s="223"/>
      <c r="J128" s="223"/>
      <c r="K128" s="223"/>
      <c r="L128" s="223"/>
      <c r="M128" s="223"/>
      <c r="N128" s="223"/>
    </row>
    <row r="129" ht="15.75" hidden="1" customHeight="1">
      <c r="A129" s="89"/>
      <c r="B129" s="89"/>
      <c r="C129" s="223"/>
      <c r="D129" s="223"/>
      <c r="E129" s="223"/>
      <c r="F129" s="223"/>
      <c r="G129" s="223"/>
      <c r="H129" s="223"/>
      <c r="I129" s="223"/>
      <c r="J129" s="223"/>
      <c r="K129" s="223"/>
      <c r="L129" s="223"/>
      <c r="M129" s="223"/>
      <c r="N129" s="223"/>
    </row>
    <row r="130" ht="15.75" hidden="1" customHeight="1">
      <c r="A130" s="89"/>
      <c r="B130" s="89"/>
      <c r="C130" s="223"/>
      <c r="D130" s="223"/>
      <c r="E130" s="223"/>
      <c r="F130" s="223"/>
      <c r="G130" s="223"/>
      <c r="H130" s="223"/>
      <c r="I130" s="223"/>
      <c r="J130" s="223"/>
      <c r="K130" s="223"/>
      <c r="L130" s="223"/>
      <c r="M130" s="223"/>
      <c r="N130" s="223"/>
    </row>
    <row r="131" ht="15.75" hidden="1" customHeight="1">
      <c r="A131" s="89"/>
      <c r="B131" s="89"/>
      <c r="C131" s="223"/>
      <c r="D131" s="223"/>
      <c r="E131" s="223"/>
      <c r="F131" s="223"/>
      <c r="G131" s="223"/>
      <c r="H131" s="223"/>
      <c r="I131" s="223"/>
      <c r="J131" s="223"/>
      <c r="K131" s="223"/>
      <c r="L131" s="223"/>
      <c r="M131" s="223"/>
      <c r="N131" s="223"/>
    </row>
    <row r="132" ht="15.75" hidden="1" customHeight="1">
      <c r="A132" s="89"/>
      <c r="B132" s="89"/>
      <c r="C132" s="223"/>
      <c r="D132" s="223"/>
      <c r="E132" s="223"/>
      <c r="F132" s="223"/>
      <c r="G132" s="223"/>
      <c r="H132" s="223"/>
      <c r="I132" s="223"/>
      <c r="J132" s="223"/>
      <c r="K132" s="223"/>
      <c r="L132" s="223"/>
      <c r="M132" s="223"/>
      <c r="N132" s="223"/>
    </row>
    <row r="133" ht="15.75" hidden="1" customHeight="1">
      <c r="A133" s="89"/>
      <c r="B133" s="89"/>
      <c r="C133" s="223"/>
      <c r="D133" s="223"/>
      <c r="E133" s="223"/>
      <c r="F133" s="223"/>
      <c r="G133" s="223"/>
      <c r="H133" s="223"/>
      <c r="I133" s="223"/>
      <c r="J133" s="223"/>
      <c r="K133" s="223"/>
      <c r="L133" s="223"/>
      <c r="M133" s="223"/>
      <c r="N133" s="223"/>
    </row>
    <row r="134" ht="15.75" hidden="1" customHeight="1">
      <c r="A134" s="89"/>
      <c r="B134" s="89"/>
      <c r="C134" s="223"/>
      <c r="D134" s="223"/>
      <c r="E134" s="223"/>
      <c r="F134" s="223"/>
      <c r="G134" s="223"/>
      <c r="H134" s="223"/>
      <c r="I134" s="223"/>
      <c r="J134" s="223"/>
      <c r="K134" s="223"/>
      <c r="L134" s="223"/>
      <c r="M134" s="223"/>
      <c r="N134" s="223"/>
    </row>
    <row r="135" ht="15.75" hidden="1" customHeight="1">
      <c r="A135" s="89"/>
      <c r="B135" s="89"/>
      <c r="C135" s="223"/>
      <c r="D135" s="223"/>
      <c r="E135" s="223"/>
      <c r="F135" s="223"/>
      <c r="G135" s="223"/>
      <c r="H135" s="223"/>
      <c r="I135" s="223"/>
      <c r="J135" s="223"/>
      <c r="K135" s="223"/>
      <c r="L135" s="223"/>
      <c r="M135" s="223"/>
      <c r="N135" s="223"/>
    </row>
    <row r="136" ht="15.75" hidden="1" customHeight="1">
      <c r="A136" s="89"/>
      <c r="B136" s="89"/>
      <c r="C136" s="223"/>
      <c r="D136" s="223"/>
      <c r="E136" s="223"/>
      <c r="F136" s="223"/>
      <c r="G136" s="223"/>
      <c r="H136" s="223"/>
      <c r="I136" s="223"/>
      <c r="J136" s="223"/>
      <c r="K136" s="223"/>
      <c r="L136" s="223"/>
      <c r="M136" s="223"/>
      <c r="N136" s="223"/>
    </row>
    <row r="137" ht="15.75" hidden="1" customHeight="1">
      <c r="A137" s="89"/>
      <c r="B137" s="89"/>
      <c r="C137" s="223"/>
      <c r="D137" s="223"/>
      <c r="E137" s="223"/>
      <c r="F137" s="223"/>
      <c r="G137" s="223"/>
      <c r="H137" s="223"/>
      <c r="I137" s="223"/>
      <c r="J137" s="223"/>
      <c r="K137" s="223"/>
      <c r="L137" s="223"/>
      <c r="M137" s="223"/>
      <c r="N137" s="223"/>
    </row>
    <row r="138" ht="15.75" hidden="1" customHeight="1">
      <c r="A138" s="89"/>
      <c r="B138" s="89"/>
      <c r="C138" s="223"/>
      <c r="D138" s="223"/>
      <c r="E138" s="223"/>
      <c r="F138" s="223"/>
      <c r="G138" s="223"/>
      <c r="H138" s="223"/>
      <c r="I138" s="223"/>
      <c r="J138" s="223"/>
      <c r="K138" s="223"/>
      <c r="L138" s="223"/>
      <c r="M138" s="223"/>
      <c r="N138" s="223"/>
    </row>
    <row r="139" ht="15.75" hidden="1" customHeight="1">
      <c r="A139" s="89"/>
      <c r="B139" s="89"/>
      <c r="C139" s="223"/>
      <c r="D139" s="223"/>
      <c r="E139" s="223"/>
      <c r="F139" s="223"/>
      <c r="G139" s="223"/>
      <c r="H139" s="223"/>
      <c r="I139" s="223"/>
      <c r="J139" s="223"/>
      <c r="K139" s="223"/>
      <c r="L139" s="223"/>
      <c r="M139" s="223"/>
      <c r="N139" s="223"/>
    </row>
    <row r="140" ht="15.75" hidden="1" customHeight="1">
      <c r="A140" s="89"/>
      <c r="B140" s="89"/>
      <c r="C140" s="223"/>
      <c r="D140" s="223"/>
      <c r="E140" s="223"/>
      <c r="F140" s="223"/>
      <c r="G140" s="223"/>
      <c r="H140" s="223"/>
      <c r="I140" s="223"/>
      <c r="J140" s="223"/>
      <c r="K140" s="223"/>
      <c r="L140" s="223"/>
      <c r="M140" s="223"/>
      <c r="N140" s="223"/>
    </row>
    <row r="141" ht="15.75" hidden="1" customHeight="1">
      <c r="A141" s="89"/>
      <c r="B141" s="89"/>
      <c r="C141" s="223"/>
      <c r="D141" s="223"/>
      <c r="E141" s="223"/>
      <c r="F141" s="223"/>
      <c r="G141" s="223"/>
      <c r="H141" s="223"/>
      <c r="I141" s="223"/>
      <c r="J141" s="223"/>
      <c r="K141" s="223"/>
      <c r="L141" s="223"/>
      <c r="M141" s="223"/>
      <c r="N141" s="223"/>
    </row>
    <row r="142" ht="15.75" hidden="1" customHeight="1">
      <c r="A142" s="89"/>
      <c r="B142" s="89"/>
      <c r="C142" s="223"/>
      <c r="D142" s="223"/>
      <c r="E142" s="223"/>
      <c r="F142" s="223"/>
      <c r="G142" s="223"/>
      <c r="H142" s="223"/>
      <c r="I142" s="223"/>
      <c r="J142" s="223"/>
      <c r="K142" s="223"/>
      <c r="L142" s="223"/>
      <c r="M142" s="223"/>
      <c r="N142" s="223"/>
    </row>
    <row r="143" ht="15.75" hidden="1" customHeight="1">
      <c r="A143" s="89"/>
      <c r="B143" s="89"/>
      <c r="C143" s="223"/>
      <c r="D143" s="223"/>
      <c r="E143" s="223"/>
      <c r="F143" s="223"/>
      <c r="G143" s="223"/>
      <c r="H143" s="223"/>
      <c r="I143" s="223"/>
      <c r="J143" s="223"/>
      <c r="K143" s="223"/>
      <c r="L143" s="223"/>
      <c r="M143" s="223"/>
      <c r="N143" s="223"/>
    </row>
    <row r="144" ht="15.75" hidden="1" customHeight="1">
      <c r="A144" s="89"/>
      <c r="B144" s="89"/>
      <c r="C144" s="223"/>
      <c r="D144" s="223"/>
      <c r="E144" s="223"/>
      <c r="F144" s="223"/>
      <c r="G144" s="223"/>
      <c r="H144" s="223"/>
      <c r="I144" s="223"/>
      <c r="J144" s="223"/>
      <c r="K144" s="223"/>
      <c r="L144" s="223"/>
      <c r="M144" s="223"/>
      <c r="N144" s="223"/>
    </row>
    <row r="145" ht="15.75" hidden="1" customHeight="1">
      <c r="A145" s="89"/>
      <c r="B145" s="89"/>
      <c r="C145" s="223"/>
      <c r="D145" s="223"/>
      <c r="E145" s="223"/>
      <c r="F145" s="223"/>
      <c r="G145" s="223"/>
      <c r="H145" s="223"/>
      <c r="I145" s="223"/>
      <c r="J145" s="223"/>
      <c r="K145" s="223"/>
      <c r="L145" s="223"/>
      <c r="M145" s="223"/>
      <c r="N145" s="223"/>
    </row>
    <row r="146" ht="15.75" hidden="1" customHeight="1">
      <c r="A146" s="89"/>
      <c r="B146" s="89"/>
      <c r="C146" s="223"/>
      <c r="D146" s="223"/>
      <c r="E146" s="223"/>
      <c r="F146" s="223"/>
      <c r="G146" s="223"/>
      <c r="H146" s="223"/>
      <c r="I146" s="223"/>
      <c r="J146" s="223"/>
      <c r="K146" s="223"/>
      <c r="L146" s="223"/>
      <c r="M146" s="223"/>
      <c r="N146" s="223"/>
    </row>
    <row r="147" ht="15.75" hidden="1" customHeight="1">
      <c r="A147" s="89"/>
      <c r="B147" s="89"/>
      <c r="C147" s="223"/>
      <c r="D147" s="223"/>
      <c r="E147" s="223"/>
      <c r="F147" s="223"/>
      <c r="G147" s="223"/>
      <c r="H147" s="223"/>
      <c r="I147" s="223"/>
      <c r="J147" s="223"/>
      <c r="K147" s="223"/>
      <c r="L147" s="223"/>
      <c r="M147" s="223"/>
      <c r="N147" s="223"/>
    </row>
    <row r="148" ht="15.75" hidden="1" customHeight="1">
      <c r="A148" s="89"/>
      <c r="B148" s="89"/>
      <c r="C148" s="223"/>
      <c r="D148" s="223"/>
      <c r="E148" s="223"/>
      <c r="F148" s="223"/>
      <c r="G148" s="223"/>
      <c r="H148" s="223"/>
      <c r="I148" s="223"/>
      <c r="J148" s="223"/>
      <c r="K148" s="223"/>
      <c r="L148" s="223"/>
      <c r="M148" s="223"/>
      <c r="N148" s="223"/>
    </row>
    <row r="149" ht="15.75" hidden="1" customHeight="1">
      <c r="A149" s="89"/>
      <c r="B149" s="89"/>
      <c r="C149" s="223"/>
      <c r="D149" s="223"/>
      <c r="E149" s="223"/>
      <c r="F149" s="223"/>
      <c r="G149" s="223"/>
      <c r="H149" s="223"/>
      <c r="I149" s="223"/>
      <c r="J149" s="223"/>
      <c r="K149" s="223"/>
      <c r="L149" s="223"/>
      <c r="M149" s="223"/>
      <c r="N149" s="223"/>
    </row>
    <row r="150" ht="15.75" hidden="1" customHeight="1">
      <c r="A150" s="89"/>
      <c r="B150" s="89"/>
      <c r="C150" s="223"/>
      <c r="D150" s="223"/>
      <c r="E150" s="223"/>
      <c r="F150" s="223"/>
      <c r="G150" s="223"/>
      <c r="H150" s="223"/>
      <c r="I150" s="223"/>
      <c r="J150" s="223"/>
      <c r="K150" s="223"/>
      <c r="L150" s="223"/>
      <c r="M150" s="223"/>
      <c r="N150" s="223"/>
    </row>
    <row r="151" ht="15.75" hidden="1" customHeight="1">
      <c r="A151" s="89"/>
      <c r="B151" s="89"/>
      <c r="C151" s="223"/>
      <c r="D151" s="223"/>
      <c r="E151" s="223"/>
      <c r="F151" s="223"/>
      <c r="G151" s="223"/>
      <c r="H151" s="223"/>
      <c r="I151" s="223"/>
      <c r="J151" s="223"/>
      <c r="K151" s="223"/>
      <c r="L151" s="223"/>
      <c r="M151" s="223"/>
      <c r="N151" s="223"/>
    </row>
    <row r="152" ht="15.75" hidden="1" customHeight="1">
      <c r="A152" s="89"/>
      <c r="B152" s="89"/>
      <c r="C152" s="223"/>
      <c r="D152" s="223"/>
      <c r="E152" s="223"/>
      <c r="F152" s="223"/>
      <c r="G152" s="223"/>
      <c r="H152" s="223"/>
      <c r="I152" s="223"/>
      <c r="J152" s="223"/>
      <c r="K152" s="223"/>
      <c r="L152" s="223"/>
      <c r="M152" s="223"/>
      <c r="N152" s="223"/>
    </row>
    <row r="153" ht="15.75" hidden="1" customHeight="1">
      <c r="A153" s="89"/>
      <c r="B153" s="89"/>
      <c r="C153" s="223"/>
      <c r="D153" s="223"/>
      <c r="E153" s="223"/>
      <c r="F153" s="223"/>
      <c r="G153" s="223"/>
      <c r="H153" s="223"/>
      <c r="I153" s="223"/>
      <c r="J153" s="223"/>
      <c r="K153" s="223"/>
      <c r="L153" s="223"/>
      <c r="M153" s="223"/>
      <c r="N153" s="223"/>
    </row>
    <row r="154" ht="15.75" hidden="1" customHeight="1">
      <c r="A154" s="89"/>
      <c r="B154" s="89"/>
      <c r="C154" s="223"/>
      <c r="D154" s="223"/>
      <c r="E154" s="223"/>
      <c r="F154" s="223"/>
      <c r="G154" s="223"/>
      <c r="H154" s="223"/>
      <c r="I154" s="223"/>
      <c r="J154" s="223"/>
      <c r="K154" s="223"/>
      <c r="L154" s="223"/>
      <c r="M154" s="223"/>
      <c r="N154" s="223"/>
    </row>
    <row r="155" ht="15.75" hidden="1" customHeight="1">
      <c r="A155" s="89"/>
      <c r="B155" s="89"/>
      <c r="C155" s="223"/>
      <c r="D155" s="223"/>
      <c r="E155" s="223"/>
      <c r="F155" s="223"/>
      <c r="G155" s="223"/>
      <c r="H155" s="223"/>
      <c r="I155" s="223"/>
      <c r="J155" s="223"/>
      <c r="K155" s="223"/>
      <c r="L155" s="223"/>
      <c r="M155" s="223"/>
      <c r="N155" s="223"/>
    </row>
    <row r="156" ht="15.75" hidden="1" customHeight="1">
      <c r="A156" s="89"/>
      <c r="B156" s="89"/>
      <c r="C156" s="223"/>
      <c r="D156" s="223"/>
      <c r="E156" s="223"/>
      <c r="F156" s="223"/>
      <c r="G156" s="223"/>
      <c r="H156" s="223"/>
      <c r="I156" s="223"/>
      <c r="J156" s="223"/>
      <c r="K156" s="223"/>
      <c r="L156" s="223"/>
      <c r="M156" s="223"/>
      <c r="N156" s="223"/>
    </row>
    <row r="157" ht="15.75" hidden="1" customHeight="1">
      <c r="A157" s="89"/>
      <c r="B157" s="89"/>
      <c r="C157" s="223"/>
      <c r="D157" s="223"/>
      <c r="E157" s="223"/>
      <c r="F157" s="223"/>
      <c r="G157" s="223"/>
      <c r="H157" s="223"/>
      <c r="I157" s="223"/>
      <c r="J157" s="223"/>
      <c r="K157" s="223"/>
      <c r="L157" s="223"/>
      <c r="M157" s="223"/>
      <c r="N157" s="223"/>
    </row>
    <row r="158" ht="15.75" hidden="1" customHeight="1">
      <c r="A158" s="89"/>
      <c r="B158" s="89"/>
      <c r="C158" s="223"/>
      <c r="D158" s="223"/>
      <c r="E158" s="223"/>
      <c r="F158" s="223"/>
      <c r="G158" s="223"/>
      <c r="H158" s="223"/>
      <c r="I158" s="223"/>
      <c r="J158" s="223"/>
      <c r="K158" s="223"/>
      <c r="L158" s="223"/>
      <c r="M158" s="223"/>
      <c r="N158" s="223"/>
    </row>
    <row r="159" ht="15.75" hidden="1" customHeight="1">
      <c r="A159" s="89"/>
      <c r="B159" s="89"/>
      <c r="C159" s="223"/>
      <c r="D159" s="223"/>
      <c r="E159" s="223"/>
      <c r="F159" s="223"/>
      <c r="G159" s="223"/>
      <c r="H159" s="223"/>
      <c r="I159" s="223"/>
      <c r="J159" s="223"/>
      <c r="K159" s="223"/>
      <c r="L159" s="223"/>
      <c r="M159" s="223"/>
      <c r="N159" s="223"/>
    </row>
    <row r="160" ht="15.75" hidden="1" customHeight="1">
      <c r="A160" s="89"/>
      <c r="B160" s="89"/>
      <c r="C160" s="223"/>
      <c r="D160" s="223"/>
      <c r="E160" s="223"/>
      <c r="F160" s="223"/>
      <c r="G160" s="223"/>
      <c r="H160" s="223"/>
      <c r="I160" s="223"/>
      <c r="J160" s="223"/>
      <c r="K160" s="223"/>
      <c r="L160" s="223"/>
      <c r="M160" s="223"/>
      <c r="N160" s="223"/>
    </row>
    <row r="161" ht="15.75" hidden="1" customHeight="1">
      <c r="A161" s="89"/>
      <c r="B161" s="89"/>
      <c r="C161" s="223"/>
      <c r="D161" s="223"/>
      <c r="E161" s="223"/>
      <c r="F161" s="223"/>
      <c r="G161" s="223"/>
      <c r="H161" s="223"/>
      <c r="I161" s="223"/>
      <c r="J161" s="223"/>
      <c r="K161" s="223"/>
      <c r="L161" s="223"/>
      <c r="M161" s="223"/>
      <c r="N161" s="223"/>
    </row>
    <row r="162" ht="15.75" hidden="1" customHeight="1">
      <c r="A162" s="89"/>
      <c r="B162" s="89"/>
      <c r="C162" s="223"/>
      <c r="D162" s="223"/>
      <c r="E162" s="223"/>
      <c r="F162" s="223"/>
      <c r="G162" s="223"/>
      <c r="H162" s="223"/>
      <c r="I162" s="223"/>
      <c r="J162" s="223"/>
      <c r="K162" s="223"/>
      <c r="L162" s="223"/>
      <c r="M162" s="223"/>
      <c r="N162" s="223"/>
    </row>
    <row r="163" ht="15.75" hidden="1" customHeight="1">
      <c r="A163" s="89"/>
      <c r="B163" s="89"/>
      <c r="C163" s="223"/>
      <c r="D163" s="223"/>
      <c r="E163" s="223"/>
      <c r="F163" s="223"/>
      <c r="G163" s="223"/>
      <c r="H163" s="223"/>
      <c r="I163" s="223"/>
      <c r="J163" s="223"/>
      <c r="K163" s="223"/>
      <c r="L163" s="223"/>
      <c r="M163" s="223"/>
      <c r="N163" s="223"/>
    </row>
    <row r="164" ht="15.75" hidden="1" customHeight="1">
      <c r="A164" s="89"/>
      <c r="B164" s="89"/>
      <c r="C164" s="223"/>
      <c r="D164" s="223"/>
      <c r="E164" s="223"/>
      <c r="F164" s="223"/>
      <c r="G164" s="223"/>
      <c r="H164" s="223"/>
      <c r="I164" s="223"/>
      <c r="J164" s="223"/>
      <c r="K164" s="223"/>
      <c r="L164" s="223"/>
      <c r="M164" s="223"/>
      <c r="N164" s="223"/>
    </row>
    <row r="165" ht="15.75" hidden="1" customHeight="1">
      <c r="A165" s="89"/>
      <c r="B165" s="89"/>
      <c r="C165" s="223"/>
      <c r="D165" s="223"/>
      <c r="E165" s="223"/>
      <c r="F165" s="223"/>
      <c r="G165" s="223"/>
      <c r="H165" s="223"/>
      <c r="I165" s="223"/>
      <c r="J165" s="223"/>
      <c r="K165" s="223"/>
      <c r="L165" s="223"/>
      <c r="M165" s="223"/>
      <c r="N165" s="223"/>
    </row>
    <row r="166" ht="15.75" hidden="1" customHeight="1">
      <c r="A166" s="89"/>
      <c r="B166" s="89"/>
      <c r="C166" s="223"/>
      <c r="D166" s="223"/>
      <c r="E166" s="223"/>
      <c r="F166" s="223"/>
      <c r="G166" s="223"/>
      <c r="H166" s="223"/>
      <c r="I166" s="223"/>
      <c r="J166" s="223"/>
      <c r="K166" s="223"/>
      <c r="L166" s="223"/>
      <c r="M166" s="223"/>
      <c r="N166" s="223"/>
    </row>
    <row r="167" ht="15.75" hidden="1" customHeight="1">
      <c r="A167" s="89"/>
      <c r="B167" s="89"/>
      <c r="C167" s="223"/>
      <c r="D167" s="223"/>
      <c r="E167" s="223"/>
      <c r="F167" s="223"/>
      <c r="G167" s="223"/>
      <c r="H167" s="223"/>
      <c r="I167" s="223"/>
      <c r="J167" s="223"/>
      <c r="K167" s="223"/>
      <c r="L167" s="223"/>
      <c r="M167" s="223"/>
      <c r="N167" s="223"/>
    </row>
    <row r="168" ht="15.75" hidden="1" customHeight="1">
      <c r="A168" s="89"/>
      <c r="B168" s="89"/>
      <c r="C168" s="223"/>
      <c r="D168" s="223"/>
      <c r="E168" s="223"/>
      <c r="F168" s="223"/>
      <c r="G168" s="223"/>
      <c r="H168" s="223"/>
      <c r="I168" s="223"/>
      <c r="J168" s="223"/>
      <c r="K168" s="223"/>
      <c r="L168" s="223"/>
      <c r="M168" s="223"/>
      <c r="N168" s="223"/>
    </row>
    <row r="169" ht="15.75" hidden="1" customHeight="1">
      <c r="A169" s="89"/>
      <c r="B169" s="89"/>
      <c r="C169" s="223"/>
      <c r="D169" s="223"/>
      <c r="E169" s="223"/>
      <c r="F169" s="223"/>
      <c r="G169" s="223"/>
      <c r="H169" s="223"/>
      <c r="I169" s="223"/>
      <c r="J169" s="223"/>
      <c r="K169" s="223"/>
      <c r="L169" s="223"/>
      <c r="M169" s="223"/>
      <c r="N169" s="223"/>
    </row>
    <row r="170" ht="15.75" hidden="1" customHeight="1">
      <c r="A170" s="89"/>
      <c r="B170" s="89"/>
      <c r="C170" s="223"/>
      <c r="D170" s="223"/>
      <c r="E170" s="223"/>
      <c r="F170" s="223"/>
      <c r="G170" s="223"/>
      <c r="H170" s="223"/>
      <c r="I170" s="223"/>
      <c r="J170" s="223"/>
      <c r="K170" s="223"/>
      <c r="L170" s="223"/>
      <c r="M170" s="223"/>
      <c r="N170" s="223"/>
    </row>
    <row r="171" ht="15.75" hidden="1" customHeight="1">
      <c r="A171" s="89"/>
      <c r="B171" s="89"/>
      <c r="C171" s="223"/>
      <c r="D171" s="223"/>
      <c r="E171" s="223"/>
      <c r="F171" s="223"/>
      <c r="G171" s="223"/>
      <c r="H171" s="223"/>
      <c r="I171" s="223"/>
      <c r="J171" s="223"/>
      <c r="K171" s="223"/>
      <c r="L171" s="223"/>
      <c r="M171" s="223"/>
      <c r="N171" s="223"/>
    </row>
    <row r="172" ht="15.75" hidden="1" customHeight="1">
      <c r="A172" s="89"/>
      <c r="B172" s="89"/>
      <c r="C172" s="223"/>
      <c r="D172" s="223"/>
      <c r="E172" s="223"/>
      <c r="F172" s="223"/>
      <c r="G172" s="223"/>
      <c r="H172" s="223"/>
      <c r="I172" s="223"/>
      <c r="J172" s="223"/>
      <c r="K172" s="223"/>
      <c r="L172" s="223"/>
      <c r="M172" s="223"/>
      <c r="N172" s="223"/>
    </row>
    <row r="173" ht="15.75" hidden="1" customHeight="1">
      <c r="A173" s="89"/>
      <c r="B173" s="89"/>
      <c r="C173" s="223"/>
      <c r="D173" s="223"/>
      <c r="E173" s="223"/>
      <c r="F173" s="223"/>
      <c r="G173" s="223"/>
      <c r="H173" s="223"/>
      <c r="I173" s="223"/>
      <c r="J173" s="223"/>
      <c r="K173" s="223"/>
      <c r="L173" s="223"/>
      <c r="M173" s="223"/>
      <c r="N173" s="223"/>
    </row>
    <row r="174" ht="15.75" hidden="1" customHeight="1">
      <c r="A174" s="89"/>
      <c r="B174" s="89"/>
      <c r="C174" s="223"/>
      <c r="D174" s="223"/>
      <c r="E174" s="223"/>
      <c r="F174" s="223"/>
      <c r="G174" s="223"/>
      <c r="H174" s="223"/>
      <c r="I174" s="223"/>
      <c r="J174" s="223"/>
      <c r="K174" s="223"/>
      <c r="L174" s="223"/>
      <c r="M174" s="223"/>
      <c r="N174" s="223"/>
    </row>
    <row r="175" ht="15.75" hidden="1" customHeight="1">
      <c r="A175" s="89"/>
      <c r="B175" s="89"/>
      <c r="C175" s="223"/>
      <c r="D175" s="223"/>
      <c r="E175" s="223"/>
      <c r="F175" s="223"/>
      <c r="G175" s="223"/>
      <c r="H175" s="223"/>
      <c r="I175" s="223"/>
      <c r="J175" s="223"/>
      <c r="K175" s="223"/>
      <c r="L175" s="223"/>
      <c r="M175" s="223"/>
      <c r="N175" s="223"/>
    </row>
    <row r="176" ht="15.75" hidden="1" customHeight="1">
      <c r="A176" s="89"/>
      <c r="B176" s="89"/>
      <c r="C176" s="223"/>
      <c r="D176" s="223"/>
      <c r="E176" s="223"/>
      <c r="F176" s="223"/>
      <c r="G176" s="223"/>
      <c r="H176" s="223"/>
      <c r="I176" s="223"/>
      <c r="J176" s="223"/>
      <c r="K176" s="223"/>
      <c r="L176" s="223"/>
      <c r="M176" s="223"/>
      <c r="N176" s="223"/>
    </row>
    <row r="177" ht="15.75" hidden="1" customHeight="1">
      <c r="A177" s="89"/>
      <c r="B177" s="89"/>
      <c r="C177" s="223"/>
      <c r="D177" s="223"/>
      <c r="E177" s="223"/>
      <c r="F177" s="223"/>
      <c r="G177" s="223"/>
      <c r="H177" s="223"/>
      <c r="I177" s="223"/>
      <c r="J177" s="223"/>
      <c r="K177" s="223"/>
      <c r="L177" s="223"/>
      <c r="M177" s="223"/>
      <c r="N177" s="223"/>
    </row>
    <row r="178" ht="15.75" hidden="1" customHeight="1">
      <c r="A178" s="89"/>
      <c r="B178" s="89"/>
      <c r="C178" s="223"/>
      <c r="D178" s="223"/>
      <c r="E178" s="223"/>
      <c r="F178" s="223"/>
      <c r="G178" s="223"/>
      <c r="H178" s="223"/>
      <c r="I178" s="223"/>
      <c r="J178" s="223"/>
      <c r="K178" s="223"/>
      <c r="L178" s="223"/>
      <c r="M178" s="223"/>
      <c r="N178" s="223"/>
    </row>
    <row r="179" ht="15.75" hidden="1" customHeight="1">
      <c r="A179" s="89"/>
      <c r="B179" s="89"/>
      <c r="C179" s="223"/>
      <c r="D179" s="223"/>
      <c r="E179" s="223"/>
      <c r="F179" s="223"/>
      <c r="G179" s="223"/>
      <c r="H179" s="223"/>
      <c r="I179" s="223"/>
      <c r="J179" s="223"/>
      <c r="K179" s="223"/>
      <c r="L179" s="223"/>
      <c r="M179" s="223"/>
      <c r="N179" s="223"/>
    </row>
    <row r="180" ht="15.75" hidden="1" customHeight="1">
      <c r="A180" s="89"/>
      <c r="B180" s="89"/>
      <c r="C180" s="223"/>
      <c r="D180" s="223"/>
      <c r="E180" s="223"/>
      <c r="F180" s="223"/>
      <c r="G180" s="223"/>
      <c r="H180" s="223"/>
      <c r="I180" s="223"/>
      <c r="J180" s="223"/>
      <c r="K180" s="223"/>
      <c r="L180" s="223"/>
      <c r="M180" s="223"/>
      <c r="N180" s="223"/>
    </row>
    <row r="181" ht="15.75" hidden="1" customHeight="1">
      <c r="A181" s="89"/>
      <c r="B181" s="89"/>
      <c r="C181" s="223"/>
      <c r="D181" s="223"/>
      <c r="E181" s="223"/>
      <c r="F181" s="223"/>
      <c r="G181" s="223"/>
      <c r="H181" s="223"/>
      <c r="I181" s="223"/>
      <c r="J181" s="223"/>
      <c r="K181" s="223"/>
      <c r="L181" s="223"/>
      <c r="M181" s="223"/>
      <c r="N181" s="223"/>
    </row>
    <row r="182" ht="15.75" hidden="1" customHeight="1">
      <c r="A182" s="89"/>
      <c r="B182" s="89"/>
      <c r="C182" s="223"/>
      <c r="D182" s="223"/>
      <c r="E182" s="223"/>
      <c r="F182" s="223"/>
      <c r="G182" s="223"/>
      <c r="H182" s="223"/>
      <c r="I182" s="223"/>
      <c r="J182" s="223"/>
      <c r="K182" s="223"/>
      <c r="L182" s="223"/>
      <c r="M182" s="223"/>
      <c r="N182" s="223"/>
    </row>
    <row r="183" ht="15.75" hidden="1" customHeight="1">
      <c r="A183" s="89"/>
      <c r="B183" s="89"/>
      <c r="C183" s="223"/>
      <c r="D183" s="223"/>
      <c r="E183" s="223"/>
      <c r="F183" s="223"/>
      <c r="G183" s="223"/>
      <c r="H183" s="223"/>
      <c r="I183" s="223"/>
      <c r="J183" s="223"/>
      <c r="K183" s="223"/>
      <c r="L183" s="223"/>
      <c r="M183" s="223"/>
      <c r="N183" s="223"/>
    </row>
    <row r="184" ht="15.75" hidden="1" customHeight="1">
      <c r="A184" s="89"/>
      <c r="B184" s="89"/>
      <c r="C184" s="223"/>
      <c r="D184" s="223"/>
      <c r="E184" s="223"/>
      <c r="F184" s="223"/>
      <c r="G184" s="223"/>
      <c r="H184" s="223"/>
      <c r="I184" s="223"/>
      <c r="J184" s="223"/>
      <c r="K184" s="223"/>
      <c r="L184" s="223"/>
      <c r="M184" s="223"/>
      <c r="N184" s="223"/>
    </row>
    <row r="185" ht="15.75" hidden="1" customHeight="1">
      <c r="A185" s="89"/>
      <c r="B185" s="89"/>
      <c r="C185" s="223"/>
      <c r="D185" s="223"/>
      <c r="E185" s="223"/>
      <c r="F185" s="223"/>
      <c r="G185" s="223"/>
      <c r="H185" s="223"/>
      <c r="I185" s="223"/>
      <c r="J185" s="223"/>
      <c r="K185" s="223"/>
      <c r="L185" s="223"/>
      <c r="M185" s="223"/>
      <c r="N185" s="223"/>
    </row>
    <row r="186" ht="15.75" hidden="1" customHeight="1">
      <c r="A186" s="89"/>
      <c r="B186" s="89"/>
      <c r="C186" s="223"/>
      <c r="D186" s="223"/>
      <c r="E186" s="223"/>
      <c r="F186" s="223"/>
      <c r="G186" s="223"/>
      <c r="H186" s="223"/>
      <c r="I186" s="223"/>
      <c r="J186" s="223"/>
      <c r="K186" s="223"/>
      <c r="L186" s="223"/>
      <c r="M186" s="223"/>
      <c r="N186" s="223"/>
    </row>
    <row r="187" ht="15.75" hidden="1" customHeight="1">
      <c r="A187" s="89"/>
      <c r="B187" s="89"/>
      <c r="C187" s="223"/>
      <c r="D187" s="223"/>
      <c r="E187" s="223"/>
      <c r="F187" s="223"/>
      <c r="G187" s="223"/>
      <c r="H187" s="223"/>
      <c r="I187" s="223"/>
      <c r="J187" s="223"/>
      <c r="K187" s="223"/>
      <c r="L187" s="223"/>
      <c r="M187" s="223"/>
      <c r="N187" s="223"/>
    </row>
    <row r="188" ht="15.75" hidden="1" customHeight="1">
      <c r="A188" s="89"/>
      <c r="B188" s="89"/>
      <c r="C188" s="223"/>
      <c r="D188" s="223"/>
      <c r="E188" s="223"/>
      <c r="F188" s="223"/>
      <c r="G188" s="223"/>
      <c r="H188" s="223"/>
      <c r="I188" s="223"/>
      <c r="J188" s="223"/>
      <c r="K188" s="223"/>
      <c r="L188" s="223"/>
      <c r="M188" s="223"/>
      <c r="N188" s="223"/>
    </row>
    <row r="189" ht="15.75" hidden="1" customHeight="1">
      <c r="A189" s="89"/>
      <c r="B189" s="89"/>
      <c r="C189" s="223"/>
      <c r="D189" s="223"/>
      <c r="E189" s="223"/>
      <c r="F189" s="223"/>
      <c r="G189" s="223"/>
      <c r="H189" s="223"/>
      <c r="I189" s="223"/>
      <c r="J189" s="223"/>
      <c r="K189" s="223"/>
      <c r="L189" s="223"/>
      <c r="M189" s="223"/>
      <c r="N189" s="223"/>
    </row>
    <row r="190" ht="15.75" hidden="1" customHeight="1">
      <c r="A190" s="89"/>
      <c r="B190" s="89"/>
      <c r="C190" s="223"/>
      <c r="D190" s="223"/>
      <c r="E190" s="223"/>
      <c r="F190" s="223"/>
      <c r="G190" s="223"/>
      <c r="H190" s="223"/>
      <c r="I190" s="223"/>
      <c r="J190" s="223"/>
      <c r="K190" s="223"/>
      <c r="L190" s="223"/>
      <c r="M190" s="223"/>
      <c r="N190" s="223"/>
    </row>
    <row r="191" ht="15.75" hidden="1" customHeight="1">
      <c r="A191" s="89"/>
      <c r="B191" s="89"/>
      <c r="C191" s="223"/>
      <c r="D191" s="223"/>
      <c r="E191" s="223"/>
      <c r="F191" s="223"/>
      <c r="G191" s="223"/>
      <c r="H191" s="223"/>
      <c r="I191" s="223"/>
      <c r="J191" s="223"/>
      <c r="K191" s="223"/>
      <c r="L191" s="223"/>
      <c r="M191" s="223"/>
      <c r="N191" s="223"/>
    </row>
    <row r="192" ht="15.75" hidden="1" customHeight="1">
      <c r="A192" s="89"/>
      <c r="B192" s="89"/>
      <c r="C192" s="223"/>
      <c r="D192" s="223"/>
      <c r="E192" s="223"/>
      <c r="F192" s="223"/>
      <c r="G192" s="223"/>
      <c r="H192" s="223"/>
      <c r="I192" s="223"/>
      <c r="J192" s="223"/>
      <c r="K192" s="223"/>
      <c r="L192" s="223"/>
      <c r="M192" s="223"/>
      <c r="N192" s="223"/>
    </row>
    <row r="193" ht="15.75" hidden="1" customHeight="1">
      <c r="A193" s="89"/>
      <c r="B193" s="89"/>
      <c r="C193" s="223"/>
      <c r="D193" s="223"/>
      <c r="E193" s="223"/>
      <c r="F193" s="223"/>
      <c r="G193" s="223"/>
      <c r="H193" s="223"/>
      <c r="I193" s="223"/>
      <c r="J193" s="223"/>
      <c r="K193" s="223"/>
      <c r="L193" s="223"/>
      <c r="M193" s="223"/>
      <c r="N193" s="223"/>
    </row>
    <row r="194" ht="15.75" hidden="1" customHeight="1">
      <c r="A194" s="89"/>
      <c r="B194" s="89"/>
      <c r="C194" s="223"/>
      <c r="D194" s="223"/>
      <c r="E194" s="223"/>
      <c r="F194" s="223"/>
      <c r="G194" s="223"/>
      <c r="H194" s="223"/>
      <c r="I194" s="223"/>
      <c r="J194" s="223"/>
      <c r="K194" s="223"/>
      <c r="L194" s="223"/>
      <c r="M194" s="223"/>
      <c r="N194" s="223"/>
    </row>
    <row r="195" ht="15.75" hidden="1" customHeight="1">
      <c r="A195" s="89"/>
      <c r="B195" s="89"/>
      <c r="C195" s="223"/>
      <c r="D195" s="223"/>
      <c r="E195" s="223"/>
      <c r="F195" s="223"/>
      <c r="G195" s="223"/>
      <c r="H195" s="223"/>
      <c r="I195" s="223"/>
      <c r="J195" s="223"/>
      <c r="K195" s="223"/>
      <c r="L195" s="223"/>
      <c r="M195" s="223"/>
      <c r="N195" s="223"/>
    </row>
    <row r="196" ht="15.75" hidden="1" customHeight="1">
      <c r="A196" s="89"/>
      <c r="B196" s="89"/>
      <c r="C196" s="223"/>
      <c r="D196" s="223"/>
      <c r="E196" s="223"/>
      <c r="F196" s="223"/>
      <c r="G196" s="223"/>
      <c r="H196" s="223"/>
      <c r="I196" s="223"/>
      <c r="J196" s="223"/>
      <c r="K196" s="223"/>
      <c r="L196" s="223"/>
      <c r="M196" s="223"/>
      <c r="N196" s="223"/>
    </row>
    <row r="197" ht="15.75" hidden="1" customHeight="1">
      <c r="A197" s="89"/>
      <c r="B197" s="89"/>
      <c r="C197" s="223"/>
      <c r="D197" s="223"/>
      <c r="E197" s="223"/>
      <c r="F197" s="223"/>
      <c r="G197" s="223"/>
      <c r="H197" s="223"/>
      <c r="I197" s="223"/>
      <c r="J197" s="223"/>
      <c r="K197" s="223"/>
      <c r="L197" s="223"/>
      <c r="M197" s="223"/>
      <c r="N197" s="223"/>
    </row>
    <row r="198" ht="15.75" hidden="1" customHeight="1">
      <c r="A198" s="89"/>
      <c r="B198" s="89"/>
      <c r="C198" s="223"/>
      <c r="D198" s="223"/>
      <c r="E198" s="223"/>
      <c r="F198" s="223"/>
      <c r="G198" s="223"/>
      <c r="H198" s="223"/>
      <c r="I198" s="223"/>
      <c r="J198" s="223"/>
      <c r="K198" s="223"/>
      <c r="L198" s="223"/>
      <c r="M198" s="223"/>
      <c r="N198" s="223"/>
    </row>
    <row r="199" ht="15.75" hidden="1" customHeight="1">
      <c r="A199" s="89"/>
      <c r="B199" s="89"/>
      <c r="C199" s="223"/>
      <c r="D199" s="223"/>
      <c r="E199" s="223"/>
      <c r="F199" s="223"/>
      <c r="G199" s="223"/>
      <c r="H199" s="223"/>
      <c r="I199" s="223"/>
      <c r="J199" s="223"/>
      <c r="K199" s="223"/>
      <c r="L199" s="223"/>
      <c r="M199" s="223"/>
      <c r="N199" s="223"/>
    </row>
    <row r="200" ht="15.75" hidden="1" customHeight="1">
      <c r="A200" s="89"/>
      <c r="B200" s="89"/>
      <c r="C200" s="223"/>
      <c r="D200" s="223"/>
      <c r="E200" s="223"/>
      <c r="F200" s="223"/>
      <c r="G200" s="223"/>
      <c r="H200" s="223"/>
      <c r="I200" s="223"/>
      <c r="J200" s="223"/>
      <c r="K200" s="223"/>
      <c r="L200" s="223"/>
      <c r="M200" s="223"/>
      <c r="N200" s="223"/>
    </row>
    <row r="201" ht="15.75" hidden="1" customHeight="1">
      <c r="A201" s="89"/>
      <c r="B201" s="89"/>
      <c r="C201" s="223"/>
      <c r="D201" s="223"/>
      <c r="E201" s="223"/>
      <c r="F201" s="223"/>
      <c r="G201" s="223"/>
      <c r="H201" s="223"/>
      <c r="I201" s="223"/>
      <c r="J201" s="223"/>
      <c r="K201" s="223"/>
      <c r="L201" s="223"/>
      <c r="M201" s="223"/>
      <c r="N201" s="223"/>
    </row>
    <row r="202" ht="15.75" hidden="1" customHeight="1">
      <c r="A202" s="89"/>
      <c r="B202" s="89"/>
      <c r="C202" s="223"/>
      <c r="D202" s="223"/>
      <c r="E202" s="223"/>
      <c r="F202" s="223"/>
      <c r="G202" s="223"/>
      <c r="H202" s="223"/>
      <c r="I202" s="223"/>
      <c r="J202" s="223"/>
      <c r="K202" s="223"/>
      <c r="L202" s="223"/>
      <c r="M202" s="223"/>
      <c r="N202" s="223"/>
    </row>
    <row r="203" ht="15.75" hidden="1" customHeight="1">
      <c r="A203" s="89"/>
      <c r="B203" s="89"/>
      <c r="C203" s="223"/>
      <c r="D203" s="223"/>
      <c r="E203" s="223"/>
      <c r="F203" s="223"/>
      <c r="G203" s="223"/>
      <c r="H203" s="223"/>
      <c r="I203" s="223"/>
      <c r="J203" s="223"/>
      <c r="K203" s="223"/>
      <c r="L203" s="223"/>
      <c r="M203" s="223"/>
      <c r="N203" s="223"/>
    </row>
    <row r="204" ht="15.75" hidden="1" customHeight="1">
      <c r="A204" s="89"/>
      <c r="B204" s="89"/>
      <c r="C204" s="223"/>
      <c r="D204" s="223"/>
      <c r="E204" s="223"/>
      <c r="F204" s="223"/>
      <c r="G204" s="223"/>
      <c r="H204" s="223"/>
      <c r="I204" s="223"/>
      <c r="J204" s="223"/>
      <c r="K204" s="223"/>
      <c r="L204" s="223"/>
      <c r="M204" s="223"/>
      <c r="N204" s="223"/>
    </row>
    <row r="205" ht="15.75" hidden="1" customHeight="1">
      <c r="A205" s="89"/>
      <c r="B205" s="89"/>
      <c r="C205" s="223"/>
      <c r="D205" s="223"/>
      <c r="E205" s="223"/>
      <c r="F205" s="223"/>
      <c r="G205" s="223"/>
      <c r="H205" s="223"/>
      <c r="I205" s="223"/>
      <c r="J205" s="223"/>
      <c r="K205" s="223"/>
      <c r="L205" s="223"/>
      <c r="M205" s="223"/>
      <c r="N205" s="223"/>
    </row>
    <row r="206" ht="15.75" hidden="1" customHeight="1">
      <c r="A206" s="89"/>
      <c r="B206" s="89"/>
      <c r="C206" s="223"/>
      <c r="D206" s="223"/>
      <c r="E206" s="223"/>
      <c r="F206" s="223"/>
      <c r="G206" s="223"/>
      <c r="H206" s="223"/>
      <c r="I206" s="223"/>
      <c r="J206" s="223"/>
      <c r="K206" s="223"/>
      <c r="L206" s="223"/>
      <c r="M206" s="223"/>
      <c r="N206" s="223"/>
    </row>
    <row r="207" ht="15.75" hidden="1" customHeight="1">
      <c r="A207" s="89"/>
      <c r="B207" s="89"/>
      <c r="C207" s="223"/>
      <c r="D207" s="223"/>
      <c r="E207" s="223"/>
      <c r="F207" s="223"/>
      <c r="G207" s="223"/>
      <c r="H207" s="223"/>
      <c r="I207" s="223"/>
      <c r="J207" s="223"/>
      <c r="K207" s="223"/>
      <c r="L207" s="223"/>
      <c r="M207" s="223"/>
      <c r="N207" s="223"/>
    </row>
    <row r="208" ht="15.75" hidden="1" customHeight="1">
      <c r="A208" s="89"/>
      <c r="B208" s="89"/>
      <c r="C208" s="223"/>
      <c r="D208" s="223"/>
      <c r="E208" s="223"/>
      <c r="F208" s="223"/>
      <c r="G208" s="223"/>
      <c r="H208" s="223"/>
      <c r="I208" s="223"/>
      <c r="J208" s="223"/>
      <c r="K208" s="223"/>
      <c r="L208" s="223"/>
      <c r="M208" s="223"/>
      <c r="N208" s="223"/>
    </row>
    <row r="209" ht="15.75" hidden="1" customHeight="1">
      <c r="A209" s="89"/>
      <c r="B209" s="89"/>
      <c r="C209" s="223"/>
      <c r="D209" s="223"/>
      <c r="E209" s="223"/>
      <c r="F209" s="223"/>
      <c r="G209" s="223"/>
      <c r="H209" s="223"/>
      <c r="I209" s="223"/>
      <c r="J209" s="223"/>
      <c r="K209" s="223"/>
      <c r="L209" s="223"/>
      <c r="M209" s="223"/>
      <c r="N209" s="223"/>
    </row>
    <row r="210" ht="15.75" hidden="1" customHeight="1">
      <c r="A210" s="89"/>
      <c r="B210" s="89"/>
      <c r="C210" s="223"/>
      <c r="D210" s="223"/>
      <c r="E210" s="223"/>
      <c r="F210" s="223"/>
      <c r="G210" s="223"/>
      <c r="H210" s="223"/>
      <c r="I210" s="223"/>
      <c r="J210" s="223"/>
      <c r="K210" s="223"/>
      <c r="L210" s="223"/>
      <c r="M210" s="223"/>
      <c r="N210" s="223"/>
    </row>
    <row r="211" ht="15.75" hidden="1" customHeight="1">
      <c r="A211" s="89"/>
      <c r="B211" s="89"/>
      <c r="C211" s="223"/>
      <c r="D211" s="223"/>
      <c r="E211" s="223"/>
      <c r="F211" s="223"/>
      <c r="G211" s="223"/>
      <c r="H211" s="223"/>
      <c r="I211" s="223"/>
      <c r="J211" s="223"/>
      <c r="K211" s="223"/>
      <c r="L211" s="223"/>
      <c r="M211" s="223"/>
      <c r="N211" s="223"/>
    </row>
    <row r="212" ht="15.75" hidden="1" customHeight="1">
      <c r="A212" s="89"/>
      <c r="B212" s="89"/>
      <c r="C212" s="223"/>
      <c r="D212" s="223"/>
      <c r="E212" s="223"/>
      <c r="F212" s="223"/>
      <c r="G212" s="223"/>
      <c r="H212" s="223"/>
      <c r="I212" s="223"/>
      <c r="J212" s="223"/>
      <c r="K212" s="223"/>
      <c r="L212" s="223"/>
      <c r="M212" s="223"/>
      <c r="N212" s="223"/>
    </row>
    <row r="213" ht="15.75" hidden="1" customHeight="1">
      <c r="A213" s="89"/>
      <c r="B213" s="89"/>
      <c r="C213" s="223"/>
      <c r="D213" s="223"/>
      <c r="E213" s="223"/>
      <c r="F213" s="223"/>
      <c r="G213" s="223"/>
      <c r="H213" s="223"/>
      <c r="I213" s="223"/>
      <c r="J213" s="223"/>
      <c r="K213" s="223"/>
      <c r="L213" s="223"/>
      <c r="M213" s="223"/>
      <c r="N213" s="223"/>
    </row>
    <row r="214" ht="15.75" hidden="1" customHeight="1">
      <c r="A214" s="89"/>
      <c r="B214" s="89"/>
      <c r="C214" s="223"/>
      <c r="D214" s="223"/>
      <c r="E214" s="223"/>
      <c r="F214" s="223"/>
      <c r="G214" s="223"/>
      <c r="H214" s="223"/>
      <c r="I214" s="223"/>
      <c r="J214" s="223"/>
      <c r="K214" s="223"/>
      <c r="L214" s="223"/>
      <c r="M214" s="223"/>
      <c r="N214" s="223"/>
    </row>
    <row r="215" ht="15.75" hidden="1" customHeight="1">
      <c r="A215" s="89"/>
      <c r="B215" s="89"/>
      <c r="C215" s="223"/>
      <c r="D215" s="223"/>
      <c r="E215" s="223"/>
      <c r="F215" s="223"/>
      <c r="G215" s="223"/>
      <c r="H215" s="223"/>
      <c r="I215" s="223"/>
      <c r="J215" s="223"/>
      <c r="K215" s="223"/>
      <c r="L215" s="223"/>
      <c r="M215" s="223"/>
      <c r="N215" s="223"/>
    </row>
    <row r="216" ht="15.75" hidden="1" customHeight="1">
      <c r="A216" s="89"/>
      <c r="B216" s="89"/>
      <c r="C216" s="223"/>
      <c r="D216" s="223"/>
      <c r="E216" s="223"/>
      <c r="F216" s="223"/>
      <c r="G216" s="223"/>
      <c r="H216" s="223"/>
      <c r="I216" s="223"/>
      <c r="J216" s="223"/>
      <c r="K216" s="223"/>
      <c r="L216" s="223"/>
      <c r="M216" s="223"/>
      <c r="N216" s="223"/>
    </row>
    <row r="217" ht="15.75" hidden="1" customHeight="1">
      <c r="A217" s="89"/>
      <c r="B217" s="89"/>
      <c r="C217" s="223"/>
      <c r="D217" s="223"/>
      <c r="E217" s="223"/>
      <c r="F217" s="223"/>
      <c r="G217" s="223"/>
      <c r="H217" s="223"/>
      <c r="I217" s="223"/>
      <c r="J217" s="223"/>
      <c r="K217" s="223"/>
      <c r="L217" s="223"/>
      <c r="M217" s="223"/>
      <c r="N217" s="223"/>
    </row>
    <row r="218" ht="15.75" hidden="1" customHeight="1">
      <c r="A218" s="89"/>
      <c r="B218" s="89"/>
      <c r="C218" s="223"/>
      <c r="D218" s="223"/>
      <c r="E218" s="223"/>
      <c r="F218" s="223"/>
      <c r="G218" s="223"/>
      <c r="H218" s="223"/>
      <c r="I218" s="223"/>
      <c r="J218" s="223"/>
      <c r="K218" s="223"/>
      <c r="L218" s="223"/>
      <c r="M218" s="223"/>
      <c r="N218" s="223"/>
    </row>
    <row r="219" ht="15.75" hidden="1" customHeight="1">
      <c r="A219" s="89"/>
      <c r="B219" s="89"/>
      <c r="C219" s="223"/>
      <c r="D219" s="223"/>
      <c r="E219" s="223"/>
      <c r="F219" s="223"/>
      <c r="G219" s="223"/>
      <c r="H219" s="223"/>
      <c r="I219" s="223"/>
      <c r="J219" s="223"/>
      <c r="K219" s="223"/>
      <c r="L219" s="223"/>
      <c r="M219" s="223"/>
      <c r="N219" s="223"/>
    </row>
    <row r="220" ht="15.75" hidden="1" customHeight="1">
      <c r="A220" s="89"/>
      <c r="B220" s="89"/>
      <c r="C220" s="223"/>
      <c r="D220" s="223"/>
      <c r="E220" s="223"/>
      <c r="F220" s="223"/>
      <c r="G220" s="223"/>
      <c r="H220" s="223"/>
      <c r="I220" s="223"/>
      <c r="J220" s="223"/>
      <c r="K220" s="223"/>
      <c r="L220" s="223"/>
      <c r="M220" s="223"/>
      <c r="N220" s="223"/>
    </row>
    <row r="221" ht="15.75" hidden="1" customHeight="1">
      <c r="A221" s="89"/>
      <c r="B221" s="89"/>
      <c r="C221" s="223"/>
      <c r="D221" s="223"/>
      <c r="E221" s="223"/>
      <c r="F221" s="223"/>
      <c r="G221" s="223"/>
      <c r="H221" s="223"/>
      <c r="I221" s="223"/>
      <c r="J221" s="223"/>
      <c r="K221" s="223"/>
      <c r="L221" s="223"/>
      <c r="M221" s="223"/>
      <c r="N221" s="223"/>
    </row>
    <row r="222" ht="15.75" hidden="1" customHeight="1">
      <c r="A222" s="89"/>
      <c r="B222" s="89"/>
      <c r="C222" s="223"/>
      <c r="D222" s="223"/>
      <c r="E222" s="223"/>
      <c r="F222" s="223"/>
      <c r="G222" s="223"/>
      <c r="H222" s="223"/>
      <c r="I222" s="223"/>
      <c r="J222" s="223"/>
      <c r="K222" s="223"/>
      <c r="L222" s="223"/>
      <c r="M222" s="223"/>
      <c r="N222" s="223"/>
    </row>
    <row r="223" ht="15.75" hidden="1" customHeight="1">
      <c r="A223" s="89"/>
      <c r="B223" s="89"/>
      <c r="C223" s="223"/>
      <c r="D223" s="223"/>
      <c r="E223" s="223"/>
      <c r="F223" s="223"/>
      <c r="G223" s="223"/>
      <c r="H223" s="223"/>
      <c r="I223" s="223"/>
      <c r="J223" s="223"/>
      <c r="K223" s="223"/>
      <c r="L223" s="223"/>
      <c r="M223" s="223"/>
      <c r="N223" s="223"/>
    </row>
    <row r="224" ht="15.75" hidden="1" customHeight="1">
      <c r="A224" s="89"/>
      <c r="B224" s="89"/>
      <c r="C224" s="223"/>
      <c r="D224" s="223"/>
      <c r="E224" s="223"/>
      <c r="F224" s="223"/>
      <c r="G224" s="223"/>
      <c r="H224" s="223"/>
      <c r="I224" s="223"/>
      <c r="J224" s="223"/>
      <c r="K224" s="223"/>
      <c r="L224" s="223"/>
      <c r="M224" s="223"/>
      <c r="N224" s="223"/>
    </row>
    <row r="225" ht="15.75" hidden="1" customHeight="1">
      <c r="A225" s="89"/>
      <c r="B225" s="89"/>
      <c r="C225" s="223"/>
      <c r="D225" s="223"/>
      <c r="E225" s="223"/>
      <c r="F225" s="223"/>
      <c r="G225" s="223"/>
      <c r="H225" s="223"/>
      <c r="I225" s="223"/>
      <c r="J225" s="223"/>
      <c r="K225" s="223"/>
      <c r="L225" s="223"/>
      <c r="M225" s="223"/>
      <c r="N225" s="223"/>
    </row>
    <row r="226" ht="15.75" hidden="1" customHeight="1">
      <c r="A226" s="89"/>
      <c r="B226" s="89"/>
      <c r="C226" s="223"/>
      <c r="D226" s="223"/>
      <c r="E226" s="223"/>
      <c r="F226" s="223"/>
      <c r="G226" s="223"/>
      <c r="H226" s="223"/>
      <c r="I226" s="223"/>
      <c r="J226" s="223"/>
      <c r="K226" s="223"/>
      <c r="L226" s="223"/>
      <c r="M226" s="223"/>
      <c r="N226" s="223"/>
    </row>
    <row r="227" ht="15.75" hidden="1" customHeight="1">
      <c r="A227" s="89"/>
      <c r="B227" s="89"/>
      <c r="C227" s="223"/>
      <c r="D227" s="223"/>
      <c r="E227" s="223"/>
      <c r="F227" s="223"/>
      <c r="G227" s="223"/>
      <c r="H227" s="223"/>
      <c r="I227" s="223"/>
      <c r="J227" s="223"/>
      <c r="K227" s="223"/>
      <c r="L227" s="223"/>
      <c r="M227" s="223"/>
      <c r="N227" s="223"/>
    </row>
    <row r="228" ht="15.75" hidden="1" customHeight="1">
      <c r="A228" s="89"/>
      <c r="B228" s="89"/>
      <c r="C228" s="223"/>
      <c r="D228" s="223"/>
      <c r="E228" s="223"/>
      <c r="F228" s="223"/>
      <c r="G228" s="223"/>
      <c r="H228" s="223"/>
      <c r="I228" s="223"/>
      <c r="J228" s="223"/>
      <c r="K228" s="223"/>
      <c r="L228" s="223"/>
      <c r="M228" s="223"/>
      <c r="N228" s="223"/>
    </row>
    <row r="229" ht="15.75" hidden="1" customHeight="1">
      <c r="A229" s="89"/>
      <c r="B229" s="89"/>
      <c r="C229" s="223"/>
      <c r="D229" s="223"/>
      <c r="E229" s="223"/>
      <c r="F229" s="223"/>
      <c r="G229" s="223"/>
      <c r="H229" s="223"/>
      <c r="I229" s="223"/>
      <c r="J229" s="223"/>
      <c r="K229" s="223"/>
      <c r="L229" s="223"/>
      <c r="M229" s="223"/>
      <c r="N229" s="223"/>
    </row>
    <row r="230" ht="15.75" hidden="1" customHeight="1">
      <c r="A230" s="89"/>
      <c r="B230" s="89"/>
      <c r="C230" s="223"/>
      <c r="D230" s="223"/>
      <c r="E230" s="223"/>
      <c r="F230" s="223"/>
      <c r="G230" s="223"/>
      <c r="H230" s="223"/>
      <c r="I230" s="223"/>
      <c r="J230" s="223"/>
      <c r="K230" s="223"/>
      <c r="L230" s="223"/>
      <c r="M230" s="223"/>
      <c r="N230" s="223"/>
    </row>
    <row r="231" ht="15.75" hidden="1" customHeight="1">
      <c r="A231" s="89"/>
      <c r="B231" s="89"/>
      <c r="C231" s="223"/>
      <c r="D231" s="223"/>
      <c r="E231" s="223"/>
      <c r="F231" s="223"/>
      <c r="G231" s="223"/>
      <c r="H231" s="223"/>
      <c r="I231" s="223"/>
      <c r="J231" s="223"/>
      <c r="K231" s="223"/>
      <c r="L231" s="223"/>
      <c r="M231" s="223"/>
      <c r="N231" s="223"/>
    </row>
    <row r="232" ht="15.75" hidden="1" customHeight="1">
      <c r="A232" s="89"/>
      <c r="B232" s="89"/>
      <c r="C232" s="223"/>
      <c r="D232" s="223"/>
      <c r="E232" s="223"/>
      <c r="F232" s="223"/>
      <c r="G232" s="223"/>
      <c r="H232" s="223"/>
      <c r="I232" s="223"/>
      <c r="J232" s="223"/>
      <c r="K232" s="223"/>
      <c r="L232" s="223"/>
      <c r="M232" s="223"/>
      <c r="N232" s="223"/>
    </row>
    <row r="233" ht="15.75" hidden="1" customHeight="1">
      <c r="A233" s="89"/>
      <c r="B233" s="89"/>
      <c r="C233" s="223"/>
      <c r="D233" s="223"/>
      <c r="E233" s="223"/>
      <c r="F233" s="223"/>
      <c r="G233" s="223"/>
      <c r="H233" s="223"/>
      <c r="I233" s="223"/>
      <c r="J233" s="223"/>
      <c r="K233" s="223"/>
      <c r="L233" s="223"/>
      <c r="M233" s="223"/>
      <c r="N233" s="223"/>
    </row>
    <row r="234" ht="15.75" hidden="1" customHeight="1">
      <c r="A234" s="89"/>
      <c r="B234" s="89"/>
      <c r="C234" s="223"/>
      <c r="D234" s="223"/>
      <c r="E234" s="223"/>
      <c r="F234" s="223"/>
      <c r="G234" s="223"/>
      <c r="H234" s="223"/>
      <c r="I234" s="223"/>
      <c r="J234" s="223"/>
      <c r="K234" s="223"/>
      <c r="L234" s="223"/>
      <c r="M234" s="223"/>
      <c r="N234" s="223"/>
    </row>
    <row r="235" ht="15.75" hidden="1" customHeight="1">
      <c r="A235" s="89"/>
      <c r="B235" s="89"/>
      <c r="C235" s="223"/>
      <c r="D235" s="223"/>
      <c r="E235" s="223"/>
      <c r="F235" s="223"/>
      <c r="G235" s="223"/>
      <c r="H235" s="223"/>
      <c r="I235" s="223"/>
      <c r="J235" s="223"/>
      <c r="K235" s="223"/>
      <c r="L235" s="223"/>
      <c r="M235" s="223"/>
      <c r="N235" s="223"/>
    </row>
    <row r="236" ht="15.75" hidden="1" customHeight="1">
      <c r="A236" s="89"/>
      <c r="B236" s="89"/>
      <c r="C236" s="223"/>
      <c r="D236" s="223"/>
      <c r="E236" s="223"/>
      <c r="F236" s="223"/>
      <c r="G236" s="223"/>
      <c r="H236" s="223"/>
      <c r="I236" s="223"/>
      <c r="J236" s="223"/>
      <c r="K236" s="223"/>
      <c r="L236" s="223"/>
      <c r="M236" s="223"/>
      <c r="N236" s="223"/>
    </row>
    <row r="237" ht="15.75" hidden="1" customHeight="1">
      <c r="A237" s="89"/>
      <c r="B237" s="89"/>
      <c r="C237" s="223"/>
      <c r="D237" s="223"/>
      <c r="E237" s="223"/>
      <c r="F237" s="223"/>
      <c r="G237" s="223"/>
      <c r="H237" s="223"/>
      <c r="I237" s="223"/>
      <c r="J237" s="223"/>
      <c r="K237" s="223"/>
      <c r="L237" s="223"/>
      <c r="M237" s="223"/>
      <c r="N237" s="223"/>
    </row>
    <row r="238" ht="15.75" hidden="1" customHeight="1">
      <c r="A238" s="89"/>
      <c r="B238" s="89"/>
      <c r="C238" s="223"/>
      <c r="D238" s="223"/>
      <c r="E238" s="223"/>
      <c r="F238" s="223"/>
      <c r="G238" s="223"/>
      <c r="H238" s="223"/>
      <c r="I238" s="223"/>
      <c r="J238" s="223"/>
      <c r="K238" s="223"/>
      <c r="L238" s="223"/>
      <c r="M238" s="223"/>
      <c r="N238" s="223"/>
    </row>
    <row r="239" ht="15.75" hidden="1" customHeight="1">
      <c r="A239" s="89"/>
      <c r="B239" s="89"/>
      <c r="C239" s="223"/>
      <c r="D239" s="223"/>
      <c r="E239" s="223"/>
      <c r="F239" s="223"/>
      <c r="G239" s="223"/>
      <c r="H239" s="223"/>
      <c r="I239" s="223"/>
      <c r="J239" s="223"/>
      <c r="K239" s="223"/>
      <c r="L239" s="223"/>
      <c r="M239" s="223"/>
      <c r="N239" s="223"/>
    </row>
    <row r="240" ht="15.75" hidden="1" customHeight="1">
      <c r="A240" s="89"/>
      <c r="B240" s="89"/>
      <c r="C240" s="223"/>
      <c r="D240" s="223"/>
      <c r="E240" s="223"/>
      <c r="F240" s="223"/>
      <c r="G240" s="223"/>
      <c r="H240" s="223"/>
      <c r="I240" s="223"/>
      <c r="J240" s="223"/>
      <c r="K240" s="223"/>
      <c r="L240" s="223"/>
      <c r="M240" s="223"/>
      <c r="N240" s="223"/>
    </row>
    <row r="241" ht="15.75" hidden="1" customHeight="1">
      <c r="A241" s="89"/>
      <c r="B241" s="89"/>
      <c r="C241" s="223"/>
      <c r="D241" s="223"/>
      <c r="E241" s="223"/>
      <c r="F241" s="223"/>
      <c r="G241" s="223"/>
      <c r="H241" s="223"/>
      <c r="I241" s="223"/>
      <c r="J241" s="223"/>
      <c r="K241" s="223"/>
      <c r="L241" s="223"/>
      <c r="M241" s="223"/>
      <c r="N241" s="223"/>
    </row>
    <row r="242" ht="15.75" hidden="1" customHeight="1">
      <c r="A242" s="89"/>
      <c r="B242" s="89"/>
      <c r="C242" s="223"/>
      <c r="D242" s="223"/>
      <c r="E242" s="223"/>
      <c r="F242" s="223"/>
      <c r="G242" s="223"/>
      <c r="H242" s="223"/>
      <c r="I242" s="223"/>
      <c r="J242" s="223"/>
      <c r="K242" s="223"/>
      <c r="L242" s="223"/>
      <c r="M242" s="223"/>
      <c r="N242" s="223"/>
    </row>
    <row r="243" ht="15.75" hidden="1" customHeight="1">
      <c r="A243" s="89"/>
      <c r="B243" s="89"/>
      <c r="C243" s="223"/>
      <c r="D243" s="223"/>
      <c r="E243" s="223"/>
      <c r="F243" s="223"/>
      <c r="G243" s="223"/>
      <c r="H243" s="223"/>
      <c r="I243" s="223"/>
      <c r="J243" s="223"/>
      <c r="K243" s="223"/>
      <c r="L243" s="223"/>
      <c r="M243" s="223"/>
      <c r="N243" s="223"/>
    </row>
    <row r="244" ht="15.75" hidden="1" customHeight="1">
      <c r="A244" s="89"/>
      <c r="B244" s="89"/>
      <c r="C244" s="223"/>
      <c r="D244" s="223"/>
      <c r="E244" s="223"/>
      <c r="F244" s="223"/>
      <c r="G244" s="223"/>
      <c r="H244" s="223"/>
      <c r="I244" s="223"/>
      <c r="J244" s="223"/>
      <c r="K244" s="223"/>
      <c r="L244" s="223"/>
      <c r="M244" s="223"/>
      <c r="N244" s="223"/>
    </row>
    <row r="245" ht="15.75" hidden="1" customHeight="1">
      <c r="A245" s="89"/>
      <c r="B245" s="89"/>
      <c r="C245" s="223"/>
      <c r="D245" s="223"/>
      <c r="E245" s="223"/>
      <c r="F245" s="223"/>
      <c r="G245" s="223"/>
      <c r="H245" s="223"/>
      <c r="I245" s="223"/>
      <c r="J245" s="223"/>
      <c r="K245" s="223"/>
      <c r="L245" s="223"/>
      <c r="M245" s="223"/>
      <c r="N245" s="223"/>
    </row>
    <row r="246" ht="15.75" hidden="1" customHeight="1">
      <c r="A246" s="89"/>
      <c r="B246" s="89"/>
      <c r="C246" s="223"/>
      <c r="D246" s="223"/>
      <c r="E246" s="223"/>
      <c r="F246" s="223"/>
      <c r="G246" s="223"/>
      <c r="H246" s="223"/>
      <c r="I246" s="223"/>
      <c r="J246" s="223"/>
      <c r="K246" s="223"/>
      <c r="L246" s="223"/>
      <c r="M246" s="223"/>
      <c r="N246" s="223"/>
    </row>
    <row r="247" ht="15.75" hidden="1" customHeight="1">
      <c r="A247" s="89"/>
      <c r="B247" s="89"/>
      <c r="C247" s="223"/>
      <c r="D247" s="223"/>
      <c r="E247" s="223"/>
      <c r="F247" s="223"/>
      <c r="G247" s="223"/>
      <c r="H247" s="223"/>
      <c r="I247" s="223"/>
      <c r="J247" s="223"/>
      <c r="K247" s="223"/>
      <c r="L247" s="223"/>
      <c r="M247" s="223"/>
      <c r="N247" s="223"/>
    </row>
    <row r="248" ht="15.75" hidden="1" customHeight="1">
      <c r="A248" s="89"/>
      <c r="B248" s="89"/>
      <c r="C248" s="223"/>
      <c r="D248" s="223"/>
      <c r="E248" s="223"/>
      <c r="F248" s="223"/>
      <c r="G248" s="223"/>
      <c r="H248" s="223"/>
      <c r="I248" s="223"/>
      <c r="J248" s="223"/>
      <c r="K248" s="223"/>
      <c r="L248" s="223"/>
      <c r="M248" s="223"/>
      <c r="N248" s="223"/>
    </row>
    <row r="249" ht="15.75" hidden="1" customHeight="1">
      <c r="A249" s="89"/>
      <c r="B249" s="89"/>
      <c r="C249" s="223"/>
      <c r="D249" s="223"/>
      <c r="E249" s="223"/>
      <c r="F249" s="223"/>
      <c r="G249" s="223"/>
      <c r="H249" s="223"/>
      <c r="I249" s="223"/>
      <c r="J249" s="223"/>
      <c r="K249" s="223"/>
      <c r="L249" s="223"/>
      <c r="M249" s="223"/>
      <c r="N249" s="223"/>
    </row>
    <row r="250" ht="15.75" hidden="1" customHeight="1">
      <c r="A250" s="89"/>
      <c r="B250" s="89"/>
      <c r="C250" s="223"/>
      <c r="D250" s="223"/>
      <c r="E250" s="223"/>
      <c r="F250" s="223"/>
      <c r="G250" s="223"/>
      <c r="H250" s="223"/>
      <c r="I250" s="223"/>
      <c r="J250" s="223"/>
      <c r="K250" s="223"/>
      <c r="L250" s="223"/>
      <c r="M250" s="223"/>
      <c r="N250" s="223"/>
    </row>
    <row r="251" ht="15.75" hidden="1" customHeight="1">
      <c r="A251" s="89"/>
      <c r="B251" s="89"/>
      <c r="C251" s="223"/>
      <c r="D251" s="223"/>
      <c r="E251" s="223"/>
      <c r="F251" s="223"/>
      <c r="G251" s="223"/>
      <c r="H251" s="223"/>
      <c r="I251" s="223"/>
      <c r="J251" s="223"/>
      <c r="K251" s="223"/>
      <c r="L251" s="223"/>
      <c r="M251" s="223"/>
      <c r="N251" s="223"/>
    </row>
    <row r="252" ht="15.75" hidden="1" customHeight="1">
      <c r="A252" s="89"/>
      <c r="B252" s="89"/>
      <c r="C252" s="223"/>
      <c r="D252" s="223"/>
      <c r="E252" s="223"/>
      <c r="F252" s="223"/>
      <c r="G252" s="223"/>
      <c r="H252" s="223"/>
      <c r="I252" s="223"/>
      <c r="J252" s="223"/>
      <c r="K252" s="223"/>
      <c r="L252" s="223"/>
      <c r="M252" s="223"/>
      <c r="N252" s="223"/>
    </row>
    <row r="253" ht="15.75" hidden="1" customHeight="1">
      <c r="A253" s="89"/>
      <c r="B253" s="89"/>
      <c r="C253" s="223"/>
      <c r="D253" s="223"/>
      <c r="E253" s="223"/>
      <c r="F253" s="223"/>
      <c r="G253" s="223"/>
      <c r="H253" s="223"/>
      <c r="I253" s="223"/>
      <c r="J253" s="223"/>
      <c r="K253" s="223"/>
      <c r="L253" s="223"/>
      <c r="M253" s="223"/>
      <c r="N253" s="223"/>
    </row>
    <row r="254" ht="15.75" hidden="1" customHeight="1">
      <c r="A254" s="89"/>
      <c r="B254" s="89"/>
      <c r="C254" s="223"/>
      <c r="D254" s="223"/>
      <c r="E254" s="223"/>
      <c r="F254" s="223"/>
      <c r="G254" s="223"/>
      <c r="H254" s="223"/>
      <c r="I254" s="223"/>
      <c r="J254" s="223"/>
      <c r="K254" s="223"/>
      <c r="L254" s="223"/>
      <c r="M254" s="223"/>
      <c r="N254" s="223"/>
    </row>
    <row r="255" ht="15.75" hidden="1" customHeight="1">
      <c r="A255" s="89"/>
      <c r="B255" s="89"/>
      <c r="C255" s="223"/>
      <c r="D255" s="223"/>
      <c r="E255" s="223"/>
      <c r="F255" s="223"/>
      <c r="G255" s="223"/>
      <c r="H255" s="223"/>
      <c r="I255" s="223"/>
      <c r="J255" s="223"/>
      <c r="K255" s="223"/>
      <c r="L255" s="223"/>
      <c r="M255" s="223"/>
      <c r="N255" s="223"/>
    </row>
    <row r="256" ht="15.75" hidden="1" customHeight="1">
      <c r="A256" s="89"/>
      <c r="B256" s="89"/>
      <c r="C256" s="223"/>
      <c r="D256" s="223"/>
      <c r="E256" s="223"/>
      <c r="F256" s="223"/>
      <c r="G256" s="223"/>
      <c r="H256" s="223"/>
      <c r="I256" s="223"/>
      <c r="J256" s="223"/>
      <c r="K256" s="223"/>
      <c r="L256" s="223"/>
      <c r="M256" s="223"/>
      <c r="N256" s="223"/>
    </row>
    <row r="257" ht="15.75" hidden="1" customHeight="1">
      <c r="A257" s="89"/>
      <c r="B257" s="89"/>
      <c r="C257" s="223"/>
      <c r="D257" s="223"/>
      <c r="E257" s="223"/>
      <c r="F257" s="223"/>
      <c r="G257" s="223"/>
      <c r="H257" s="223"/>
      <c r="I257" s="223"/>
      <c r="J257" s="223"/>
      <c r="K257" s="223"/>
      <c r="L257" s="223"/>
      <c r="M257" s="223"/>
      <c r="N257" s="223"/>
    </row>
    <row r="258" ht="15.75" hidden="1" customHeight="1">
      <c r="A258" s="89"/>
      <c r="B258" s="89"/>
      <c r="C258" s="223"/>
      <c r="D258" s="223"/>
      <c r="E258" s="223"/>
      <c r="F258" s="223"/>
      <c r="G258" s="223"/>
      <c r="H258" s="223"/>
      <c r="I258" s="223"/>
      <c r="J258" s="223"/>
      <c r="K258" s="223"/>
      <c r="L258" s="223"/>
      <c r="M258" s="223"/>
      <c r="N258" s="223"/>
    </row>
    <row r="259" ht="15.75" hidden="1" customHeight="1">
      <c r="A259" s="89"/>
      <c r="B259" s="89"/>
      <c r="C259" s="223"/>
      <c r="D259" s="223"/>
      <c r="E259" s="223"/>
      <c r="F259" s="223"/>
      <c r="G259" s="223"/>
      <c r="H259" s="223"/>
      <c r="I259" s="223"/>
      <c r="J259" s="223"/>
      <c r="K259" s="223"/>
      <c r="L259" s="223"/>
      <c r="M259" s="223"/>
      <c r="N259" s="223"/>
    </row>
    <row r="260" ht="15.75" hidden="1" customHeight="1">
      <c r="A260" s="89"/>
      <c r="B260" s="89"/>
      <c r="C260" s="223"/>
      <c r="D260" s="223"/>
      <c r="E260" s="223"/>
      <c r="F260" s="223"/>
      <c r="G260" s="223"/>
      <c r="H260" s="223"/>
      <c r="I260" s="223"/>
      <c r="J260" s="223"/>
      <c r="K260" s="223"/>
      <c r="L260" s="223"/>
      <c r="M260" s="223"/>
      <c r="N260" s="223"/>
    </row>
    <row r="261" ht="15.75" hidden="1" customHeight="1">
      <c r="A261" s="89"/>
      <c r="B261" s="89"/>
      <c r="C261" s="223"/>
      <c r="D261" s="223"/>
      <c r="E261" s="223"/>
      <c r="F261" s="223"/>
      <c r="G261" s="223"/>
      <c r="H261" s="223"/>
      <c r="I261" s="223"/>
      <c r="J261" s="223"/>
      <c r="K261" s="223"/>
      <c r="L261" s="223"/>
      <c r="M261" s="223"/>
      <c r="N261" s="223"/>
    </row>
    <row r="262" ht="15.75" hidden="1" customHeight="1">
      <c r="A262" s="89"/>
      <c r="B262" s="89"/>
      <c r="C262" s="223"/>
      <c r="D262" s="223"/>
      <c r="E262" s="223"/>
      <c r="F262" s="223"/>
      <c r="G262" s="223"/>
      <c r="H262" s="223"/>
      <c r="I262" s="223"/>
      <c r="J262" s="223"/>
      <c r="K262" s="223"/>
      <c r="L262" s="223"/>
      <c r="M262" s="223"/>
      <c r="N262" s="223"/>
    </row>
    <row r="263" ht="15.75" hidden="1" customHeight="1">
      <c r="A263" s="89"/>
      <c r="B263" s="89"/>
      <c r="C263" s="223"/>
      <c r="D263" s="223"/>
      <c r="E263" s="223"/>
      <c r="F263" s="223"/>
      <c r="G263" s="223"/>
      <c r="H263" s="223"/>
      <c r="I263" s="223"/>
      <c r="J263" s="223"/>
      <c r="K263" s="223"/>
      <c r="L263" s="223"/>
      <c r="M263" s="223"/>
      <c r="N263" s="223"/>
    </row>
    <row r="264" ht="15.75" hidden="1" customHeight="1">
      <c r="A264" s="89"/>
      <c r="B264" s="89"/>
      <c r="C264" s="223"/>
      <c r="D264" s="223"/>
      <c r="E264" s="223"/>
      <c r="F264" s="223"/>
      <c r="G264" s="223"/>
      <c r="H264" s="223"/>
      <c r="I264" s="223"/>
      <c r="J264" s="223"/>
      <c r="K264" s="223"/>
      <c r="L264" s="223"/>
      <c r="M264" s="223"/>
      <c r="N264" s="223"/>
    </row>
    <row r="265" ht="15.75" hidden="1" customHeight="1">
      <c r="A265" s="89"/>
      <c r="B265" s="89"/>
      <c r="C265" s="223"/>
      <c r="D265" s="223"/>
      <c r="E265" s="223"/>
      <c r="F265" s="223"/>
      <c r="G265" s="223"/>
      <c r="H265" s="223"/>
      <c r="I265" s="223"/>
      <c r="J265" s="223"/>
      <c r="K265" s="223"/>
      <c r="L265" s="223"/>
      <c r="M265" s="223"/>
      <c r="N265" s="223"/>
    </row>
    <row r="266" ht="15.75" hidden="1" customHeight="1">
      <c r="A266" s="89"/>
      <c r="B266" s="89"/>
      <c r="C266" s="223"/>
      <c r="D266" s="223"/>
      <c r="E266" s="223"/>
      <c r="F266" s="223"/>
      <c r="G266" s="223"/>
      <c r="H266" s="223"/>
      <c r="I266" s="223"/>
      <c r="J266" s="223"/>
      <c r="K266" s="223"/>
      <c r="L266" s="223"/>
      <c r="M266" s="223"/>
      <c r="N266" s="223"/>
    </row>
    <row r="267" ht="15.75" hidden="1" customHeight="1">
      <c r="A267" s="89"/>
      <c r="B267" s="89"/>
      <c r="C267" s="223"/>
      <c r="D267" s="223"/>
      <c r="E267" s="223"/>
      <c r="F267" s="223"/>
      <c r="G267" s="223"/>
      <c r="H267" s="223"/>
      <c r="I267" s="223"/>
      <c r="J267" s="223"/>
      <c r="K267" s="223"/>
      <c r="L267" s="223"/>
      <c r="M267" s="223"/>
      <c r="N267" s="223"/>
    </row>
    <row r="268" ht="15.75" hidden="1" customHeight="1">
      <c r="A268" s="89"/>
      <c r="B268" s="89"/>
      <c r="C268" s="223"/>
      <c r="D268" s="223"/>
      <c r="E268" s="223"/>
      <c r="F268" s="223"/>
      <c r="G268" s="223"/>
      <c r="H268" s="223"/>
      <c r="I268" s="223"/>
      <c r="J268" s="223"/>
      <c r="K268" s="223"/>
      <c r="L268" s="223"/>
      <c r="M268" s="223"/>
      <c r="N268" s="223"/>
    </row>
    <row r="269" ht="15.75" hidden="1" customHeight="1">
      <c r="A269" s="89"/>
      <c r="B269" s="89"/>
      <c r="C269" s="223"/>
      <c r="D269" s="223"/>
      <c r="E269" s="223"/>
      <c r="F269" s="223"/>
      <c r="G269" s="223"/>
      <c r="H269" s="223"/>
      <c r="I269" s="223"/>
      <c r="J269" s="223"/>
      <c r="K269" s="223"/>
      <c r="L269" s="223"/>
      <c r="M269" s="223"/>
      <c r="N269" s="223"/>
    </row>
    <row r="270" ht="15.75" hidden="1" customHeight="1">
      <c r="A270" s="89"/>
      <c r="B270" s="89"/>
      <c r="C270" s="223"/>
      <c r="D270" s="223"/>
      <c r="E270" s="223"/>
      <c r="F270" s="223"/>
      <c r="G270" s="223"/>
      <c r="H270" s="223"/>
      <c r="I270" s="223"/>
      <c r="J270" s="223"/>
      <c r="K270" s="223"/>
      <c r="L270" s="223"/>
      <c r="M270" s="223"/>
      <c r="N270" s="223"/>
    </row>
    <row r="271" ht="15.75" hidden="1" customHeight="1">
      <c r="A271" s="89"/>
      <c r="B271" s="89"/>
      <c r="C271" s="223"/>
      <c r="D271" s="223"/>
      <c r="E271" s="223"/>
      <c r="F271" s="223"/>
      <c r="G271" s="223"/>
      <c r="H271" s="223"/>
      <c r="I271" s="223"/>
      <c r="J271" s="223"/>
      <c r="K271" s="223"/>
      <c r="L271" s="223"/>
      <c r="M271" s="223"/>
      <c r="N271" s="223"/>
    </row>
    <row r="272" ht="15.75" hidden="1" customHeight="1">
      <c r="A272" s="89"/>
      <c r="B272" s="89"/>
      <c r="C272" s="223"/>
      <c r="D272" s="223"/>
      <c r="E272" s="223"/>
      <c r="F272" s="223"/>
      <c r="G272" s="223"/>
      <c r="H272" s="223"/>
      <c r="I272" s="223"/>
      <c r="J272" s="223"/>
      <c r="K272" s="223"/>
      <c r="L272" s="223"/>
      <c r="M272" s="223"/>
      <c r="N272" s="223"/>
    </row>
    <row r="273" ht="15.75" hidden="1" customHeight="1">
      <c r="A273" s="89"/>
      <c r="B273" s="89"/>
      <c r="C273" s="223"/>
      <c r="D273" s="223"/>
      <c r="E273" s="223"/>
      <c r="F273" s="223"/>
      <c r="G273" s="223"/>
      <c r="H273" s="223"/>
      <c r="I273" s="223"/>
      <c r="J273" s="223"/>
      <c r="K273" s="223"/>
      <c r="L273" s="223"/>
      <c r="M273" s="223"/>
      <c r="N273" s="223"/>
    </row>
    <row r="274" ht="15.75" hidden="1" customHeight="1">
      <c r="A274" s="89"/>
      <c r="B274" s="89"/>
      <c r="C274" s="223"/>
      <c r="D274" s="223"/>
      <c r="E274" s="223"/>
      <c r="F274" s="223"/>
      <c r="G274" s="223"/>
      <c r="H274" s="223"/>
      <c r="I274" s="223"/>
      <c r="J274" s="223"/>
      <c r="K274" s="223"/>
      <c r="L274" s="223"/>
      <c r="M274" s="223"/>
      <c r="N274" s="223"/>
    </row>
    <row r="275" ht="15.75" hidden="1" customHeight="1">
      <c r="A275" s="89"/>
      <c r="B275" s="89"/>
      <c r="C275" s="223"/>
      <c r="D275" s="223"/>
      <c r="E275" s="223"/>
      <c r="F275" s="223"/>
      <c r="G275" s="223"/>
      <c r="H275" s="223"/>
      <c r="I275" s="223"/>
      <c r="J275" s="223"/>
      <c r="K275" s="223"/>
      <c r="L275" s="223"/>
      <c r="M275" s="223"/>
      <c r="N275" s="223"/>
    </row>
    <row r="276" ht="15.75" hidden="1" customHeight="1">
      <c r="A276" s="89"/>
      <c r="B276" s="89"/>
      <c r="C276" s="223"/>
      <c r="D276" s="223"/>
      <c r="E276" s="223"/>
      <c r="F276" s="223"/>
      <c r="G276" s="223"/>
      <c r="H276" s="223"/>
      <c r="I276" s="223"/>
      <c r="J276" s="223"/>
      <c r="K276" s="223"/>
      <c r="L276" s="223"/>
      <c r="M276" s="223"/>
      <c r="N276" s="223"/>
    </row>
    <row r="277" ht="15.75" hidden="1" customHeight="1">
      <c r="A277" s="89"/>
      <c r="B277" s="89"/>
      <c r="C277" s="223"/>
      <c r="D277" s="223"/>
      <c r="E277" s="223"/>
      <c r="F277" s="223"/>
      <c r="G277" s="223"/>
      <c r="H277" s="223"/>
      <c r="I277" s="223"/>
      <c r="J277" s="223"/>
      <c r="K277" s="223"/>
      <c r="L277" s="223"/>
      <c r="M277" s="223"/>
      <c r="N277" s="223"/>
    </row>
    <row r="278" ht="15.75" hidden="1" customHeight="1">
      <c r="A278" s="89"/>
      <c r="B278" s="89"/>
      <c r="C278" s="223"/>
      <c r="D278" s="223"/>
      <c r="E278" s="223"/>
      <c r="F278" s="223"/>
      <c r="G278" s="223"/>
      <c r="H278" s="223"/>
      <c r="I278" s="223"/>
      <c r="J278" s="223"/>
      <c r="K278" s="223"/>
      <c r="L278" s="223"/>
      <c r="M278" s="223"/>
      <c r="N278" s="223"/>
    </row>
    <row r="279" ht="15.75" hidden="1" customHeight="1">
      <c r="A279" s="89"/>
      <c r="B279" s="89"/>
      <c r="C279" s="223"/>
      <c r="D279" s="223"/>
      <c r="E279" s="223"/>
      <c r="F279" s="223"/>
      <c r="G279" s="223"/>
      <c r="H279" s="223"/>
      <c r="I279" s="223"/>
      <c r="J279" s="223"/>
      <c r="K279" s="223"/>
      <c r="L279" s="223"/>
      <c r="M279" s="223"/>
      <c r="N279" s="223"/>
    </row>
    <row r="280" ht="15.75" hidden="1" customHeight="1">
      <c r="A280" s="89"/>
      <c r="B280" s="89"/>
      <c r="C280" s="223"/>
      <c r="D280" s="223"/>
      <c r="E280" s="223"/>
      <c r="F280" s="223"/>
      <c r="G280" s="223"/>
      <c r="H280" s="223"/>
      <c r="I280" s="223"/>
      <c r="J280" s="223"/>
      <c r="K280" s="223"/>
      <c r="L280" s="223"/>
      <c r="M280" s="223"/>
      <c r="N280" s="223"/>
    </row>
    <row r="281" ht="15.75" hidden="1" customHeight="1">
      <c r="A281" s="89"/>
      <c r="B281" s="89"/>
      <c r="C281" s="223"/>
      <c r="D281" s="223"/>
      <c r="E281" s="223"/>
      <c r="F281" s="223"/>
      <c r="G281" s="223"/>
      <c r="H281" s="223"/>
      <c r="I281" s="223"/>
      <c r="J281" s="223"/>
      <c r="K281" s="223"/>
      <c r="L281" s="223"/>
      <c r="M281" s="223"/>
      <c r="N281" s="223"/>
    </row>
    <row r="282" ht="15.75" hidden="1" customHeight="1">
      <c r="A282" s="89"/>
      <c r="B282" s="89"/>
      <c r="C282" s="223"/>
      <c r="D282" s="223"/>
      <c r="E282" s="223"/>
      <c r="F282" s="223"/>
      <c r="G282" s="223"/>
      <c r="H282" s="223"/>
      <c r="I282" s="223"/>
      <c r="J282" s="223"/>
      <c r="K282" s="223"/>
      <c r="L282" s="223"/>
      <c r="M282" s="223"/>
      <c r="N282" s="223"/>
    </row>
    <row r="283" ht="15.75" hidden="1" customHeight="1">
      <c r="A283" s="89"/>
      <c r="B283" s="89"/>
      <c r="C283" s="223"/>
      <c r="D283" s="223"/>
      <c r="E283" s="223"/>
      <c r="F283" s="223"/>
      <c r="G283" s="223"/>
      <c r="H283" s="223"/>
      <c r="I283" s="223"/>
      <c r="J283" s="223"/>
      <c r="K283" s="223"/>
      <c r="L283" s="223"/>
      <c r="M283" s="223"/>
      <c r="N283" s="223"/>
    </row>
    <row r="284" ht="15.75" hidden="1" customHeight="1">
      <c r="A284" s="89"/>
      <c r="B284" s="89"/>
      <c r="C284" s="223"/>
      <c r="D284" s="223"/>
      <c r="E284" s="223"/>
      <c r="F284" s="223"/>
      <c r="G284" s="223"/>
      <c r="H284" s="223"/>
      <c r="I284" s="223"/>
      <c r="J284" s="223"/>
      <c r="K284" s="223"/>
      <c r="L284" s="223"/>
      <c r="M284" s="223"/>
      <c r="N284" s="223"/>
    </row>
    <row r="285" ht="15.75" hidden="1" customHeight="1">
      <c r="A285" s="89"/>
      <c r="B285" s="89"/>
      <c r="C285" s="223"/>
      <c r="D285" s="223"/>
      <c r="E285" s="223"/>
      <c r="F285" s="223"/>
      <c r="G285" s="223"/>
      <c r="H285" s="223"/>
      <c r="I285" s="223"/>
      <c r="J285" s="223"/>
      <c r="K285" s="223"/>
      <c r="L285" s="223"/>
      <c r="M285" s="223"/>
      <c r="N285" s="223"/>
    </row>
    <row r="286" ht="15.75" hidden="1" customHeight="1">
      <c r="A286" s="89"/>
      <c r="B286" s="89"/>
      <c r="C286" s="223"/>
      <c r="D286" s="223"/>
      <c r="E286" s="223"/>
      <c r="F286" s="223"/>
      <c r="G286" s="223"/>
      <c r="H286" s="223"/>
      <c r="I286" s="223"/>
      <c r="J286" s="223"/>
      <c r="K286" s="223"/>
      <c r="L286" s="223"/>
      <c r="M286" s="223"/>
      <c r="N286" s="223"/>
    </row>
    <row r="287" ht="15.75" hidden="1" customHeight="1">
      <c r="A287" s="89"/>
      <c r="B287" s="89"/>
      <c r="C287" s="223"/>
      <c r="D287" s="223"/>
      <c r="E287" s="223"/>
      <c r="F287" s="223"/>
      <c r="G287" s="223"/>
      <c r="H287" s="223"/>
      <c r="I287" s="223"/>
      <c r="J287" s="223"/>
      <c r="K287" s="223"/>
      <c r="L287" s="223"/>
      <c r="M287" s="223"/>
      <c r="N287" s="223"/>
    </row>
    <row r="288" ht="15.75" hidden="1" customHeight="1">
      <c r="A288" s="89"/>
      <c r="B288" s="89"/>
      <c r="C288" s="223"/>
      <c r="D288" s="223"/>
      <c r="E288" s="223"/>
      <c r="F288" s="223"/>
      <c r="G288" s="223"/>
      <c r="H288" s="223"/>
      <c r="I288" s="223"/>
      <c r="J288" s="223"/>
      <c r="K288" s="223"/>
      <c r="L288" s="223"/>
      <c r="M288" s="223"/>
      <c r="N288" s="223"/>
    </row>
    <row r="289" ht="15.75" hidden="1" customHeight="1">
      <c r="A289" s="89"/>
      <c r="B289" s="89"/>
      <c r="C289" s="223"/>
      <c r="D289" s="223"/>
      <c r="E289" s="223"/>
      <c r="F289" s="223"/>
      <c r="G289" s="223"/>
      <c r="H289" s="223"/>
      <c r="I289" s="223"/>
      <c r="J289" s="223"/>
      <c r="K289" s="223"/>
      <c r="L289" s="223"/>
      <c r="M289" s="223"/>
      <c r="N289" s="223"/>
    </row>
    <row r="290" ht="15.75" hidden="1" customHeight="1">
      <c r="A290" s="89"/>
      <c r="B290" s="89"/>
      <c r="C290" s="223"/>
      <c r="D290" s="223"/>
      <c r="E290" s="223"/>
      <c r="F290" s="223"/>
      <c r="G290" s="223"/>
      <c r="H290" s="223"/>
      <c r="I290" s="223"/>
      <c r="J290" s="223"/>
      <c r="K290" s="223"/>
      <c r="L290" s="223"/>
      <c r="M290" s="223"/>
      <c r="N290" s="223"/>
    </row>
    <row r="291" ht="15.75" hidden="1" customHeight="1">
      <c r="A291" s="89"/>
      <c r="B291" s="89"/>
      <c r="C291" s="223"/>
      <c r="D291" s="223"/>
      <c r="E291" s="223"/>
      <c r="F291" s="223"/>
      <c r="G291" s="223"/>
      <c r="H291" s="223"/>
      <c r="I291" s="223"/>
      <c r="J291" s="223"/>
      <c r="K291" s="223"/>
      <c r="L291" s="223"/>
      <c r="M291" s="223"/>
      <c r="N291" s="223"/>
    </row>
    <row r="292" ht="15.75" hidden="1" customHeight="1">
      <c r="A292" s="89"/>
      <c r="B292" s="89"/>
      <c r="C292" s="223"/>
      <c r="D292" s="223"/>
      <c r="E292" s="223"/>
      <c r="F292" s="223"/>
      <c r="G292" s="223"/>
      <c r="H292" s="223"/>
      <c r="I292" s="223"/>
      <c r="J292" s="223"/>
      <c r="K292" s="223"/>
      <c r="L292" s="223"/>
      <c r="M292" s="223"/>
      <c r="N292" s="223"/>
    </row>
    <row r="293" ht="15.75" hidden="1" customHeight="1">
      <c r="A293" s="89"/>
      <c r="B293" s="89"/>
      <c r="C293" s="223"/>
      <c r="D293" s="223"/>
      <c r="E293" s="223"/>
      <c r="F293" s="223"/>
      <c r="G293" s="223"/>
      <c r="H293" s="223"/>
      <c r="I293" s="223"/>
      <c r="J293" s="223"/>
      <c r="K293" s="223"/>
      <c r="L293" s="223"/>
      <c r="M293" s="223"/>
      <c r="N293" s="223"/>
    </row>
    <row r="294" ht="15.75" hidden="1" customHeight="1">
      <c r="A294" s="89"/>
      <c r="B294" s="89"/>
      <c r="C294" s="223"/>
      <c r="D294" s="223"/>
      <c r="E294" s="223"/>
      <c r="F294" s="223"/>
      <c r="G294" s="223"/>
      <c r="H294" s="223"/>
      <c r="I294" s="223"/>
      <c r="J294" s="223"/>
      <c r="K294" s="223"/>
      <c r="L294" s="223"/>
      <c r="M294" s="223"/>
      <c r="N294" s="223"/>
    </row>
    <row r="295" ht="15.75" hidden="1" customHeight="1">
      <c r="A295" s="89"/>
      <c r="B295" s="89"/>
      <c r="C295" s="223"/>
      <c r="D295" s="223"/>
      <c r="E295" s="223"/>
      <c r="F295" s="223"/>
      <c r="G295" s="223"/>
      <c r="H295" s="223"/>
      <c r="I295" s="223"/>
      <c r="J295" s="223"/>
      <c r="K295" s="223"/>
      <c r="L295" s="223"/>
      <c r="M295" s="223"/>
      <c r="N295" s="223"/>
    </row>
    <row r="296" ht="15.75" hidden="1" customHeight="1">
      <c r="A296" s="89"/>
      <c r="B296" s="89"/>
      <c r="C296" s="223"/>
      <c r="D296" s="223"/>
      <c r="E296" s="223"/>
      <c r="F296" s="223"/>
      <c r="G296" s="223"/>
      <c r="H296" s="223"/>
      <c r="I296" s="223"/>
      <c r="J296" s="223"/>
      <c r="K296" s="223"/>
      <c r="L296" s="223"/>
      <c r="M296" s="223"/>
      <c r="N296" s="223"/>
    </row>
    <row r="297" ht="15.75" hidden="1" customHeight="1">
      <c r="A297" s="89"/>
      <c r="B297" s="89"/>
      <c r="C297" s="223"/>
      <c r="D297" s="223"/>
      <c r="E297" s="223"/>
      <c r="F297" s="223"/>
      <c r="G297" s="223"/>
      <c r="H297" s="223"/>
      <c r="I297" s="223"/>
      <c r="J297" s="223"/>
      <c r="K297" s="223"/>
      <c r="L297" s="223"/>
      <c r="M297" s="223"/>
      <c r="N297" s="223"/>
    </row>
    <row r="298" ht="15.75" hidden="1" customHeight="1">
      <c r="A298" s="89"/>
      <c r="B298" s="89"/>
      <c r="C298" s="223"/>
      <c r="D298" s="223"/>
      <c r="E298" s="223"/>
      <c r="F298" s="223"/>
      <c r="G298" s="223"/>
      <c r="H298" s="223"/>
      <c r="I298" s="223"/>
      <c r="J298" s="223"/>
      <c r="K298" s="223"/>
      <c r="L298" s="223"/>
      <c r="M298" s="223"/>
      <c r="N298" s="223"/>
    </row>
    <row r="299" ht="15.75" hidden="1" customHeight="1">
      <c r="A299" s="89"/>
      <c r="B299" s="89"/>
      <c r="C299" s="223"/>
      <c r="D299" s="223"/>
      <c r="E299" s="223"/>
      <c r="F299" s="223"/>
      <c r="G299" s="223"/>
      <c r="H299" s="223"/>
      <c r="I299" s="223"/>
      <c r="J299" s="223"/>
      <c r="K299" s="223"/>
      <c r="L299" s="223"/>
      <c r="M299" s="223"/>
      <c r="N299" s="223"/>
    </row>
    <row r="300" ht="15.75" hidden="1" customHeight="1">
      <c r="A300" s="89"/>
      <c r="B300" s="89"/>
      <c r="C300" s="223"/>
      <c r="D300" s="223"/>
      <c r="E300" s="223"/>
      <c r="F300" s="223"/>
      <c r="G300" s="223"/>
      <c r="H300" s="223"/>
      <c r="I300" s="223"/>
      <c r="J300" s="223"/>
      <c r="K300" s="223"/>
      <c r="L300" s="223"/>
      <c r="M300" s="223"/>
      <c r="N300" s="223"/>
    </row>
    <row r="301" ht="15.75" hidden="1" customHeight="1">
      <c r="A301" s="89"/>
      <c r="B301" s="89"/>
      <c r="C301" s="223"/>
      <c r="D301" s="223"/>
      <c r="E301" s="223"/>
      <c r="F301" s="223"/>
      <c r="G301" s="223"/>
      <c r="H301" s="223"/>
      <c r="I301" s="223"/>
      <c r="J301" s="223"/>
      <c r="K301" s="223"/>
      <c r="L301" s="223"/>
      <c r="M301" s="223"/>
      <c r="N301" s="223"/>
    </row>
    <row r="302" ht="15.75" hidden="1" customHeight="1">
      <c r="A302" s="89"/>
      <c r="B302" s="89"/>
      <c r="C302" s="223"/>
      <c r="D302" s="223"/>
      <c r="E302" s="223"/>
      <c r="F302" s="223"/>
      <c r="G302" s="223"/>
      <c r="H302" s="223"/>
      <c r="I302" s="223"/>
      <c r="J302" s="223"/>
      <c r="K302" s="223"/>
      <c r="L302" s="223"/>
      <c r="M302" s="223"/>
      <c r="N302" s="223"/>
    </row>
    <row r="303" ht="15.75" hidden="1" customHeight="1">
      <c r="A303" s="89"/>
      <c r="B303" s="89"/>
      <c r="C303" s="223"/>
      <c r="D303" s="223"/>
      <c r="E303" s="223"/>
      <c r="F303" s="223"/>
      <c r="G303" s="223"/>
      <c r="H303" s="223"/>
      <c r="I303" s="223"/>
      <c r="J303" s="223"/>
      <c r="K303" s="223"/>
      <c r="L303" s="223"/>
      <c r="M303" s="223"/>
      <c r="N303" s="223"/>
    </row>
    <row r="304" ht="15.75" hidden="1" customHeight="1">
      <c r="A304" s="89"/>
      <c r="B304" s="89"/>
      <c r="C304" s="223"/>
      <c r="D304" s="223"/>
      <c r="E304" s="223"/>
      <c r="F304" s="223"/>
      <c r="G304" s="223"/>
      <c r="H304" s="223"/>
      <c r="I304" s="223"/>
      <c r="J304" s="223"/>
      <c r="K304" s="223"/>
      <c r="L304" s="223"/>
      <c r="M304" s="223"/>
      <c r="N304" s="223"/>
    </row>
    <row r="305" ht="15.75" hidden="1" customHeight="1">
      <c r="A305" s="89"/>
      <c r="B305" s="89"/>
      <c r="C305" s="223"/>
      <c r="D305" s="223"/>
      <c r="E305" s="223"/>
      <c r="F305" s="223"/>
      <c r="G305" s="223"/>
      <c r="H305" s="223"/>
      <c r="I305" s="223"/>
      <c r="J305" s="223"/>
      <c r="K305" s="223"/>
      <c r="L305" s="223"/>
      <c r="M305" s="223"/>
      <c r="N305" s="223"/>
    </row>
    <row r="306" ht="15.75" hidden="1" customHeight="1">
      <c r="A306" s="89"/>
      <c r="B306" s="89"/>
      <c r="C306" s="223"/>
      <c r="D306" s="223"/>
      <c r="E306" s="223"/>
      <c r="F306" s="223"/>
      <c r="G306" s="223"/>
      <c r="H306" s="223"/>
      <c r="I306" s="223"/>
      <c r="J306" s="223"/>
      <c r="K306" s="223"/>
      <c r="L306" s="223"/>
      <c r="M306" s="223"/>
      <c r="N306" s="223"/>
    </row>
    <row r="307" ht="15.75" hidden="1" customHeight="1">
      <c r="A307" s="89"/>
      <c r="B307" s="89"/>
      <c r="C307" s="223"/>
      <c r="D307" s="223"/>
      <c r="E307" s="223"/>
      <c r="F307" s="223"/>
      <c r="G307" s="223"/>
      <c r="H307" s="223"/>
      <c r="I307" s="223"/>
      <c r="J307" s="223"/>
      <c r="K307" s="223"/>
      <c r="L307" s="223"/>
      <c r="M307" s="223"/>
      <c r="N307" s="223"/>
    </row>
    <row r="308" ht="15.75" hidden="1" customHeight="1">
      <c r="A308" s="89"/>
      <c r="B308" s="89"/>
      <c r="C308" s="223"/>
      <c r="D308" s="223"/>
      <c r="E308" s="223"/>
      <c r="F308" s="223"/>
      <c r="G308" s="223"/>
      <c r="H308" s="223"/>
      <c r="I308" s="223"/>
      <c r="J308" s="223"/>
      <c r="K308" s="223"/>
      <c r="L308" s="223"/>
      <c r="M308" s="223"/>
      <c r="N308" s="223"/>
    </row>
    <row r="309" ht="15.75" hidden="1" customHeight="1">
      <c r="A309" s="89"/>
      <c r="B309" s="89"/>
      <c r="C309" s="223"/>
      <c r="D309" s="223"/>
      <c r="E309" s="223"/>
      <c r="F309" s="223"/>
      <c r="G309" s="223"/>
      <c r="H309" s="223"/>
      <c r="I309" s="223"/>
      <c r="J309" s="223"/>
      <c r="K309" s="223"/>
      <c r="L309" s="223"/>
      <c r="M309" s="223"/>
      <c r="N309" s="223"/>
    </row>
    <row r="310" ht="15.75" hidden="1" customHeight="1">
      <c r="A310" s="89"/>
      <c r="B310" s="89"/>
      <c r="C310" s="223"/>
      <c r="D310" s="223"/>
      <c r="E310" s="223"/>
      <c r="F310" s="223"/>
      <c r="G310" s="223"/>
      <c r="H310" s="223"/>
      <c r="I310" s="223"/>
      <c r="J310" s="223"/>
      <c r="K310" s="223"/>
      <c r="L310" s="223"/>
      <c r="M310" s="223"/>
      <c r="N310" s="223"/>
    </row>
    <row r="311" ht="15.75" hidden="1" customHeight="1">
      <c r="A311" s="89"/>
      <c r="B311" s="89"/>
      <c r="C311" s="223"/>
      <c r="D311" s="223"/>
      <c r="E311" s="223"/>
      <c r="F311" s="223"/>
      <c r="G311" s="223"/>
      <c r="H311" s="223"/>
      <c r="I311" s="223"/>
      <c r="J311" s="223"/>
      <c r="K311" s="223"/>
      <c r="L311" s="223"/>
      <c r="M311" s="223"/>
      <c r="N311" s="223"/>
    </row>
    <row r="312" ht="15.75" hidden="1" customHeight="1">
      <c r="A312" s="89"/>
      <c r="B312" s="89"/>
      <c r="C312" s="223"/>
      <c r="D312" s="223"/>
      <c r="E312" s="223"/>
      <c r="F312" s="223"/>
      <c r="G312" s="223"/>
      <c r="H312" s="223"/>
      <c r="I312" s="223"/>
      <c r="J312" s="223"/>
      <c r="K312" s="223"/>
      <c r="L312" s="223"/>
      <c r="M312" s="223"/>
      <c r="N312" s="223"/>
    </row>
    <row r="313" ht="15.75" hidden="1" customHeight="1">
      <c r="A313" s="89"/>
      <c r="B313" s="89"/>
      <c r="C313" s="223"/>
      <c r="D313" s="223"/>
      <c r="E313" s="223"/>
      <c r="F313" s="223"/>
      <c r="G313" s="223"/>
      <c r="H313" s="223"/>
      <c r="I313" s="223"/>
      <c r="J313" s="223"/>
      <c r="K313" s="223"/>
      <c r="L313" s="223"/>
      <c r="M313" s="223"/>
      <c r="N313" s="223"/>
    </row>
    <row r="314" ht="15.75" hidden="1" customHeight="1">
      <c r="A314" s="89"/>
      <c r="B314" s="89"/>
      <c r="C314" s="223"/>
      <c r="D314" s="223"/>
      <c r="E314" s="223"/>
      <c r="F314" s="223"/>
      <c r="G314" s="223"/>
      <c r="H314" s="223"/>
      <c r="I314" s="223"/>
      <c r="J314" s="223"/>
      <c r="K314" s="223"/>
      <c r="L314" s="223"/>
      <c r="M314" s="223"/>
      <c r="N314" s="223"/>
    </row>
    <row r="315" ht="15.75" hidden="1" customHeight="1">
      <c r="A315" s="89"/>
      <c r="B315" s="89"/>
      <c r="C315" s="223"/>
      <c r="D315" s="223"/>
      <c r="E315" s="223"/>
      <c r="F315" s="223"/>
      <c r="G315" s="223"/>
      <c r="H315" s="223"/>
      <c r="I315" s="223"/>
      <c r="J315" s="223"/>
      <c r="K315" s="223"/>
      <c r="L315" s="223"/>
      <c r="M315" s="223"/>
      <c r="N315" s="223"/>
    </row>
    <row r="316" ht="15.75" hidden="1" customHeight="1">
      <c r="A316" s="89"/>
      <c r="B316" s="89"/>
      <c r="C316" s="223"/>
      <c r="D316" s="223"/>
      <c r="E316" s="223"/>
      <c r="F316" s="223"/>
      <c r="G316" s="223"/>
      <c r="H316" s="223"/>
      <c r="I316" s="223"/>
      <c r="J316" s="223"/>
      <c r="K316" s="223"/>
      <c r="L316" s="223"/>
      <c r="M316" s="223"/>
      <c r="N316" s="223"/>
    </row>
    <row r="317" ht="15.75" hidden="1" customHeight="1">
      <c r="A317" s="89"/>
      <c r="B317" s="89"/>
      <c r="C317" s="223"/>
      <c r="D317" s="223"/>
      <c r="E317" s="223"/>
      <c r="F317" s="223"/>
      <c r="G317" s="223"/>
      <c r="H317" s="223"/>
      <c r="I317" s="223"/>
      <c r="J317" s="223"/>
      <c r="K317" s="223"/>
      <c r="L317" s="223"/>
      <c r="M317" s="223"/>
      <c r="N317" s="223"/>
    </row>
    <row r="318" ht="15.75" hidden="1" customHeight="1">
      <c r="A318" s="89"/>
      <c r="B318" s="89"/>
      <c r="C318" s="223"/>
      <c r="D318" s="223"/>
      <c r="E318" s="223"/>
      <c r="F318" s="223"/>
      <c r="G318" s="223"/>
      <c r="H318" s="223"/>
      <c r="I318" s="223"/>
      <c r="J318" s="223"/>
      <c r="K318" s="223"/>
      <c r="L318" s="223"/>
      <c r="M318" s="223"/>
      <c r="N318" s="223"/>
    </row>
    <row r="319" ht="15.75" hidden="1" customHeight="1">
      <c r="A319" s="89"/>
      <c r="B319" s="89"/>
      <c r="C319" s="223"/>
      <c r="D319" s="223"/>
      <c r="E319" s="223"/>
      <c r="F319" s="223"/>
      <c r="G319" s="223"/>
      <c r="H319" s="223"/>
      <c r="I319" s="223"/>
      <c r="J319" s="223"/>
      <c r="K319" s="223"/>
      <c r="L319" s="223"/>
      <c r="M319" s="223"/>
      <c r="N319" s="223"/>
    </row>
    <row r="320" ht="15.75" hidden="1" customHeight="1">
      <c r="A320" s="89"/>
      <c r="B320" s="89"/>
      <c r="C320" s="223"/>
      <c r="D320" s="223"/>
      <c r="E320" s="223"/>
      <c r="F320" s="223"/>
      <c r="G320" s="223"/>
      <c r="H320" s="223"/>
      <c r="I320" s="223"/>
      <c r="J320" s="223"/>
      <c r="K320" s="223"/>
      <c r="L320" s="223"/>
      <c r="M320" s="223"/>
      <c r="N320" s="223"/>
    </row>
    <row r="321" ht="15.75" hidden="1" customHeight="1">
      <c r="A321" s="89"/>
      <c r="B321" s="89"/>
      <c r="C321" s="223"/>
      <c r="D321" s="223"/>
      <c r="E321" s="223"/>
      <c r="F321" s="223"/>
      <c r="G321" s="223"/>
      <c r="H321" s="223"/>
      <c r="I321" s="223"/>
      <c r="J321" s="223"/>
      <c r="K321" s="223"/>
      <c r="L321" s="223"/>
      <c r="M321" s="223"/>
      <c r="N321" s="223"/>
    </row>
    <row r="322" ht="15.75" hidden="1" customHeight="1">
      <c r="A322" s="89"/>
      <c r="B322" s="89"/>
      <c r="C322" s="223"/>
      <c r="D322" s="223"/>
      <c r="E322" s="223"/>
      <c r="F322" s="223"/>
      <c r="G322" s="223"/>
      <c r="H322" s="223"/>
      <c r="I322" s="223"/>
      <c r="J322" s="223"/>
      <c r="K322" s="223"/>
      <c r="L322" s="223"/>
      <c r="M322" s="223"/>
      <c r="N322" s="223"/>
    </row>
    <row r="323" ht="15.75" hidden="1" customHeight="1">
      <c r="A323" s="89"/>
      <c r="B323" s="89"/>
      <c r="C323" s="223"/>
      <c r="D323" s="223"/>
      <c r="E323" s="223"/>
      <c r="F323" s="223"/>
      <c r="G323" s="223"/>
      <c r="H323" s="223"/>
      <c r="I323" s="223"/>
      <c r="J323" s="223"/>
      <c r="K323" s="223"/>
      <c r="L323" s="223"/>
      <c r="M323" s="223"/>
      <c r="N323" s="223"/>
    </row>
    <row r="324" ht="15.75" hidden="1" customHeight="1">
      <c r="A324" s="89"/>
      <c r="B324" s="89"/>
      <c r="C324" s="223"/>
      <c r="D324" s="223"/>
      <c r="E324" s="223"/>
      <c r="F324" s="223"/>
      <c r="G324" s="223"/>
      <c r="H324" s="223"/>
      <c r="I324" s="223"/>
      <c r="J324" s="223"/>
      <c r="K324" s="223"/>
      <c r="L324" s="223"/>
      <c r="M324" s="223"/>
      <c r="N324" s="223"/>
    </row>
    <row r="325" ht="15.75" hidden="1" customHeight="1">
      <c r="A325" s="89"/>
      <c r="B325" s="89"/>
      <c r="C325" s="223"/>
      <c r="D325" s="223"/>
      <c r="E325" s="223"/>
      <c r="F325" s="223"/>
      <c r="G325" s="223"/>
      <c r="H325" s="223"/>
      <c r="I325" s="223"/>
      <c r="J325" s="223"/>
      <c r="K325" s="223"/>
      <c r="L325" s="223"/>
      <c r="M325" s="223"/>
      <c r="N325" s="223"/>
    </row>
    <row r="326" ht="15.75" hidden="1" customHeight="1">
      <c r="A326" s="89"/>
      <c r="B326" s="89"/>
      <c r="C326" s="223"/>
      <c r="D326" s="223"/>
      <c r="E326" s="223"/>
      <c r="F326" s="223"/>
      <c r="G326" s="223"/>
      <c r="H326" s="223"/>
      <c r="I326" s="223"/>
      <c r="J326" s="223"/>
      <c r="K326" s="223"/>
      <c r="L326" s="223"/>
      <c r="M326" s="223"/>
      <c r="N326" s="223"/>
    </row>
    <row r="327" ht="15.75" hidden="1" customHeight="1">
      <c r="A327" s="89"/>
      <c r="B327" s="89"/>
      <c r="C327" s="223"/>
      <c r="D327" s="223"/>
      <c r="E327" s="223"/>
      <c r="F327" s="223"/>
      <c r="G327" s="223"/>
      <c r="H327" s="223"/>
      <c r="I327" s="223"/>
      <c r="J327" s="223"/>
      <c r="K327" s="223"/>
      <c r="L327" s="223"/>
      <c r="M327" s="223"/>
      <c r="N327" s="223"/>
    </row>
    <row r="328" ht="15.75" hidden="1" customHeight="1">
      <c r="A328" s="89"/>
      <c r="B328" s="89"/>
      <c r="C328" s="223"/>
      <c r="D328" s="223"/>
      <c r="E328" s="223"/>
      <c r="F328" s="223"/>
      <c r="G328" s="223"/>
      <c r="H328" s="223"/>
      <c r="I328" s="223"/>
      <c r="J328" s="223"/>
      <c r="K328" s="223"/>
      <c r="L328" s="223"/>
      <c r="M328" s="223"/>
      <c r="N328" s="223"/>
    </row>
    <row r="329" ht="15.75" hidden="1" customHeight="1">
      <c r="A329" s="89"/>
      <c r="B329" s="89"/>
      <c r="C329" s="223"/>
      <c r="D329" s="223"/>
      <c r="E329" s="223"/>
      <c r="F329" s="223"/>
      <c r="G329" s="223"/>
      <c r="H329" s="223"/>
      <c r="I329" s="223"/>
      <c r="J329" s="223"/>
      <c r="K329" s="223"/>
      <c r="L329" s="223"/>
      <c r="M329" s="223"/>
      <c r="N329" s="223"/>
    </row>
    <row r="330" ht="15.75" hidden="1" customHeight="1">
      <c r="A330" s="89"/>
      <c r="B330" s="89"/>
      <c r="C330" s="223"/>
      <c r="D330" s="223"/>
      <c r="E330" s="223"/>
      <c r="F330" s="223"/>
      <c r="G330" s="223"/>
      <c r="H330" s="223"/>
      <c r="I330" s="223"/>
      <c r="J330" s="223"/>
      <c r="K330" s="223"/>
      <c r="L330" s="223"/>
      <c r="M330" s="223"/>
      <c r="N330" s="223"/>
    </row>
    <row r="331" ht="15.75" hidden="1" customHeight="1">
      <c r="A331" s="89"/>
      <c r="B331" s="89"/>
      <c r="C331" s="223"/>
      <c r="D331" s="223"/>
      <c r="E331" s="223"/>
      <c r="F331" s="223"/>
      <c r="G331" s="223"/>
      <c r="H331" s="223"/>
      <c r="I331" s="223"/>
      <c r="J331" s="223"/>
      <c r="K331" s="223"/>
      <c r="L331" s="223"/>
      <c r="M331" s="223"/>
      <c r="N331" s="223"/>
    </row>
    <row r="332" ht="15.75" hidden="1" customHeight="1">
      <c r="A332" s="89"/>
      <c r="B332" s="89"/>
      <c r="C332" s="223"/>
      <c r="D332" s="223"/>
      <c r="E332" s="223"/>
      <c r="F332" s="223"/>
      <c r="G332" s="223"/>
      <c r="H332" s="223"/>
      <c r="I332" s="223"/>
      <c r="J332" s="223"/>
      <c r="K332" s="223"/>
      <c r="L332" s="223"/>
      <c r="M332" s="223"/>
      <c r="N332" s="223"/>
    </row>
    <row r="333" ht="15.75" hidden="1" customHeight="1">
      <c r="A333" s="89"/>
      <c r="B333" s="89"/>
      <c r="C333" s="223"/>
      <c r="D333" s="223"/>
      <c r="E333" s="223"/>
      <c r="F333" s="223"/>
      <c r="G333" s="223"/>
      <c r="H333" s="223"/>
      <c r="I333" s="223"/>
      <c r="J333" s="223"/>
      <c r="K333" s="223"/>
      <c r="L333" s="223"/>
      <c r="M333" s="223"/>
      <c r="N333" s="223"/>
    </row>
    <row r="334" ht="15.75" hidden="1" customHeight="1">
      <c r="A334" s="89"/>
      <c r="B334" s="89"/>
      <c r="C334" s="223"/>
      <c r="D334" s="223"/>
      <c r="E334" s="223"/>
      <c r="F334" s="223"/>
      <c r="G334" s="223"/>
      <c r="H334" s="223"/>
      <c r="I334" s="223"/>
      <c r="J334" s="223"/>
      <c r="K334" s="223"/>
      <c r="L334" s="223"/>
      <c r="M334" s="223"/>
      <c r="N334" s="223"/>
    </row>
    <row r="335" ht="15.75" hidden="1" customHeight="1">
      <c r="A335" s="89"/>
      <c r="B335" s="89"/>
      <c r="C335" s="223"/>
      <c r="D335" s="223"/>
      <c r="E335" s="223"/>
      <c r="F335" s="223"/>
      <c r="G335" s="223"/>
      <c r="H335" s="223"/>
      <c r="I335" s="223"/>
      <c r="J335" s="223"/>
      <c r="K335" s="223"/>
      <c r="L335" s="223"/>
      <c r="M335" s="223"/>
      <c r="N335" s="223"/>
    </row>
    <row r="336" ht="15.75" hidden="1" customHeight="1">
      <c r="A336" s="89"/>
      <c r="B336" s="89"/>
      <c r="C336" s="223"/>
      <c r="D336" s="223"/>
      <c r="E336" s="223"/>
      <c r="F336" s="223"/>
      <c r="G336" s="223"/>
      <c r="H336" s="223"/>
      <c r="I336" s="223"/>
      <c r="J336" s="223"/>
      <c r="K336" s="223"/>
      <c r="L336" s="223"/>
      <c r="M336" s="223"/>
      <c r="N336" s="223"/>
    </row>
    <row r="337" ht="15.75" hidden="1" customHeight="1">
      <c r="A337" s="89"/>
      <c r="B337" s="89"/>
      <c r="C337" s="223"/>
      <c r="D337" s="223"/>
      <c r="E337" s="223"/>
      <c r="F337" s="223"/>
      <c r="G337" s="223"/>
      <c r="H337" s="223"/>
      <c r="I337" s="223"/>
      <c r="J337" s="223"/>
      <c r="K337" s="223"/>
      <c r="L337" s="223"/>
      <c r="M337" s="223"/>
      <c r="N337" s="223"/>
    </row>
    <row r="338" ht="15.75" hidden="1" customHeight="1">
      <c r="A338" s="89"/>
      <c r="B338" s="89"/>
      <c r="C338" s="223"/>
      <c r="D338" s="223"/>
      <c r="E338" s="223"/>
      <c r="F338" s="223"/>
      <c r="G338" s="223"/>
      <c r="H338" s="223"/>
      <c r="I338" s="223"/>
      <c r="J338" s="223"/>
      <c r="K338" s="223"/>
      <c r="L338" s="223"/>
      <c r="M338" s="223"/>
      <c r="N338" s="223"/>
    </row>
    <row r="339" ht="15.75" hidden="1" customHeight="1">
      <c r="A339" s="89"/>
      <c r="B339" s="89"/>
      <c r="C339" s="223"/>
      <c r="D339" s="223"/>
      <c r="E339" s="223"/>
      <c r="F339" s="223"/>
      <c r="G339" s="223"/>
      <c r="H339" s="223"/>
      <c r="I339" s="223"/>
      <c r="J339" s="223"/>
      <c r="K339" s="223"/>
      <c r="L339" s="223"/>
      <c r="M339" s="223"/>
      <c r="N339" s="223"/>
    </row>
    <row r="340" ht="15.75" hidden="1" customHeight="1">
      <c r="A340" s="89"/>
      <c r="B340" s="89"/>
      <c r="C340" s="223"/>
      <c r="D340" s="223"/>
      <c r="E340" s="223"/>
      <c r="F340" s="223"/>
      <c r="G340" s="223"/>
      <c r="H340" s="223"/>
      <c r="I340" s="223"/>
      <c r="J340" s="223"/>
      <c r="K340" s="223"/>
      <c r="L340" s="223"/>
      <c r="M340" s="223"/>
      <c r="N340" s="223"/>
    </row>
    <row r="341" ht="15.75" hidden="1" customHeight="1">
      <c r="A341" s="89"/>
      <c r="B341" s="89"/>
      <c r="C341" s="223"/>
      <c r="D341" s="223"/>
      <c r="E341" s="223"/>
      <c r="F341" s="223"/>
      <c r="G341" s="223"/>
      <c r="H341" s="223"/>
      <c r="I341" s="223"/>
      <c r="J341" s="223"/>
      <c r="K341" s="223"/>
      <c r="L341" s="223"/>
      <c r="M341" s="223"/>
      <c r="N341" s="223"/>
    </row>
    <row r="342" ht="15.75" hidden="1" customHeight="1">
      <c r="A342" s="89"/>
      <c r="B342" s="89"/>
      <c r="C342" s="223"/>
      <c r="D342" s="223"/>
      <c r="E342" s="223"/>
      <c r="F342" s="223"/>
      <c r="G342" s="223"/>
      <c r="H342" s="223"/>
      <c r="I342" s="223"/>
      <c r="J342" s="223"/>
      <c r="K342" s="223"/>
      <c r="L342" s="223"/>
      <c r="M342" s="223"/>
      <c r="N342" s="223"/>
    </row>
    <row r="343" ht="15.75" hidden="1" customHeight="1">
      <c r="A343" s="89"/>
      <c r="B343" s="89"/>
      <c r="C343" s="223"/>
      <c r="D343" s="223"/>
      <c r="E343" s="223"/>
      <c r="F343" s="223"/>
      <c r="G343" s="223"/>
      <c r="H343" s="223"/>
      <c r="I343" s="223"/>
      <c r="J343" s="223"/>
      <c r="K343" s="223"/>
      <c r="L343" s="223"/>
      <c r="M343" s="223"/>
      <c r="N343" s="223"/>
    </row>
    <row r="344" ht="15.75" hidden="1" customHeight="1">
      <c r="A344" s="89"/>
      <c r="B344" s="89"/>
      <c r="C344" s="223"/>
      <c r="D344" s="223"/>
      <c r="E344" s="223"/>
      <c r="F344" s="223"/>
      <c r="G344" s="223"/>
      <c r="H344" s="223"/>
      <c r="I344" s="223"/>
      <c r="J344" s="223"/>
      <c r="K344" s="223"/>
      <c r="L344" s="223"/>
      <c r="M344" s="223"/>
      <c r="N344" s="223"/>
    </row>
    <row r="345" ht="15.75" hidden="1" customHeight="1">
      <c r="A345" s="89"/>
      <c r="B345" s="89"/>
      <c r="C345" s="223"/>
      <c r="D345" s="223"/>
      <c r="E345" s="223"/>
      <c r="F345" s="223"/>
      <c r="G345" s="223"/>
      <c r="H345" s="223"/>
      <c r="I345" s="223"/>
      <c r="J345" s="223"/>
      <c r="K345" s="223"/>
      <c r="L345" s="223"/>
      <c r="M345" s="223"/>
      <c r="N345" s="223"/>
    </row>
    <row r="346" ht="15.75" hidden="1" customHeight="1">
      <c r="A346" s="89"/>
      <c r="B346" s="89"/>
      <c r="C346" s="223"/>
      <c r="D346" s="223"/>
      <c r="E346" s="223"/>
      <c r="F346" s="223"/>
      <c r="G346" s="223"/>
      <c r="H346" s="223"/>
      <c r="I346" s="223"/>
      <c r="J346" s="223"/>
      <c r="K346" s="223"/>
      <c r="L346" s="223"/>
      <c r="M346" s="223"/>
      <c r="N346" s="223"/>
    </row>
    <row r="347" ht="15.75" hidden="1" customHeight="1">
      <c r="A347" s="89"/>
      <c r="B347" s="89"/>
      <c r="C347" s="223"/>
      <c r="D347" s="223"/>
      <c r="E347" s="223"/>
      <c r="F347" s="223"/>
      <c r="G347" s="223"/>
      <c r="H347" s="223"/>
      <c r="I347" s="223"/>
      <c r="J347" s="223"/>
      <c r="K347" s="223"/>
      <c r="L347" s="223"/>
      <c r="M347" s="223"/>
      <c r="N347" s="223"/>
    </row>
    <row r="348" ht="15.75" hidden="1" customHeight="1">
      <c r="A348" s="89"/>
      <c r="B348" s="89"/>
      <c r="C348" s="223"/>
      <c r="D348" s="223"/>
      <c r="E348" s="223"/>
      <c r="F348" s="223"/>
      <c r="G348" s="223"/>
      <c r="H348" s="223"/>
      <c r="I348" s="223"/>
      <c r="J348" s="223"/>
      <c r="K348" s="223"/>
      <c r="L348" s="223"/>
      <c r="M348" s="223"/>
      <c r="N348" s="223"/>
    </row>
    <row r="349" ht="15.75" hidden="1" customHeight="1">
      <c r="A349" s="89"/>
      <c r="B349" s="89"/>
      <c r="C349" s="223"/>
      <c r="D349" s="223"/>
      <c r="E349" s="223"/>
      <c r="F349" s="223"/>
      <c r="G349" s="223"/>
      <c r="H349" s="223"/>
      <c r="I349" s="223"/>
      <c r="J349" s="223"/>
      <c r="K349" s="223"/>
      <c r="L349" s="223"/>
      <c r="M349" s="223"/>
      <c r="N349" s="223"/>
    </row>
    <row r="350" ht="15.75" hidden="1" customHeight="1">
      <c r="A350" s="89"/>
      <c r="B350" s="89"/>
      <c r="C350" s="223"/>
      <c r="D350" s="223"/>
      <c r="E350" s="223"/>
      <c r="F350" s="223"/>
      <c r="G350" s="223"/>
      <c r="H350" s="223"/>
      <c r="I350" s="223"/>
      <c r="J350" s="223"/>
      <c r="K350" s="223"/>
      <c r="L350" s="223"/>
      <c r="M350" s="223"/>
      <c r="N350" s="223"/>
    </row>
    <row r="351" ht="15.75" hidden="1" customHeight="1">
      <c r="A351" s="89"/>
      <c r="B351" s="89"/>
      <c r="C351" s="223"/>
      <c r="D351" s="223"/>
      <c r="E351" s="223"/>
      <c r="F351" s="223"/>
      <c r="G351" s="223"/>
      <c r="H351" s="223"/>
      <c r="I351" s="223"/>
      <c r="J351" s="223"/>
      <c r="K351" s="223"/>
      <c r="L351" s="223"/>
      <c r="M351" s="223"/>
      <c r="N351" s="223"/>
    </row>
    <row r="352" ht="15.75" hidden="1" customHeight="1">
      <c r="A352" s="89"/>
      <c r="B352" s="89"/>
      <c r="C352" s="223"/>
      <c r="D352" s="223"/>
      <c r="E352" s="223"/>
      <c r="F352" s="223"/>
      <c r="G352" s="223"/>
      <c r="H352" s="223"/>
      <c r="I352" s="223"/>
      <c r="J352" s="223"/>
      <c r="K352" s="223"/>
      <c r="L352" s="223"/>
      <c r="M352" s="223"/>
      <c r="N352" s="223"/>
    </row>
    <row r="353" ht="15.75" hidden="1" customHeight="1">
      <c r="A353" s="89"/>
      <c r="B353" s="89"/>
      <c r="C353" s="223"/>
      <c r="D353" s="223"/>
      <c r="E353" s="223"/>
      <c r="F353" s="223"/>
      <c r="G353" s="223"/>
      <c r="H353" s="223"/>
      <c r="I353" s="223"/>
      <c r="J353" s="223"/>
      <c r="K353" s="223"/>
      <c r="L353" s="223"/>
      <c r="M353" s="223"/>
      <c r="N353" s="223"/>
    </row>
    <row r="354" ht="15.75" hidden="1" customHeight="1">
      <c r="A354" s="89"/>
      <c r="B354" s="89"/>
      <c r="C354" s="223"/>
      <c r="D354" s="223"/>
      <c r="E354" s="223"/>
      <c r="F354" s="223"/>
      <c r="G354" s="223"/>
      <c r="H354" s="223"/>
      <c r="I354" s="223"/>
      <c r="J354" s="223"/>
      <c r="K354" s="223"/>
      <c r="L354" s="223"/>
      <c r="M354" s="223"/>
      <c r="N354" s="223"/>
    </row>
    <row r="355" ht="15.75" hidden="1" customHeight="1">
      <c r="A355" s="89"/>
      <c r="B355" s="89"/>
      <c r="C355" s="223"/>
      <c r="D355" s="223"/>
      <c r="E355" s="223"/>
      <c r="F355" s="223"/>
      <c r="G355" s="223"/>
      <c r="H355" s="223"/>
      <c r="I355" s="223"/>
      <c r="J355" s="223"/>
      <c r="K355" s="223"/>
      <c r="L355" s="223"/>
      <c r="M355" s="223"/>
      <c r="N355" s="223"/>
    </row>
    <row r="356" ht="15.75" hidden="1" customHeight="1">
      <c r="A356" s="89"/>
      <c r="B356" s="89"/>
      <c r="C356" s="223"/>
      <c r="D356" s="223"/>
      <c r="E356" s="223"/>
      <c r="F356" s="223"/>
      <c r="G356" s="223"/>
      <c r="H356" s="223"/>
      <c r="I356" s="223"/>
      <c r="J356" s="223"/>
      <c r="K356" s="223"/>
      <c r="L356" s="223"/>
      <c r="M356" s="223"/>
      <c r="N356" s="223"/>
    </row>
    <row r="357" ht="15.75" hidden="1" customHeight="1">
      <c r="A357" s="89"/>
      <c r="B357" s="89"/>
      <c r="C357" s="223"/>
      <c r="D357" s="223"/>
      <c r="E357" s="223"/>
      <c r="F357" s="223"/>
      <c r="G357" s="223"/>
      <c r="H357" s="223"/>
      <c r="I357" s="223"/>
      <c r="J357" s="223"/>
      <c r="K357" s="223"/>
      <c r="L357" s="223"/>
      <c r="M357" s="223"/>
      <c r="N357" s="223"/>
    </row>
    <row r="358" ht="15.75" hidden="1" customHeight="1">
      <c r="A358" s="89"/>
      <c r="B358" s="89"/>
      <c r="C358" s="223"/>
      <c r="D358" s="223"/>
      <c r="E358" s="223"/>
      <c r="F358" s="223"/>
      <c r="G358" s="223"/>
      <c r="H358" s="223"/>
      <c r="I358" s="223"/>
      <c r="J358" s="223"/>
      <c r="K358" s="223"/>
      <c r="L358" s="223"/>
      <c r="M358" s="223"/>
      <c r="N358" s="223"/>
    </row>
    <row r="359" ht="15.75" hidden="1" customHeight="1">
      <c r="A359" s="89"/>
      <c r="B359" s="89"/>
      <c r="C359" s="223"/>
      <c r="D359" s="223"/>
      <c r="E359" s="223"/>
      <c r="F359" s="223"/>
      <c r="G359" s="223"/>
      <c r="H359" s="223"/>
      <c r="I359" s="223"/>
      <c r="J359" s="223"/>
      <c r="K359" s="223"/>
      <c r="L359" s="223"/>
      <c r="M359" s="223"/>
      <c r="N359" s="223"/>
    </row>
    <row r="360" ht="15.75" hidden="1" customHeight="1">
      <c r="A360" s="89"/>
      <c r="B360" s="89"/>
      <c r="C360" s="223"/>
      <c r="D360" s="223"/>
      <c r="E360" s="223"/>
      <c r="F360" s="223"/>
      <c r="G360" s="223"/>
      <c r="H360" s="223"/>
      <c r="I360" s="223"/>
      <c r="J360" s="223"/>
      <c r="K360" s="223"/>
      <c r="L360" s="223"/>
      <c r="M360" s="223"/>
      <c r="N360" s="223"/>
    </row>
    <row r="361" ht="15.75" hidden="1" customHeight="1">
      <c r="A361" s="89"/>
      <c r="B361" s="89"/>
      <c r="C361" s="223"/>
      <c r="D361" s="223"/>
      <c r="E361" s="223"/>
      <c r="F361" s="223"/>
      <c r="G361" s="223"/>
      <c r="H361" s="223"/>
      <c r="I361" s="223"/>
      <c r="J361" s="223"/>
      <c r="K361" s="223"/>
      <c r="L361" s="223"/>
      <c r="M361" s="223"/>
      <c r="N361" s="223"/>
    </row>
    <row r="362" ht="15.75" hidden="1" customHeight="1">
      <c r="A362" s="89"/>
      <c r="B362" s="89"/>
      <c r="C362" s="223"/>
      <c r="D362" s="223"/>
      <c r="E362" s="223"/>
      <c r="F362" s="223"/>
      <c r="G362" s="223"/>
      <c r="H362" s="223"/>
      <c r="I362" s="223"/>
      <c r="J362" s="223"/>
      <c r="K362" s="223"/>
      <c r="L362" s="223"/>
      <c r="M362" s="223"/>
      <c r="N362" s="223"/>
    </row>
    <row r="363" ht="15.75" hidden="1" customHeight="1">
      <c r="A363" s="89"/>
      <c r="B363" s="89"/>
      <c r="C363" s="223"/>
      <c r="D363" s="223"/>
      <c r="E363" s="223"/>
      <c r="F363" s="223"/>
      <c r="G363" s="223"/>
      <c r="H363" s="223"/>
      <c r="I363" s="223"/>
      <c r="J363" s="223"/>
      <c r="K363" s="223"/>
      <c r="L363" s="223"/>
      <c r="M363" s="223"/>
      <c r="N363" s="223"/>
    </row>
    <row r="364" ht="15.75" hidden="1" customHeight="1">
      <c r="A364" s="89"/>
      <c r="B364" s="89"/>
      <c r="C364" s="223"/>
      <c r="D364" s="223"/>
      <c r="E364" s="223"/>
      <c r="F364" s="223"/>
      <c r="G364" s="223"/>
      <c r="H364" s="223"/>
      <c r="I364" s="223"/>
      <c r="J364" s="223"/>
      <c r="K364" s="223"/>
      <c r="L364" s="223"/>
      <c r="M364" s="223"/>
      <c r="N364" s="223"/>
    </row>
    <row r="365" ht="15.75" hidden="1" customHeight="1">
      <c r="A365" s="89"/>
      <c r="B365" s="89"/>
      <c r="C365" s="223"/>
      <c r="D365" s="223"/>
      <c r="E365" s="223"/>
      <c r="F365" s="223"/>
      <c r="G365" s="223"/>
      <c r="H365" s="223"/>
      <c r="I365" s="223"/>
      <c r="J365" s="223"/>
      <c r="K365" s="223"/>
      <c r="L365" s="223"/>
      <c r="M365" s="223"/>
      <c r="N365" s="223"/>
    </row>
    <row r="366" ht="15.75" hidden="1" customHeight="1">
      <c r="A366" s="89"/>
      <c r="B366" s="89"/>
      <c r="C366" s="223"/>
      <c r="D366" s="223"/>
      <c r="E366" s="223"/>
      <c r="F366" s="223"/>
      <c r="G366" s="223"/>
      <c r="H366" s="223"/>
      <c r="I366" s="223"/>
      <c r="J366" s="223"/>
      <c r="K366" s="223"/>
      <c r="L366" s="223"/>
      <c r="M366" s="223"/>
      <c r="N366" s="223"/>
    </row>
    <row r="367" ht="15.75" hidden="1" customHeight="1">
      <c r="A367" s="89"/>
      <c r="B367" s="89"/>
      <c r="C367" s="223"/>
      <c r="D367" s="223"/>
      <c r="E367" s="223"/>
      <c r="F367" s="223"/>
      <c r="G367" s="223"/>
      <c r="H367" s="223"/>
      <c r="I367" s="223"/>
      <c r="J367" s="223"/>
      <c r="K367" s="223"/>
      <c r="L367" s="223"/>
      <c r="M367" s="223"/>
      <c r="N367" s="223"/>
    </row>
    <row r="368" ht="15.75" hidden="1" customHeight="1">
      <c r="A368" s="89"/>
      <c r="B368" s="89"/>
      <c r="C368" s="223"/>
      <c r="D368" s="223"/>
      <c r="E368" s="223"/>
      <c r="F368" s="223"/>
      <c r="G368" s="223"/>
      <c r="H368" s="223"/>
      <c r="I368" s="223"/>
      <c r="J368" s="223"/>
      <c r="K368" s="223"/>
      <c r="L368" s="223"/>
      <c r="M368" s="223"/>
      <c r="N368" s="223"/>
    </row>
    <row r="369" ht="15.75" hidden="1" customHeight="1">
      <c r="A369" s="89"/>
      <c r="B369" s="89"/>
      <c r="C369" s="223"/>
      <c r="D369" s="223"/>
      <c r="E369" s="223"/>
      <c r="F369" s="223"/>
      <c r="G369" s="223"/>
      <c r="H369" s="223"/>
      <c r="I369" s="223"/>
      <c r="J369" s="223"/>
      <c r="K369" s="223"/>
      <c r="L369" s="223"/>
      <c r="M369" s="223"/>
      <c r="N369" s="223"/>
    </row>
    <row r="370" ht="15.75" hidden="1" customHeight="1">
      <c r="A370" s="89"/>
      <c r="B370" s="89"/>
      <c r="C370" s="223"/>
      <c r="D370" s="223"/>
      <c r="E370" s="223"/>
      <c r="F370" s="223"/>
      <c r="G370" s="223"/>
      <c r="H370" s="223"/>
      <c r="I370" s="223"/>
      <c r="J370" s="223"/>
      <c r="K370" s="223"/>
      <c r="L370" s="223"/>
      <c r="M370" s="223"/>
      <c r="N370" s="223"/>
    </row>
    <row r="371" ht="15.75" hidden="1" customHeight="1">
      <c r="A371" s="89"/>
      <c r="B371" s="89"/>
      <c r="C371" s="223"/>
      <c r="D371" s="223"/>
      <c r="E371" s="223"/>
      <c r="F371" s="223"/>
      <c r="G371" s="223"/>
      <c r="H371" s="223"/>
      <c r="I371" s="223"/>
      <c r="J371" s="223"/>
      <c r="K371" s="223"/>
      <c r="L371" s="223"/>
      <c r="M371" s="223"/>
      <c r="N371" s="223"/>
    </row>
    <row r="372" ht="15.75" hidden="1" customHeight="1">
      <c r="A372" s="89"/>
      <c r="B372" s="89"/>
      <c r="C372" s="223"/>
      <c r="D372" s="223"/>
      <c r="E372" s="223"/>
      <c r="F372" s="223"/>
      <c r="G372" s="223"/>
      <c r="H372" s="223"/>
      <c r="I372" s="223"/>
      <c r="J372" s="223"/>
      <c r="K372" s="223"/>
      <c r="L372" s="223"/>
      <c r="M372" s="223"/>
      <c r="N372" s="223"/>
    </row>
    <row r="373" ht="15.75" hidden="1" customHeight="1">
      <c r="A373" s="89"/>
      <c r="B373" s="89"/>
      <c r="C373" s="223"/>
      <c r="D373" s="223"/>
      <c r="E373" s="223"/>
      <c r="F373" s="223"/>
      <c r="G373" s="223"/>
      <c r="H373" s="223"/>
      <c r="I373" s="223"/>
      <c r="J373" s="223"/>
      <c r="K373" s="223"/>
      <c r="L373" s="223"/>
      <c r="M373" s="223"/>
      <c r="N373" s="223"/>
    </row>
    <row r="374" ht="15.75" hidden="1" customHeight="1">
      <c r="A374" s="89"/>
      <c r="B374" s="89"/>
      <c r="C374" s="223"/>
      <c r="D374" s="223"/>
      <c r="E374" s="223"/>
      <c r="F374" s="223"/>
      <c r="G374" s="223"/>
      <c r="H374" s="223"/>
      <c r="I374" s="223"/>
      <c r="J374" s="223"/>
      <c r="K374" s="223"/>
      <c r="L374" s="223"/>
      <c r="M374" s="223"/>
      <c r="N374" s="223"/>
    </row>
    <row r="375" ht="15.75" hidden="1" customHeight="1">
      <c r="A375" s="89"/>
      <c r="B375" s="89"/>
      <c r="C375" s="223"/>
      <c r="D375" s="223"/>
      <c r="E375" s="223"/>
      <c r="F375" s="223"/>
      <c r="G375" s="223"/>
      <c r="H375" s="223"/>
      <c r="I375" s="223"/>
      <c r="J375" s="223"/>
      <c r="K375" s="223"/>
      <c r="L375" s="223"/>
      <c r="M375" s="223"/>
      <c r="N375" s="223"/>
    </row>
    <row r="376" ht="15.75" hidden="1" customHeight="1">
      <c r="A376" s="89"/>
      <c r="B376" s="89"/>
      <c r="C376" s="223"/>
      <c r="D376" s="223"/>
      <c r="E376" s="223"/>
      <c r="F376" s="223"/>
      <c r="G376" s="223"/>
      <c r="H376" s="223"/>
      <c r="I376" s="223"/>
      <c r="J376" s="223"/>
      <c r="K376" s="223"/>
      <c r="L376" s="223"/>
      <c r="M376" s="223"/>
      <c r="N376" s="223"/>
    </row>
    <row r="377" ht="15.75" hidden="1" customHeight="1">
      <c r="A377" s="89"/>
      <c r="B377" s="89"/>
      <c r="C377" s="223"/>
      <c r="D377" s="223"/>
      <c r="E377" s="223"/>
      <c r="F377" s="223"/>
      <c r="G377" s="223"/>
      <c r="H377" s="223"/>
      <c r="I377" s="223"/>
      <c r="J377" s="223"/>
      <c r="K377" s="223"/>
      <c r="L377" s="223"/>
      <c r="M377" s="223"/>
      <c r="N377" s="223"/>
    </row>
    <row r="378" ht="15.75" hidden="1" customHeight="1">
      <c r="A378" s="89"/>
      <c r="B378" s="89"/>
      <c r="C378" s="223"/>
      <c r="D378" s="223"/>
      <c r="E378" s="223"/>
      <c r="F378" s="223"/>
      <c r="G378" s="223"/>
      <c r="H378" s="223"/>
      <c r="I378" s="223"/>
      <c r="J378" s="223"/>
      <c r="K378" s="223"/>
      <c r="L378" s="223"/>
      <c r="M378" s="223"/>
      <c r="N378" s="223"/>
    </row>
    <row r="379" ht="15.75" hidden="1" customHeight="1">
      <c r="A379" s="89"/>
      <c r="B379" s="89"/>
      <c r="C379" s="223"/>
      <c r="D379" s="223"/>
      <c r="E379" s="223"/>
      <c r="F379" s="223"/>
      <c r="G379" s="223"/>
      <c r="H379" s="223"/>
      <c r="I379" s="223"/>
      <c r="J379" s="223"/>
      <c r="K379" s="223"/>
      <c r="L379" s="223"/>
      <c r="M379" s="223"/>
      <c r="N379" s="223"/>
    </row>
    <row r="380" ht="15.75" hidden="1" customHeight="1">
      <c r="A380" s="89"/>
      <c r="B380" s="89"/>
      <c r="C380" s="223"/>
      <c r="D380" s="223"/>
      <c r="E380" s="223"/>
      <c r="F380" s="223"/>
      <c r="G380" s="223"/>
      <c r="H380" s="223"/>
      <c r="I380" s="223"/>
      <c r="J380" s="223"/>
      <c r="K380" s="223"/>
      <c r="L380" s="223"/>
      <c r="M380" s="223"/>
      <c r="N380" s="223"/>
    </row>
    <row r="381" ht="15.75" hidden="1" customHeight="1">
      <c r="A381" s="89"/>
      <c r="B381" s="89"/>
      <c r="C381" s="223"/>
      <c r="D381" s="223"/>
      <c r="E381" s="223"/>
      <c r="F381" s="223"/>
      <c r="G381" s="223"/>
      <c r="H381" s="223"/>
      <c r="I381" s="223"/>
      <c r="J381" s="223"/>
      <c r="K381" s="223"/>
      <c r="L381" s="223"/>
      <c r="M381" s="223"/>
      <c r="N381" s="223"/>
    </row>
    <row r="382" ht="15.75" hidden="1" customHeight="1">
      <c r="A382" s="89"/>
      <c r="B382" s="89"/>
      <c r="C382" s="223"/>
      <c r="D382" s="223"/>
      <c r="E382" s="223"/>
      <c r="F382" s="223"/>
      <c r="G382" s="223"/>
      <c r="H382" s="223"/>
      <c r="I382" s="223"/>
      <c r="J382" s="223"/>
      <c r="K382" s="223"/>
      <c r="L382" s="223"/>
      <c r="M382" s="223"/>
      <c r="N382" s="223"/>
    </row>
    <row r="383" ht="15.75" hidden="1" customHeight="1">
      <c r="A383" s="89"/>
      <c r="B383" s="89"/>
      <c r="C383" s="223"/>
      <c r="D383" s="223"/>
      <c r="E383" s="223"/>
      <c r="F383" s="223"/>
      <c r="G383" s="223"/>
      <c r="H383" s="223"/>
      <c r="I383" s="223"/>
      <c r="J383" s="223"/>
      <c r="K383" s="223"/>
      <c r="L383" s="223"/>
      <c r="M383" s="223"/>
      <c r="N383" s="223"/>
    </row>
    <row r="384" ht="15.75" hidden="1" customHeight="1">
      <c r="A384" s="89"/>
      <c r="B384" s="89"/>
      <c r="C384" s="223"/>
      <c r="D384" s="223"/>
      <c r="E384" s="223"/>
      <c r="F384" s="223"/>
      <c r="G384" s="223"/>
      <c r="H384" s="223"/>
      <c r="I384" s="223"/>
      <c r="J384" s="223"/>
      <c r="K384" s="223"/>
      <c r="L384" s="223"/>
      <c r="M384" s="223"/>
      <c r="N384" s="223"/>
    </row>
    <row r="385" ht="15.75" hidden="1" customHeight="1">
      <c r="A385" s="89"/>
      <c r="B385" s="89"/>
      <c r="C385" s="223"/>
      <c r="D385" s="223"/>
      <c r="E385" s="223"/>
      <c r="F385" s="223"/>
      <c r="G385" s="223"/>
      <c r="H385" s="223"/>
      <c r="I385" s="223"/>
      <c r="J385" s="223"/>
      <c r="K385" s="223"/>
      <c r="L385" s="223"/>
      <c r="M385" s="223"/>
      <c r="N385" s="223"/>
    </row>
    <row r="386" ht="15.75" hidden="1" customHeight="1">
      <c r="A386" s="89"/>
      <c r="B386" s="89"/>
      <c r="C386" s="223"/>
      <c r="D386" s="223"/>
      <c r="E386" s="223"/>
      <c r="F386" s="223"/>
      <c r="G386" s="223"/>
      <c r="H386" s="223"/>
      <c r="I386" s="223"/>
      <c r="J386" s="223"/>
      <c r="K386" s="223"/>
      <c r="L386" s="223"/>
      <c r="M386" s="223"/>
      <c r="N386" s="223"/>
    </row>
    <row r="387" ht="15.75" hidden="1" customHeight="1">
      <c r="A387" s="89"/>
      <c r="B387" s="89"/>
      <c r="C387" s="223"/>
      <c r="D387" s="223"/>
      <c r="E387" s="223"/>
      <c r="F387" s="223"/>
      <c r="G387" s="223"/>
      <c r="H387" s="223"/>
      <c r="I387" s="223"/>
      <c r="J387" s="223"/>
      <c r="K387" s="223"/>
      <c r="L387" s="223"/>
      <c r="M387" s="223"/>
      <c r="N387" s="223"/>
    </row>
    <row r="388" ht="15.75" hidden="1" customHeight="1">
      <c r="A388" s="89"/>
      <c r="B388" s="89"/>
      <c r="C388" s="223"/>
      <c r="D388" s="223"/>
      <c r="E388" s="223"/>
      <c r="F388" s="223"/>
      <c r="G388" s="223"/>
      <c r="H388" s="223"/>
      <c r="I388" s="223"/>
      <c r="J388" s="223"/>
      <c r="K388" s="223"/>
      <c r="L388" s="223"/>
      <c r="M388" s="223"/>
      <c r="N388" s="223"/>
    </row>
    <row r="389" ht="15.75" hidden="1" customHeight="1">
      <c r="A389" s="89"/>
      <c r="B389" s="89"/>
      <c r="C389" s="223"/>
      <c r="D389" s="223"/>
      <c r="E389" s="223"/>
      <c r="F389" s="223"/>
      <c r="G389" s="223"/>
      <c r="H389" s="223"/>
      <c r="I389" s="223"/>
      <c r="J389" s="223"/>
      <c r="K389" s="223"/>
      <c r="L389" s="223"/>
      <c r="M389" s="223"/>
      <c r="N389" s="223"/>
    </row>
    <row r="390" ht="15.75" hidden="1" customHeight="1">
      <c r="A390" s="89"/>
      <c r="B390" s="89"/>
      <c r="C390" s="223"/>
      <c r="D390" s="223"/>
      <c r="E390" s="223"/>
      <c r="F390" s="223"/>
      <c r="G390" s="223"/>
      <c r="H390" s="223"/>
      <c r="I390" s="223"/>
      <c r="J390" s="223"/>
      <c r="K390" s="223"/>
      <c r="L390" s="223"/>
      <c r="M390" s="223"/>
      <c r="N390" s="223"/>
    </row>
    <row r="391" ht="15.75" hidden="1" customHeight="1">
      <c r="A391" s="89"/>
      <c r="B391" s="89"/>
      <c r="C391" s="223"/>
      <c r="D391" s="223"/>
      <c r="E391" s="223"/>
      <c r="F391" s="223"/>
      <c r="G391" s="223"/>
      <c r="H391" s="223"/>
      <c r="I391" s="223"/>
      <c r="J391" s="223"/>
      <c r="K391" s="223"/>
      <c r="L391" s="223"/>
      <c r="M391" s="223"/>
      <c r="N391" s="223"/>
    </row>
    <row r="392" ht="15.75" hidden="1" customHeight="1">
      <c r="A392" s="89"/>
      <c r="B392" s="89"/>
      <c r="C392" s="223"/>
      <c r="D392" s="223"/>
      <c r="E392" s="223"/>
      <c r="F392" s="223"/>
      <c r="G392" s="223"/>
      <c r="H392" s="223"/>
      <c r="I392" s="223"/>
      <c r="J392" s="223"/>
      <c r="K392" s="223"/>
      <c r="L392" s="223"/>
      <c r="M392" s="223"/>
      <c r="N392" s="223"/>
    </row>
    <row r="393" ht="15.75" hidden="1" customHeight="1">
      <c r="A393" s="89"/>
      <c r="B393" s="89"/>
      <c r="C393" s="223"/>
      <c r="D393" s="223"/>
      <c r="E393" s="223"/>
      <c r="F393" s="223"/>
      <c r="G393" s="223"/>
      <c r="H393" s="223"/>
      <c r="I393" s="223"/>
      <c r="J393" s="223"/>
      <c r="K393" s="223"/>
      <c r="L393" s="223"/>
      <c r="M393" s="223"/>
      <c r="N393" s="223"/>
    </row>
    <row r="394" ht="15.75" hidden="1" customHeight="1">
      <c r="A394" s="89"/>
      <c r="B394" s="89"/>
      <c r="C394" s="223"/>
      <c r="D394" s="223"/>
      <c r="E394" s="223"/>
      <c r="F394" s="223"/>
      <c r="G394" s="223"/>
      <c r="H394" s="223"/>
      <c r="I394" s="223"/>
      <c r="J394" s="223"/>
      <c r="K394" s="223"/>
      <c r="L394" s="223"/>
      <c r="M394" s="223"/>
      <c r="N394" s="223"/>
    </row>
    <row r="395" ht="15.75" hidden="1" customHeight="1">
      <c r="A395" s="89"/>
      <c r="B395" s="89"/>
      <c r="C395" s="223"/>
      <c r="D395" s="223"/>
      <c r="E395" s="223"/>
      <c r="F395" s="223"/>
      <c r="G395" s="223"/>
      <c r="H395" s="223"/>
      <c r="I395" s="223"/>
      <c r="J395" s="223"/>
      <c r="K395" s="223"/>
      <c r="L395" s="223"/>
      <c r="M395" s="223"/>
      <c r="N395" s="223"/>
    </row>
    <row r="396" ht="15.75" hidden="1" customHeight="1">
      <c r="A396" s="89"/>
      <c r="B396" s="89"/>
      <c r="C396" s="223"/>
      <c r="D396" s="223"/>
      <c r="E396" s="223"/>
      <c r="F396" s="223"/>
      <c r="G396" s="223"/>
      <c r="H396" s="223"/>
      <c r="I396" s="223"/>
      <c r="J396" s="223"/>
      <c r="K396" s="223"/>
      <c r="L396" s="223"/>
      <c r="M396" s="223"/>
      <c r="N396" s="223"/>
    </row>
    <row r="397" ht="15.75" hidden="1" customHeight="1">
      <c r="A397" s="89"/>
      <c r="B397" s="89"/>
      <c r="C397" s="223"/>
      <c r="D397" s="223"/>
      <c r="E397" s="223"/>
      <c r="F397" s="223"/>
      <c r="G397" s="223"/>
      <c r="H397" s="223"/>
      <c r="I397" s="223"/>
      <c r="J397" s="223"/>
      <c r="K397" s="223"/>
      <c r="L397" s="223"/>
      <c r="M397" s="223"/>
      <c r="N397" s="223"/>
    </row>
    <row r="398" ht="15.75" hidden="1" customHeight="1">
      <c r="A398" s="89"/>
      <c r="B398" s="89"/>
      <c r="C398" s="223"/>
      <c r="D398" s="223"/>
      <c r="E398" s="223"/>
      <c r="F398" s="223"/>
      <c r="G398" s="223"/>
      <c r="H398" s="223"/>
      <c r="I398" s="223"/>
      <c r="J398" s="223"/>
      <c r="K398" s="223"/>
      <c r="L398" s="223"/>
      <c r="M398" s="223"/>
      <c r="N398" s="223"/>
    </row>
    <row r="399" ht="15.75" hidden="1" customHeight="1">
      <c r="A399" s="89"/>
      <c r="B399" s="89"/>
      <c r="C399" s="223"/>
      <c r="D399" s="223"/>
      <c r="E399" s="223"/>
      <c r="F399" s="223"/>
      <c r="G399" s="223"/>
      <c r="H399" s="223"/>
      <c r="I399" s="223"/>
      <c r="J399" s="223"/>
      <c r="K399" s="223"/>
      <c r="L399" s="223"/>
      <c r="M399" s="223"/>
      <c r="N399" s="223"/>
    </row>
    <row r="400" ht="15.75" hidden="1" customHeight="1">
      <c r="A400" s="89"/>
      <c r="B400" s="89"/>
      <c r="C400" s="223"/>
      <c r="D400" s="223"/>
      <c r="E400" s="223"/>
      <c r="F400" s="223"/>
      <c r="G400" s="223"/>
      <c r="H400" s="223"/>
      <c r="I400" s="223"/>
      <c r="J400" s="223"/>
      <c r="K400" s="223"/>
      <c r="L400" s="223"/>
      <c r="M400" s="223"/>
      <c r="N400" s="223"/>
    </row>
    <row r="401" ht="15.75" hidden="1" customHeight="1">
      <c r="A401" s="89"/>
      <c r="B401" s="89"/>
      <c r="C401" s="223"/>
      <c r="D401" s="223"/>
      <c r="E401" s="223"/>
      <c r="F401" s="223"/>
      <c r="G401" s="223"/>
      <c r="H401" s="223"/>
      <c r="I401" s="223"/>
      <c r="J401" s="223"/>
      <c r="K401" s="223"/>
      <c r="L401" s="223"/>
      <c r="M401" s="223"/>
      <c r="N401" s="223"/>
    </row>
    <row r="402" ht="15.75" hidden="1" customHeight="1">
      <c r="A402" s="89"/>
      <c r="B402" s="89"/>
      <c r="C402" s="223"/>
      <c r="D402" s="223"/>
      <c r="E402" s="223"/>
      <c r="F402" s="223"/>
      <c r="G402" s="223"/>
      <c r="H402" s="223"/>
      <c r="I402" s="223"/>
      <c r="J402" s="223"/>
      <c r="K402" s="223"/>
      <c r="L402" s="223"/>
      <c r="M402" s="223"/>
      <c r="N402" s="223"/>
    </row>
    <row r="403" ht="15.75" hidden="1" customHeight="1">
      <c r="A403" s="89"/>
      <c r="B403" s="89"/>
      <c r="C403" s="223"/>
      <c r="D403" s="223"/>
      <c r="E403" s="223"/>
      <c r="F403" s="223"/>
      <c r="G403" s="223"/>
      <c r="H403" s="223"/>
      <c r="I403" s="223"/>
      <c r="J403" s="223"/>
      <c r="K403" s="223"/>
      <c r="L403" s="223"/>
      <c r="M403" s="223"/>
      <c r="N403" s="223"/>
    </row>
    <row r="404" ht="15.75" hidden="1" customHeight="1">
      <c r="A404" s="89"/>
      <c r="B404" s="89"/>
      <c r="C404" s="223"/>
      <c r="D404" s="223"/>
      <c r="E404" s="223"/>
      <c r="F404" s="223"/>
      <c r="G404" s="223"/>
      <c r="H404" s="223"/>
      <c r="I404" s="223"/>
      <c r="J404" s="223"/>
      <c r="K404" s="223"/>
      <c r="L404" s="223"/>
      <c r="M404" s="223"/>
      <c r="N404" s="223"/>
    </row>
    <row r="405" ht="15.75" hidden="1" customHeight="1">
      <c r="A405" s="89"/>
      <c r="B405" s="89"/>
      <c r="C405" s="223"/>
      <c r="D405" s="223"/>
      <c r="E405" s="223"/>
      <c r="F405" s="223"/>
      <c r="G405" s="223"/>
      <c r="H405" s="223"/>
      <c r="I405" s="223"/>
      <c r="J405" s="223"/>
      <c r="K405" s="223"/>
      <c r="L405" s="223"/>
      <c r="M405" s="223"/>
      <c r="N405" s="223"/>
    </row>
    <row r="406" ht="15.75" hidden="1" customHeight="1">
      <c r="A406" s="89"/>
      <c r="B406" s="89"/>
      <c r="C406" s="223"/>
      <c r="D406" s="223"/>
      <c r="E406" s="223"/>
      <c r="F406" s="223"/>
      <c r="G406" s="223"/>
      <c r="H406" s="223"/>
      <c r="I406" s="223"/>
      <c r="J406" s="223"/>
      <c r="K406" s="223"/>
      <c r="L406" s="223"/>
      <c r="M406" s="223"/>
      <c r="N406" s="223"/>
    </row>
    <row r="407" ht="15.75" hidden="1" customHeight="1">
      <c r="A407" s="89"/>
      <c r="B407" s="89"/>
      <c r="C407" s="223"/>
      <c r="D407" s="223"/>
      <c r="E407" s="223"/>
      <c r="F407" s="223"/>
      <c r="G407" s="223"/>
      <c r="H407" s="223"/>
      <c r="I407" s="223"/>
      <c r="J407" s="223"/>
      <c r="K407" s="223"/>
      <c r="L407" s="223"/>
      <c r="M407" s="223"/>
      <c r="N407" s="223"/>
    </row>
    <row r="408" ht="15.75" hidden="1" customHeight="1">
      <c r="A408" s="89"/>
      <c r="B408" s="89"/>
      <c r="C408" s="223"/>
      <c r="D408" s="223"/>
      <c r="E408" s="223"/>
      <c r="F408" s="223"/>
      <c r="G408" s="223"/>
      <c r="H408" s="223"/>
      <c r="I408" s="223"/>
      <c r="J408" s="223"/>
      <c r="K408" s="223"/>
      <c r="L408" s="223"/>
      <c r="M408" s="223"/>
      <c r="N408" s="223"/>
    </row>
    <row r="409" ht="15.75" hidden="1" customHeight="1">
      <c r="A409" s="89"/>
      <c r="B409" s="89"/>
      <c r="C409" s="223"/>
      <c r="D409" s="223"/>
      <c r="E409" s="223"/>
      <c r="F409" s="223"/>
      <c r="G409" s="223"/>
      <c r="H409" s="223"/>
      <c r="I409" s="223"/>
      <c r="J409" s="223"/>
      <c r="K409" s="223"/>
      <c r="L409" s="223"/>
      <c r="M409" s="223"/>
      <c r="N409" s="223"/>
    </row>
    <row r="410" ht="15.75" hidden="1" customHeight="1">
      <c r="A410" s="89"/>
      <c r="B410" s="89"/>
      <c r="C410" s="223"/>
      <c r="D410" s="223"/>
      <c r="E410" s="223"/>
      <c r="F410" s="223"/>
      <c r="G410" s="223"/>
      <c r="H410" s="223"/>
      <c r="I410" s="223"/>
      <c r="J410" s="223"/>
      <c r="K410" s="223"/>
      <c r="L410" s="223"/>
      <c r="M410" s="223"/>
      <c r="N410" s="223"/>
    </row>
    <row r="411" ht="15.75" hidden="1" customHeight="1">
      <c r="A411" s="89"/>
      <c r="B411" s="89"/>
      <c r="C411" s="223"/>
      <c r="D411" s="223"/>
      <c r="E411" s="223"/>
      <c r="F411" s="223"/>
      <c r="G411" s="223"/>
      <c r="H411" s="223"/>
      <c r="I411" s="223"/>
      <c r="J411" s="223"/>
      <c r="K411" s="223"/>
      <c r="L411" s="223"/>
      <c r="M411" s="223"/>
      <c r="N411" s="223"/>
    </row>
    <row r="412" ht="15.75" hidden="1" customHeight="1">
      <c r="A412" s="89"/>
      <c r="B412" s="89"/>
      <c r="C412" s="223"/>
      <c r="D412" s="223"/>
      <c r="E412" s="223"/>
      <c r="F412" s="223"/>
      <c r="G412" s="223"/>
      <c r="H412" s="223"/>
      <c r="I412" s="223"/>
      <c r="J412" s="223"/>
      <c r="K412" s="223"/>
      <c r="L412" s="223"/>
      <c r="M412" s="223"/>
      <c r="N412" s="223"/>
    </row>
    <row r="413" ht="15.75" hidden="1" customHeight="1">
      <c r="A413" s="89"/>
      <c r="B413" s="89"/>
      <c r="C413" s="223"/>
      <c r="D413" s="223"/>
      <c r="E413" s="223"/>
      <c r="F413" s="223"/>
      <c r="G413" s="223"/>
      <c r="H413" s="223"/>
      <c r="I413" s="223"/>
      <c r="J413" s="223"/>
      <c r="K413" s="223"/>
      <c r="L413" s="223"/>
      <c r="M413" s="223"/>
      <c r="N413" s="223"/>
    </row>
    <row r="414" ht="15.75" hidden="1" customHeight="1">
      <c r="A414" s="89"/>
      <c r="B414" s="89"/>
      <c r="C414" s="223"/>
      <c r="D414" s="223"/>
      <c r="E414" s="223"/>
      <c r="F414" s="223"/>
      <c r="G414" s="223"/>
      <c r="H414" s="223"/>
      <c r="I414" s="223"/>
      <c r="J414" s="223"/>
      <c r="K414" s="223"/>
      <c r="L414" s="223"/>
      <c r="M414" s="223"/>
      <c r="N414" s="223"/>
    </row>
    <row r="415" ht="15.75" hidden="1" customHeight="1">
      <c r="A415" s="89"/>
      <c r="B415" s="89"/>
      <c r="C415" s="223"/>
      <c r="D415" s="223"/>
      <c r="E415" s="223"/>
      <c r="F415" s="223"/>
      <c r="G415" s="223"/>
      <c r="H415" s="223"/>
      <c r="I415" s="223"/>
      <c r="J415" s="223"/>
      <c r="K415" s="223"/>
      <c r="L415" s="223"/>
      <c r="M415" s="223"/>
      <c r="N415" s="223"/>
    </row>
    <row r="416" ht="15.75" hidden="1" customHeight="1">
      <c r="A416" s="89"/>
      <c r="B416" s="89"/>
      <c r="C416" s="223"/>
      <c r="D416" s="223"/>
      <c r="E416" s="223"/>
      <c r="F416" s="223"/>
      <c r="G416" s="223"/>
      <c r="H416" s="223"/>
      <c r="I416" s="223"/>
      <c r="J416" s="223"/>
      <c r="K416" s="223"/>
      <c r="L416" s="223"/>
      <c r="M416" s="223"/>
      <c r="N416" s="223"/>
    </row>
    <row r="417" ht="15.75" hidden="1" customHeight="1">
      <c r="A417" s="89"/>
      <c r="B417" s="89"/>
      <c r="C417" s="223"/>
      <c r="D417" s="223"/>
      <c r="E417" s="223"/>
      <c r="F417" s="223"/>
      <c r="G417" s="223"/>
      <c r="H417" s="223"/>
      <c r="I417" s="223"/>
      <c r="J417" s="223"/>
      <c r="K417" s="223"/>
      <c r="L417" s="223"/>
      <c r="M417" s="223"/>
      <c r="N417" s="223"/>
    </row>
    <row r="418" ht="15.75" hidden="1" customHeight="1">
      <c r="A418" s="89"/>
      <c r="B418" s="89"/>
      <c r="C418" s="223"/>
      <c r="D418" s="223"/>
      <c r="E418" s="223"/>
      <c r="F418" s="223"/>
      <c r="G418" s="223"/>
      <c r="H418" s="223"/>
      <c r="I418" s="223"/>
      <c r="J418" s="223"/>
      <c r="K418" s="223"/>
      <c r="L418" s="223"/>
      <c r="M418" s="223"/>
      <c r="N418" s="223"/>
    </row>
    <row r="419" ht="15.75" hidden="1" customHeight="1">
      <c r="A419" s="89"/>
      <c r="B419" s="89"/>
      <c r="C419" s="223"/>
      <c r="D419" s="223"/>
      <c r="E419" s="223"/>
      <c r="F419" s="223"/>
      <c r="G419" s="223"/>
      <c r="H419" s="223"/>
      <c r="I419" s="223"/>
      <c r="J419" s="223"/>
      <c r="K419" s="223"/>
      <c r="L419" s="223"/>
      <c r="M419" s="223"/>
      <c r="N419" s="223"/>
    </row>
    <row r="420" ht="15.75" hidden="1" customHeight="1">
      <c r="A420" s="89"/>
      <c r="B420" s="89"/>
      <c r="C420" s="223"/>
      <c r="D420" s="223"/>
      <c r="E420" s="223"/>
      <c r="F420" s="223"/>
      <c r="G420" s="223"/>
      <c r="H420" s="223"/>
      <c r="I420" s="223"/>
      <c r="J420" s="223"/>
      <c r="K420" s="223"/>
      <c r="L420" s="223"/>
      <c r="M420" s="223"/>
      <c r="N420" s="223"/>
    </row>
    <row r="421" ht="15.75" hidden="1" customHeight="1">
      <c r="A421" s="89"/>
      <c r="B421" s="89"/>
      <c r="C421" s="223"/>
      <c r="D421" s="223"/>
      <c r="E421" s="223"/>
      <c r="F421" s="223"/>
      <c r="G421" s="223"/>
      <c r="H421" s="223"/>
      <c r="I421" s="223"/>
      <c r="J421" s="223"/>
      <c r="K421" s="223"/>
      <c r="L421" s="223"/>
      <c r="M421" s="223"/>
      <c r="N421" s="223"/>
    </row>
    <row r="422" ht="15.75" hidden="1" customHeight="1">
      <c r="A422" s="89"/>
      <c r="B422" s="89"/>
      <c r="C422" s="223"/>
      <c r="D422" s="223"/>
      <c r="E422" s="223"/>
      <c r="F422" s="223"/>
      <c r="G422" s="223"/>
      <c r="H422" s="223"/>
      <c r="I422" s="223"/>
      <c r="J422" s="223"/>
      <c r="K422" s="223"/>
      <c r="L422" s="223"/>
      <c r="M422" s="223"/>
      <c r="N422" s="223"/>
    </row>
    <row r="423" ht="15.75" hidden="1" customHeight="1">
      <c r="A423" s="89"/>
      <c r="B423" s="89"/>
      <c r="C423" s="223"/>
      <c r="D423" s="223"/>
      <c r="E423" s="223"/>
      <c r="F423" s="223"/>
      <c r="G423" s="223"/>
      <c r="H423" s="223"/>
      <c r="I423" s="223"/>
      <c r="J423" s="223"/>
      <c r="K423" s="223"/>
      <c r="L423" s="223"/>
      <c r="M423" s="223"/>
      <c r="N423" s="223"/>
    </row>
    <row r="424" ht="15.75" hidden="1" customHeight="1">
      <c r="A424" s="89"/>
      <c r="B424" s="89"/>
      <c r="C424" s="223"/>
      <c r="D424" s="223"/>
      <c r="E424" s="223"/>
      <c r="F424" s="223"/>
      <c r="G424" s="223"/>
      <c r="H424" s="223"/>
      <c r="I424" s="223"/>
      <c r="J424" s="223"/>
      <c r="K424" s="223"/>
      <c r="L424" s="223"/>
      <c r="M424" s="223"/>
      <c r="N424" s="223"/>
    </row>
    <row r="425" ht="15.75" hidden="1" customHeight="1">
      <c r="A425" s="89"/>
      <c r="B425" s="89"/>
      <c r="C425" s="223"/>
      <c r="D425" s="223"/>
      <c r="E425" s="223"/>
      <c r="F425" s="223"/>
      <c r="G425" s="223"/>
      <c r="H425" s="223"/>
      <c r="I425" s="223"/>
      <c r="J425" s="223"/>
      <c r="K425" s="223"/>
      <c r="L425" s="223"/>
      <c r="M425" s="223"/>
      <c r="N425" s="223"/>
    </row>
    <row r="426" ht="15.75" hidden="1" customHeight="1">
      <c r="A426" s="89"/>
      <c r="B426" s="89"/>
      <c r="C426" s="223"/>
      <c r="D426" s="223"/>
      <c r="E426" s="223"/>
      <c r="F426" s="223"/>
      <c r="G426" s="223"/>
      <c r="H426" s="223"/>
      <c r="I426" s="223"/>
      <c r="J426" s="223"/>
      <c r="K426" s="223"/>
      <c r="L426" s="223"/>
      <c r="M426" s="223"/>
      <c r="N426" s="223"/>
    </row>
    <row r="427" ht="15.75" hidden="1" customHeight="1">
      <c r="A427" s="89"/>
      <c r="B427" s="89"/>
      <c r="C427" s="223"/>
      <c r="D427" s="223"/>
      <c r="E427" s="223"/>
      <c r="F427" s="223"/>
      <c r="G427" s="223"/>
      <c r="H427" s="223"/>
      <c r="I427" s="223"/>
      <c r="J427" s="223"/>
      <c r="K427" s="223"/>
      <c r="L427" s="223"/>
      <c r="M427" s="223"/>
      <c r="N427" s="223"/>
    </row>
    <row r="428" ht="15.75" hidden="1" customHeight="1">
      <c r="A428" s="89"/>
      <c r="B428" s="89"/>
      <c r="C428" s="223"/>
      <c r="D428" s="223"/>
      <c r="E428" s="223"/>
      <c r="F428" s="223"/>
      <c r="G428" s="223"/>
      <c r="H428" s="223"/>
      <c r="I428" s="223"/>
      <c r="J428" s="223"/>
      <c r="K428" s="223"/>
      <c r="L428" s="223"/>
      <c r="M428" s="223"/>
      <c r="N428" s="223"/>
    </row>
    <row r="429" ht="15.75" hidden="1" customHeight="1">
      <c r="A429" s="89"/>
      <c r="B429" s="89"/>
      <c r="C429" s="223"/>
      <c r="D429" s="223"/>
      <c r="E429" s="223"/>
      <c r="F429" s="223"/>
      <c r="G429" s="223"/>
      <c r="H429" s="223"/>
      <c r="I429" s="223"/>
      <c r="J429" s="223"/>
      <c r="K429" s="223"/>
      <c r="L429" s="223"/>
      <c r="M429" s="223"/>
      <c r="N429" s="223"/>
    </row>
    <row r="430" ht="15.75" hidden="1" customHeight="1">
      <c r="A430" s="89"/>
      <c r="B430" s="89"/>
      <c r="C430" s="223"/>
      <c r="D430" s="223"/>
      <c r="E430" s="223"/>
      <c r="F430" s="223"/>
      <c r="G430" s="223"/>
      <c r="H430" s="223"/>
      <c r="I430" s="223"/>
      <c r="J430" s="223"/>
      <c r="K430" s="223"/>
      <c r="L430" s="223"/>
      <c r="M430" s="223"/>
      <c r="N430" s="223"/>
    </row>
    <row r="431" ht="15.75" hidden="1" customHeight="1">
      <c r="A431" s="89"/>
      <c r="B431" s="89"/>
      <c r="C431" s="223"/>
      <c r="D431" s="223"/>
      <c r="E431" s="223"/>
      <c r="F431" s="223"/>
      <c r="G431" s="223"/>
      <c r="H431" s="223"/>
      <c r="I431" s="223"/>
      <c r="J431" s="223"/>
      <c r="K431" s="223"/>
      <c r="L431" s="223"/>
      <c r="M431" s="223"/>
      <c r="N431" s="223"/>
    </row>
    <row r="432" ht="15.75" hidden="1" customHeight="1">
      <c r="A432" s="89"/>
      <c r="B432" s="89"/>
      <c r="C432" s="223"/>
      <c r="D432" s="223"/>
      <c r="E432" s="223"/>
      <c r="F432" s="223"/>
      <c r="G432" s="223"/>
      <c r="H432" s="223"/>
      <c r="I432" s="223"/>
      <c r="J432" s="223"/>
      <c r="K432" s="223"/>
      <c r="L432" s="223"/>
      <c r="M432" s="223"/>
      <c r="N432" s="223"/>
    </row>
    <row r="433" ht="15.75" hidden="1" customHeight="1">
      <c r="A433" s="89"/>
      <c r="B433" s="89"/>
      <c r="C433" s="223"/>
      <c r="D433" s="223"/>
      <c r="E433" s="223"/>
      <c r="F433" s="223"/>
      <c r="G433" s="223"/>
      <c r="H433" s="223"/>
      <c r="I433" s="223"/>
      <c r="J433" s="223"/>
      <c r="K433" s="223"/>
      <c r="L433" s="223"/>
      <c r="M433" s="223"/>
      <c r="N433" s="223"/>
    </row>
    <row r="434" ht="15.75" hidden="1" customHeight="1">
      <c r="A434" s="89"/>
      <c r="B434" s="89"/>
      <c r="C434" s="223"/>
      <c r="D434" s="223"/>
      <c r="E434" s="223"/>
      <c r="F434" s="223"/>
      <c r="G434" s="223"/>
      <c r="H434" s="223"/>
      <c r="I434" s="223"/>
      <c r="J434" s="223"/>
      <c r="K434" s="223"/>
      <c r="L434" s="223"/>
      <c r="M434" s="223"/>
      <c r="N434" s="223"/>
    </row>
    <row r="435" ht="15.75" hidden="1" customHeight="1">
      <c r="A435" s="89"/>
      <c r="B435" s="89"/>
      <c r="C435" s="223"/>
      <c r="D435" s="223"/>
      <c r="E435" s="223"/>
      <c r="F435" s="223"/>
      <c r="G435" s="223"/>
      <c r="H435" s="223"/>
      <c r="I435" s="223"/>
      <c r="J435" s="223"/>
      <c r="K435" s="223"/>
      <c r="L435" s="223"/>
      <c r="M435" s="223"/>
      <c r="N435" s="223"/>
    </row>
    <row r="436" ht="15.75" hidden="1" customHeight="1">
      <c r="A436" s="89"/>
      <c r="B436" s="89"/>
      <c r="C436" s="223"/>
      <c r="D436" s="223"/>
      <c r="E436" s="223"/>
      <c r="F436" s="223"/>
      <c r="G436" s="223"/>
      <c r="H436" s="223"/>
      <c r="I436" s="223"/>
      <c r="J436" s="223"/>
      <c r="K436" s="223"/>
      <c r="L436" s="223"/>
      <c r="M436" s="223"/>
      <c r="N436" s="223"/>
    </row>
    <row r="437" ht="15.75" hidden="1" customHeight="1">
      <c r="A437" s="89"/>
      <c r="B437" s="89"/>
      <c r="C437" s="223"/>
      <c r="D437" s="223"/>
      <c r="E437" s="223"/>
      <c r="F437" s="223"/>
      <c r="G437" s="223"/>
      <c r="H437" s="223"/>
      <c r="I437" s="223"/>
      <c r="J437" s="223"/>
      <c r="K437" s="223"/>
      <c r="L437" s="223"/>
      <c r="M437" s="223"/>
      <c r="N437" s="223"/>
    </row>
    <row r="438" ht="15.75" hidden="1" customHeight="1">
      <c r="A438" s="89"/>
      <c r="B438" s="89"/>
      <c r="C438" s="223"/>
      <c r="D438" s="223"/>
      <c r="E438" s="223"/>
      <c r="F438" s="223"/>
      <c r="G438" s="223"/>
      <c r="H438" s="223"/>
      <c r="I438" s="223"/>
      <c r="J438" s="223"/>
      <c r="K438" s="223"/>
      <c r="L438" s="223"/>
      <c r="M438" s="223"/>
      <c r="N438" s="223"/>
    </row>
    <row r="439" ht="15.75" hidden="1" customHeight="1">
      <c r="A439" s="89"/>
      <c r="B439" s="89"/>
      <c r="C439" s="223"/>
      <c r="D439" s="223"/>
      <c r="E439" s="223"/>
      <c r="F439" s="223"/>
      <c r="G439" s="223"/>
      <c r="H439" s="223"/>
      <c r="I439" s="223"/>
      <c r="J439" s="223"/>
      <c r="K439" s="223"/>
      <c r="L439" s="223"/>
      <c r="M439" s="223"/>
      <c r="N439" s="223"/>
    </row>
    <row r="440" ht="15.75" hidden="1" customHeight="1">
      <c r="A440" s="89"/>
      <c r="B440" s="89"/>
      <c r="C440" s="223"/>
      <c r="D440" s="223"/>
      <c r="E440" s="223"/>
      <c r="F440" s="223"/>
      <c r="G440" s="223"/>
      <c r="H440" s="223"/>
      <c r="I440" s="223"/>
      <c r="J440" s="223"/>
      <c r="K440" s="223"/>
      <c r="L440" s="223"/>
      <c r="M440" s="223"/>
      <c r="N440" s="223"/>
    </row>
    <row r="441" ht="15.75" hidden="1" customHeight="1">
      <c r="A441" s="89"/>
      <c r="B441" s="89"/>
      <c r="C441" s="223"/>
      <c r="D441" s="223"/>
      <c r="E441" s="223"/>
      <c r="F441" s="223"/>
      <c r="G441" s="223"/>
      <c r="H441" s="223"/>
      <c r="I441" s="223"/>
      <c r="J441" s="223"/>
      <c r="K441" s="223"/>
      <c r="L441" s="223"/>
      <c r="M441" s="223"/>
      <c r="N441" s="223"/>
    </row>
    <row r="442" ht="15.75" hidden="1" customHeight="1">
      <c r="A442" s="89"/>
      <c r="B442" s="89"/>
      <c r="C442" s="223"/>
      <c r="D442" s="223"/>
      <c r="E442" s="223"/>
      <c r="F442" s="223"/>
      <c r="G442" s="223"/>
      <c r="H442" s="223"/>
      <c r="I442" s="223"/>
      <c r="J442" s="223"/>
      <c r="K442" s="223"/>
      <c r="L442" s="223"/>
      <c r="M442" s="223"/>
      <c r="N442" s="223"/>
    </row>
    <row r="443" ht="15.75" hidden="1" customHeight="1">
      <c r="A443" s="89"/>
      <c r="B443" s="89"/>
      <c r="C443" s="223"/>
      <c r="D443" s="223"/>
      <c r="E443" s="223"/>
      <c r="F443" s="223"/>
      <c r="G443" s="223"/>
      <c r="H443" s="223"/>
      <c r="I443" s="223"/>
      <c r="J443" s="223"/>
      <c r="K443" s="223"/>
      <c r="L443" s="223"/>
      <c r="M443" s="223"/>
      <c r="N443" s="223"/>
    </row>
    <row r="444" ht="15.75" hidden="1" customHeight="1">
      <c r="A444" s="89"/>
      <c r="B444" s="89"/>
      <c r="C444" s="223"/>
      <c r="D444" s="223"/>
      <c r="E444" s="223"/>
      <c r="F444" s="223"/>
      <c r="G444" s="223"/>
      <c r="H444" s="223"/>
      <c r="I444" s="223"/>
      <c r="J444" s="223"/>
      <c r="K444" s="223"/>
      <c r="L444" s="223"/>
      <c r="M444" s="223"/>
      <c r="N444" s="223"/>
    </row>
    <row r="445" ht="15.75" hidden="1" customHeight="1">
      <c r="A445" s="89"/>
      <c r="B445" s="89"/>
      <c r="C445" s="223"/>
      <c r="D445" s="223"/>
      <c r="E445" s="223"/>
      <c r="F445" s="223"/>
      <c r="G445" s="223"/>
      <c r="H445" s="223"/>
      <c r="I445" s="223"/>
      <c r="J445" s="223"/>
      <c r="K445" s="223"/>
      <c r="L445" s="223"/>
      <c r="M445" s="223"/>
      <c r="N445" s="223"/>
    </row>
    <row r="446" ht="15.75" hidden="1" customHeight="1">
      <c r="A446" s="89"/>
      <c r="B446" s="89"/>
      <c r="C446" s="223"/>
      <c r="D446" s="223"/>
      <c r="E446" s="223"/>
      <c r="F446" s="223"/>
      <c r="G446" s="223"/>
      <c r="H446" s="223"/>
      <c r="I446" s="223"/>
      <c r="J446" s="223"/>
      <c r="K446" s="223"/>
      <c r="L446" s="223"/>
      <c r="M446" s="223"/>
      <c r="N446" s="223"/>
    </row>
    <row r="447" ht="15.75" hidden="1" customHeight="1">
      <c r="A447" s="89"/>
      <c r="B447" s="89"/>
      <c r="C447" s="223"/>
      <c r="D447" s="223"/>
      <c r="E447" s="223"/>
      <c r="F447" s="223"/>
      <c r="G447" s="223"/>
      <c r="H447" s="223"/>
      <c r="I447" s="223"/>
      <c r="J447" s="223"/>
      <c r="K447" s="223"/>
      <c r="L447" s="223"/>
      <c r="M447" s="223"/>
      <c r="N447" s="223"/>
    </row>
    <row r="448" ht="15.75" hidden="1" customHeight="1">
      <c r="A448" s="89"/>
      <c r="B448" s="89"/>
      <c r="C448" s="223"/>
      <c r="D448" s="223"/>
      <c r="E448" s="223"/>
      <c r="F448" s="223"/>
      <c r="G448" s="223"/>
      <c r="H448" s="223"/>
      <c r="I448" s="223"/>
      <c r="J448" s="223"/>
      <c r="K448" s="223"/>
      <c r="L448" s="223"/>
      <c r="M448" s="223"/>
      <c r="N448" s="223"/>
    </row>
    <row r="449" ht="15.75" hidden="1" customHeight="1">
      <c r="A449" s="89"/>
      <c r="B449" s="89"/>
      <c r="C449" s="223"/>
      <c r="D449" s="223"/>
      <c r="E449" s="223"/>
      <c r="F449" s="223"/>
      <c r="G449" s="223"/>
      <c r="H449" s="223"/>
      <c r="I449" s="223"/>
      <c r="J449" s="223"/>
      <c r="K449" s="223"/>
      <c r="L449" s="223"/>
      <c r="M449" s="223"/>
      <c r="N449" s="223"/>
    </row>
    <row r="450" ht="15.75" hidden="1" customHeight="1">
      <c r="A450" s="89"/>
      <c r="B450" s="89"/>
      <c r="C450" s="223"/>
      <c r="D450" s="223"/>
      <c r="E450" s="223"/>
      <c r="F450" s="223"/>
      <c r="G450" s="223"/>
      <c r="H450" s="223"/>
      <c r="I450" s="223"/>
      <c r="J450" s="223"/>
      <c r="K450" s="223"/>
      <c r="L450" s="223"/>
      <c r="M450" s="223"/>
      <c r="N450" s="223"/>
    </row>
    <row r="451" ht="15.75" hidden="1" customHeight="1">
      <c r="A451" s="89"/>
      <c r="B451" s="89"/>
      <c r="C451" s="223"/>
      <c r="D451" s="223"/>
      <c r="E451" s="223"/>
      <c r="F451" s="223"/>
      <c r="G451" s="223"/>
      <c r="H451" s="223"/>
      <c r="I451" s="223"/>
      <c r="J451" s="223"/>
      <c r="K451" s="223"/>
      <c r="L451" s="223"/>
      <c r="M451" s="223"/>
      <c r="N451" s="223"/>
    </row>
    <row r="452" ht="15.75" hidden="1" customHeight="1">
      <c r="A452" s="89"/>
      <c r="B452" s="89"/>
      <c r="C452" s="223"/>
      <c r="D452" s="223"/>
      <c r="E452" s="223"/>
      <c r="F452" s="223"/>
      <c r="G452" s="223"/>
      <c r="H452" s="223"/>
      <c r="I452" s="223"/>
      <c r="J452" s="223"/>
      <c r="K452" s="223"/>
      <c r="L452" s="223"/>
      <c r="M452" s="223"/>
      <c r="N452" s="223"/>
    </row>
    <row r="453" ht="15.75" hidden="1" customHeight="1">
      <c r="A453" s="89"/>
      <c r="B453" s="89"/>
      <c r="C453" s="223"/>
      <c r="D453" s="223"/>
      <c r="E453" s="223"/>
      <c r="F453" s="223"/>
      <c r="G453" s="223"/>
      <c r="H453" s="223"/>
      <c r="I453" s="223"/>
      <c r="J453" s="223"/>
      <c r="K453" s="223"/>
      <c r="L453" s="223"/>
      <c r="M453" s="223"/>
      <c r="N453" s="223"/>
    </row>
    <row r="454" ht="15.75" hidden="1" customHeight="1">
      <c r="A454" s="89"/>
      <c r="B454" s="89"/>
      <c r="C454" s="223"/>
      <c r="D454" s="223"/>
      <c r="E454" s="223"/>
      <c r="F454" s="223"/>
      <c r="G454" s="223"/>
      <c r="H454" s="223"/>
      <c r="I454" s="223"/>
      <c r="J454" s="223"/>
      <c r="K454" s="223"/>
      <c r="L454" s="223"/>
      <c r="M454" s="223"/>
      <c r="N454" s="223"/>
    </row>
    <row r="455" ht="15.75" hidden="1" customHeight="1">
      <c r="A455" s="89"/>
      <c r="B455" s="89"/>
      <c r="C455" s="223"/>
      <c r="D455" s="223"/>
      <c r="E455" s="223"/>
      <c r="F455" s="223"/>
      <c r="G455" s="223"/>
      <c r="H455" s="223"/>
      <c r="I455" s="223"/>
      <c r="J455" s="223"/>
      <c r="K455" s="223"/>
      <c r="L455" s="223"/>
      <c r="M455" s="223"/>
      <c r="N455" s="223"/>
    </row>
    <row r="456" ht="15.75" hidden="1" customHeight="1">
      <c r="A456" s="89"/>
      <c r="B456" s="89"/>
      <c r="C456" s="223"/>
      <c r="D456" s="223"/>
      <c r="E456" s="223"/>
      <c r="F456" s="223"/>
      <c r="G456" s="223"/>
      <c r="H456" s="223"/>
      <c r="I456" s="223"/>
      <c r="J456" s="223"/>
      <c r="K456" s="223"/>
      <c r="L456" s="223"/>
      <c r="M456" s="223"/>
      <c r="N456" s="223"/>
    </row>
    <row r="457" ht="15.75" hidden="1" customHeight="1">
      <c r="A457" s="89"/>
      <c r="B457" s="89"/>
      <c r="C457" s="223"/>
      <c r="D457" s="223"/>
      <c r="E457" s="223"/>
      <c r="F457" s="223"/>
      <c r="G457" s="223"/>
      <c r="H457" s="223"/>
      <c r="I457" s="223"/>
      <c r="J457" s="223"/>
      <c r="K457" s="223"/>
      <c r="L457" s="223"/>
      <c r="M457" s="223"/>
      <c r="N457" s="223"/>
    </row>
    <row r="458" ht="15.75" hidden="1" customHeight="1">
      <c r="A458" s="89"/>
      <c r="B458" s="89"/>
      <c r="C458" s="223"/>
      <c r="D458" s="223"/>
      <c r="E458" s="223"/>
      <c r="F458" s="223"/>
      <c r="G458" s="223"/>
      <c r="H458" s="223"/>
      <c r="I458" s="223"/>
      <c r="J458" s="223"/>
      <c r="K458" s="223"/>
      <c r="L458" s="223"/>
      <c r="M458" s="223"/>
      <c r="N458" s="223"/>
    </row>
    <row r="459" ht="15.75" hidden="1" customHeight="1">
      <c r="A459" s="89"/>
      <c r="B459" s="89"/>
      <c r="C459" s="223"/>
      <c r="D459" s="223"/>
      <c r="E459" s="223"/>
      <c r="F459" s="223"/>
      <c r="G459" s="223"/>
      <c r="H459" s="223"/>
      <c r="I459" s="223"/>
      <c r="J459" s="223"/>
      <c r="K459" s="223"/>
      <c r="L459" s="223"/>
      <c r="M459" s="223"/>
      <c r="N459" s="223"/>
    </row>
    <row r="460" ht="15.75" hidden="1" customHeight="1">
      <c r="A460" s="89"/>
      <c r="B460" s="89"/>
      <c r="C460" s="223"/>
      <c r="D460" s="223"/>
      <c r="E460" s="223"/>
      <c r="F460" s="223"/>
      <c r="G460" s="223"/>
      <c r="H460" s="223"/>
      <c r="I460" s="223"/>
      <c r="J460" s="223"/>
      <c r="K460" s="223"/>
      <c r="L460" s="223"/>
      <c r="M460" s="223"/>
      <c r="N460" s="223"/>
    </row>
    <row r="461" ht="15.75" hidden="1" customHeight="1">
      <c r="A461" s="89"/>
      <c r="B461" s="89"/>
      <c r="C461" s="223"/>
      <c r="D461" s="223"/>
      <c r="E461" s="223"/>
      <c r="F461" s="223"/>
      <c r="G461" s="223"/>
      <c r="H461" s="223"/>
      <c r="I461" s="223"/>
      <c r="J461" s="223"/>
      <c r="K461" s="223"/>
      <c r="L461" s="223"/>
      <c r="M461" s="223"/>
      <c r="N461" s="223"/>
    </row>
    <row r="462" ht="15.75" hidden="1" customHeight="1">
      <c r="A462" s="89"/>
      <c r="B462" s="89"/>
      <c r="C462" s="223"/>
      <c r="D462" s="223"/>
      <c r="E462" s="223"/>
      <c r="F462" s="223"/>
      <c r="G462" s="223"/>
      <c r="H462" s="223"/>
      <c r="I462" s="223"/>
      <c r="J462" s="223"/>
      <c r="K462" s="223"/>
      <c r="L462" s="223"/>
      <c r="M462" s="223"/>
      <c r="N462" s="223"/>
    </row>
    <row r="463" ht="15.75" hidden="1" customHeight="1">
      <c r="A463" s="89"/>
      <c r="B463" s="89"/>
      <c r="C463" s="223"/>
      <c r="D463" s="223"/>
      <c r="E463" s="223"/>
      <c r="F463" s="223"/>
      <c r="G463" s="223"/>
      <c r="H463" s="223"/>
      <c r="I463" s="223"/>
      <c r="J463" s="223"/>
      <c r="K463" s="223"/>
      <c r="L463" s="223"/>
      <c r="M463" s="223"/>
      <c r="N463" s="223"/>
    </row>
    <row r="464" ht="15.75" hidden="1" customHeight="1">
      <c r="A464" s="89"/>
      <c r="B464" s="89"/>
      <c r="C464" s="223"/>
      <c r="D464" s="223"/>
      <c r="E464" s="223"/>
      <c r="F464" s="223"/>
      <c r="G464" s="223"/>
      <c r="H464" s="223"/>
      <c r="I464" s="223"/>
      <c r="J464" s="223"/>
      <c r="K464" s="223"/>
      <c r="L464" s="223"/>
      <c r="M464" s="223"/>
      <c r="N464" s="223"/>
    </row>
    <row r="465" ht="15.75" hidden="1" customHeight="1">
      <c r="A465" s="89"/>
      <c r="B465" s="89"/>
      <c r="C465" s="223"/>
      <c r="D465" s="223"/>
      <c r="E465" s="223"/>
      <c r="F465" s="223"/>
      <c r="G465" s="223"/>
      <c r="H465" s="223"/>
      <c r="I465" s="223"/>
      <c r="J465" s="223"/>
      <c r="K465" s="223"/>
      <c r="L465" s="223"/>
      <c r="M465" s="223"/>
      <c r="N465" s="223"/>
    </row>
    <row r="466" ht="15.75" hidden="1" customHeight="1">
      <c r="A466" s="89"/>
      <c r="B466" s="89"/>
      <c r="C466" s="223"/>
      <c r="D466" s="223"/>
      <c r="E466" s="223"/>
      <c r="F466" s="223"/>
      <c r="G466" s="223"/>
      <c r="H466" s="223"/>
      <c r="I466" s="223"/>
      <c r="J466" s="223"/>
      <c r="K466" s="223"/>
      <c r="L466" s="223"/>
      <c r="M466" s="223"/>
      <c r="N466" s="223"/>
    </row>
    <row r="467" ht="15.75" hidden="1" customHeight="1">
      <c r="A467" s="89"/>
      <c r="B467" s="89"/>
      <c r="C467" s="223"/>
      <c r="D467" s="223"/>
      <c r="E467" s="223"/>
      <c r="F467" s="223"/>
      <c r="G467" s="223"/>
      <c r="H467" s="223"/>
      <c r="I467" s="223"/>
      <c r="J467" s="223"/>
      <c r="K467" s="223"/>
      <c r="L467" s="223"/>
      <c r="M467" s="223"/>
      <c r="N467" s="223"/>
    </row>
    <row r="468" ht="15.75" hidden="1" customHeight="1">
      <c r="A468" s="89"/>
      <c r="B468" s="89"/>
      <c r="C468" s="223"/>
      <c r="D468" s="223"/>
      <c r="E468" s="223"/>
      <c r="F468" s="223"/>
      <c r="G468" s="223"/>
      <c r="H468" s="223"/>
      <c r="I468" s="223"/>
      <c r="J468" s="223"/>
      <c r="K468" s="223"/>
      <c r="L468" s="223"/>
      <c r="M468" s="223"/>
      <c r="N468" s="223"/>
    </row>
    <row r="469" ht="15.75" hidden="1" customHeight="1">
      <c r="A469" s="89"/>
      <c r="B469" s="89"/>
      <c r="C469" s="223"/>
      <c r="D469" s="223"/>
      <c r="E469" s="223"/>
      <c r="F469" s="223"/>
      <c r="G469" s="223"/>
      <c r="H469" s="223"/>
      <c r="I469" s="223"/>
      <c r="J469" s="223"/>
      <c r="K469" s="223"/>
      <c r="L469" s="223"/>
      <c r="M469" s="223"/>
      <c r="N469" s="223"/>
    </row>
    <row r="470" ht="15.75" hidden="1" customHeight="1">
      <c r="A470" s="89"/>
      <c r="B470" s="89"/>
      <c r="C470" s="223"/>
      <c r="D470" s="223"/>
      <c r="E470" s="223"/>
      <c r="F470" s="223"/>
      <c r="G470" s="223"/>
      <c r="H470" s="223"/>
      <c r="I470" s="223"/>
      <c r="J470" s="223"/>
      <c r="K470" s="223"/>
      <c r="L470" s="223"/>
      <c r="M470" s="223"/>
      <c r="N470" s="223"/>
    </row>
    <row r="471" ht="15.75" hidden="1" customHeight="1">
      <c r="A471" s="89"/>
      <c r="B471" s="89"/>
      <c r="C471" s="223"/>
      <c r="D471" s="223"/>
      <c r="E471" s="223"/>
      <c r="F471" s="223"/>
      <c r="G471" s="223"/>
      <c r="H471" s="223"/>
      <c r="I471" s="223"/>
      <c r="J471" s="223"/>
      <c r="K471" s="223"/>
      <c r="L471" s="223"/>
      <c r="M471" s="223"/>
      <c r="N471" s="223"/>
    </row>
    <row r="472" ht="15.75" hidden="1" customHeight="1">
      <c r="A472" s="89"/>
      <c r="B472" s="89"/>
      <c r="C472" s="223"/>
      <c r="D472" s="223"/>
      <c r="E472" s="223"/>
      <c r="F472" s="223"/>
      <c r="G472" s="223"/>
      <c r="H472" s="223"/>
      <c r="I472" s="223"/>
      <c r="J472" s="223"/>
      <c r="K472" s="223"/>
      <c r="L472" s="223"/>
      <c r="M472" s="223"/>
      <c r="N472" s="223"/>
    </row>
    <row r="473" ht="15.75" hidden="1" customHeight="1">
      <c r="A473" s="89"/>
      <c r="B473" s="89"/>
      <c r="C473" s="223"/>
      <c r="D473" s="223"/>
      <c r="E473" s="223"/>
      <c r="F473" s="223"/>
      <c r="G473" s="223"/>
      <c r="H473" s="223"/>
      <c r="I473" s="223"/>
      <c r="J473" s="223"/>
      <c r="K473" s="223"/>
      <c r="L473" s="223"/>
      <c r="M473" s="223"/>
      <c r="N473" s="223"/>
    </row>
    <row r="474" ht="15.75" hidden="1" customHeight="1">
      <c r="A474" s="89"/>
      <c r="B474" s="89"/>
      <c r="C474" s="223"/>
      <c r="D474" s="223"/>
      <c r="E474" s="223"/>
      <c r="F474" s="223"/>
      <c r="G474" s="223"/>
      <c r="H474" s="223"/>
      <c r="I474" s="223"/>
      <c r="J474" s="223"/>
      <c r="K474" s="223"/>
      <c r="L474" s="223"/>
      <c r="M474" s="223"/>
      <c r="N474" s="223"/>
    </row>
    <row r="475" ht="15.75" hidden="1" customHeight="1">
      <c r="A475" s="89"/>
      <c r="B475" s="89"/>
      <c r="C475" s="223"/>
      <c r="D475" s="223"/>
      <c r="E475" s="223"/>
      <c r="F475" s="223"/>
      <c r="G475" s="223"/>
      <c r="H475" s="223"/>
      <c r="I475" s="223"/>
      <c r="J475" s="223"/>
      <c r="K475" s="223"/>
      <c r="L475" s="223"/>
      <c r="M475" s="223"/>
      <c r="N475" s="223"/>
    </row>
    <row r="476" ht="15.75" hidden="1" customHeight="1">
      <c r="A476" s="89"/>
      <c r="B476" s="89"/>
      <c r="C476" s="223"/>
      <c r="D476" s="223"/>
      <c r="E476" s="223"/>
      <c r="F476" s="223"/>
      <c r="G476" s="223"/>
      <c r="H476" s="223"/>
      <c r="I476" s="223"/>
      <c r="J476" s="223"/>
      <c r="K476" s="223"/>
      <c r="L476" s="223"/>
      <c r="M476" s="223"/>
      <c r="N476" s="223"/>
    </row>
    <row r="477" ht="15.75" hidden="1" customHeight="1">
      <c r="A477" s="89"/>
      <c r="B477" s="89"/>
      <c r="C477" s="223"/>
      <c r="D477" s="223"/>
      <c r="E477" s="223"/>
      <c r="F477" s="223"/>
      <c r="G477" s="223"/>
      <c r="H477" s="223"/>
      <c r="I477" s="223"/>
      <c r="J477" s="223"/>
      <c r="K477" s="223"/>
      <c r="L477" s="223"/>
      <c r="M477" s="223"/>
      <c r="N477" s="223"/>
    </row>
    <row r="478" ht="15.75" hidden="1" customHeight="1">
      <c r="A478" s="89"/>
      <c r="B478" s="89"/>
      <c r="C478" s="223"/>
      <c r="D478" s="223"/>
      <c r="E478" s="223"/>
      <c r="F478" s="223"/>
      <c r="G478" s="223"/>
      <c r="H478" s="223"/>
      <c r="I478" s="223"/>
      <c r="J478" s="223"/>
      <c r="K478" s="223"/>
      <c r="L478" s="223"/>
      <c r="M478" s="223"/>
      <c r="N478" s="223"/>
    </row>
    <row r="479" ht="15.75" hidden="1" customHeight="1">
      <c r="A479" s="89"/>
      <c r="B479" s="89"/>
      <c r="C479" s="223"/>
      <c r="D479" s="223"/>
      <c r="E479" s="223"/>
      <c r="F479" s="223"/>
      <c r="G479" s="223"/>
      <c r="H479" s="223"/>
      <c r="I479" s="223"/>
      <c r="J479" s="223"/>
      <c r="K479" s="223"/>
      <c r="L479" s="223"/>
      <c r="M479" s="223"/>
      <c r="N479" s="223"/>
    </row>
    <row r="480" ht="15.75" hidden="1" customHeight="1">
      <c r="A480" s="89"/>
      <c r="B480" s="89"/>
      <c r="C480" s="223"/>
      <c r="D480" s="223"/>
      <c r="E480" s="223"/>
      <c r="F480" s="223"/>
      <c r="G480" s="223"/>
      <c r="H480" s="223"/>
      <c r="I480" s="223"/>
      <c r="J480" s="223"/>
      <c r="K480" s="223"/>
      <c r="L480" s="223"/>
      <c r="M480" s="223"/>
      <c r="N480" s="223"/>
    </row>
    <row r="481" ht="15.75" hidden="1" customHeight="1">
      <c r="A481" s="89"/>
      <c r="B481" s="89"/>
      <c r="C481" s="223"/>
      <c r="D481" s="223"/>
      <c r="E481" s="223"/>
      <c r="F481" s="223"/>
      <c r="G481" s="223"/>
      <c r="H481" s="223"/>
      <c r="I481" s="223"/>
      <c r="J481" s="223"/>
      <c r="K481" s="223"/>
      <c r="L481" s="223"/>
      <c r="M481" s="223"/>
      <c r="N481" s="223"/>
    </row>
    <row r="482" ht="15.75" hidden="1" customHeight="1">
      <c r="A482" s="89"/>
      <c r="B482" s="89"/>
      <c r="C482" s="223"/>
      <c r="D482" s="223"/>
      <c r="E482" s="223"/>
      <c r="F482" s="223"/>
      <c r="G482" s="223"/>
      <c r="H482" s="223"/>
      <c r="I482" s="223"/>
      <c r="J482" s="223"/>
      <c r="K482" s="223"/>
      <c r="L482" s="223"/>
      <c r="M482" s="223"/>
      <c r="N482" s="223"/>
    </row>
    <row r="483" ht="15.75" hidden="1" customHeight="1">
      <c r="A483" s="89"/>
      <c r="B483" s="89"/>
      <c r="C483" s="223"/>
      <c r="D483" s="223"/>
      <c r="E483" s="223"/>
      <c r="F483" s="223"/>
      <c r="G483" s="223"/>
      <c r="H483" s="223"/>
      <c r="I483" s="223"/>
      <c r="J483" s="223"/>
      <c r="K483" s="223"/>
      <c r="L483" s="223"/>
      <c r="M483" s="223"/>
      <c r="N483" s="223"/>
    </row>
    <row r="484" ht="15.75" hidden="1" customHeight="1">
      <c r="A484" s="89"/>
      <c r="B484" s="89"/>
      <c r="C484" s="223"/>
      <c r="D484" s="223"/>
      <c r="E484" s="223"/>
      <c r="F484" s="223"/>
      <c r="G484" s="223"/>
      <c r="H484" s="223"/>
      <c r="I484" s="223"/>
      <c r="J484" s="223"/>
      <c r="K484" s="223"/>
      <c r="L484" s="223"/>
      <c r="M484" s="223"/>
      <c r="N484" s="223"/>
    </row>
    <row r="485" ht="15.75" hidden="1" customHeight="1">
      <c r="A485" s="89"/>
      <c r="B485" s="89"/>
      <c r="C485" s="223"/>
      <c r="D485" s="223"/>
      <c r="E485" s="223"/>
      <c r="F485" s="223"/>
      <c r="G485" s="223"/>
      <c r="H485" s="223"/>
      <c r="I485" s="223"/>
      <c r="J485" s="223"/>
      <c r="K485" s="223"/>
      <c r="L485" s="223"/>
      <c r="M485" s="223"/>
      <c r="N485" s="223"/>
    </row>
    <row r="486" ht="15.75" hidden="1" customHeight="1">
      <c r="A486" s="89"/>
      <c r="B486" s="89"/>
      <c r="C486" s="223"/>
      <c r="D486" s="223"/>
      <c r="E486" s="223"/>
      <c r="F486" s="223"/>
      <c r="G486" s="223"/>
      <c r="H486" s="223"/>
      <c r="I486" s="223"/>
      <c r="J486" s="223"/>
      <c r="K486" s="223"/>
      <c r="L486" s="223"/>
      <c r="M486" s="223"/>
      <c r="N486" s="223"/>
    </row>
    <row r="487" ht="15.75" hidden="1" customHeight="1">
      <c r="A487" s="89"/>
      <c r="B487" s="89"/>
      <c r="C487" s="223"/>
      <c r="D487" s="223"/>
      <c r="E487" s="223"/>
      <c r="F487" s="223"/>
      <c r="G487" s="223"/>
      <c r="H487" s="223"/>
      <c r="I487" s="223"/>
      <c r="J487" s="223"/>
      <c r="K487" s="223"/>
      <c r="L487" s="223"/>
      <c r="M487" s="223"/>
      <c r="N487" s="223"/>
    </row>
    <row r="488" ht="15.75" hidden="1" customHeight="1">
      <c r="A488" s="89"/>
      <c r="B488" s="89"/>
      <c r="C488" s="223"/>
      <c r="D488" s="223"/>
      <c r="E488" s="223"/>
      <c r="F488" s="223"/>
      <c r="G488" s="223"/>
      <c r="H488" s="223"/>
      <c r="I488" s="223"/>
      <c r="J488" s="223"/>
      <c r="K488" s="223"/>
      <c r="L488" s="223"/>
      <c r="M488" s="223"/>
      <c r="N488" s="223"/>
    </row>
    <row r="489" ht="15.75" hidden="1" customHeight="1">
      <c r="A489" s="89"/>
      <c r="B489" s="89"/>
      <c r="C489" s="223"/>
      <c r="D489" s="223"/>
      <c r="E489" s="223"/>
      <c r="F489" s="223"/>
      <c r="G489" s="223"/>
      <c r="H489" s="223"/>
      <c r="I489" s="223"/>
      <c r="J489" s="223"/>
      <c r="K489" s="223"/>
      <c r="L489" s="223"/>
      <c r="M489" s="223"/>
      <c r="N489" s="223"/>
    </row>
    <row r="490" ht="15.75" hidden="1" customHeight="1">
      <c r="A490" s="89"/>
      <c r="B490" s="89"/>
      <c r="C490" s="223"/>
      <c r="D490" s="223"/>
      <c r="E490" s="223"/>
      <c r="F490" s="223"/>
      <c r="G490" s="223"/>
      <c r="H490" s="223"/>
      <c r="I490" s="223"/>
      <c r="J490" s="223"/>
      <c r="K490" s="223"/>
      <c r="L490" s="223"/>
      <c r="M490" s="223"/>
      <c r="N490" s="223"/>
    </row>
    <row r="491" ht="15.75" hidden="1" customHeight="1">
      <c r="A491" s="89"/>
      <c r="B491" s="89"/>
      <c r="C491" s="223"/>
      <c r="D491" s="223"/>
      <c r="E491" s="223"/>
      <c r="F491" s="223"/>
      <c r="G491" s="223"/>
      <c r="H491" s="223"/>
      <c r="I491" s="223"/>
      <c r="J491" s="223"/>
      <c r="K491" s="223"/>
      <c r="L491" s="223"/>
      <c r="M491" s="223"/>
      <c r="N491" s="223"/>
    </row>
    <row r="492" ht="15.75" hidden="1" customHeight="1">
      <c r="A492" s="89"/>
      <c r="B492" s="89"/>
      <c r="C492" s="223"/>
      <c r="D492" s="223"/>
      <c r="E492" s="223"/>
      <c r="F492" s="223"/>
      <c r="G492" s="223"/>
      <c r="H492" s="223"/>
      <c r="I492" s="223"/>
      <c r="J492" s="223"/>
      <c r="K492" s="223"/>
      <c r="L492" s="223"/>
      <c r="M492" s="223"/>
      <c r="N492" s="223"/>
    </row>
    <row r="493" ht="15.75" hidden="1" customHeight="1">
      <c r="A493" s="89"/>
      <c r="B493" s="89"/>
      <c r="C493" s="223"/>
      <c r="D493" s="223"/>
      <c r="E493" s="223"/>
      <c r="F493" s="223"/>
      <c r="G493" s="223"/>
      <c r="H493" s="223"/>
      <c r="I493" s="223"/>
      <c r="J493" s="223"/>
      <c r="K493" s="223"/>
      <c r="L493" s="223"/>
      <c r="M493" s="223"/>
      <c r="N493" s="223"/>
    </row>
    <row r="494" ht="15.75" hidden="1" customHeight="1">
      <c r="A494" s="89"/>
      <c r="B494" s="89"/>
      <c r="C494" s="223"/>
      <c r="D494" s="223"/>
      <c r="E494" s="223"/>
      <c r="F494" s="223"/>
      <c r="G494" s="223"/>
      <c r="H494" s="223"/>
      <c r="I494" s="223"/>
      <c r="J494" s="223"/>
      <c r="K494" s="223"/>
      <c r="L494" s="223"/>
      <c r="M494" s="223"/>
      <c r="N494" s="223"/>
    </row>
    <row r="495" ht="15.75" hidden="1" customHeight="1">
      <c r="A495" s="89"/>
      <c r="B495" s="89"/>
      <c r="C495" s="223"/>
      <c r="D495" s="223"/>
      <c r="E495" s="223"/>
      <c r="F495" s="223"/>
      <c r="G495" s="223"/>
      <c r="H495" s="223"/>
      <c r="I495" s="223"/>
      <c r="J495" s="223"/>
      <c r="K495" s="223"/>
      <c r="L495" s="223"/>
      <c r="M495" s="223"/>
      <c r="N495" s="223"/>
    </row>
    <row r="496" ht="15.75" hidden="1" customHeight="1">
      <c r="A496" s="89"/>
      <c r="B496" s="89"/>
      <c r="C496" s="223"/>
      <c r="D496" s="223"/>
      <c r="E496" s="223"/>
      <c r="F496" s="223"/>
      <c r="G496" s="223"/>
      <c r="H496" s="223"/>
      <c r="I496" s="223"/>
      <c r="J496" s="223"/>
      <c r="K496" s="223"/>
      <c r="L496" s="223"/>
      <c r="M496" s="223"/>
      <c r="N496" s="223"/>
    </row>
    <row r="497" ht="15.75" hidden="1" customHeight="1">
      <c r="A497" s="89"/>
      <c r="B497" s="89"/>
      <c r="C497" s="223"/>
      <c r="D497" s="223"/>
      <c r="E497" s="223"/>
      <c r="F497" s="223"/>
      <c r="G497" s="223"/>
      <c r="H497" s="223"/>
      <c r="I497" s="223"/>
      <c r="J497" s="223"/>
      <c r="K497" s="223"/>
      <c r="L497" s="223"/>
      <c r="M497" s="223"/>
      <c r="N497" s="223"/>
    </row>
    <row r="498" ht="15.75" hidden="1" customHeight="1">
      <c r="A498" s="89"/>
      <c r="B498" s="89"/>
      <c r="C498" s="223"/>
      <c r="D498" s="223"/>
      <c r="E498" s="223"/>
      <c r="F498" s="223"/>
      <c r="G498" s="223"/>
      <c r="H498" s="223"/>
      <c r="I498" s="223"/>
      <c r="J498" s="223"/>
      <c r="K498" s="223"/>
      <c r="L498" s="223"/>
      <c r="M498" s="223"/>
      <c r="N498" s="223"/>
    </row>
    <row r="499" ht="15.75" hidden="1" customHeight="1">
      <c r="A499" s="89"/>
      <c r="B499" s="89"/>
      <c r="C499" s="223"/>
      <c r="D499" s="223"/>
      <c r="E499" s="223"/>
      <c r="F499" s="223"/>
      <c r="G499" s="223"/>
      <c r="H499" s="223"/>
      <c r="I499" s="223"/>
      <c r="J499" s="223"/>
      <c r="K499" s="223"/>
      <c r="L499" s="223"/>
      <c r="M499" s="223"/>
      <c r="N499" s="223"/>
    </row>
    <row r="500" ht="15.75" hidden="1" customHeight="1">
      <c r="A500" s="89"/>
      <c r="B500" s="89"/>
      <c r="C500" s="223"/>
      <c r="D500" s="223"/>
      <c r="E500" s="223"/>
      <c r="F500" s="223"/>
      <c r="G500" s="223"/>
      <c r="H500" s="223"/>
      <c r="I500" s="223"/>
      <c r="J500" s="223"/>
      <c r="K500" s="223"/>
      <c r="L500" s="223"/>
      <c r="M500" s="223"/>
      <c r="N500" s="223"/>
    </row>
    <row r="501" ht="15.75" hidden="1" customHeight="1">
      <c r="A501" s="89"/>
      <c r="B501" s="89"/>
      <c r="C501" s="223"/>
      <c r="D501" s="223"/>
      <c r="E501" s="223"/>
      <c r="F501" s="223"/>
      <c r="G501" s="223"/>
      <c r="H501" s="223"/>
      <c r="I501" s="223"/>
      <c r="J501" s="223"/>
      <c r="K501" s="223"/>
      <c r="L501" s="223"/>
      <c r="M501" s="223"/>
      <c r="N501" s="223"/>
    </row>
    <row r="502" ht="15.75" hidden="1" customHeight="1">
      <c r="A502" s="89"/>
      <c r="B502" s="89"/>
      <c r="C502" s="223"/>
      <c r="D502" s="223"/>
      <c r="E502" s="223"/>
      <c r="F502" s="223"/>
      <c r="G502" s="223"/>
      <c r="H502" s="223"/>
      <c r="I502" s="223"/>
      <c r="J502" s="223"/>
      <c r="K502" s="223"/>
      <c r="L502" s="223"/>
      <c r="M502" s="223"/>
      <c r="N502" s="223"/>
    </row>
    <row r="503" ht="15.75" hidden="1" customHeight="1">
      <c r="A503" s="89"/>
      <c r="B503" s="89"/>
      <c r="C503" s="223"/>
      <c r="D503" s="223"/>
      <c r="E503" s="223"/>
      <c r="F503" s="223"/>
      <c r="G503" s="223"/>
      <c r="H503" s="223"/>
      <c r="I503" s="223"/>
      <c r="J503" s="223"/>
      <c r="K503" s="223"/>
      <c r="L503" s="223"/>
      <c r="M503" s="223"/>
      <c r="N503" s="223"/>
    </row>
    <row r="504" ht="15.75" hidden="1" customHeight="1">
      <c r="A504" s="89"/>
      <c r="B504" s="89"/>
      <c r="C504" s="223"/>
      <c r="D504" s="223"/>
      <c r="E504" s="223"/>
      <c r="F504" s="223"/>
      <c r="G504" s="223"/>
      <c r="H504" s="223"/>
      <c r="I504" s="223"/>
      <c r="J504" s="223"/>
      <c r="K504" s="223"/>
      <c r="L504" s="223"/>
      <c r="M504" s="223"/>
      <c r="N504" s="223"/>
    </row>
    <row r="505" ht="15.75" hidden="1" customHeight="1">
      <c r="A505" s="89"/>
      <c r="B505" s="89"/>
      <c r="C505" s="223"/>
      <c r="D505" s="223"/>
      <c r="E505" s="223"/>
      <c r="F505" s="223"/>
      <c r="G505" s="223"/>
      <c r="H505" s="223"/>
      <c r="I505" s="223"/>
      <c r="J505" s="223"/>
      <c r="K505" s="223"/>
      <c r="L505" s="223"/>
      <c r="M505" s="223"/>
      <c r="N505" s="223"/>
    </row>
    <row r="506" ht="15.75" hidden="1" customHeight="1">
      <c r="A506" s="89"/>
      <c r="B506" s="89"/>
      <c r="C506" s="223"/>
      <c r="D506" s="223"/>
      <c r="E506" s="223"/>
      <c r="F506" s="223"/>
      <c r="G506" s="223"/>
      <c r="H506" s="223"/>
      <c r="I506" s="223"/>
      <c r="J506" s="223"/>
      <c r="K506" s="223"/>
      <c r="L506" s="223"/>
      <c r="M506" s="223"/>
      <c r="N506" s="223"/>
    </row>
    <row r="507" ht="15.75" hidden="1" customHeight="1">
      <c r="A507" s="89"/>
      <c r="B507" s="89"/>
      <c r="C507" s="223"/>
      <c r="D507" s="223"/>
      <c r="E507" s="223"/>
      <c r="F507" s="223"/>
      <c r="G507" s="223"/>
      <c r="H507" s="223"/>
      <c r="I507" s="223"/>
      <c r="J507" s="223"/>
      <c r="K507" s="223"/>
      <c r="L507" s="223"/>
      <c r="M507" s="223"/>
      <c r="N507" s="223"/>
    </row>
    <row r="508" ht="15.75" hidden="1" customHeight="1">
      <c r="A508" s="89"/>
      <c r="B508" s="89"/>
      <c r="C508" s="223"/>
      <c r="D508" s="223"/>
      <c r="E508" s="223"/>
      <c r="F508" s="223"/>
      <c r="G508" s="223"/>
      <c r="H508" s="223"/>
      <c r="I508" s="223"/>
      <c r="J508" s="223"/>
      <c r="K508" s="223"/>
      <c r="L508" s="223"/>
      <c r="M508" s="223"/>
      <c r="N508" s="223"/>
    </row>
    <row r="509" ht="15.75" hidden="1" customHeight="1">
      <c r="A509" s="89"/>
      <c r="B509" s="89"/>
      <c r="C509" s="223"/>
      <c r="D509" s="223"/>
      <c r="E509" s="223"/>
      <c r="F509" s="223"/>
      <c r="G509" s="223"/>
      <c r="H509" s="223"/>
      <c r="I509" s="223"/>
      <c r="J509" s="223"/>
      <c r="K509" s="223"/>
      <c r="L509" s="223"/>
      <c r="M509" s="223"/>
      <c r="N509" s="223"/>
    </row>
    <row r="510" ht="15.75" hidden="1" customHeight="1">
      <c r="A510" s="89"/>
      <c r="B510" s="89"/>
      <c r="C510" s="223"/>
      <c r="D510" s="223"/>
      <c r="E510" s="223"/>
      <c r="F510" s="223"/>
      <c r="G510" s="223"/>
      <c r="H510" s="223"/>
      <c r="I510" s="223"/>
      <c r="J510" s="223"/>
      <c r="K510" s="223"/>
      <c r="L510" s="223"/>
      <c r="M510" s="223"/>
      <c r="N510" s="223"/>
    </row>
    <row r="511" ht="15.75" hidden="1" customHeight="1">
      <c r="A511" s="89"/>
      <c r="B511" s="89"/>
      <c r="C511" s="223"/>
      <c r="D511" s="223"/>
      <c r="E511" s="223"/>
      <c r="F511" s="223"/>
      <c r="G511" s="223"/>
      <c r="H511" s="223"/>
      <c r="I511" s="223"/>
      <c r="J511" s="223"/>
      <c r="K511" s="223"/>
      <c r="L511" s="223"/>
      <c r="M511" s="223"/>
      <c r="N511" s="223"/>
    </row>
    <row r="512" ht="15.75" hidden="1" customHeight="1">
      <c r="A512" s="89"/>
      <c r="B512" s="89"/>
      <c r="C512" s="223"/>
      <c r="D512" s="223"/>
      <c r="E512" s="223"/>
      <c r="F512" s="223"/>
      <c r="G512" s="223"/>
      <c r="H512" s="223"/>
      <c r="I512" s="223"/>
      <c r="J512" s="223"/>
      <c r="K512" s="223"/>
      <c r="L512" s="223"/>
      <c r="M512" s="223"/>
      <c r="N512" s="223"/>
    </row>
    <row r="513" ht="15.75" hidden="1" customHeight="1">
      <c r="A513" s="89"/>
      <c r="B513" s="89"/>
      <c r="C513" s="223"/>
      <c r="D513" s="223"/>
      <c r="E513" s="223"/>
      <c r="F513" s="223"/>
      <c r="G513" s="223"/>
      <c r="H513" s="223"/>
      <c r="I513" s="223"/>
      <c r="J513" s="223"/>
      <c r="K513" s="223"/>
      <c r="L513" s="223"/>
      <c r="M513" s="223"/>
      <c r="N513" s="223"/>
    </row>
    <row r="514" ht="15.75" hidden="1" customHeight="1">
      <c r="A514" s="89"/>
      <c r="B514" s="89"/>
      <c r="C514" s="223"/>
      <c r="D514" s="223"/>
      <c r="E514" s="223"/>
      <c r="F514" s="223"/>
      <c r="G514" s="223"/>
      <c r="H514" s="223"/>
      <c r="I514" s="223"/>
      <c r="J514" s="223"/>
      <c r="K514" s="223"/>
      <c r="L514" s="223"/>
      <c r="M514" s="223"/>
      <c r="N514" s="223"/>
    </row>
    <row r="515" ht="15.75" hidden="1" customHeight="1">
      <c r="A515" s="89"/>
      <c r="B515" s="89"/>
      <c r="C515" s="223"/>
      <c r="D515" s="223"/>
      <c r="E515" s="223"/>
      <c r="F515" s="223"/>
      <c r="G515" s="223"/>
      <c r="H515" s="223"/>
      <c r="I515" s="223"/>
      <c r="J515" s="223"/>
      <c r="K515" s="223"/>
      <c r="L515" s="223"/>
      <c r="M515" s="223"/>
      <c r="N515" s="223"/>
    </row>
    <row r="516" ht="15.75" hidden="1" customHeight="1">
      <c r="A516" s="89"/>
      <c r="B516" s="89"/>
      <c r="C516" s="223"/>
      <c r="D516" s="223"/>
      <c r="E516" s="223"/>
      <c r="F516" s="223"/>
      <c r="G516" s="223"/>
      <c r="H516" s="223"/>
      <c r="I516" s="223"/>
      <c r="J516" s="223"/>
      <c r="K516" s="223"/>
      <c r="L516" s="223"/>
      <c r="M516" s="223"/>
      <c r="N516" s="223"/>
    </row>
    <row r="517" ht="15.75" hidden="1" customHeight="1">
      <c r="A517" s="89"/>
      <c r="B517" s="89"/>
      <c r="C517" s="223"/>
      <c r="D517" s="223"/>
      <c r="E517" s="223"/>
      <c r="F517" s="223"/>
      <c r="G517" s="223"/>
      <c r="H517" s="223"/>
      <c r="I517" s="223"/>
      <c r="J517" s="223"/>
      <c r="K517" s="223"/>
      <c r="L517" s="223"/>
      <c r="M517" s="223"/>
      <c r="N517" s="223"/>
    </row>
    <row r="518" ht="15.75" hidden="1" customHeight="1">
      <c r="A518" s="89"/>
      <c r="B518" s="89"/>
      <c r="C518" s="223"/>
      <c r="D518" s="223"/>
      <c r="E518" s="223"/>
      <c r="F518" s="223"/>
      <c r="G518" s="223"/>
      <c r="H518" s="223"/>
      <c r="I518" s="223"/>
      <c r="J518" s="223"/>
      <c r="K518" s="223"/>
      <c r="L518" s="223"/>
      <c r="M518" s="223"/>
      <c r="N518" s="223"/>
    </row>
    <row r="519" ht="15.75" hidden="1" customHeight="1">
      <c r="A519" s="89"/>
      <c r="B519" s="89"/>
      <c r="C519" s="223"/>
      <c r="D519" s="223"/>
      <c r="E519" s="223"/>
      <c r="F519" s="223"/>
      <c r="G519" s="223"/>
      <c r="H519" s="223"/>
      <c r="I519" s="223"/>
      <c r="J519" s="223"/>
      <c r="K519" s="223"/>
      <c r="L519" s="223"/>
      <c r="M519" s="223"/>
      <c r="N519" s="223"/>
    </row>
    <row r="520" ht="15.75" hidden="1" customHeight="1">
      <c r="A520" s="89"/>
      <c r="B520" s="89"/>
      <c r="C520" s="223"/>
      <c r="D520" s="223"/>
      <c r="E520" s="223"/>
      <c r="F520" s="223"/>
      <c r="G520" s="223"/>
      <c r="H520" s="223"/>
      <c r="I520" s="223"/>
      <c r="J520" s="223"/>
      <c r="K520" s="223"/>
      <c r="L520" s="223"/>
      <c r="M520" s="223"/>
      <c r="N520" s="223"/>
    </row>
    <row r="521" ht="15.75" hidden="1" customHeight="1">
      <c r="A521" s="89"/>
      <c r="B521" s="89"/>
      <c r="C521" s="223"/>
      <c r="D521" s="223"/>
      <c r="E521" s="223"/>
      <c r="F521" s="223"/>
      <c r="G521" s="223"/>
      <c r="H521" s="223"/>
      <c r="I521" s="223"/>
      <c r="J521" s="223"/>
      <c r="K521" s="223"/>
      <c r="L521" s="223"/>
      <c r="M521" s="223"/>
      <c r="N521" s="223"/>
    </row>
    <row r="522" ht="15.75" hidden="1" customHeight="1">
      <c r="A522" s="89"/>
      <c r="B522" s="89"/>
      <c r="C522" s="223"/>
      <c r="D522" s="223"/>
      <c r="E522" s="223"/>
      <c r="F522" s="223"/>
      <c r="G522" s="223"/>
      <c r="H522" s="223"/>
      <c r="I522" s="223"/>
      <c r="J522" s="223"/>
      <c r="K522" s="223"/>
      <c r="L522" s="223"/>
      <c r="M522" s="223"/>
      <c r="N522" s="223"/>
    </row>
    <row r="523" ht="15.75" hidden="1" customHeight="1">
      <c r="A523" s="89"/>
      <c r="B523" s="89"/>
      <c r="C523" s="223"/>
      <c r="D523" s="223"/>
      <c r="E523" s="223"/>
      <c r="F523" s="223"/>
      <c r="G523" s="223"/>
      <c r="H523" s="223"/>
      <c r="I523" s="223"/>
      <c r="J523" s="223"/>
      <c r="K523" s="223"/>
      <c r="L523" s="223"/>
      <c r="M523" s="223"/>
      <c r="N523" s="223"/>
    </row>
    <row r="524" ht="15.75" hidden="1" customHeight="1">
      <c r="A524" s="89"/>
      <c r="B524" s="89"/>
      <c r="C524" s="223"/>
      <c r="D524" s="223"/>
      <c r="E524" s="223"/>
      <c r="F524" s="223"/>
      <c r="G524" s="223"/>
      <c r="H524" s="223"/>
      <c r="I524" s="223"/>
      <c r="J524" s="223"/>
      <c r="K524" s="223"/>
      <c r="L524" s="223"/>
      <c r="M524" s="223"/>
      <c r="N524" s="223"/>
    </row>
    <row r="525" ht="15.75" hidden="1" customHeight="1">
      <c r="A525" s="89"/>
      <c r="B525" s="89"/>
      <c r="C525" s="223"/>
      <c r="D525" s="223"/>
      <c r="E525" s="223"/>
      <c r="F525" s="223"/>
      <c r="G525" s="223"/>
      <c r="H525" s="223"/>
      <c r="I525" s="223"/>
      <c r="J525" s="223"/>
      <c r="K525" s="223"/>
      <c r="L525" s="223"/>
      <c r="M525" s="223"/>
      <c r="N525" s="223"/>
    </row>
    <row r="526" ht="15.75" hidden="1" customHeight="1">
      <c r="A526" s="89"/>
      <c r="B526" s="89"/>
      <c r="C526" s="223"/>
      <c r="D526" s="223"/>
      <c r="E526" s="223"/>
      <c r="F526" s="223"/>
      <c r="G526" s="223"/>
      <c r="H526" s="223"/>
      <c r="I526" s="223"/>
      <c r="J526" s="223"/>
      <c r="K526" s="223"/>
      <c r="L526" s="223"/>
      <c r="M526" s="223"/>
      <c r="N526" s="223"/>
    </row>
    <row r="527" ht="15.75" hidden="1" customHeight="1">
      <c r="A527" s="89"/>
      <c r="B527" s="89"/>
      <c r="C527" s="223"/>
      <c r="D527" s="223"/>
      <c r="E527" s="223"/>
      <c r="F527" s="223"/>
      <c r="G527" s="223"/>
      <c r="H527" s="223"/>
      <c r="I527" s="223"/>
      <c r="J527" s="223"/>
      <c r="K527" s="223"/>
      <c r="L527" s="223"/>
      <c r="M527" s="223"/>
      <c r="N527" s="223"/>
    </row>
    <row r="528" ht="15.75" hidden="1" customHeight="1">
      <c r="A528" s="89"/>
      <c r="B528" s="89"/>
      <c r="C528" s="223"/>
      <c r="D528" s="223"/>
      <c r="E528" s="223"/>
      <c r="F528" s="223"/>
      <c r="G528" s="223"/>
      <c r="H528" s="223"/>
      <c r="I528" s="223"/>
      <c r="J528" s="223"/>
      <c r="K528" s="223"/>
      <c r="L528" s="223"/>
      <c r="M528" s="223"/>
      <c r="N528" s="223"/>
    </row>
    <row r="529" ht="15.75" hidden="1" customHeight="1">
      <c r="A529" s="89"/>
      <c r="B529" s="89"/>
      <c r="C529" s="223"/>
      <c r="D529" s="223"/>
      <c r="E529" s="223"/>
      <c r="F529" s="223"/>
      <c r="G529" s="223"/>
      <c r="H529" s="223"/>
      <c r="I529" s="223"/>
      <c r="J529" s="223"/>
      <c r="K529" s="223"/>
      <c r="L529" s="223"/>
      <c r="M529" s="223"/>
      <c r="N529" s="223"/>
    </row>
    <row r="530" ht="15.75" hidden="1" customHeight="1">
      <c r="A530" s="89"/>
      <c r="B530" s="89"/>
      <c r="C530" s="223"/>
      <c r="D530" s="223"/>
      <c r="E530" s="223"/>
      <c r="F530" s="223"/>
      <c r="G530" s="223"/>
      <c r="H530" s="223"/>
      <c r="I530" s="223"/>
      <c r="J530" s="223"/>
      <c r="K530" s="223"/>
      <c r="L530" s="223"/>
      <c r="M530" s="223"/>
      <c r="N530" s="223"/>
    </row>
    <row r="531" ht="15.75" hidden="1" customHeight="1">
      <c r="A531" s="89"/>
      <c r="B531" s="89"/>
      <c r="C531" s="223"/>
      <c r="D531" s="223"/>
      <c r="E531" s="223"/>
      <c r="F531" s="223"/>
      <c r="G531" s="223"/>
      <c r="H531" s="223"/>
      <c r="I531" s="223"/>
      <c r="J531" s="223"/>
      <c r="K531" s="223"/>
      <c r="L531" s="223"/>
      <c r="M531" s="223"/>
      <c r="N531" s="223"/>
    </row>
    <row r="532" ht="15.75" hidden="1" customHeight="1">
      <c r="A532" s="89"/>
      <c r="B532" s="89"/>
      <c r="C532" s="223"/>
      <c r="D532" s="223"/>
      <c r="E532" s="223"/>
      <c r="F532" s="223"/>
      <c r="G532" s="223"/>
      <c r="H532" s="223"/>
      <c r="I532" s="223"/>
      <c r="J532" s="223"/>
      <c r="K532" s="223"/>
      <c r="L532" s="223"/>
      <c r="M532" s="223"/>
      <c r="N532" s="223"/>
    </row>
    <row r="533" ht="15.75" hidden="1" customHeight="1">
      <c r="A533" s="89"/>
      <c r="B533" s="89"/>
      <c r="C533" s="223"/>
      <c r="D533" s="223"/>
      <c r="E533" s="223"/>
      <c r="F533" s="223"/>
      <c r="G533" s="223"/>
      <c r="H533" s="223"/>
      <c r="I533" s="223"/>
      <c r="J533" s="223"/>
      <c r="K533" s="223"/>
      <c r="L533" s="223"/>
      <c r="M533" s="223"/>
      <c r="N533" s="223"/>
    </row>
    <row r="534" ht="15.75" hidden="1" customHeight="1">
      <c r="A534" s="89"/>
      <c r="B534" s="89"/>
      <c r="C534" s="223"/>
      <c r="D534" s="223"/>
      <c r="E534" s="223"/>
      <c r="F534" s="223"/>
      <c r="G534" s="223"/>
      <c r="H534" s="223"/>
      <c r="I534" s="223"/>
      <c r="J534" s="223"/>
      <c r="K534" s="223"/>
      <c r="L534" s="223"/>
      <c r="M534" s="223"/>
      <c r="N534" s="223"/>
    </row>
    <row r="535" ht="15.75" hidden="1" customHeight="1">
      <c r="A535" s="89"/>
      <c r="B535" s="89"/>
      <c r="C535" s="223"/>
      <c r="D535" s="223"/>
      <c r="E535" s="223"/>
      <c r="F535" s="223"/>
      <c r="G535" s="223"/>
      <c r="H535" s="223"/>
      <c r="I535" s="223"/>
      <c r="J535" s="223"/>
      <c r="K535" s="223"/>
      <c r="L535" s="223"/>
      <c r="M535" s="223"/>
      <c r="N535" s="223"/>
    </row>
    <row r="536" ht="15.75" hidden="1" customHeight="1">
      <c r="A536" s="89"/>
      <c r="B536" s="89"/>
      <c r="C536" s="223"/>
      <c r="D536" s="223"/>
      <c r="E536" s="223"/>
      <c r="F536" s="223"/>
      <c r="G536" s="223"/>
      <c r="H536" s="223"/>
      <c r="I536" s="223"/>
      <c r="J536" s="223"/>
      <c r="K536" s="223"/>
      <c r="L536" s="223"/>
      <c r="M536" s="223"/>
      <c r="N536" s="223"/>
    </row>
    <row r="537" ht="15.75" hidden="1" customHeight="1">
      <c r="A537" s="89"/>
      <c r="B537" s="89"/>
      <c r="C537" s="223"/>
      <c r="D537" s="223"/>
      <c r="E537" s="223"/>
      <c r="F537" s="223"/>
      <c r="G537" s="223"/>
      <c r="H537" s="223"/>
      <c r="I537" s="223"/>
      <c r="J537" s="223"/>
      <c r="K537" s="223"/>
      <c r="L537" s="223"/>
      <c r="M537" s="223"/>
      <c r="N537" s="223"/>
    </row>
    <row r="538" ht="15.75" hidden="1" customHeight="1">
      <c r="A538" s="89"/>
      <c r="B538" s="89"/>
      <c r="C538" s="223"/>
      <c r="D538" s="223"/>
      <c r="E538" s="223"/>
      <c r="F538" s="223"/>
      <c r="G538" s="223"/>
      <c r="H538" s="223"/>
      <c r="I538" s="223"/>
      <c r="J538" s="223"/>
      <c r="K538" s="223"/>
      <c r="L538" s="223"/>
      <c r="M538" s="223"/>
      <c r="N538" s="223"/>
    </row>
    <row r="539" ht="15.75" hidden="1" customHeight="1">
      <c r="A539" s="89"/>
      <c r="B539" s="89"/>
      <c r="C539" s="223"/>
      <c r="D539" s="223"/>
      <c r="E539" s="223"/>
      <c r="F539" s="223"/>
      <c r="G539" s="223"/>
      <c r="H539" s="223"/>
      <c r="I539" s="223"/>
      <c r="J539" s="223"/>
      <c r="K539" s="223"/>
      <c r="L539" s="223"/>
      <c r="M539" s="223"/>
      <c r="N539" s="223"/>
    </row>
    <row r="540" ht="15.75" hidden="1" customHeight="1">
      <c r="A540" s="89"/>
      <c r="B540" s="89"/>
      <c r="C540" s="223"/>
      <c r="D540" s="223"/>
      <c r="E540" s="223"/>
      <c r="F540" s="223"/>
      <c r="G540" s="223"/>
      <c r="H540" s="223"/>
      <c r="I540" s="223"/>
      <c r="J540" s="223"/>
      <c r="K540" s="223"/>
      <c r="L540" s="223"/>
      <c r="M540" s="223"/>
      <c r="N540" s="223"/>
    </row>
    <row r="541" ht="15.75" hidden="1" customHeight="1">
      <c r="A541" s="89"/>
      <c r="B541" s="89"/>
      <c r="C541" s="223"/>
      <c r="D541" s="223"/>
      <c r="E541" s="223"/>
      <c r="F541" s="223"/>
      <c r="G541" s="223"/>
      <c r="H541" s="223"/>
      <c r="I541" s="223"/>
      <c r="J541" s="223"/>
      <c r="K541" s="223"/>
      <c r="L541" s="223"/>
      <c r="M541" s="223"/>
      <c r="N541" s="223"/>
    </row>
    <row r="542" ht="15.75" hidden="1" customHeight="1">
      <c r="A542" s="89"/>
      <c r="B542" s="89"/>
      <c r="C542" s="223"/>
      <c r="D542" s="223"/>
      <c r="E542" s="223"/>
      <c r="F542" s="223"/>
      <c r="G542" s="223"/>
      <c r="H542" s="223"/>
      <c r="I542" s="223"/>
      <c r="J542" s="223"/>
      <c r="K542" s="223"/>
      <c r="L542" s="223"/>
      <c r="M542" s="223"/>
      <c r="N542" s="223"/>
    </row>
    <row r="543" ht="15.75" hidden="1" customHeight="1">
      <c r="A543" s="89"/>
      <c r="B543" s="89"/>
      <c r="C543" s="223"/>
      <c r="D543" s="223"/>
      <c r="E543" s="223"/>
      <c r="F543" s="223"/>
      <c r="G543" s="223"/>
      <c r="H543" s="223"/>
      <c r="I543" s="223"/>
      <c r="J543" s="223"/>
      <c r="K543" s="223"/>
      <c r="L543" s="223"/>
      <c r="M543" s="223"/>
      <c r="N543" s="223"/>
    </row>
    <row r="544" ht="15.75" hidden="1" customHeight="1">
      <c r="A544" s="89"/>
      <c r="B544" s="89"/>
      <c r="C544" s="223"/>
      <c r="D544" s="223"/>
      <c r="E544" s="223"/>
      <c r="F544" s="223"/>
      <c r="G544" s="223"/>
      <c r="H544" s="223"/>
      <c r="I544" s="223"/>
      <c r="J544" s="223"/>
      <c r="K544" s="223"/>
      <c r="L544" s="223"/>
      <c r="M544" s="223"/>
      <c r="N544" s="223"/>
    </row>
    <row r="545" ht="15.75" hidden="1" customHeight="1">
      <c r="A545" s="89"/>
      <c r="B545" s="89"/>
      <c r="C545" s="223"/>
      <c r="D545" s="223"/>
      <c r="E545" s="223"/>
      <c r="F545" s="223"/>
      <c r="G545" s="223"/>
      <c r="H545" s="223"/>
      <c r="I545" s="223"/>
      <c r="J545" s="223"/>
      <c r="K545" s="223"/>
      <c r="L545" s="223"/>
      <c r="M545" s="223"/>
      <c r="N545" s="223"/>
    </row>
    <row r="546" ht="15.75" hidden="1" customHeight="1">
      <c r="A546" s="89"/>
      <c r="B546" s="89"/>
      <c r="C546" s="223"/>
      <c r="D546" s="223"/>
      <c r="E546" s="223"/>
      <c r="F546" s="223"/>
      <c r="G546" s="223"/>
      <c r="H546" s="223"/>
      <c r="I546" s="223"/>
      <c r="J546" s="223"/>
      <c r="K546" s="223"/>
      <c r="L546" s="223"/>
      <c r="M546" s="223"/>
      <c r="N546" s="223"/>
    </row>
    <row r="547" ht="15.75" hidden="1" customHeight="1">
      <c r="A547" s="89"/>
      <c r="B547" s="89"/>
      <c r="C547" s="223"/>
      <c r="D547" s="223"/>
      <c r="E547" s="223"/>
      <c r="F547" s="223"/>
      <c r="G547" s="223"/>
      <c r="H547" s="223"/>
      <c r="I547" s="223"/>
      <c r="J547" s="223"/>
      <c r="K547" s="223"/>
      <c r="L547" s="223"/>
      <c r="M547" s="223"/>
      <c r="N547" s="223"/>
    </row>
    <row r="548" ht="15.75" hidden="1" customHeight="1">
      <c r="A548" s="89"/>
      <c r="B548" s="89"/>
      <c r="C548" s="223"/>
      <c r="D548" s="223"/>
      <c r="E548" s="223"/>
      <c r="F548" s="223"/>
      <c r="G548" s="223"/>
      <c r="H548" s="223"/>
      <c r="I548" s="223"/>
      <c r="J548" s="223"/>
      <c r="K548" s="223"/>
      <c r="L548" s="223"/>
      <c r="M548" s="223"/>
      <c r="N548" s="223"/>
    </row>
    <row r="549" ht="15.75" hidden="1" customHeight="1">
      <c r="A549" s="89"/>
      <c r="B549" s="89"/>
      <c r="C549" s="223"/>
      <c r="D549" s="223"/>
      <c r="E549" s="223"/>
      <c r="F549" s="223"/>
      <c r="G549" s="223"/>
      <c r="H549" s="223"/>
      <c r="I549" s="223"/>
      <c r="J549" s="223"/>
      <c r="K549" s="223"/>
      <c r="L549" s="223"/>
      <c r="M549" s="223"/>
      <c r="N549" s="223"/>
    </row>
    <row r="550" ht="15.75" hidden="1" customHeight="1">
      <c r="A550" s="89"/>
      <c r="B550" s="89"/>
      <c r="C550" s="223"/>
      <c r="D550" s="223"/>
      <c r="E550" s="223"/>
      <c r="F550" s="223"/>
      <c r="G550" s="223"/>
      <c r="H550" s="223"/>
      <c r="I550" s="223"/>
      <c r="J550" s="223"/>
      <c r="K550" s="223"/>
      <c r="L550" s="223"/>
      <c r="M550" s="223"/>
      <c r="N550" s="223"/>
    </row>
    <row r="551" ht="15.75" hidden="1" customHeight="1">
      <c r="A551" s="89"/>
      <c r="B551" s="89"/>
      <c r="C551" s="223"/>
      <c r="D551" s="223"/>
      <c r="E551" s="223"/>
      <c r="F551" s="223"/>
      <c r="G551" s="223"/>
      <c r="H551" s="223"/>
      <c r="I551" s="223"/>
      <c r="J551" s="223"/>
      <c r="K551" s="223"/>
      <c r="L551" s="223"/>
      <c r="M551" s="223"/>
      <c r="N551" s="223"/>
    </row>
    <row r="552" ht="15.75" hidden="1" customHeight="1">
      <c r="A552" s="89"/>
      <c r="B552" s="89"/>
      <c r="C552" s="223"/>
      <c r="D552" s="223"/>
      <c r="E552" s="223"/>
      <c r="F552" s="223"/>
      <c r="G552" s="223"/>
      <c r="H552" s="223"/>
      <c r="I552" s="223"/>
      <c r="J552" s="223"/>
      <c r="K552" s="223"/>
      <c r="L552" s="223"/>
      <c r="M552" s="223"/>
      <c r="N552" s="223"/>
    </row>
    <row r="553" ht="15.75" hidden="1" customHeight="1">
      <c r="A553" s="89"/>
      <c r="B553" s="89"/>
      <c r="C553" s="223"/>
      <c r="D553" s="223"/>
      <c r="E553" s="223"/>
      <c r="F553" s="223"/>
      <c r="G553" s="223"/>
      <c r="H553" s="223"/>
      <c r="I553" s="223"/>
      <c r="J553" s="223"/>
      <c r="K553" s="223"/>
      <c r="L553" s="223"/>
      <c r="M553" s="223"/>
      <c r="N553" s="223"/>
    </row>
    <row r="554" ht="15.75" hidden="1" customHeight="1">
      <c r="A554" s="89"/>
      <c r="B554" s="89"/>
      <c r="C554" s="223"/>
      <c r="D554" s="223"/>
      <c r="E554" s="223"/>
      <c r="F554" s="223"/>
      <c r="G554" s="223"/>
      <c r="H554" s="223"/>
      <c r="I554" s="223"/>
      <c r="J554" s="223"/>
      <c r="K554" s="223"/>
      <c r="L554" s="223"/>
      <c r="M554" s="223"/>
      <c r="N554" s="223"/>
    </row>
    <row r="555" ht="15.75" hidden="1" customHeight="1">
      <c r="A555" s="89"/>
      <c r="B555" s="89"/>
      <c r="C555" s="223"/>
      <c r="D555" s="223"/>
      <c r="E555" s="223"/>
      <c r="F555" s="223"/>
      <c r="G555" s="223"/>
      <c r="H555" s="223"/>
      <c r="I555" s="223"/>
      <c r="J555" s="223"/>
      <c r="K555" s="223"/>
      <c r="L555" s="223"/>
      <c r="M555" s="223"/>
      <c r="N555" s="223"/>
    </row>
    <row r="556" ht="15.75" hidden="1" customHeight="1">
      <c r="A556" s="89"/>
      <c r="B556" s="89"/>
      <c r="C556" s="223"/>
      <c r="D556" s="223"/>
      <c r="E556" s="223"/>
      <c r="F556" s="223"/>
      <c r="G556" s="223"/>
      <c r="H556" s="223"/>
      <c r="I556" s="223"/>
      <c r="J556" s="223"/>
      <c r="K556" s="223"/>
      <c r="L556" s="223"/>
      <c r="M556" s="223"/>
      <c r="N556" s="223"/>
    </row>
    <row r="557" ht="15.75" hidden="1" customHeight="1">
      <c r="A557" s="89"/>
      <c r="B557" s="89"/>
      <c r="C557" s="223"/>
      <c r="D557" s="223"/>
      <c r="E557" s="223"/>
      <c r="F557" s="223"/>
      <c r="G557" s="223"/>
      <c r="H557" s="223"/>
      <c r="I557" s="223"/>
      <c r="J557" s="223"/>
      <c r="K557" s="223"/>
      <c r="L557" s="223"/>
      <c r="M557" s="223"/>
      <c r="N557" s="223"/>
    </row>
    <row r="558" ht="15.75" hidden="1" customHeight="1">
      <c r="A558" s="89"/>
      <c r="B558" s="89"/>
      <c r="C558" s="223"/>
      <c r="D558" s="223"/>
      <c r="E558" s="223"/>
      <c r="F558" s="223"/>
      <c r="G558" s="223"/>
      <c r="H558" s="223"/>
      <c r="I558" s="223"/>
      <c r="J558" s="223"/>
      <c r="K558" s="223"/>
      <c r="L558" s="223"/>
      <c r="M558" s="223"/>
      <c r="N558" s="223"/>
    </row>
    <row r="559" ht="15.75" hidden="1" customHeight="1">
      <c r="A559" s="89"/>
      <c r="B559" s="89"/>
      <c r="C559" s="223"/>
      <c r="D559" s="223"/>
      <c r="E559" s="223"/>
      <c r="F559" s="223"/>
      <c r="G559" s="223"/>
      <c r="H559" s="223"/>
      <c r="I559" s="223"/>
      <c r="J559" s="223"/>
      <c r="K559" s="223"/>
      <c r="L559" s="223"/>
      <c r="M559" s="223"/>
      <c r="N559" s="223"/>
    </row>
    <row r="560" ht="15.75" hidden="1" customHeight="1">
      <c r="A560" s="89"/>
      <c r="B560" s="89"/>
      <c r="C560" s="223"/>
      <c r="D560" s="223"/>
      <c r="E560" s="223"/>
      <c r="F560" s="223"/>
      <c r="G560" s="223"/>
      <c r="H560" s="223"/>
      <c r="I560" s="223"/>
      <c r="J560" s="223"/>
      <c r="K560" s="223"/>
      <c r="L560" s="223"/>
      <c r="M560" s="223"/>
      <c r="N560" s="223"/>
    </row>
    <row r="561" ht="15.75" hidden="1" customHeight="1">
      <c r="A561" s="89"/>
      <c r="B561" s="89"/>
      <c r="C561" s="223"/>
      <c r="D561" s="223"/>
      <c r="E561" s="223"/>
      <c r="F561" s="223"/>
      <c r="G561" s="223"/>
      <c r="H561" s="223"/>
      <c r="I561" s="223"/>
      <c r="J561" s="223"/>
      <c r="K561" s="223"/>
      <c r="L561" s="223"/>
      <c r="M561" s="223"/>
      <c r="N561" s="223"/>
    </row>
    <row r="562" ht="15.75" hidden="1" customHeight="1">
      <c r="A562" s="89"/>
      <c r="B562" s="89"/>
      <c r="C562" s="223"/>
      <c r="D562" s="223"/>
      <c r="E562" s="223"/>
      <c r="F562" s="223"/>
      <c r="G562" s="223"/>
      <c r="H562" s="223"/>
      <c r="I562" s="223"/>
      <c r="J562" s="223"/>
      <c r="K562" s="223"/>
      <c r="L562" s="223"/>
      <c r="M562" s="223"/>
      <c r="N562" s="223"/>
    </row>
    <row r="563" ht="15.75" hidden="1" customHeight="1">
      <c r="A563" s="89"/>
      <c r="B563" s="89"/>
      <c r="C563" s="223"/>
      <c r="D563" s="223"/>
      <c r="E563" s="223"/>
      <c r="F563" s="223"/>
      <c r="G563" s="223"/>
      <c r="H563" s="223"/>
      <c r="I563" s="223"/>
      <c r="J563" s="223"/>
      <c r="K563" s="223"/>
      <c r="L563" s="223"/>
      <c r="M563" s="223"/>
      <c r="N563" s="223"/>
    </row>
    <row r="564" ht="15.75" hidden="1" customHeight="1">
      <c r="A564" s="89"/>
      <c r="B564" s="89"/>
      <c r="C564" s="223"/>
      <c r="D564" s="223"/>
      <c r="E564" s="223"/>
      <c r="F564" s="223"/>
      <c r="G564" s="223"/>
      <c r="H564" s="223"/>
      <c r="I564" s="223"/>
      <c r="J564" s="223"/>
      <c r="K564" s="223"/>
      <c r="L564" s="223"/>
      <c r="M564" s="223"/>
      <c r="N564" s="223"/>
    </row>
    <row r="565" ht="15.75" hidden="1" customHeight="1">
      <c r="A565" s="89"/>
      <c r="B565" s="89"/>
      <c r="C565" s="223"/>
      <c r="D565" s="223"/>
      <c r="E565" s="223"/>
      <c r="F565" s="223"/>
      <c r="G565" s="223"/>
      <c r="H565" s="223"/>
      <c r="I565" s="223"/>
      <c r="J565" s="223"/>
      <c r="K565" s="223"/>
      <c r="L565" s="223"/>
      <c r="M565" s="223"/>
      <c r="N565" s="223"/>
    </row>
    <row r="566" ht="15.75" hidden="1" customHeight="1">
      <c r="A566" s="89"/>
      <c r="B566" s="89"/>
      <c r="C566" s="223"/>
      <c r="D566" s="223"/>
      <c r="E566" s="223"/>
      <c r="F566" s="223"/>
      <c r="G566" s="223"/>
      <c r="H566" s="223"/>
      <c r="I566" s="223"/>
      <c r="J566" s="223"/>
      <c r="K566" s="223"/>
      <c r="L566" s="223"/>
      <c r="M566" s="223"/>
      <c r="N566" s="223"/>
    </row>
    <row r="567" ht="15.75" hidden="1" customHeight="1">
      <c r="A567" s="89"/>
      <c r="B567" s="89"/>
      <c r="C567" s="223"/>
      <c r="D567" s="223"/>
      <c r="E567" s="223"/>
      <c r="F567" s="223"/>
      <c r="G567" s="223"/>
      <c r="H567" s="223"/>
      <c r="I567" s="223"/>
      <c r="J567" s="223"/>
      <c r="K567" s="223"/>
      <c r="L567" s="223"/>
      <c r="M567" s="223"/>
      <c r="N567" s="223"/>
    </row>
    <row r="568" ht="15.75" hidden="1" customHeight="1">
      <c r="A568" s="89"/>
      <c r="B568" s="89"/>
      <c r="C568" s="223"/>
      <c r="D568" s="223"/>
      <c r="E568" s="223"/>
      <c r="F568" s="223"/>
      <c r="G568" s="223"/>
      <c r="H568" s="223"/>
      <c r="I568" s="223"/>
      <c r="J568" s="223"/>
      <c r="K568" s="223"/>
      <c r="L568" s="223"/>
      <c r="M568" s="223"/>
      <c r="N568" s="223"/>
    </row>
    <row r="569" ht="15.75" hidden="1" customHeight="1">
      <c r="A569" s="89"/>
      <c r="B569" s="89"/>
      <c r="C569" s="223"/>
      <c r="D569" s="223"/>
      <c r="E569" s="223"/>
      <c r="F569" s="223"/>
      <c r="G569" s="223"/>
      <c r="H569" s="223"/>
      <c r="I569" s="223"/>
      <c r="J569" s="223"/>
      <c r="K569" s="223"/>
      <c r="L569" s="223"/>
      <c r="M569" s="223"/>
      <c r="N569" s="223"/>
    </row>
    <row r="570" ht="15.75" hidden="1" customHeight="1">
      <c r="A570" s="89"/>
      <c r="B570" s="89"/>
      <c r="C570" s="223"/>
      <c r="D570" s="223"/>
      <c r="E570" s="223"/>
      <c r="F570" s="223"/>
      <c r="G570" s="223"/>
      <c r="H570" s="223"/>
      <c r="I570" s="223"/>
      <c r="J570" s="223"/>
      <c r="K570" s="223"/>
      <c r="L570" s="223"/>
      <c r="M570" s="223"/>
      <c r="N570" s="223"/>
    </row>
    <row r="571" ht="15.75" hidden="1" customHeight="1">
      <c r="A571" s="89"/>
      <c r="B571" s="89"/>
      <c r="C571" s="223"/>
      <c r="D571" s="223"/>
      <c r="E571" s="223"/>
      <c r="F571" s="223"/>
      <c r="G571" s="223"/>
      <c r="H571" s="223"/>
      <c r="I571" s="223"/>
      <c r="J571" s="223"/>
      <c r="K571" s="223"/>
      <c r="L571" s="223"/>
      <c r="M571" s="223"/>
      <c r="N571" s="223"/>
    </row>
    <row r="572" ht="15.75" hidden="1" customHeight="1">
      <c r="A572" s="89"/>
      <c r="B572" s="89"/>
      <c r="C572" s="223"/>
      <c r="D572" s="223"/>
      <c r="E572" s="223"/>
      <c r="F572" s="223"/>
      <c r="G572" s="223"/>
      <c r="H572" s="223"/>
      <c r="I572" s="223"/>
      <c r="J572" s="223"/>
      <c r="K572" s="223"/>
      <c r="L572" s="223"/>
      <c r="M572" s="223"/>
      <c r="N572" s="223"/>
    </row>
    <row r="573" ht="15.75" hidden="1" customHeight="1">
      <c r="A573" s="89"/>
      <c r="B573" s="89"/>
      <c r="C573" s="223"/>
      <c r="D573" s="223"/>
      <c r="E573" s="223"/>
      <c r="F573" s="223"/>
      <c r="G573" s="223"/>
      <c r="H573" s="223"/>
      <c r="I573" s="223"/>
      <c r="J573" s="223"/>
      <c r="K573" s="223"/>
      <c r="L573" s="223"/>
      <c r="M573" s="223"/>
      <c r="N573" s="223"/>
    </row>
    <row r="574" ht="15.75" hidden="1" customHeight="1">
      <c r="A574" s="89"/>
      <c r="B574" s="89"/>
      <c r="C574" s="223"/>
      <c r="D574" s="223"/>
      <c r="E574" s="223"/>
      <c r="F574" s="223"/>
      <c r="G574" s="223"/>
      <c r="H574" s="223"/>
      <c r="I574" s="223"/>
      <c r="J574" s="223"/>
      <c r="K574" s="223"/>
      <c r="L574" s="223"/>
      <c r="M574" s="223"/>
      <c r="N574" s="223"/>
    </row>
    <row r="575" ht="15.75" hidden="1" customHeight="1">
      <c r="A575" s="89"/>
      <c r="B575" s="89"/>
      <c r="C575" s="223"/>
      <c r="D575" s="223"/>
      <c r="E575" s="223"/>
      <c r="F575" s="223"/>
      <c r="G575" s="223"/>
      <c r="H575" s="223"/>
      <c r="I575" s="223"/>
      <c r="J575" s="223"/>
      <c r="K575" s="223"/>
      <c r="L575" s="223"/>
      <c r="M575" s="223"/>
      <c r="N575" s="223"/>
    </row>
    <row r="576" ht="15.75" hidden="1" customHeight="1">
      <c r="A576" s="89"/>
      <c r="B576" s="89"/>
      <c r="C576" s="223"/>
      <c r="D576" s="223"/>
      <c r="E576" s="223"/>
      <c r="F576" s="223"/>
      <c r="G576" s="223"/>
      <c r="H576" s="223"/>
      <c r="I576" s="223"/>
      <c r="J576" s="223"/>
      <c r="K576" s="223"/>
      <c r="L576" s="223"/>
      <c r="M576" s="223"/>
      <c r="N576" s="223"/>
    </row>
    <row r="577" ht="15.75" hidden="1" customHeight="1">
      <c r="A577" s="89"/>
      <c r="B577" s="89"/>
      <c r="C577" s="223"/>
      <c r="D577" s="223"/>
      <c r="E577" s="223"/>
      <c r="F577" s="223"/>
      <c r="G577" s="223"/>
      <c r="H577" s="223"/>
      <c r="I577" s="223"/>
      <c r="J577" s="223"/>
      <c r="K577" s="223"/>
      <c r="L577" s="223"/>
      <c r="M577" s="223"/>
      <c r="N577" s="223"/>
    </row>
    <row r="578" ht="15.75" hidden="1" customHeight="1">
      <c r="A578" s="89"/>
      <c r="B578" s="89"/>
      <c r="C578" s="223"/>
      <c r="D578" s="223"/>
      <c r="E578" s="223"/>
      <c r="F578" s="223"/>
      <c r="G578" s="223"/>
      <c r="H578" s="223"/>
      <c r="I578" s="223"/>
      <c r="J578" s="223"/>
      <c r="K578" s="223"/>
      <c r="L578" s="223"/>
      <c r="M578" s="223"/>
      <c r="N578" s="223"/>
    </row>
    <row r="579" ht="15.75" hidden="1" customHeight="1">
      <c r="A579" s="89"/>
      <c r="B579" s="89"/>
      <c r="C579" s="223"/>
      <c r="D579" s="223"/>
      <c r="E579" s="223"/>
      <c r="F579" s="223"/>
      <c r="G579" s="223"/>
      <c r="H579" s="223"/>
      <c r="I579" s="223"/>
      <c r="J579" s="223"/>
      <c r="K579" s="223"/>
      <c r="L579" s="223"/>
      <c r="M579" s="223"/>
      <c r="N579" s="223"/>
    </row>
    <row r="580" ht="15.75" hidden="1" customHeight="1">
      <c r="A580" s="89"/>
      <c r="B580" s="89"/>
      <c r="C580" s="223"/>
      <c r="D580" s="223"/>
      <c r="E580" s="223"/>
      <c r="F580" s="223"/>
      <c r="G580" s="223"/>
      <c r="H580" s="223"/>
      <c r="I580" s="223"/>
      <c r="J580" s="223"/>
      <c r="K580" s="223"/>
      <c r="L580" s="223"/>
      <c r="M580" s="223"/>
      <c r="N580" s="223"/>
    </row>
    <row r="581" ht="15.75" hidden="1" customHeight="1">
      <c r="A581" s="89"/>
      <c r="B581" s="89"/>
      <c r="C581" s="223"/>
      <c r="D581" s="223"/>
      <c r="E581" s="223"/>
      <c r="F581" s="223"/>
      <c r="G581" s="223"/>
      <c r="H581" s="223"/>
      <c r="I581" s="223"/>
      <c r="J581" s="223"/>
      <c r="K581" s="223"/>
      <c r="L581" s="223"/>
      <c r="M581" s="223"/>
      <c r="N581" s="223"/>
    </row>
    <row r="582" ht="15.75" hidden="1" customHeight="1">
      <c r="A582" s="89"/>
      <c r="B582" s="89"/>
      <c r="C582" s="223"/>
      <c r="D582" s="223"/>
      <c r="E582" s="223"/>
      <c r="F582" s="223"/>
      <c r="G582" s="223"/>
      <c r="H582" s="223"/>
      <c r="I582" s="223"/>
      <c r="J582" s="223"/>
      <c r="K582" s="223"/>
      <c r="L582" s="223"/>
      <c r="M582" s="223"/>
      <c r="N582" s="223"/>
    </row>
    <row r="583" ht="15.75" hidden="1" customHeight="1">
      <c r="A583" s="89"/>
      <c r="B583" s="89"/>
      <c r="C583" s="223"/>
      <c r="D583" s="223"/>
      <c r="E583" s="223"/>
      <c r="F583" s="223"/>
      <c r="G583" s="223"/>
      <c r="H583" s="223"/>
      <c r="I583" s="223"/>
      <c r="J583" s="223"/>
      <c r="K583" s="223"/>
      <c r="L583" s="223"/>
      <c r="M583" s="223"/>
      <c r="N583" s="223"/>
    </row>
    <row r="584" ht="15.75" hidden="1" customHeight="1">
      <c r="A584" s="89"/>
      <c r="B584" s="89"/>
      <c r="C584" s="223"/>
      <c r="D584" s="223"/>
      <c r="E584" s="223"/>
      <c r="F584" s="223"/>
      <c r="G584" s="223"/>
      <c r="H584" s="223"/>
      <c r="I584" s="223"/>
      <c r="J584" s="223"/>
      <c r="K584" s="223"/>
      <c r="L584" s="223"/>
      <c r="M584" s="223"/>
      <c r="N584" s="223"/>
    </row>
    <row r="585" ht="15.75" hidden="1" customHeight="1">
      <c r="A585" s="89"/>
      <c r="B585" s="89"/>
      <c r="C585" s="223"/>
      <c r="D585" s="223"/>
      <c r="E585" s="223"/>
      <c r="F585" s="223"/>
      <c r="G585" s="223"/>
      <c r="H585" s="223"/>
      <c r="I585" s="223"/>
      <c r="J585" s="223"/>
      <c r="K585" s="223"/>
      <c r="L585" s="223"/>
      <c r="M585" s="223"/>
      <c r="N585" s="223"/>
    </row>
    <row r="586" ht="15.75" hidden="1" customHeight="1">
      <c r="A586" s="89"/>
      <c r="B586" s="89"/>
      <c r="C586" s="223"/>
      <c r="D586" s="223"/>
      <c r="E586" s="223"/>
      <c r="F586" s="223"/>
      <c r="G586" s="223"/>
      <c r="H586" s="223"/>
      <c r="I586" s="223"/>
      <c r="J586" s="223"/>
      <c r="K586" s="223"/>
      <c r="L586" s="223"/>
      <c r="M586" s="223"/>
      <c r="N586" s="223"/>
    </row>
    <row r="587" ht="15.75" hidden="1" customHeight="1">
      <c r="A587" s="89"/>
      <c r="B587" s="89"/>
      <c r="C587" s="223"/>
      <c r="D587" s="223"/>
      <c r="E587" s="223"/>
      <c r="F587" s="223"/>
      <c r="G587" s="223"/>
      <c r="H587" s="223"/>
      <c r="I587" s="223"/>
      <c r="J587" s="223"/>
      <c r="K587" s="223"/>
      <c r="L587" s="223"/>
      <c r="M587" s="223"/>
      <c r="N587" s="223"/>
    </row>
    <row r="588" ht="15.75" hidden="1" customHeight="1">
      <c r="A588" s="89"/>
      <c r="B588" s="89"/>
      <c r="C588" s="223"/>
      <c r="D588" s="223"/>
      <c r="E588" s="223"/>
      <c r="F588" s="223"/>
      <c r="G588" s="223"/>
      <c r="H588" s="223"/>
      <c r="I588" s="223"/>
      <c r="J588" s="223"/>
      <c r="K588" s="223"/>
      <c r="L588" s="223"/>
      <c r="M588" s="223"/>
      <c r="N588" s="223"/>
    </row>
    <row r="589" ht="15.75" hidden="1" customHeight="1">
      <c r="A589" s="89"/>
      <c r="B589" s="89"/>
      <c r="C589" s="223"/>
      <c r="D589" s="223"/>
      <c r="E589" s="223"/>
      <c r="F589" s="223"/>
      <c r="G589" s="223"/>
      <c r="H589" s="223"/>
      <c r="I589" s="223"/>
      <c r="J589" s="223"/>
      <c r="K589" s="223"/>
      <c r="L589" s="223"/>
      <c r="M589" s="223"/>
      <c r="N589" s="223"/>
    </row>
    <row r="590" ht="15.75" hidden="1" customHeight="1">
      <c r="A590" s="89"/>
      <c r="B590" s="89"/>
      <c r="C590" s="223"/>
      <c r="D590" s="223"/>
      <c r="E590" s="223"/>
      <c r="F590" s="223"/>
      <c r="G590" s="223"/>
      <c r="H590" s="223"/>
      <c r="I590" s="223"/>
      <c r="J590" s="223"/>
      <c r="K590" s="223"/>
      <c r="L590" s="223"/>
      <c r="M590" s="223"/>
      <c r="N590" s="223"/>
    </row>
    <row r="591" ht="15.75" hidden="1" customHeight="1">
      <c r="A591" s="89"/>
      <c r="B591" s="89"/>
      <c r="C591" s="223"/>
      <c r="D591" s="223"/>
      <c r="E591" s="223"/>
      <c r="F591" s="223"/>
      <c r="G591" s="223"/>
      <c r="H591" s="223"/>
      <c r="I591" s="223"/>
      <c r="J591" s="223"/>
      <c r="K591" s="223"/>
      <c r="L591" s="223"/>
      <c r="M591" s="223"/>
      <c r="N591" s="223"/>
    </row>
    <row r="592" ht="15.75" hidden="1" customHeight="1">
      <c r="A592" s="89"/>
      <c r="B592" s="89"/>
      <c r="C592" s="223"/>
      <c r="D592" s="223"/>
      <c r="E592" s="223"/>
      <c r="F592" s="223"/>
      <c r="G592" s="223"/>
      <c r="H592" s="223"/>
      <c r="I592" s="223"/>
      <c r="J592" s="223"/>
      <c r="K592" s="223"/>
      <c r="L592" s="223"/>
      <c r="M592" s="223"/>
      <c r="N592" s="223"/>
    </row>
    <row r="593" ht="15.75" hidden="1" customHeight="1">
      <c r="A593" s="89"/>
      <c r="B593" s="89"/>
      <c r="C593" s="223"/>
      <c r="D593" s="223"/>
      <c r="E593" s="223"/>
      <c r="F593" s="223"/>
      <c r="G593" s="223"/>
      <c r="H593" s="223"/>
      <c r="I593" s="223"/>
      <c r="J593" s="223"/>
      <c r="K593" s="223"/>
      <c r="L593" s="223"/>
      <c r="M593" s="223"/>
      <c r="N593" s="223"/>
    </row>
    <row r="594" ht="15.75" hidden="1" customHeight="1">
      <c r="A594" s="89"/>
      <c r="B594" s="89"/>
      <c r="C594" s="223"/>
      <c r="D594" s="223"/>
      <c r="E594" s="223"/>
      <c r="F594" s="223"/>
      <c r="G594" s="223"/>
      <c r="H594" s="223"/>
      <c r="I594" s="223"/>
      <c r="J594" s="223"/>
      <c r="K594" s="223"/>
      <c r="L594" s="223"/>
      <c r="M594" s="223"/>
      <c r="N594" s="223"/>
    </row>
    <row r="595" ht="15.75" hidden="1" customHeight="1">
      <c r="A595" s="89"/>
      <c r="B595" s="89"/>
      <c r="C595" s="223"/>
      <c r="D595" s="223"/>
      <c r="E595" s="223"/>
      <c r="F595" s="223"/>
      <c r="G595" s="223"/>
      <c r="H595" s="223"/>
      <c r="I595" s="223"/>
      <c r="J595" s="223"/>
      <c r="K595" s="223"/>
      <c r="L595" s="223"/>
      <c r="M595" s="223"/>
      <c r="N595" s="223"/>
    </row>
    <row r="596" ht="15.75" hidden="1" customHeight="1">
      <c r="A596" s="89"/>
      <c r="B596" s="89"/>
      <c r="C596" s="223"/>
      <c r="D596" s="223"/>
      <c r="E596" s="223"/>
      <c r="F596" s="223"/>
      <c r="G596" s="223"/>
      <c r="H596" s="223"/>
      <c r="I596" s="223"/>
      <c r="J596" s="223"/>
      <c r="K596" s="223"/>
      <c r="L596" s="223"/>
      <c r="M596" s="223"/>
      <c r="N596" s="223"/>
    </row>
    <row r="597" ht="15.75" hidden="1" customHeight="1">
      <c r="A597" s="89"/>
      <c r="B597" s="89"/>
      <c r="C597" s="223"/>
      <c r="D597" s="223"/>
      <c r="E597" s="223"/>
      <c r="F597" s="223"/>
      <c r="G597" s="223"/>
      <c r="H597" s="223"/>
      <c r="I597" s="223"/>
      <c r="J597" s="223"/>
      <c r="K597" s="223"/>
      <c r="L597" s="223"/>
      <c r="M597" s="223"/>
      <c r="N597" s="223"/>
    </row>
    <row r="598" ht="15.75" hidden="1" customHeight="1">
      <c r="A598" s="89"/>
      <c r="B598" s="89"/>
      <c r="C598" s="223"/>
      <c r="D598" s="223"/>
      <c r="E598" s="223"/>
      <c r="F598" s="223"/>
      <c r="G598" s="223"/>
      <c r="H598" s="223"/>
      <c r="I598" s="223"/>
      <c r="J598" s="223"/>
      <c r="K598" s="223"/>
      <c r="L598" s="223"/>
      <c r="M598" s="223"/>
      <c r="N598" s="223"/>
    </row>
    <row r="599" ht="15.75" hidden="1" customHeight="1">
      <c r="A599" s="89"/>
      <c r="B599" s="89"/>
      <c r="C599" s="223"/>
      <c r="D599" s="223"/>
      <c r="E599" s="223"/>
      <c r="F599" s="223"/>
      <c r="G599" s="223"/>
      <c r="H599" s="223"/>
      <c r="I599" s="223"/>
      <c r="J599" s="223"/>
      <c r="K599" s="223"/>
      <c r="L599" s="223"/>
      <c r="M599" s="223"/>
      <c r="N599" s="223"/>
    </row>
    <row r="600" ht="15.75" hidden="1" customHeight="1">
      <c r="A600" s="89"/>
      <c r="B600" s="89"/>
      <c r="C600" s="223"/>
      <c r="D600" s="223"/>
      <c r="E600" s="223"/>
      <c r="F600" s="223"/>
      <c r="G600" s="223"/>
      <c r="H600" s="223"/>
      <c r="I600" s="223"/>
      <c r="J600" s="223"/>
      <c r="K600" s="223"/>
      <c r="L600" s="223"/>
      <c r="M600" s="223"/>
      <c r="N600" s="223"/>
    </row>
    <row r="601" ht="15.75" hidden="1" customHeight="1">
      <c r="A601" s="89"/>
      <c r="B601" s="89"/>
      <c r="C601" s="223"/>
      <c r="D601" s="223"/>
      <c r="E601" s="223"/>
      <c r="F601" s="223"/>
      <c r="G601" s="223"/>
      <c r="H601" s="223"/>
      <c r="I601" s="223"/>
      <c r="J601" s="223"/>
      <c r="K601" s="223"/>
      <c r="L601" s="223"/>
      <c r="M601" s="223"/>
      <c r="N601" s="223"/>
    </row>
    <row r="602" ht="15.75" hidden="1" customHeight="1">
      <c r="A602" s="89"/>
      <c r="B602" s="89"/>
      <c r="C602" s="223"/>
      <c r="D602" s="223"/>
      <c r="E602" s="223"/>
      <c r="F602" s="223"/>
      <c r="G602" s="223"/>
      <c r="H602" s="223"/>
      <c r="I602" s="223"/>
      <c r="J602" s="223"/>
      <c r="K602" s="223"/>
      <c r="L602" s="223"/>
      <c r="M602" s="223"/>
      <c r="N602" s="223"/>
    </row>
    <row r="603" ht="15.75" hidden="1" customHeight="1">
      <c r="A603" s="89"/>
      <c r="B603" s="89"/>
      <c r="C603" s="223"/>
      <c r="D603" s="223"/>
      <c r="E603" s="223"/>
      <c r="F603" s="223"/>
      <c r="G603" s="223"/>
      <c r="H603" s="223"/>
      <c r="I603" s="223"/>
      <c r="J603" s="223"/>
      <c r="K603" s="223"/>
      <c r="L603" s="223"/>
      <c r="M603" s="223"/>
      <c r="N603" s="223"/>
    </row>
    <row r="604" ht="15.75" hidden="1" customHeight="1">
      <c r="A604" s="89"/>
      <c r="B604" s="89"/>
      <c r="C604" s="223"/>
      <c r="D604" s="223"/>
      <c r="E604" s="223"/>
      <c r="F604" s="223"/>
      <c r="G604" s="223"/>
      <c r="H604" s="223"/>
      <c r="I604" s="223"/>
      <c r="J604" s="223"/>
      <c r="K604" s="223"/>
      <c r="L604" s="223"/>
      <c r="M604" s="223"/>
      <c r="N604" s="223"/>
    </row>
    <row r="605" ht="15.75" hidden="1" customHeight="1">
      <c r="A605" s="89"/>
      <c r="B605" s="89"/>
      <c r="C605" s="223"/>
      <c r="D605" s="223"/>
      <c r="E605" s="223"/>
      <c r="F605" s="223"/>
      <c r="G605" s="223"/>
      <c r="H605" s="223"/>
      <c r="I605" s="223"/>
      <c r="J605" s="223"/>
      <c r="K605" s="223"/>
      <c r="L605" s="223"/>
      <c r="M605" s="223"/>
      <c r="N605" s="223"/>
    </row>
    <row r="606" ht="15.75" hidden="1" customHeight="1">
      <c r="A606" s="89"/>
      <c r="B606" s="89"/>
      <c r="C606" s="223"/>
      <c r="D606" s="223"/>
      <c r="E606" s="223"/>
      <c r="F606" s="223"/>
      <c r="G606" s="223"/>
      <c r="H606" s="223"/>
      <c r="I606" s="223"/>
      <c r="J606" s="223"/>
      <c r="K606" s="223"/>
      <c r="L606" s="223"/>
      <c r="M606" s="223"/>
      <c r="N606" s="223"/>
    </row>
    <row r="607" ht="15.75" hidden="1" customHeight="1">
      <c r="A607" s="89"/>
      <c r="B607" s="89"/>
      <c r="C607" s="223"/>
      <c r="D607" s="223"/>
      <c r="E607" s="223"/>
      <c r="F607" s="223"/>
      <c r="G607" s="223"/>
      <c r="H607" s="223"/>
      <c r="I607" s="223"/>
      <c r="J607" s="223"/>
      <c r="K607" s="223"/>
      <c r="L607" s="223"/>
      <c r="M607" s="223"/>
      <c r="N607" s="223"/>
    </row>
    <row r="608" ht="15.75" hidden="1" customHeight="1">
      <c r="A608" s="89"/>
      <c r="B608" s="89"/>
      <c r="C608" s="223"/>
      <c r="D608" s="223"/>
      <c r="E608" s="223"/>
      <c r="F608" s="223"/>
      <c r="G608" s="223"/>
      <c r="H608" s="223"/>
      <c r="I608" s="223"/>
      <c r="J608" s="223"/>
      <c r="K608" s="223"/>
      <c r="L608" s="223"/>
      <c r="M608" s="223"/>
      <c r="N608" s="223"/>
    </row>
    <row r="609" ht="15.75" hidden="1" customHeight="1">
      <c r="A609" s="89"/>
      <c r="B609" s="89"/>
      <c r="C609" s="223"/>
      <c r="D609" s="223"/>
      <c r="E609" s="223"/>
      <c r="F609" s="223"/>
      <c r="G609" s="223"/>
      <c r="H609" s="223"/>
      <c r="I609" s="223"/>
      <c r="J609" s="223"/>
      <c r="K609" s="223"/>
      <c r="L609" s="223"/>
      <c r="M609" s="223"/>
      <c r="N609" s="223"/>
    </row>
    <row r="610" ht="15.75" hidden="1" customHeight="1">
      <c r="A610" s="89"/>
      <c r="B610" s="89"/>
      <c r="C610" s="223"/>
      <c r="D610" s="223"/>
      <c r="E610" s="223"/>
      <c r="F610" s="223"/>
      <c r="G610" s="223"/>
      <c r="H610" s="223"/>
      <c r="I610" s="223"/>
      <c r="J610" s="223"/>
      <c r="K610" s="223"/>
      <c r="L610" s="223"/>
      <c r="M610" s="223"/>
      <c r="N610" s="223"/>
    </row>
    <row r="611" ht="15.75" hidden="1" customHeight="1">
      <c r="A611" s="89"/>
      <c r="B611" s="89"/>
      <c r="C611" s="223"/>
      <c r="D611" s="223"/>
      <c r="E611" s="223"/>
      <c r="F611" s="223"/>
      <c r="G611" s="223"/>
      <c r="H611" s="223"/>
      <c r="I611" s="223"/>
      <c r="J611" s="223"/>
      <c r="K611" s="223"/>
      <c r="L611" s="223"/>
      <c r="M611" s="223"/>
      <c r="N611" s="223"/>
    </row>
    <row r="612" ht="15.75" hidden="1" customHeight="1">
      <c r="A612" s="89"/>
      <c r="B612" s="89"/>
      <c r="C612" s="223"/>
      <c r="D612" s="223"/>
      <c r="E612" s="223"/>
      <c r="F612" s="223"/>
      <c r="G612" s="223"/>
      <c r="H612" s="223"/>
      <c r="I612" s="223"/>
      <c r="J612" s="223"/>
      <c r="K612" s="223"/>
      <c r="L612" s="223"/>
      <c r="M612" s="223"/>
      <c r="N612" s="223"/>
    </row>
    <row r="613" ht="15.75" hidden="1" customHeight="1">
      <c r="A613" s="89"/>
      <c r="B613" s="89"/>
      <c r="C613" s="223"/>
      <c r="D613" s="223"/>
      <c r="E613" s="223"/>
      <c r="F613" s="223"/>
      <c r="G613" s="223"/>
      <c r="H613" s="223"/>
      <c r="I613" s="223"/>
      <c r="J613" s="223"/>
      <c r="K613" s="223"/>
      <c r="L613" s="223"/>
      <c r="M613" s="223"/>
      <c r="N613" s="223"/>
    </row>
    <row r="614" ht="15.75" hidden="1" customHeight="1">
      <c r="A614" s="89"/>
      <c r="B614" s="89"/>
      <c r="C614" s="223"/>
      <c r="D614" s="223"/>
      <c r="E614" s="223"/>
      <c r="F614" s="223"/>
      <c r="G614" s="223"/>
      <c r="H614" s="223"/>
      <c r="I614" s="223"/>
      <c r="J614" s="223"/>
      <c r="K614" s="223"/>
      <c r="L614" s="223"/>
      <c r="M614" s="223"/>
      <c r="N614" s="223"/>
    </row>
    <row r="615" ht="15.75" hidden="1" customHeight="1">
      <c r="A615" s="89"/>
      <c r="B615" s="89"/>
      <c r="C615" s="223"/>
      <c r="D615" s="223"/>
      <c r="E615" s="223"/>
      <c r="F615" s="223"/>
      <c r="G615" s="223"/>
      <c r="H615" s="223"/>
      <c r="I615" s="223"/>
      <c r="J615" s="223"/>
      <c r="K615" s="223"/>
      <c r="L615" s="223"/>
      <c r="M615" s="223"/>
      <c r="N615" s="223"/>
    </row>
    <row r="616" ht="15.75" hidden="1" customHeight="1">
      <c r="A616" s="89"/>
      <c r="B616" s="89"/>
      <c r="C616" s="223"/>
      <c r="D616" s="223"/>
      <c r="E616" s="223"/>
      <c r="F616" s="223"/>
      <c r="G616" s="223"/>
      <c r="H616" s="223"/>
      <c r="I616" s="223"/>
      <c r="J616" s="223"/>
      <c r="K616" s="223"/>
      <c r="L616" s="223"/>
      <c r="M616" s="223"/>
      <c r="N616" s="223"/>
    </row>
    <row r="617" ht="15.75" hidden="1" customHeight="1">
      <c r="A617" s="89"/>
      <c r="B617" s="89"/>
      <c r="C617" s="223"/>
      <c r="D617" s="223"/>
      <c r="E617" s="223"/>
      <c r="F617" s="223"/>
      <c r="G617" s="223"/>
      <c r="H617" s="223"/>
      <c r="I617" s="223"/>
      <c r="J617" s="223"/>
      <c r="K617" s="223"/>
      <c r="L617" s="223"/>
      <c r="M617" s="223"/>
      <c r="N617" s="223"/>
    </row>
    <row r="618" ht="15.75" hidden="1" customHeight="1">
      <c r="A618" s="89"/>
      <c r="B618" s="89"/>
      <c r="C618" s="223"/>
      <c r="D618" s="223"/>
      <c r="E618" s="223"/>
      <c r="F618" s="223"/>
      <c r="G618" s="223"/>
      <c r="H618" s="223"/>
      <c r="I618" s="223"/>
      <c r="J618" s="223"/>
      <c r="K618" s="223"/>
      <c r="L618" s="223"/>
      <c r="M618" s="223"/>
      <c r="N618" s="223"/>
    </row>
    <row r="619" ht="15.75" hidden="1" customHeight="1">
      <c r="A619" s="89"/>
      <c r="B619" s="89"/>
      <c r="C619" s="223"/>
      <c r="D619" s="223"/>
      <c r="E619" s="223"/>
      <c r="F619" s="223"/>
      <c r="G619" s="223"/>
      <c r="H619" s="223"/>
      <c r="I619" s="223"/>
      <c r="J619" s="223"/>
      <c r="K619" s="223"/>
      <c r="L619" s="223"/>
      <c r="M619" s="223"/>
      <c r="N619" s="223"/>
    </row>
    <row r="620" ht="15.75" hidden="1" customHeight="1">
      <c r="A620" s="89"/>
      <c r="B620" s="89"/>
      <c r="C620" s="223"/>
      <c r="D620" s="223"/>
      <c r="E620" s="223"/>
      <c r="F620" s="223"/>
      <c r="G620" s="223"/>
      <c r="H620" s="223"/>
      <c r="I620" s="223"/>
      <c r="J620" s="223"/>
      <c r="K620" s="223"/>
      <c r="L620" s="223"/>
      <c r="M620" s="223"/>
      <c r="N620" s="223"/>
    </row>
    <row r="621" ht="15.75" hidden="1" customHeight="1">
      <c r="A621" s="89"/>
      <c r="B621" s="89"/>
      <c r="C621" s="223"/>
      <c r="D621" s="223"/>
      <c r="E621" s="223"/>
      <c r="F621" s="223"/>
      <c r="G621" s="223"/>
      <c r="H621" s="223"/>
      <c r="I621" s="223"/>
      <c r="J621" s="223"/>
      <c r="K621" s="223"/>
      <c r="L621" s="223"/>
      <c r="M621" s="223"/>
      <c r="N621" s="223"/>
    </row>
    <row r="622" ht="15.75" hidden="1" customHeight="1">
      <c r="A622" s="89"/>
      <c r="B622" s="89"/>
      <c r="C622" s="223"/>
      <c r="D622" s="223"/>
      <c r="E622" s="223"/>
      <c r="F622" s="223"/>
      <c r="G622" s="223"/>
      <c r="H622" s="223"/>
      <c r="I622" s="223"/>
      <c r="J622" s="223"/>
      <c r="K622" s="223"/>
      <c r="L622" s="223"/>
      <c r="M622" s="223"/>
      <c r="N622" s="223"/>
    </row>
    <row r="623" ht="15.75" hidden="1" customHeight="1">
      <c r="A623" s="89"/>
      <c r="B623" s="89"/>
      <c r="C623" s="223"/>
      <c r="D623" s="223"/>
      <c r="E623" s="223"/>
      <c r="F623" s="223"/>
      <c r="G623" s="223"/>
      <c r="H623" s="223"/>
      <c r="I623" s="223"/>
      <c r="J623" s="223"/>
      <c r="K623" s="223"/>
      <c r="L623" s="223"/>
      <c r="M623" s="223"/>
      <c r="N623" s="223"/>
    </row>
    <row r="624" ht="15.75" hidden="1" customHeight="1">
      <c r="A624" s="89"/>
      <c r="B624" s="89"/>
      <c r="C624" s="223"/>
      <c r="D624" s="223"/>
      <c r="E624" s="223"/>
      <c r="F624" s="223"/>
      <c r="G624" s="223"/>
      <c r="H624" s="223"/>
      <c r="I624" s="223"/>
      <c r="J624" s="223"/>
      <c r="K624" s="223"/>
      <c r="L624" s="223"/>
      <c r="M624" s="223"/>
      <c r="N624" s="223"/>
    </row>
    <row r="625" ht="15.75" hidden="1" customHeight="1">
      <c r="A625" s="89"/>
      <c r="B625" s="89"/>
      <c r="C625" s="223"/>
      <c r="D625" s="223"/>
      <c r="E625" s="223"/>
      <c r="F625" s="223"/>
      <c r="G625" s="223"/>
      <c r="H625" s="223"/>
      <c r="I625" s="223"/>
      <c r="J625" s="223"/>
      <c r="K625" s="223"/>
      <c r="L625" s="223"/>
      <c r="M625" s="223"/>
      <c r="N625" s="223"/>
    </row>
    <row r="626" ht="15.75" hidden="1" customHeight="1">
      <c r="A626" s="89"/>
      <c r="B626" s="89"/>
      <c r="C626" s="223"/>
      <c r="D626" s="223"/>
      <c r="E626" s="223"/>
      <c r="F626" s="223"/>
      <c r="G626" s="223"/>
      <c r="H626" s="223"/>
      <c r="I626" s="223"/>
      <c r="J626" s="223"/>
      <c r="K626" s="223"/>
      <c r="L626" s="223"/>
      <c r="M626" s="223"/>
      <c r="N626" s="223"/>
    </row>
    <row r="627" ht="15.75" hidden="1" customHeight="1">
      <c r="A627" s="89"/>
      <c r="B627" s="89"/>
      <c r="C627" s="223"/>
      <c r="D627" s="223"/>
      <c r="E627" s="223"/>
      <c r="F627" s="223"/>
      <c r="G627" s="223"/>
      <c r="H627" s="223"/>
      <c r="I627" s="223"/>
      <c r="J627" s="223"/>
      <c r="K627" s="223"/>
      <c r="L627" s="223"/>
      <c r="M627" s="223"/>
      <c r="N627" s="223"/>
    </row>
    <row r="628" ht="15.75" hidden="1" customHeight="1">
      <c r="A628" s="89"/>
      <c r="B628" s="89"/>
      <c r="C628" s="223"/>
      <c r="D628" s="223"/>
      <c r="E628" s="223"/>
      <c r="F628" s="223"/>
      <c r="G628" s="223"/>
      <c r="H628" s="223"/>
      <c r="I628" s="223"/>
      <c r="J628" s="223"/>
      <c r="K628" s="223"/>
      <c r="L628" s="223"/>
      <c r="M628" s="223"/>
      <c r="N628" s="223"/>
    </row>
    <row r="629" ht="15.75" hidden="1" customHeight="1">
      <c r="A629" s="89"/>
      <c r="B629" s="89"/>
      <c r="C629" s="223"/>
      <c r="D629" s="223"/>
      <c r="E629" s="223"/>
      <c r="F629" s="223"/>
      <c r="G629" s="223"/>
      <c r="H629" s="223"/>
      <c r="I629" s="223"/>
      <c r="J629" s="223"/>
      <c r="K629" s="223"/>
      <c r="L629" s="223"/>
      <c r="M629" s="223"/>
      <c r="N629" s="223"/>
    </row>
    <row r="630" ht="15.75" hidden="1" customHeight="1">
      <c r="A630" s="89"/>
      <c r="B630" s="89"/>
      <c r="C630" s="223"/>
      <c r="D630" s="223"/>
      <c r="E630" s="223"/>
      <c r="F630" s="223"/>
      <c r="G630" s="223"/>
      <c r="H630" s="223"/>
      <c r="I630" s="223"/>
      <c r="J630" s="223"/>
      <c r="K630" s="223"/>
      <c r="L630" s="223"/>
      <c r="M630" s="223"/>
      <c r="N630" s="223"/>
    </row>
    <row r="631" ht="15.75" hidden="1" customHeight="1">
      <c r="A631" s="89"/>
      <c r="B631" s="89"/>
      <c r="C631" s="223"/>
      <c r="D631" s="223"/>
      <c r="E631" s="223"/>
      <c r="F631" s="223"/>
      <c r="G631" s="223"/>
      <c r="H631" s="223"/>
      <c r="I631" s="223"/>
      <c r="J631" s="223"/>
      <c r="K631" s="223"/>
      <c r="L631" s="223"/>
      <c r="M631" s="223"/>
      <c r="N631" s="223"/>
    </row>
    <row r="632" ht="15.75" hidden="1" customHeight="1">
      <c r="A632" s="89"/>
      <c r="B632" s="89"/>
      <c r="C632" s="223"/>
      <c r="D632" s="223"/>
      <c r="E632" s="223"/>
      <c r="F632" s="223"/>
      <c r="G632" s="223"/>
      <c r="H632" s="223"/>
      <c r="I632" s="223"/>
      <c r="J632" s="223"/>
      <c r="K632" s="223"/>
      <c r="L632" s="223"/>
      <c r="M632" s="223"/>
      <c r="N632" s="223"/>
    </row>
    <row r="633" ht="15.75" hidden="1" customHeight="1">
      <c r="A633" s="89"/>
      <c r="B633" s="89"/>
      <c r="C633" s="223"/>
      <c r="D633" s="223"/>
      <c r="E633" s="223"/>
      <c r="F633" s="223"/>
      <c r="G633" s="223"/>
      <c r="H633" s="223"/>
      <c r="I633" s="223"/>
      <c r="J633" s="223"/>
      <c r="K633" s="223"/>
      <c r="L633" s="223"/>
      <c r="M633" s="223"/>
      <c r="N633" s="223"/>
    </row>
    <row r="634" ht="15.75" hidden="1" customHeight="1">
      <c r="A634" s="89"/>
      <c r="B634" s="89"/>
      <c r="C634" s="223"/>
      <c r="D634" s="223"/>
      <c r="E634" s="223"/>
      <c r="F634" s="223"/>
      <c r="G634" s="223"/>
      <c r="H634" s="223"/>
      <c r="I634" s="223"/>
      <c r="J634" s="223"/>
      <c r="K634" s="223"/>
      <c r="L634" s="223"/>
      <c r="M634" s="223"/>
      <c r="N634" s="223"/>
    </row>
    <row r="635" ht="15.75" hidden="1" customHeight="1">
      <c r="A635" s="89"/>
      <c r="B635" s="89"/>
      <c r="C635" s="223"/>
      <c r="D635" s="223"/>
      <c r="E635" s="223"/>
      <c r="F635" s="223"/>
      <c r="G635" s="223"/>
      <c r="H635" s="223"/>
      <c r="I635" s="223"/>
      <c r="J635" s="223"/>
      <c r="K635" s="223"/>
      <c r="L635" s="223"/>
      <c r="M635" s="223"/>
      <c r="N635" s="223"/>
    </row>
    <row r="636" ht="15.75" hidden="1" customHeight="1">
      <c r="A636" s="89"/>
      <c r="B636" s="89"/>
      <c r="C636" s="223"/>
      <c r="D636" s="223"/>
      <c r="E636" s="223"/>
      <c r="F636" s="223"/>
      <c r="G636" s="223"/>
      <c r="H636" s="223"/>
      <c r="I636" s="223"/>
      <c r="J636" s="223"/>
      <c r="K636" s="223"/>
      <c r="L636" s="223"/>
      <c r="M636" s="223"/>
      <c r="N636" s="223"/>
    </row>
    <row r="637" ht="15.75" hidden="1" customHeight="1">
      <c r="A637" s="89"/>
      <c r="B637" s="89"/>
      <c r="C637" s="223"/>
      <c r="D637" s="223"/>
      <c r="E637" s="223"/>
      <c r="F637" s="223"/>
      <c r="G637" s="223"/>
      <c r="H637" s="223"/>
      <c r="I637" s="223"/>
      <c r="J637" s="223"/>
      <c r="K637" s="223"/>
      <c r="L637" s="223"/>
      <c r="M637" s="223"/>
      <c r="N637" s="223"/>
    </row>
    <row r="638" ht="15.75" hidden="1" customHeight="1">
      <c r="A638" s="89"/>
      <c r="B638" s="89"/>
      <c r="C638" s="223"/>
      <c r="D638" s="223"/>
      <c r="E638" s="223"/>
      <c r="F638" s="223"/>
      <c r="G638" s="223"/>
      <c r="H638" s="223"/>
      <c r="I638" s="223"/>
      <c r="J638" s="223"/>
      <c r="K638" s="223"/>
      <c r="L638" s="223"/>
      <c r="M638" s="223"/>
      <c r="N638" s="223"/>
    </row>
    <row r="639" ht="15.75" hidden="1" customHeight="1">
      <c r="A639" s="89"/>
      <c r="B639" s="89"/>
      <c r="C639" s="223"/>
      <c r="D639" s="223"/>
      <c r="E639" s="223"/>
      <c r="F639" s="223"/>
      <c r="G639" s="223"/>
      <c r="H639" s="223"/>
      <c r="I639" s="223"/>
      <c r="J639" s="223"/>
      <c r="K639" s="223"/>
      <c r="L639" s="223"/>
      <c r="M639" s="223"/>
      <c r="N639" s="223"/>
    </row>
    <row r="640" ht="15.75" hidden="1" customHeight="1">
      <c r="A640" s="89"/>
      <c r="B640" s="89"/>
      <c r="C640" s="223"/>
      <c r="D640" s="223"/>
      <c r="E640" s="223"/>
      <c r="F640" s="223"/>
      <c r="G640" s="223"/>
      <c r="H640" s="223"/>
      <c r="I640" s="223"/>
      <c r="J640" s="223"/>
      <c r="K640" s="223"/>
      <c r="L640" s="223"/>
      <c r="M640" s="223"/>
      <c r="N640" s="223"/>
    </row>
    <row r="641" ht="15.75" hidden="1" customHeight="1">
      <c r="A641" s="89"/>
      <c r="B641" s="89"/>
      <c r="C641" s="223"/>
      <c r="D641" s="223"/>
      <c r="E641" s="223"/>
      <c r="F641" s="223"/>
      <c r="G641" s="223"/>
      <c r="H641" s="223"/>
      <c r="I641" s="223"/>
      <c r="J641" s="223"/>
      <c r="K641" s="223"/>
      <c r="L641" s="223"/>
      <c r="M641" s="223"/>
      <c r="N641" s="223"/>
    </row>
    <row r="642" ht="15.75" hidden="1" customHeight="1">
      <c r="A642" s="89"/>
      <c r="B642" s="89"/>
      <c r="C642" s="223"/>
      <c r="D642" s="223"/>
      <c r="E642" s="223"/>
      <c r="F642" s="223"/>
      <c r="G642" s="223"/>
      <c r="H642" s="223"/>
      <c r="I642" s="223"/>
      <c r="J642" s="223"/>
      <c r="K642" s="223"/>
      <c r="L642" s="223"/>
      <c r="M642" s="223"/>
      <c r="N642" s="223"/>
    </row>
    <row r="643" ht="15.75" hidden="1" customHeight="1">
      <c r="A643" s="89"/>
      <c r="B643" s="89"/>
      <c r="C643" s="223"/>
      <c r="D643" s="223"/>
      <c r="E643" s="223"/>
      <c r="F643" s="223"/>
      <c r="G643" s="223"/>
      <c r="H643" s="223"/>
      <c r="I643" s="223"/>
      <c r="J643" s="223"/>
      <c r="K643" s="223"/>
      <c r="L643" s="223"/>
      <c r="M643" s="223"/>
      <c r="N643" s="223"/>
    </row>
    <row r="644" ht="15.75" hidden="1" customHeight="1">
      <c r="A644" s="89"/>
      <c r="B644" s="89"/>
      <c r="C644" s="223"/>
      <c r="D644" s="223"/>
      <c r="E644" s="223"/>
      <c r="F644" s="223"/>
      <c r="G644" s="223"/>
      <c r="H644" s="223"/>
      <c r="I644" s="223"/>
      <c r="J644" s="223"/>
      <c r="K644" s="223"/>
      <c r="L644" s="223"/>
      <c r="M644" s="223"/>
      <c r="N644" s="223"/>
    </row>
    <row r="645" ht="15.75" hidden="1" customHeight="1">
      <c r="A645" s="89"/>
      <c r="B645" s="89"/>
      <c r="C645" s="223"/>
      <c r="D645" s="223"/>
      <c r="E645" s="223"/>
      <c r="F645" s="223"/>
      <c r="G645" s="223"/>
      <c r="H645" s="223"/>
      <c r="I645" s="223"/>
      <c r="J645" s="223"/>
      <c r="K645" s="223"/>
      <c r="L645" s="223"/>
      <c r="M645" s="223"/>
      <c r="N645" s="223"/>
    </row>
    <row r="646" ht="15.75" hidden="1" customHeight="1">
      <c r="A646" s="89"/>
      <c r="B646" s="89"/>
      <c r="C646" s="223"/>
      <c r="D646" s="223"/>
      <c r="E646" s="223"/>
      <c r="F646" s="223"/>
      <c r="G646" s="223"/>
      <c r="H646" s="223"/>
      <c r="I646" s="223"/>
      <c r="J646" s="223"/>
      <c r="K646" s="223"/>
      <c r="L646" s="223"/>
      <c r="M646" s="223"/>
      <c r="N646" s="223"/>
    </row>
    <row r="647" ht="15.75" hidden="1" customHeight="1">
      <c r="A647" s="89"/>
      <c r="B647" s="89"/>
      <c r="C647" s="223"/>
      <c r="D647" s="223"/>
      <c r="E647" s="223"/>
      <c r="F647" s="223"/>
      <c r="G647" s="223"/>
      <c r="H647" s="223"/>
      <c r="I647" s="223"/>
      <c r="J647" s="223"/>
      <c r="K647" s="223"/>
      <c r="L647" s="223"/>
      <c r="M647" s="223"/>
      <c r="N647" s="223"/>
    </row>
    <row r="648" ht="15.75" hidden="1" customHeight="1">
      <c r="A648" s="89"/>
      <c r="B648" s="89"/>
      <c r="C648" s="223"/>
      <c r="D648" s="223"/>
      <c r="E648" s="223"/>
      <c r="F648" s="223"/>
      <c r="G648" s="223"/>
      <c r="H648" s="223"/>
      <c r="I648" s="223"/>
      <c r="J648" s="223"/>
      <c r="K648" s="223"/>
      <c r="L648" s="223"/>
      <c r="M648" s="223"/>
      <c r="N648" s="223"/>
    </row>
    <row r="649" ht="15.75" hidden="1" customHeight="1">
      <c r="A649" s="89"/>
      <c r="B649" s="89"/>
      <c r="C649" s="223"/>
      <c r="D649" s="223"/>
      <c r="E649" s="223"/>
      <c r="F649" s="223"/>
      <c r="G649" s="223"/>
      <c r="H649" s="223"/>
      <c r="I649" s="223"/>
      <c r="J649" s="223"/>
      <c r="K649" s="223"/>
      <c r="L649" s="223"/>
      <c r="M649" s="223"/>
      <c r="N649" s="223"/>
    </row>
    <row r="650" ht="15.75" hidden="1" customHeight="1">
      <c r="A650" s="89"/>
      <c r="B650" s="89"/>
      <c r="C650" s="223"/>
      <c r="D650" s="223"/>
      <c r="E650" s="223"/>
      <c r="F650" s="223"/>
      <c r="G650" s="223"/>
      <c r="H650" s="223"/>
      <c r="I650" s="223"/>
      <c r="J650" s="223"/>
      <c r="K650" s="223"/>
      <c r="L650" s="223"/>
      <c r="M650" s="223"/>
      <c r="N650" s="223"/>
    </row>
    <row r="651" ht="15.75" hidden="1" customHeight="1">
      <c r="A651" s="89"/>
      <c r="B651" s="89"/>
      <c r="C651" s="223"/>
      <c r="D651" s="223"/>
      <c r="E651" s="223"/>
      <c r="F651" s="223"/>
      <c r="G651" s="223"/>
      <c r="H651" s="223"/>
      <c r="I651" s="223"/>
      <c r="J651" s="223"/>
      <c r="K651" s="223"/>
      <c r="L651" s="223"/>
      <c r="M651" s="223"/>
      <c r="N651" s="223"/>
    </row>
    <row r="652" ht="15.75" hidden="1" customHeight="1">
      <c r="A652" s="89"/>
      <c r="B652" s="89"/>
      <c r="C652" s="223"/>
      <c r="D652" s="223"/>
      <c r="E652" s="223"/>
      <c r="F652" s="223"/>
      <c r="G652" s="223"/>
      <c r="H652" s="223"/>
      <c r="I652" s="223"/>
      <c r="J652" s="223"/>
      <c r="K652" s="223"/>
      <c r="L652" s="223"/>
      <c r="M652" s="223"/>
      <c r="N652" s="223"/>
    </row>
    <row r="653" ht="15.75" hidden="1" customHeight="1">
      <c r="A653" s="89"/>
      <c r="B653" s="89"/>
      <c r="C653" s="223"/>
      <c r="D653" s="223"/>
      <c r="E653" s="223"/>
      <c r="F653" s="223"/>
      <c r="G653" s="223"/>
      <c r="H653" s="223"/>
      <c r="I653" s="223"/>
      <c r="J653" s="223"/>
      <c r="K653" s="223"/>
      <c r="L653" s="223"/>
      <c r="M653" s="223"/>
      <c r="N653" s="223"/>
    </row>
    <row r="654" ht="15.75" hidden="1" customHeight="1">
      <c r="A654" s="89"/>
      <c r="B654" s="89"/>
      <c r="C654" s="223"/>
      <c r="D654" s="223"/>
      <c r="E654" s="223"/>
      <c r="F654" s="223"/>
      <c r="G654" s="223"/>
      <c r="H654" s="223"/>
      <c r="I654" s="223"/>
      <c r="J654" s="223"/>
      <c r="K654" s="223"/>
      <c r="L654" s="223"/>
      <c r="M654" s="223"/>
      <c r="N654" s="223"/>
    </row>
    <row r="655" ht="15.75" hidden="1" customHeight="1">
      <c r="A655" s="89"/>
      <c r="B655" s="89"/>
      <c r="C655" s="223"/>
      <c r="D655" s="223"/>
      <c r="E655" s="223"/>
      <c r="F655" s="223"/>
      <c r="G655" s="223"/>
      <c r="H655" s="223"/>
      <c r="I655" s="223"/>
      <c r="J655" s="223"/>
      <c r="K655" s="223"/>
      <c r="L655" s="223"/>
      <c r="M655" s="223"/>
      <c r="N655" s="223"/>
    </row>
    <row r="656" ht="15.75" hidden="1" customHeight="1">
      <c r="A656" s="89"/>
      <c r="B656" s="89"/>
      <c r="C656" s="223"/>
      <c r="D656" s="223"/>
      <c r="E656" s="223"/>
      <c r="F656" s="223"/>
      <c r="G656" s="223"/>
      <c r="H656" s="223"/>
      <c r="I656" s="223"/>
      <c r="J656" s="223"/>
      <c r="K656" s="223"/>
      <c r="L656" s="223"/>
      <c r="M656" s="223"/>
      <c r="N656" s="223"/>
    </row>
    <row r="657" ht="15.75" hidden="1" customHeight="1">
      <c r="A657" s="89"/>
      <c r="B657" s="89"/>
      <c r="C657" s="223"/>
      <c r="D657" s="223"/>
      <c r="E657" s="223"/>
      <c r="F657" s="223"/>
      <c r="G657" s="223"/>
      <c r="H657" s="223"/>
      <c r="I657" s="223"/>
      <c r="J657" s="223"/>
      <c r="K657" s="223"/>
      <c r="L657" s="223"/>
      <c r="M657" s="223"/>
      <c r="N657" s="223"/>
    </row>
    <row r="658" ht="15.75" hidden="1" customHeight="1">
      <c r="A658" s="89"/>
      <c r="B658" s="89"/>
      <c r="C658" s="223"/>
      <c r="D658" s="223"/>
      <c r="E658" s="223"/>
      <c r="F658" s="223"/>
      <c r="G658" s="223"/>
      <c r="H658" s="223"/>
      <c r="I658" s="223"/>
      <c r="J658" s="223"/>
      <c r="K658" s="223"/>
      <c r="L658" s="223"/>
      <c r="M658" s="223"/>
      <c r="N658" s="223"/>
    </row>
    <row r="659" ht="15.75" hidden="1" customHeight="1">
      <c r="A659" s="89"/>
      <c r="B659" s="89"/>
      <c r="C659" s="223"/>
      <c r="D659" s="223"/>
      <c r="E659" s="223"/>
      <c r="F659" s="223"/>
      <c r="G659" s="223"/>
      <c r="H659" s="223"/>
      <c r="I659" s="223"/>
      <c r="J659" s="223"/>
      <c r="K659" s="223"/>
      <c r="L659" s="223"/>
      <c r="M659" s="223"/>
      <c r="N659" s="223"/>
    </row>
    <row r="660" ht="15.75" hidden="1" customHeight="1">
      <c r="A660" s="89"/>
      <c r="B660" s="89"/>
      <c r="C660" s="223"/>
      <c r="D660" s="223"/>
      <c r="E660" s="223"/>
      <c r="F660" s="223"/>
      <c r="G660" s="223"/>
      <c r="H660" s="223"/>
      <c r="I660" s="223"/>
      <c r="J660" s="223"/>
      <c r="K660" s="223"/>
      <c r="L660" s="223"/>
      <c r="M660" s="223"/>
      <c r="N660" s="223"/>
    </row>
    <row r="661" ht="15.75" hidden="1" customHeight="1">
      <c r="A661" s="89"/>
      <c r="B661" s="89"/>
      <c r="C661" s="223"/>
      <c r="D661" s="223"/>
      <c r="E661" s="223"/>
      <c r="F661" s="223"/>
      <c r="G661" s="223"/>
      <c r="H661" s="223"/>
      <c r="I661" s="223"/>
      <c r="J661" s="223"/>
      <c r="K661" s="223"/>
      <c r="L661" s="223"/>
      <c r="M661" s="223"/>
      <c r="N661" s="223"/>
    </row>
    <row r="662" ht="15.75" hidden="1" customHeight="1">
      <c r="A662" s="89"/>
      <c r="B662" s="89"/>
      <c r="C662" s="223"/>
      <c r="D662" s="223"/>
      <c r="E662" s="223"/>
      <c r="F662" s="223"/>
      <c r="G662" s="223"/>
      <c r="H662" s="223"/>
      <c r="I662" s="223"/>
      <c r="J662" s="223"/>
      <c r="K662" s="223"/>
      <c r="L662" s="223"/>
      <c r="M662" s="223"/>
      <c r="N662" s="223"/>
    </row>
    <row r="663" ht="15.75" hidden="1" customHeight="1">
      <c r="A663" s="89"/>
      <c r="B663" s="89"/>
      <c r="C663" s="223"/>
      <c r="D663" s="223"/>
      <c r="E663" s="223"/>
      <c r="F663" s="223"/>
      <c r="G663" s="223"/>
      <c r="H663" s="223"/>
      <c r="I663" s="223"/>
      <c r="J663" s="223"/>
      <c r="K663" s="223"/>
      <c r="L663" s="223"/>
      <c r="M663" s="223"/>
      <c r="N663" s="223"/>
    </row>
    <row r="664" ht="15.75" hidden="1" customHeight="1">
      <c r="A664" s="89"/>
      <c r="B664" s="89"/>
      <c r="C664" s="223"/>
      <c r="D664" s="223"/>
      <c r="E664" s="223"/>
      <c r="F664" s="223"/>
      <c r="G664" s="223"/>
      <c r="H664" s="223"/>
      <c r="I664" s="223"/>
      <c r="J664" s="223"/>
      <c r="K664" s="223"/>
      <c r="L664" s="223"/>
      <c r="M664" s="223"/>
      <c r="N664" s="223"/>
    </row>
    <row r="665" ht="15.75" hidden="1" customHeight="1">
      <c r="A665" s="89"/>
      <c r="B665" s="89"/>
      <c r="C665" s="223"/>
      <c r="D665" s="223"/>
      <c r="E665" s="223"/>
      <c r="F665" s="223"/>
      <c r="G665" s="223"/>
      <c r="H665" s="223"/>
      <c r="I665" s="223"/>
      <c r="J665" s="223"/>
      <c r="K665" s="223"/>
      <c r="L665" s="223"/>
      <c r="M665" s="223"/>
      <c r="N665" s="223"/>
    </row>
    <row r="666" ht="15.75" hidden="1" customHeight="1">
      <c r="A666" s="89"/>
      <c r="B666" s="89"/>
      <c r="C666" s="223"/>
      <c r="D666" s="223"/>
      <c r="E666" s="223"/>
      <c r="F666" s="223"/>
      <c r="G666" s="223"/>
      <c r="H666" s="223"/>
      <c r="I666" s="223"/>
      <c r="J666" s="223"/>
      <c r="K666" s="223"/>
      <c r="L666" s="223"/>
      <c r="M666" s="223"/>
      <c r="N666" s="223"/>
    </row>
    <row r="667" ht="15.75" hidden="1" customHeight="1">
      <c r="A667" s="89"/>
      <c r="B667" s="89"/>
      <c r="C667" s="223"/>
      <c r="D667" s="223"/>
      <c r="E667" s="223"/>
      <c r="F667" s="223"/>
      <c r="G667" s="223"/>
      <c r="H667" s="223"/>
      <c r="I667" s="223"/>
      <c r="J667" s="223"/>
      <c r="K667" s="223"/>
      <c r="L667" s="223"/>
      <c r="M667" s="223"/>
      <c r="N667" s="223"/>
    </row>
    <row r="668" ht="15.75" hidden="1" customHeight="1">
      <c r="A668" s="89"/>
      <c r="B668" s="89"/>
      <c r="C668" s="223"/>
      <c r="D668" s="223"/>
      <c r="E668" s="223"/>
      <c r="F668" s="223"/>
      <c r="G668" s="223"/>
      <c r="H668" s="223"/>
      <c r="I668" s="223"/>
      <c r="J668" s="223"/>
      <c r="K668" s="223"/>
      <c r="L668" s="223"/>
      <c r="M668" s="223"/>
      <c r="N668" s="223"/>
    </row>
    <row r="669" ht="15.75" hidden="1" customHeight="1">
      <c r="A669" s="89"/>
      <c r="B669" s="89"/>
      <c r="C669" s="223"/>
      <c r="D669" s="223"/>
      <c r="E669" s="223"/>
      <c r="F669" s="223"/>
      <c r="G669" s="223"/>
      <c r="H669" s="223"/>
      <c r="I669" s="223"/>
      <c r="J669" s="223"/>
      <c r="K669" s="223"/>
      <c r="L669" s="223"/>
      <c r="M669" s="223"/>
      <c r="N669" s="223"/>
    </row>
    <row r="670" ht="15.75" hidden="1" customHeight="1">
      <c r="A670" s="89"/>
      <c r="B670" s="89"/>
      <c r="C670" s="223"/>
      <c r="D670" s="223"/>
      <c r="E670" s="223"/>
      <c r="F670" s="223"/>
      <c r="G670" s="223"/>
      <c r="H670" s="223"/>
      <c r="I670" s="223"/>
      <c r="J670" s="223"/>
      <c r="K670" s="223"/>
      <c r="L670" s="223"/>
      <c r="M670" s="223"/>
      <c r="N670" s="223"/>
    </row>
    <row r="671" ht="15.75" hidden="1" customHeight="1">
      <c r="A671" s="89"/>
      <c r="B671" s="89"/>
      <c r="C671" s="223"/>
      <c r="D671" s="223"/>
      <c r="E671" s="223"/>
      <c r="F671" s="223"/>
      <c r="G671" s="223"/>
      <c r="H671" s="223"/>
      <c r="I671" s="223"/>
      <c r="J671" s="223"/>
      <c r="K671" s="223"/>
      <c r="L671" s="223"/>
      <c r="M671" s="223"/>
      <c r="N671" s="223"/>
    </row>
    <row r="672" ht="15.75" hidden="1" customHeight="1">
      <c r="A672" s="89"/>
      <c r="B672" s="89"/>
      <c r="C672" s="223"/>
      <c r="D672" s="223"/>
      <c r="E672" s="223"/>
      <c r="F672" s="223"/>
      <c r="G672" s="223"/>
      <c r="H672" s="223"/>
      <c r="I672" s="223"/>
      <c r="J672" s="223"/>
      <c r="K672" s="223"/>
      <c r="L672" s="223"/>
      <c r="M672" s="223"/>
      <c r="N672" s="223"/>
    </row>
    <row r="673" ht="15.75" hidden="1" customHeight="1">
      <c r="A673" s="89"/>
      <c r="B673" s="89"/>
      <c r="C673" s="223"/>
      <c r="D673" s="223"/>
      <c r="E673" s="223"/>
      <c r="F673" s="223"/>
      <c r="G673" s="223"/>
      <c r="H673" s="223"/>
      <c r="I673" s="223"/>
      <c r="J673" s="223"/>
      <c r="K673" s="223"/>
      <c r="L673" s="223"/>
      <c r="M673" s="223"/>
      <c r="N673" s="223"/>
    </row>
    <row r="674" ht="15.75" hidden="1" customHeight="1">
      <c r="A674" s="89"/>
      <c r="B674" s="89"/>
      <c r="C674" s="223"/>
      <c r="D674" s="223"/>
      <c r="E674" s="223"/>
      <c r="F674" s="223"/>
      <c r="G674" s="223"/>
      <c r="H674" s="223"/>
      <c r="I674" s="223"/>
      <c r="J674" s="223"/>
      <c r="K674" s="223"/>
      <c r="L674" s="223"/>
      <c r="M674" s="223"/>
      <c r="N674" s="223"/>
    </row>
    <row r="675" ht="15.75" hidden="1" customHeight="1">
      <c r="A675" s="89"/>
      <c r="B675" s="89"/>
      <c r="C675" s="223"/>
      <c r="D675" s="223"/>
      <c r="E675" s="223"/>
      <c r="F675" s="223"/>
      <c r="G675" s="223"/>
      <c r="H675" s="223"/>
      <c r="I675" s="223"/>
      <c r="J675" s="223"/>
      <c r="K675" s="223"/>
      <c r="L675" s="223"/>
      <c r="M675" s="223"/>
      <c r="N675" s="223"/>
    </row>
    <row r="676" ht="15.75" hidden="1" customHeight="1">
      <c r="A676" s="89"/>
      <c r="B676" s="89"/>
      <c r="C676" s="223"/>
      <c r="D676" s="223"/>
      <c r="E676" s="223"/>
      <c r="F676" s="223"/>
      <c r="G676" s="223"/>
      <c r="H676" s="223"/>
      <c r="I676" s="223"/>
      <c r="J676" s="223"/>
      <c r="K676" s="223"/>
      <c r="L676" s="223"/>
      <c r="M676" s="223"/>
      <c r="N676" s="223"/>
    </row>
    <row r="677" ht="15.75" hidden="1" customHeight="1">
      <c r="A677" s="89"/>
      <c r="B677" s="89"/>
      <c r="C677" s="223"/>
      <c r="D677" s="223"/>
      <c r="E677" s="223"/>
      <c r="F677" s="223"/>
      <c r="G677" s="223"/>
      <c r="H677" s="223"/>
      <c r="I677" s="223"/>
      <c r="J677" s="223"/>
      <c r="K677" s="223"/>
      <c r="L677" s="223"/>
      <c r="M677" s="223"/>
      <c r="N677" s="223"/>
    </row>
    <row r="678" ht="15.75" hidden="1" customHeight="1">
      <c r="A678" s="89"/>
      <c r="B678" s="89"/>
      <c r="C678" s="223"/>
      <c r="D678" s="223"/>
      <c r="E678" s="223"/>
      <c r="F678" s="223"/>
      <c r="G678" s="223"/>
      <c r="H678" s="223"/>
      <c r="I678" s="223"/>
      <c r="J678" s="223"/>
      <c r="K678" s="223"/>
      <c r="L678" s="223"/>
      <c r="M678" s="223"/>
      <c r="N678" s="223"/>
    </row>
    <row r="679" ht="15.75" hidden="1" customHeight="1">
      <c r="A679" s="89"/>
      <c r="B679" s="89"/>
      <c r="C679" s="223"/>
      <c r="D679" s="223"/>
      <c r="E679" s="223"/>
      <c r="F679" s="223"/>
      <c r="G679" s="223"/>
      <c r="H679" s="223"/>
      <c r="I679" s="223"/>
      <c r="J679" s="223"/>
      <c r="K679" s="223"/>
      <c r="L679" s="223"/>
      <c r="M679" s="223"/>
      <c r="N679" s="223"/>
    </row>
    <row r="680" ht="15.75" hidden="1" customHeight="1">
      <c r="A680" s="89"/>
      <c r="B680" s="89"/>
      <c r="C680" s="223"/>
      <c r="D680" s="223"/>
      <c r="E680" s="223"/>
      <c r="F680" s="223"/>
      <c r="G680" s="223"/>
      <c r="H680" s="223"/>
      <c r="I680" s="223"/>
      <c r="J680" s="223"/>
      <c r="K680" s="223"/>
      <c r="L680" s="223"/>
      <c r="M680" s="223"/>
      <c r="N680" s="223"/>
    </row>
    <row r="681" ht="15.75" hidden="1" customHeight="1">
      <c r="A681" s="89"/>
      <c r="B681" s="89"/>
      <c r="C681" s="223"/>
      <c r="D681" s="223"/>
      <c r="E681" s="223"/>
      <c r="F681" s="223"/>
      <c r="G681" s="223"/>
      <c r="H681" s="223"/>
      <c r="I681" s="223"/>
      <c r="J681" s="223"/>
      <c r="K681" s="223"/>
      <c r="L681" s="223"/>
      <c r="M681" s="223"/>
      <c r="N681" s="223"/>
    </row>
    <row r="682" ht="15.75" hidden="1" customHeight="1">
      <c r="A682" s="89"/>
      <c r="B682" s="89"/>
      <c r="C682" s="223"/>
      <c r="D682" s="223"/>
      <c r="E682" s="223"/>
      <c r="F682" s="223"/>
      <c r="G682" s="223"/>
      <c r="H682" s="223"/>
      <c r="I682" s="223"/>
      <c r="J682" s="223"/>
      <c r="K682" s="223"/>
      <c r="L682" s="223"/>
      <c r="M682" s="223"/>
      <c r="N682" s="223"/>
    </row>
    <row r="683" ht="15.75" hidden="1" customHeight="1">
      <c r="A683" s="89"/>
      <c r="B683" s="89"/>
      <c r="C683" s="223"/>
      <c r="D683" s="223"/>
      <c r="E683" s="223"/>
      <c r="F683" s="223"/>
      <c r="G683" s="223"/>
      <c r="H683" s="223"/>
      <c r="I683" s="223"/>
      <c r="J683" s="223"/>
      <c r="K683" s="223"/>
      <c r="L683" s="223"/>
      <c r="M683" s="223"/>
      <c r="N683" s="223"/>
    </row>
    <row r="684" ht="15.75" hidden="1" customHeight="1">
      <c r="A684" s="89"/>
      <c r="B684" s="89"/>
      <c r="C684" s="223"/>
      <c r="D684" s="223"/>
      <c r="E684" s="223"/>
      <c r="F684" s="223"/>
      <c r="G684" s="223"/>
      <c r="H684" s="223"/>
      <c r="I684" s="223"/>
      <c r="J684" s="223"/>
      <c r="K684" s="223"/>
      <c r="L684" s="223"/>
      <c r="M684" s="223"/>
      <c r="N684" s="223"/>
    </row>
    <row r="685" ht="15.75" hidden="1" customHeight="1">
      <c r="A685" s="89"/>
      <c r="B685" s="89"/>
      <c r="C685" s="223"/>
      <c r="D685" s="223"/>
      <c r="E685" s="223"/>
      <c r="F685" s="223"/>
      <c r="G685" s="223"/>
      <c r="H685" s="223"/>
      <c r="I685" s="223"/>
      <c r="J685" s="223"/>
      <c r="K685" s="223"/>
      <c r="L685" s="223"/>
      <c r="M685" s="223"/>
      <c r="N685" s="223"/>
    </row>
    <row r="686" ht="15.75" hidden="1" customHeight="1">
      <c r="A686" s="89"/>
      <c r="B686" s="89"/>
      <c r="C686" s="223"/>
      <c r="D686" s="223"/>
      <c r="E686" s="223"/>
      <c r="F686" s="223"/>
      <c r="G686" s="223"/>
      <c r="H686" s="223"/>
      <c r="I686" s="223"/>
      <c r="J686" s="223"/>
      <c r="K686" s="223"/>
      <c r="L686" s="223"/>
      <c r="M686" s="223"/>
      <c r="N686" s="223"/>
    </row>
    <row r="687" ht="15.75" hidden="1" customHeight="1">
      <c r="A687" s="89"/>
      <c r="B687" s="89"/>
      <c r="C687" s="223"/>
      <c r="D687" s="223"/>
      <c r="E687" s="223"/>
      <c r="F687" s="223"/>
      <c r="G687" s="223"/>
      <c r="H687" s="223"/>
      <c r="I687" s="223"/>
      <c r="J687" s="223"/>
      <c r="K687" s="223"/>
      <c r="L687" s="223"/>
      <c r="M687" s="223"/>
      <c r="N687" s="223"/>
    </row>
    <row r="688" ht="15.75" hidden="1" customHeight="1">
      <c r="A688" s="89"/>
      <c r="B688" s="89"/>
      <c r="C688" s="223"/>
      <c r="D688" s="223"/>
      <c r="E688" s="223"/>
      <c r="F688" s="223"/>
      <c r="G688" s="223"/>
      <c r="H688" s="223"/>
      <c r="I688" s="223"/>
      <c r="J688" s="223"/>
      <c r="K688" s="223"/>
      <c r="L688" s="223"/>
      <c r="M688" s="223"/>
      <c r="N688" s="223"/>
    </row>
    <row r="689" ht="15.75" hidden="1" customHeight="1">
      <c r="A689" s="89"/>
      <c r="B689" s="89"/>
      <c r="C689" s="223"/>
      <c r="D689" s="223"/>
      <c r="E689" s="223"/>
      <c r="F689" s="223"/>
      <c r="G689" s="223"/>
      <c r="H689" s="223"/>
      <c r="I689" s="223"/>
      <c r="J689" s="223"/>
      <c r="K689" s="223"/>
      <c r="L689" s="223"/>
      <c r="M689" s="223"/>
      <c r="N689" s="223"/>
    </row>
    <row r="690" ht="15.75" hidden="1" customHeight="1">
      <c r="A690" s="89"/>
      <c r="B690" s="89"/>
      <c r="C690" s="223"/>
      <c r="D690" s="223"/>
      <c r="E690" s="223"/>
      <c r="F690" s="223"/>
      <c r="G690" s="223"/>
      <c r="H690" s="223"/>
      <c r="I690" s="223"/>
      <c r="J690" s="223"/>
      <c r="K690" s="223"/>
      <c r="L690" s="223"/>
      <c r="M690" s="223"/>
      <c r="N690" s="223"/>
    </row>
    <row r="691" ht="15.75" hidden="1" customHeight="1">
      <c r="A691" s="89"/>
      <c r="B691" s="89"/>
      <c r="C691" s="223"/>
      <c r="D691" s="223"/>
      <c r="E691" s="223"/>
      <c r="F691" s="223"/>
      <c r="G691" s="223"/>
      <c r="H691" s="223"/>
      <c r="I691" s="223"/>
      <c r="J691" s="223"/>
      <c r="K691" s="223"/>
      <c r="L691" s="223"/>
      <c r="M691" s="223"/>
      <c r="N691" s="223"/>
    </row>
    <row r="692" ht="15.75" hidden="1" customHeight="1">
      <c r="A692" s="89"/>
      <c r="B692" s="89"/>
      <c r="C692" s="223"/>
      <c r="D692" s="223"/>
      <c r="E692" s="223"/>
      <c r="F692" s="223"/>
      <c r="G692" s="223"/>
      <c r="H692" s="223"/>
      <c r="I692" s="223"/>
      <c r="J692" s="223"/>
      <c r="K692" s="223"/>
      <c r="L692" s="223"/>
      <c r="M692" s="223"/>
      <c r="N692" s="223"/>
    </row>
    <row r="693" ht="15.75" hidden="1" customHeight="1">
      <c r="A693" s="89"/>
      <c r="B693" s="89"/>
      <c r="C693" s="223"/>
      <c r="D693" s="223"/>
      <c r="E693" s="223"/>
      <c r="F693" s="223"/>
      <c r="G693" s="223"/>
      <c r="H693" s="223"/>
      <c r="I693" s="223"/>
      <c r="J693" s="223"/>
      <c r="K693" s="223"/>
      <c r="L693" s="223"/>
      <c r="M693" s="223"/>
      <c r="N693" s="223"/>
    </row>
    <row r="694" ht="15.75" hidden="1" customHeight="1">
      <c r="A694" s="89"/>
      <c r="B694" s="89"/>
      <c r="C694" s="223"/>
      <c r="D694" s="223"/>
      <c r="E694" s="223"/>
      <c r="F694" s="223"/>
      <c r="G694" s="223"/>
      <c r="H694" s="223"/>
      <c r="I694" s="223"/>
      <c r="J694" s="223"/>
      <c r="K694" s="223"/>
      <c r="L694" s="223"/>
      <c r="M694" s="223"/>
      <c r="N694" s="223"/>
    </row>
    <row r="695" ht="15.75" hidden="1" customHeight="1">
      <c r="A695" s="89"/>
      <c r="B695" s="89"/>
      <c r="C695" s="223"/>
      <c r="D695" s="223"/>
      <c r="E695" s="223"/>
      <c r="F695" s="223"/>
      <c r="G695" s="223"/>
      <c r="H695" s="223"/>
      <c r="I695" s="223"/>
      <c r="J695" s="223"/>
      <c r="K695" s="223"/>
      <c r="L695" s="223"/>
      <c r="M695" s="223"/>
      <c r="N695" s="223"/>
    </row>
    <row r="696" ht="15.75" hidden="1" customHeight="1">
      <c r="A696" s="89"/>
      <c r="B696" s="89"/>
      <c r="C696" s="223"/>
      <c r="D696" s="223"/>
      <c r="E696" s="223"/>
      <c r="F696" s="223"/>
      <c r="G696" s="223"/>
      <c r="H696" s="223"/>
      <c r="I696" s="223"/>
      <c r="J696" s="223"/>
      <c r="K696" s="223"/>
      <c r="L696" s="223"/>
      <c r="M696" s="223"/>
      <c r="N696" s="223"/>
    </row>
    <row r="697" ht="15.75" hidden="1" customHeight="1">
      <c r="A697" s="89"/>
      <c r="B697" s="89"/>
      <c r="C697" s="223"/>
      <c r="D697" s="223"/>
      <c r="E697" s="223"/>
      <c r="F697" s="223"/>
      <c r="G697" s="223"/>
      <c r="H697" s="223"/>
      <c r="I697" s="223"/>
      <c r="J697" s="223"/>
      <c r="K697" s="223"/>
      <c r="L697" s="223"/>
      <c r="M697" s="223"/>
      <c r="N697" s="223"/>
    </row>
    <row r="698" ht="15.75" hidden="1" customHeight="1">
      <c r="A698" s="89"/>
      <c r="B698" s="89"/>
      <c r="C698" s="223"/>
      <c r="D698" s="223"/>
      <c r="E698" s="223"/>
      <c r="F698" s="223"/>
      <c r="G698" s="223"/>
      <c r="H698" s="223"/>
      <c r="I698" s="223"/>
      <c r="J698" s="223"/>
      <c r="K698" s="223"/>
      <c r="L698" s="223"/>
      <c r="M698" s="223"/>
      <c r="N698" s="223"/>
    </row>
    <row r="699" ht="15.75" hidden="1" customHeight="1">
      <c r="A699" s="89"/>
      <c r="B699" s="89"/>
      <c r="C699" s="223"/>
      <c r="D699" s="223"/>
      <c r="E699" s="223"/>
      <c r="F699" s="223"/>
      <c r="G699" s="223"/>
      <c r="H699" s="223"/>
      <c r="I699" s="223"/>
      <c r="J699" s="223"/>
      <c r="K699" s="223"/>
      <c r="L699" s="223"/>
      <c r="M699" s="223"/>
      <c r="N699" s="223"/>
    </row>
    <row r="700" ht="15.75" hidden="1" customHeight="1">
      <c r="A700" s="89"/>
      <c r="B700" s="89"/>
      <c r="C700" s="223"/>
      <c r="D700" s="223"/>
      <c r="E700" s="223"/>
      <c r="F700" s="223"/>
      <c r="G700" s="223"/>
      <c r="H700" s="223"/>
      <c r="I700" s="223"/>
      <c r="J700" s="223"/>
      <c r="K700" s="223"/>
      <c r="L700" s="223"/>
      <c r="M700" s="223"/>
      <c r="N700" s="223"/>
    </row>
    <row r="701" ht="15.75" hidden="1" customHeight="1">
      <c r="A701" s="89"/>
      <c r="B701" s="89"/>
      <c r="C701" s="223"/>
      <c r="D701" s="223"/>
      <c r="E701" s="223"/>
      <c r="F701" s="223"/>
      <c r="G701" s="223"/>
      <c r="H701" s="223"/>
      <c r="I701" s="223"/>
      <c r="J701" s="223"/>
      <c r="K701" s="223"/>
      <c r="L701" s="223"/>
      <c r="M701" s="223"/>
      <c r="N701" s="223"/>
    </row>
    <row r="702" ht="15.75" hidden="1" customHeight="1">
      <c r="A702" s="89"/>
      <c r="B702" s="89"/>
      <c r="C702" s="223"/>
      <c r="D702" s="223"/>
      <c r="E702" s="223"/>
      <c r="F702" s="223"/>
      <c r="G702" s="223"/>
      <c r="H702" s="223"/>
      <c r="I702" s="223"/>
      <c r="J702" s="223"/>
      <c r="K702" s="223"/>
      <c r="L702" s="223"/>
      <c r="M702" s="223"/>
      <c r="N702" s="223"/>
    </row>
    <row r="703" ht="15.75" hidden="1" customHeight="1">
      <c r="A703" s="89"/>
      <c r="B703" s="89"/>
      <c r="C703" s="223"/>
      <c r="D703" s="223"/>
      <c r="E703" s="223"/>
      <c r="F703" s="223"/>
      <c r="G703" s="223"/>
      <c r="H703" s="223"/>
      <c r="I703" s="223"/>
      <c r="J703" s="223"/>
      <c r="K703" s="223"/>
      <c r="L703" s="223"/>
      <c r="M703" s="223"/>
      <c r="N703" s="223"/>
    </row>
    <row r="704" ht="15.75" hidden="1" customHeight="1">
      <c r="A704" s="89"/>
      <c r="B704" s="89"/>
      <c r="C704" s="223"/>
      <c r="D704" s="223"/>
      <c r="E704" s="223"/>
      <c r="F704" s="223"/>
      <c r="G704" s="223"/>
      <c r="H704" s="223"/>
      <c r="I704" s="223"/>
      <c r="J704" s="223"/>
      <c r="K704" s="223"/>
      <c r="L704" s="223"/>
      <c r="M704" s="223"/>
      <c r="N704" s="223"/>
    </row>
    <row r="705" ht="15.75" hidden="1" customHeight="1">
      <c r="A705" s="89"/>
      <c r="B705" s="89"/>
      <c r="C705" s="223"/>
      <c r="D705" s="223"/>
      <c r="E705" s="223"/>
      <c r="F705" s="223"/>
      <c r="G705" s="223"/>
      <c r="H705" s="223"/>
      <c r="I705" s="223"/>
      <c r="J705" s="223"/>
      <c r="K705" s="223"/>
      <c r="L705" s="223"/>
      <c r="M705" s="223"/>
      <c r="N705" s="223"/>
    </row>
    <row r="706" ht="15.75" hidden="1" customHeight="1">
      <c r="A706" s="89"/>
      <c r="B706" s="89"/>
      <c r="C706" s="223"/>
      <c r="D706" s="223"/>
      <c r="E706" s="223"/>
      <c r="F706" s="223"/>
      <c r="G706" s="223"/>
      <c r="H706" s="223"/>
      <c r="I706" s="223"/>
      <c r="J706" s="223"/>
      <c r="K706" s="223"/>
      <c r="L706" s="223"/>
      <c r="M706" s="223"/>
      <c r="N706" s="223"/>
    </row>
    <row r="707" ht="15.75" hidden="1" customHeight="1">
      <c r="A707" s="89"/>
      <c r="B707" s="89"/>
      <c r="C707" s="223"/>
      <c r="D707" s="223"/>
      <c r="E707" s="223"/>
      <c r="F707" s="223"/>
      <c r="G707" s="223"/>
      <c r="H707" s="223"/>
      <c r="I707" s="223"/>
      <c r="J707" s="223"/>
      <c r="K707" s="223"/>
      <c r="L707" s="223"/>
      <c r="M707" s="223"/>
      <c r="N707" s="223"/>
    </row>
    <row r="708" ht="15.75" hidden="1" customHeight="1">
      <c r="A708" s="89"/>
      <c r="B708" s="89"/>
      <c r="C708" s="223"/>
      <c r="D708" s="223"/>
      <c r="E708" s="223"/>
      <c r="F708" s="223"/>
      <c r="G708" s="223"/>
      <c r="H708" s="223"/>
      <c r="I708" s="223"/>
      <c r="J708" s="223"/>
      <c r="K708" s="223"/>
      <c r="L708" s="223"/>
      <c r="M708" s="223"/>
      <c r="N708" s="223"/>
    </row>
    <row r="709" ht="15.75" hidden="1" customHeight="1">
      <c r="A709" s="89"/>
      <c r="B709" s="89"/>
      <c r="C709" s="223"/>
      <c r="D709" s="223"/>
      <c r="E709" s="223"/>
      <c r="F709" s="223"/>
      <c r="G709" s="223"/>
      <c r="H709" s="223"/>
      <c r="I709" s="223"/>
      <c r="J709" s="223"/>
      <c r="K709" s="223"/>
      <c r="L709" s="223"/>
      <c r="M709" s="223"/>
      <c r="N709" s="223"/>
    </row>
    <row r="710" ht="15.75" hidden="1" customHeight="1">
      <c r="A710" s="89"/>
      <c r="B710" s="89"/>
      <c r="C710" s="223"/>
      <c r="D710" s="223"/>
      <c r="E710" s="223"/>
      <c r="F710" s="223"/>
      <c r="G710" s="223"/>
      <c r="H710" s="223"/>
      <c r="I710" s="223"/>
      <c r="J710" s="223"/>
      <c r="K710" s="223"/>
      <c r="L710" s="223"/>
      <c r="M710" s="223"/>
      <c r="N710" s="223"/>
    </row>
    <row r="711" ht="15.75" hidden="1" customHeight="1">
      <c r="A711" s="89"/>
      <c r="B711" s="89"/>
      <c r="C711" s="223"/>
      <c r="D711" s="223"/>
      <c r="E711" s="223"/>
      <c r="F711" s="223"/>
      <c r="G711" s="223"/>
      <c r="H711" s="223"/>
      <c r="I711" s="223"/>
      <c r="J711" s="223"/>
      <c r="K711" s="223"/>
      <c r="L711" s="223"/>
      <c r="M711" s="223"/>
      <c r="N711" s="223"/>
    </row>
    <row r="712" ht="15.75" hidden="1" customHeight="1">
      <c r="A712" s="89"/>
      <c r="B712" s="89"/>
      <c r="C712" s="223"/>
      <c r="D712" s="223"/>
      <c r="E712" s="223"/>
      <c r="F712" s="223"/>
      <c r="G712" s="223"/>
      <c r="H712" s="223"/>
      <c r="I712" s="223"/>
      <c r="J712" s="223"/>
      <c r="K712" s="223"/>
      <c r="L712" s="223"/>
      <c r="M712" s="223"/>
      <c r="N712" s="223"/>
    </row>
    <row r="713" ht="15.75" hidden="1" customHeight="1">
      <c r="A713" s="89"/>
      <c r="B713" s="89"/>
      <c r="C713" s="223"/>
      <c r="D713" s="223"/>
      <c r="E713" s="223"/>
      <c r="F713" s="223"/>
      <c r="G713" s="223"/>
      <c r="H713" s="223"/>
      <c r="I713" s="223"/>
      <c r="J713" s="223"/>
      <c r="K713" s="223"/>
      <c r="L713" s="223"/>
      <c r="M713" s="223"/>
      <c r="N713" s="223"/>
    </row>
    <row r="714" ht="15.75" hidden="1" customHeight="1">
      <c r="A714" s="89"/>
      <c r="B714" s="89"/>
      <c r="C714" s="223"/>
      <c r="D714" s="223"/>
      <c r="E714" s="223"/>
      <c r="F714" s="223"/>
      <c r="G714" s="223"/>
      <c r="H714" s="223"/>
      <c r="I714" s="223"/>
      <c r="J714" s="223"/>
      <c r="K714" s="223"/>
      <c r="L714" s="223"/>
      <c r="M714" s="223"/>
      <c r="N714" s="223"/>
    </row>
    <row r="715" ht="15.75" hidden="1" customHeight="1">
      <c r="A715" s="89"/>
      <c r="B715" s="89"/>
      <c r="C715" s="223"/>
      <c r="D715" s="223"/>
      <c r="E715" s="223"/>
      <c r="F715" s="223"/>
      <c r="G715" s="223"/>
      <c r="H715" s="223"/>
      <c r="I715" s="223"/>
      <c r="J715" s="223"/>
      <c r="K715" s="223"/>
      <c r="L715" s="223"/>
      <c r="M715" s="223"/>
      <c r="N715" s="223"/>
    </row>
    <row r="716" ht="15.75" hidden="1" customHeight="1">
      <c r="A716" s="89"/>
      <c r="B716" s="89"/>
      <c r="C716" s="223"/>
      <c r="D716" s="223"/>
      <c r="E716" s="223"/>
      <c r="F716" s="223"/>
      <c r="G716" s="223"/>
      <c r="H716" s="223"/>
      <c r="I716" s="223"/>
      <c r="J716" s="223"/>
      <c r="K716" s="223"/>
      <c r="L716" s="223"/>
      <c r="M716" s="223"/>
      <c r="N716" s="223"/>
    </row>
    <row r="717" ht="15.75" hidden="1" customHeight="1">
      <c r="A717" s="89"/>
      <c r="B717" s="89"/>
      <c r="C717" s="223"/>
      <c r="D717" s="223"/>
      <c r="E717" s="223"/>
      <c r="F717" s="223"/>
      <c r="G717" s="223"/>
      <c r="H717" s="223"/>
      <c r="I717" s="223"/>
      <c r="J717" s="223"/>
      <c r="K717" s="223"/>
      <c r="L717" s="223"/>
      <c r="M717" s="223"/>
      <c r="N717" s="223"/>
    </row>
    <row r="718" ht="15.75" hidden="1" customHeight="1">
      <c r="A718" s="89"/>
      <c r="B718" s="89"/>
      <c r="C718" s="223"/>
      <c r="D718" s="223"/>
      <c r="E718" s="223"/>
      <c r="F718" s="223"/>
      <c r="G718" s="223"/>
      <c r="H718" s="223"/>
      <c r="I718" s="223"/>
      <c r="J718" s="223"/>
      <c r="K718" s="223"/>
      <c r="L718" s="223"/>
      <c r="M718" s="223"/>
      <c r="N718" s="223"/>
    </row>
    <row r="719" ht="15.75" hidden="1" customHeight="1">
      <c r="A719" s="89"/>
      <c r="B719" s="89"/>
      <c r="C719" s="223"/>
      <c r="D719" s="223"/>
      <c r="E719" s="223"/>
      <c r="F719" s="223"/>
      <c r="G719" s="223"/>
      <c r="H719" s="223"/>
      <c r="I719" s="223"/>
      <c r="J719" s="223"/>
      <c r="K719" s="223"/>
      <c r="L719" s="223"/>
      <c r="M719" s="223"/>
      <c r="N719" s="223"/>
    </row>
    <row r="720" ht="15.75" hidden="1" customHeight="1">
      <c r="A720" s="89"/>
      <c r="B720" s="89"/>
      <c r="C720" s="223"/>
      <c r="D720" s="223"/>
      <c r="E720" s="223"/>
      <c r="F720" s="223"/>
      <c r="G720" s="223"/>
      <c r="H720" s="223"/>
      <c r="I720" s="223"/>
      <c r="J720" s="223"/>
      <c r="K720" s="223"/>
      <c r="L720" s="223"/>
      <c r="M720" s="223"/>
      <c r="N720" s="223"/>
    </row>
    <row r="721" ht="15.75" hidden="1" customHeight="1">
      <c r="A721" s="89"/>
      <c r="B721" s="89"/>
      <c r="C721" s="223"/>
      <c r="D721" s="223"/>
      <c r="E721" s="223"/>
      <c r="F721" s="223"/>
      <c r="G721" s="223"/>
      <c r="H721" s="223"/>
      <c r="I721" s="223"/>
      <c r="J721" s="223"/>
      <c r="K721" s="223"/>
      <c r="L721" s="223"/>
      <c r="M721" s="223"/>
      <c r="N721" s="223"/>
    </row>
    <row r="722" ht="15.75" hidden="1" customHeight="1">
      <c r="A722" s="89"/>
      <c r="B722" s="89"/>
      <c r="C722" s="223"/>
      <c r="D722" s="223"/>
      <c r="E722" s="223"/>
      <c r="F722" s="223"/>
      <c r="G722" s="223"/>
      <c r="H722" s="223"/>
      <c r="I722" s="223"/>
      <c r="J722" s="223"/>
      <c r="K722" s="223"/>
      <c r="L722" s="223"/>
      <c r="M722" s="223"/>
      <c r="N722" s="223"/>
    </row>
    <row r="723" ht="15.75" hidden="1" customHeight="1">
      <c r="A723" s="89"/>
      <c r="B723" s="89"/>
      <c r="C723" s="223"/>
      <c r="D723" s="223"/>
      <c r="E723" s="223"/>
      <c r="F723" s="223"/>
      <c r="G723" s="223"/>
      <c r="H723" s="223"/>
      <c r="I723" s="223"/>
      <c r="J723" s="223"/>
      <c r="K723" s="223"/>
      <c r="L723" s="223"/>
      <c r="M723" s="223"/>
      <c r="N723" s="223"/>
    </row>
    <row r="724" ht="15.75" hidden="1" customHeight="1">
      <c r="A724" s="89"/>
      <c r="B724" s="89"/>
      <c r="C724" s="223"/>
      <c r="D724" s="223"/>
      <c r="E724" s="223"/>
      <c r="F724" s="223"/>
      <c r="G724" s="223"/>
      <c r="H724" s="223"/>
      <c r="I724" s="223"/>
      <c r="J724" s="223"/>
      <c r="K724" s="223"/>
      <c r="L724" s="223"/>
      <c r="M724" s="223"/>
      <c r="N724" s="223"/>
    </row>
    <row r="725" ht="15.75" hidden="1" customHeight="1">
      <c r="A725" s="89"/>
      <c r="B725" s="89"/>
      <c r="C725" s="223"/>
      <c r="D725" s="223"/>
      <c r="E725" s="223"/>
      <c r="F725" s="223"/>
      <c r="G725" s="223"/>
      <c r="H725" s="223"/>
      <c r="I725" s="223"/>
      <c r="J725" s="223"/>
      <c r="K725" s="223"/>
      <c r="L725" s="223"/>
      <c r="M725" s="223"/>
      <c r="N725" s="223"/>
    </row>
    <row r="726" ht="15.75" hidden="1" customHeight="1">
      <c r="A726" s="89"/>
      <c r="B726" s="89"/>
      <c r="C726" s="223"/>
      <c r="D726" s="223"/>
      <c r="E726" s="223"/>
      <c r="F726" s="223"/>
      <c r="G726" s="223"/>
      <c r="H726" s="223"/>
      <c r="I726" s="223"/>
      <c r="J726" s="223"/>
      <c r="K726" s="223"/>
      <c r="L726" s="223"/>
      <c r="M726" s="223"/>
      <c r="N726" s="223"/>
    </row>
    <row r="727" ht="15.75" hidden="1" customHeight="1">
      <c r="A727" s="89"/>
      <c r="B727" s="89"/>
      <c r="C727" s="223"/>
      <c r="D727" s="223"/>
      <c r="E727" s="223"/>
      <c r="F727" s="223"/>
      <c r="G727" s="223"/>
      <c r="H727" s="223"/>
      <c r="I727" s="223"/>
      <c r="J727" s="223"/>
      <c r="K727" s="223"/>
      <c r="L727" s="223"/>
      <c r="M727" s="223"/>
      <c r="N727" s="223"/>
    </row>
    <row r="728" ht="15.75" hidden="1" customHeight="1">
      <c r="A728" s="89"/>
      <c r="B728" s="89"/>
      <c r="C728" s="223"/>
      <c r="D728" s="223"/>
      <c r="E728" s="223"/>
      <c r="F728" s="223"/>
      <c r="G728" s="223"/>
      <c r="H728" s="223"/>
      <c r="I728" s="223"/>
      <c r="J728" s="223"/>
      <c r="K728" s="223"/>
      <c r="L728" s="223"/>
      <c r="M728" s="223"/>
      <c r="N728" s="223"/>
    </row>
    <row r="729" ht="15.75" hidden="1" customHeight="1">
      <c r="A729" s="89"/>
      <c r="B729" s="89"/>
      <c r="C729" s="223"/>
      <c r="D729" s="223"/>
      <c r="E729" s="223"/>
      <c r="F729" s="223"/>
      <c r="G729" s="223"/>
      <c r="H729" s="223"/>
      <c r="I729" s="223"/>
      <c r="J729" s="223"/>
      <c r="K729" s="223"/>
      <c r="L729" s="223"/>
      <c r="M729" s="223"/>
      <c r="N729" s="223"/>
    </row>
    <row r="730" ht="15.75" hidden="1" customHeight="1">
      <c r="A730" s="89"/>
      <c r="B730" s="89"/>
      <c r="C730" s="223"/>
      <c r="D730" s="223"/>
      <c r="E730" s="223"/>
      <c r="F730" s="223"/>
      <c r="G730" s="223"/>
      <c r="H730" s="223"/>
      <c r="I730" s="223"/>
      <c r="J730" s="223"/>
      <c r="K730" s="223"/>
      <c r="L730" s="223"/>
      <c r="M730" s="223"/>
      <c r="N730" s="223"/>
    </row>
    <row r="731" ht="15.75" hidden="1" customHeight="1">
      <c r="A731" s="89"/>
      <c r="B731" s="89"/>
      <c r="C731" s="223"/>
      <c r="D731" s="223"/>
      <c r="E731" s="223"/>
      <c r="F731" s="223"/>
      <c r="G731" s="223"/>
      <c r="H731" s="223"/>
      <c r="I731" s="223"/>
      <c r="J731" s="223"/>
      <c r="K731" s="223"/>
      <c r="L731" s="223"/>
      <c r="M731" s="223"/>
      <c r="N731" s="223"/>
    </row>
    <row r="732" ht="15.75" hidden="1" customHeight="1">
      <c r="A732" s="89"/>
      <c r="B732" s="89"/>
      <c r="C732" s="223"/>
      <c r="D732" s="223"/>
      <c r="E732" s="223"/>
      <c r="F732" s="223"/>
      <c r="G732" s="223"/>
      <c r="H732" s="223"/>
      <c r="I732" s="223"/>
      <c r="J732" s="223"/>
      <c r="K732" s="223"/>
      <c r="L732" s="223"/>
      <c r="M732" s="223"/>
      <c r="N732" s="223"/>
    </row>
    <row r="733" ht="15.75" hidden="1" customHeight="1">
      <c r="A733" s="89"/>
      <c r="B733" s="89"/>
      <c r="C733" s="223"/>
      <c r="D733" s="223"/>
      <c r="E733" s="223"/>
      <c r="F733" s="223"/>
      <c r="G733" s="223"/>
      <c r="H733" s="223"/>
      <c r="I733" s="223"/>
      <c r="J733" s="223"/>
      <c r="K733" s="223"/>
      <c r="L733" s="223"/>
      <c r="M733" s="223"/>
      <c r="N733" s="223"/>
    </row>
    <row r="734" ht="15.75" hidden="1" customHeight="1">
      <c r="A734" s="89"/>
      <c r="B734" s="89"/>
      <c r="C734" s="223"/>
      <c r="D734" s="223"/>
      <c r="E734" s="223"/>
      <c r="F734" s="223"/>
      <c r="G734" s="223"/>
      <c r="H734" s="223"/>
      <c r="I734" s="223"/>
      <c r="J734" s="223"/>
      <c r="K734" s="223"/>
      <c r="L734" s="223"/>
      <c r="M734" s="223"/>
      <c r="N734" s="223"/>
    </row>
    <row r="735" ht="15.75" hidden="1" customHeight="1">
      <c r="A735" s="89"/>
      <c r="B735" s="89"/>
      <c r="C735" s="223"/>
      <c r="D735" s="223"/>
      <c r="E735" s="223"/>
      <c r="F735" s="223"/>
      <c r="G735" s="223"/>
      <c r="H735" s="223"/>
      <c r="I735" s="223"/>
      <c r="J735" s="223"/>
      <c r="K735" s="223"/>
      <c r="L735" s="223"/>
      <c r="M735" s="223"/>
      <c r="N735" s="223"/>
    </row>
    <row r="736" ht="15.75" hidden="1" customHeight="1">
      <c r="A736" s="89"/>
      <c r="B736" s="89"/>
      <c r="C736" s="223"/>
      <c r="D736" s="223"/>
      <c r="E736" s="223"/>
      <c r="F736" s="223"/>
      <c r="G736" s="223"/>
      <c r="H736" s="223"/>
      <c r="I736" s="223"/>
      <c r="J736" s="223"/>
      <c r="K736" s="223"/>
      <c r="L736" s="223"/>
      <c r="M736" s="223"/>
      <c r="N736" s="223"/>
    </row>
    <row r="737" ht="15.75" hidden="1" customHeight="1">
      <c r="A737" s="89"/>
      <c r="B737" s="89"/>
      <c r="C737" s="223"/>
      <c r="D737" s="223"/>
      <c r="E737" s="223"/>
      <c r="F737" s="223"/>
      <c r="G737" s="223"/>
      <c r="H737" s="223"/>
      <c r="I737" s="223"/>
      <c r="J737" s="223"/>
      <c r="K737" s="223"/>
      <c r="L737" s="223"/>
      <c r="M737" s="223"/>
      <c r="N737" s="223"/>
    </row>
    <row r="738" ht="15.75" hidden="1" customHeight="1">
      <c r="A738" s="89"/>
      <c r="B738" s="89"/>
      <c r="C738" s="223"/>
      <c r="D738" s="223"/>
      <c r="E738" s="223"/>
      <c r="F738" s="223"/>
      <c r="G738" s="223"/>
      <c r="H738" s="223"/>
      <c r="I738" s="223"/>
      <c r="J738" s="223"/>
      <c r="K738" s="223"/>
      <c r="L738" s="223"/>
      <c r="M738" s="223"/>
      <c r="N738" s="223"/>
    </row>
    <row r="739" ht="15.75" hidden="1" customHeight="1">
      <c r="A739" s="89"/>
      <c r="B739" s="89"/>
      <c r="C739" s="223"/>
      <c r="D739" s="223"/>
      <c r="E739" s="223"/>
      <c r="F739" s="223"/>
      <c r="G739" s="223"/>
      <c r="H739" s="223"/>
      <c r="I739" s="223"/>
      <c r="J739" s="223"/>
      <c r="K739" s="223"/>
      <c r="L739" s="223"/>
      <c r="M739" s="223"/>
      <c r="N739" s="223"/>
    </row>
    <row r="740" ht="15.75" hidden="1" customHeight="1">
      <c r="A740" s="89"/>
      <c r="B740" s="89"/>
      <c r="C740" s="223"/>
      <c r="D740" s="223"/>
      <c r="E740" s="223"/>
      <c r="F740" s="223"/>
      <c r="G740" s="223"/>
      <c r="H740" s="223"/>
      <c r="I740" s="223"/>
      <c r="J740" s="223"/>
      <c r="K740" s="223"/>
      <c r="L740" s="223"/>
      <c r="M740" s="223"/>
      <c r="N740" s="223"/>
    </row>
    <row r="741" ht="15.75" hidden="1" customHeight="1">
      <c r="A741" s="89"/>
      <c r="B741" s="89"/>
      <c r="C741" s="223"/>
      <c r="D741" s="223"/>
      <c r="E741" s="223"/>
      <c r="F741" s="223"/>
      <c r="G741" s="223"/>
      <c r="H741" s="223"/>
      <c r="I741" s="223"/>
      <c r="J741" s="223"/>
      <c r="K741" s="223"/>
      <c r="L741" s="223"/>
      <c r="M741" s="223"/>
      <c r="N741" s="223"/>
    </row>
    <row r="742" ht="15.75" hidden="1" customHeight="1">
      <c r="A742" s="89"/>
      <c r="B742" s="89"/>
      <c r="C742" s="223"/>
      <c r="D742" s="223"/>
      <c r="E742" s="223"/>
      <c r="F742" s="223"/>
      <c r="G742" s="223"/>
      <c r="H742" s="223"/>
      <c r="I742" s="223"/>
      <c r="J742" s="223"/>
      <c r="K742" s="223"/>
      <c r="L742" s="223"/>
      <c r="M742" s="223"/>
      <c r="N742" s="223"/>
    </row>
    <row r="743" ht="15.75" hidden="1" customHeight="1">
      <c r="A743" s="89"/>
      <c r="B743" s="89"/>
      <c r="C743" s="223"/>
      <c r="D743" s="223"/>
      <c r="E743" s="223"/>
      <c r="F743" s="223"/>
      <c r="G743" s="223"/>
      <c r="H743" s="223"/>
      <c r="I743" s="223"/>
      <c r="J743" s="223"/>
      <c r="K743" s="223"/>
      <c r="L743" s="223"/>
      <c r="M743" s="223"/>
      <c r="N743" s="223"/>
    </row>
    <row r="744" ht="15.75" hidden="1" customHeight="1">
      <c r="A744" s="89"/>
      <c r="B744" s="89"/>
      <c r="C744" s="223"/>
      <c r="D744" s="223"/>
      <c r="E744" s="223"/>
      <c r="F744" s="223"/>
      <c r="G744" s="223"/>
      <c r="H744" s="223"/>
      <c r="I744" s="223"/>
      <c r="J744" s="223"/>
      <c r="K744" s="223"/>
      <c r="L744" s="223"/>
      <c r="M744" s="223"/>
      <c r="N744" s="223"/>
    </row>
    <row r="745" ht="15.75" hidden="1" customHeight="1">
      <c r="A745" s="89"/>
      <c r="B745" s="89"/>
      <c r="C745" s="223"/>
      <c r="D745" s="223"/>
      <c r="E745" s="223"/>
      <c r="F745" s="223"/>
      <c r="G745" s="223"/>
      <c r="H745" s="223"/>
      <c r="I745" s="223"/>
      <c r="J745" s="223"/>
      <c r="K745" s="223"/>
      <c r="L745" s="223"/>
      <c r="M745" s="223"/>
      <c r="N745" s="223"/>
    </row>
    <row r="746" ht="15.75" hidden="1" customHeight="1">
      <c r="A746" s="89"/>
      <c r="B746" s="89"/>
      <c r="C746" s="223"/>
      <c r="D746" s="223"/>
      <c r="E746" s="223"/>
      <c r="F746" s="223"/>
      <c r="G746" s="223"/>
      <c r="H746" s="223"/>
      <c r="I746" s="223"/>
      <c r="J746" s="223"/>
      <c r="K746" s="223"/>
      <c r="L746" s="223"/>
      <c r="M746" s="223"/>
      <c r="N746" s="223"/>
    </row>
    <row r="747" ht="15.75" hidden="1" customHeight="1">
      <c r="A747" s="89"/>
      <c r="B747" s="89"/>
      <c r="C747" s="223"/>
      <c r="D747" s="223"/>
      <c r="E747" s="223"/>
      <c r="F747" s="223"/>
      <c r="G747" s="223"/>
      <c r="H747" s="223"/>
      <c r="I747" s="223"/>
      <c r="J747" s="223"/>
      <c r="K747" s="223"/>
      <c r="L747" s="223"/>
      <c r="M747" s="223"/>
      <c r="N747" s="223"/>
    </row>
    <row r="748" ht="15.75" hidden="1" customHeight="1">
      <c r="A748" s="89"/>
      <c r="B748" s="89"/>
      <c r="C748" s="223"/>
      <c r="D748" s="223"/>
      <c r="E748" s="223"/>
      <c r="F748" s="223"/>
      <c r="G748" s="223"/>
      <c r="H748" s="223"/>
      <c r="I748" s="223"/>
      <c r="J748" s="223"/>
      <c r="K748" s="223"/>
      <c r="L748" s="223"/>
      <c r="M748" s="223"/>
      <c r="N748" s="223"/>
    </row>
    <row r="749" ht="15.75" hidden="1" customHeight="1">
      <c r="A749" s="89"/>
      <c r="B749" s="89"/>
      <c r="C749" s="223"/>
      <c r="D749" s="223"/>
      <c r="E749" s="223"/>
      <c r="F749" s="223"/>
      <c r="G749" s="223"/>
      <c r="H749" s="223"/>
      <c r="I749" s="223"/>
      <c r="J749" s="223"/>
      <c r="K749" s="223"/>
      <c r="L749" s="223"/>
      <c r="M749" s="223"/>
      <c r="N749" s="223"/>
    </row>
    <row r="750" ht="15.75" hidden="1" customHeight="1">
      <c r="A750" s="89"/>
      <c r="B750" s="89"/>
      <c r="C750" s="223"/>
      <c r="D750" s="223"/>
      <c r="E750" s="223"/>
      <c r="F750" s="223"/>
      <c r="G750" s="223"/>
      <c r="H750" s="223"/>
      <c r="I750" s="223"/>
      <c r="J750" s="223"/>
      <c r="K750" s="223"/>
      <c r="L750" s="223"/>
      <c r="M750" s="223"/>
      <c r="N750" s="223"/>
    </row>
    <row r="751" ht="15.75" hidden="1" customHeight="1">
      <c r="A751" s="89"/>
      <c r="B751" s="89"/>
      <c r="C751" s="223"/>
      <c r="D751" s="223"/>
      <c r="E751" s="223"/>
      <c r="F751" s="223"/>
      <c r="G751" s="223"/>
      <c r="H751" s="223"/>
      <c r="I751" s="223"/>
      <c r="J751" s="223"/>
      <c r="K751" s="223"/>
      <c r="L751" s="223"/>
      <c r="M751" s="223"/>
      <c r="N751" s="223"/>
    </row>
    <row r="752" ht="15.75" hidden="1" customHeight="1">
      <c r="A752" s="89"/>
      <c r="B752" s="89"/>
      <c r="C752" s="223"/>
      <c r="D752" s="223"/>
      <c r="E752" s="223"/>
      <c r="F752" s="223"/>
      <c r="G752" s="223"/>
      <c r="H752" s="223"/>
      <c r="I752" s="223"/>
      <c r="J752" s="223"/>
      <c r="K752" s="223"/>
      <c r="L752" s="223"/>
      <c r="M752" s="223"/>
      <c r="N752" s="223"/>
    </row>
    <row r="753" ht="15.75" hidden="1" customHeight="1">
      <c r="A753" s="89"/>
      <c r="B753" s="89"/>
      <c r="C753" s="223"/>
      <c r="D753" s="223"/>
      <c r="E753" s="223"/>
      <c r="F753" s="223"/>
      <c r="G753" s="223"/>
      <c r="H753" s="223"/>
      <c r="I753" s="223"/>
      <c r="J753" s="223"/>
      <c r="K753" s="223"/>
      <c r="L753" s="223"/>
      <c r="M753" s="223"/>
      <c r="N753" s="223"/>
    </row>
    <row r="754" ht="15.75" hidden="1" customHeight="1">
      <c r="A754" s="89"/>
      <c r="B754" s="89"/>
      <c r="C754" s="223"/>
      <c r="D754" s="223"/>
      <c r="E754" s="223"/>
      <c r="F754" s="223"/>
      <c r="G754" s="223"/>
      <c r="H754" s="223"/>
      <c r="I754" s="223"/>
      <c r="J754" s="223"/>
      <c r="K754" s="223"/>
      <c r="L754" s="223"/>
      <c r="M754" s="223"/>
      <c r="N754" s="223"/>
    </row>
    <row r="755" ht="15.75" hidden="1" customHeight="1">
      <c r="A755" s="89"/>
      <c r="B755" s="89"/>
      <c r="C755" s="223"/>
      <c r="D755" s="223"/>
      <c r="E755" s="223"/>
      <c r="F755" s="223"/>
      <c r="G755" s="223"/>
      <c r="H755" s="223"/>
      <c r="I755" s="223"/>
      <c r="J755" s="223"/>
      <c r="K755" s="223"/>
      <c r="L755" s="223"/>
      <c r="M755" s="223"/>
      <c r="N755" s="223"/>
    </row>
    <row r="756" ht="15.75" hidden="1" customHeight="1">
      <c r="A756" s="89"/>
      <c r="B756" s="89"/>
      <c r="C756" s="223"/>
      <c r="D756" s="223"/>
      <c r="E756" s="223"/>
      <c r="F756" s="223"/>
      <c r="G756" s="223"/>
      <c r="H756" s="223"/>
      <c r="I756" s="223"/>
      <c r="J756" s="223"/>
      <c r="K756" s="223"/>
      <c r="L756" s="223"/>
      <c r="M756" s="223"/>
      <c r="N756" s="223"/>
    </row>
    <row r="757" ht="15.75" hidden="1" customHeight="1">
      <c r="A757" s="89"/>
      <c r="B757" s="89"/>
      <c r="C757" s="223"/>
      <c r="D757" s="223"/>
      <c r="E757" s="223"/>
      <c r="F757" s="223"/>
      <c r="G757" s="223"/>
      <c r="H757" s="223"/>
      <c r="I757" s="223"/>
      <c r="J757" s="223"/>
      <c r="K757" s="223"/>
      <c r="L757" s="223"/>
      <c r="M757" s="223"/>
      <c r="N757" s="223"/>
    </row>
    <row r="758" ht="15.75" hidden="1" customHeight="1">
      <c r="A758" s="89"/>
      <c r="B758" s="89"/>
      <c r="C758" s="223"/>
      <c r="D758" s="223"/>
      <c r="E758" s="223"/>
      <c r="F758" s="223"/>
      <c r="G758" s="223"/>
      <c r="H758" s="223"/>
      <c r="I758" s="223"/>
      <c r="J758" s="223"/>
      <c r="K758" s="223"/>
      <c r="L758" s="223"/>
      <c r="M758" s="223"/>
      <c r="N758" s="223"/>
    </row>
    <row r="759" ht="15.75" hidden="1" customHeight="1">
      <c r="A759" s="89"/>
      <c r="B759" s="89"/>
      <c r="C759" s="223"/>
      <c r="D759" s="223"/>
      <c r="E759" s="223"/>
      <c r="F759" s="223"/>
      <c r="G759" s="223"/>
      <c r="H759" s="223"/>
      <c r="I759" s="223"/>
      <c r="J759" s="223"/>
      <c r="K759" s="223"/>
      <c r="L759" s="223"/>
      <c r="M759" s="223"/>
      <c r="N759" s="223"/>
    </row>
    <row r="760" ht="15.75" hidden="1" customHeight="1">
      <c r="A760" s="89"/>
      <c r="B760" s="89"/>
      <c r="C760" s="223"/>
      <c r="D760" s="223"/>
      <c r="E760" s="223"/>
      <c r="F760" s="223"/>
      <c r="G760" s="223"/>
      <c r="H760" s="223"/>
      <c r="I760" s="223"/>
      <c r="J760" s="223"/>
      <c r="K760" s="223"/>
      <c r="L760" s="223"/>
      <c r="M760" s="223"/>
      <c r="N760" s="223"/>
    </row>
    <row r="761" ht="15.75" hidden="1" customHeight="1">
      <c r="A761" s="89"/>
      <c r="B761" s="89"/>
      <c r="C761" s="223"/>
      <c r="D761" s="223"/>
      <c r="E761" s="223"/>
      <c r="F761" s="223"/>
      <c r="G761" s="223"/>
      <c r="H761" s="223"/>
      <c r="I761" s="223"/>
      <c r="J761" s="223"/>
      <c r="K761" s="223"/>
      <c r="L761" s="223"/>
      <c r="M761" s="223"/>
      <c r="N761" s="223"/>
    </row>
    <row r="762" ht="15.75" hidden="1" customHeight="1">
      <c r="A762" s="89"/>
      <c r="B762" s="89"/>
      <c r="C762" s="223"/>
      <c r="D762" s="223"/>
      <c r="E762" s="223"/>
      <c r="F762" s="223"/>
      <c r="G762" s="223"/>
      <c r="H762" s="223"/>
      <c r="I762" s="223"/>
      <c r="J762" s="223"/>
      <c r="K762" s="223"/>
      <c r="L762" s="223"/>
      <c r="M762" s="223"/>
      <c r="N762" s="223"/>
    </row>
    <row r="763" ht="15.75" hidden="1" customHeight="1">
      <c r="A763" s="89"/>
      <c r="B763" s="89"/>
      <c r="C763" s="223"/>
      <c r="D763" s="223"/>
      <c r="E763" s="223"/>
      <c r="F763" s="223"/>
      <c r="G763" s="223"/>
      <c r="H763" s="223"/>
      <c r="I763" s="223"/>
      <c r="J763" s="223"/>
      <c r="K763" s="223"/>
      <c r="L763" s="223"/>
      <c r="M763" s="223"/>
      <c r="N763" s="223"/>
    </row>
    <row r="764" ht="15.75" hidden="1" customHeight="1">
      <c r="A764" s="89"/>
      <c r="B764" s="89"/>
      <c r="C764" s="223"/>
      <c r="D764" s="223"/>
      <c r="E764" s="223"/>
      <c r="F764" s="223"/>
      <c r="G764" s="223"/>
      <c r="H764" s="223"/>
      <c r="I764" s="223"/>
      <c r="J764" s="223"/>
      <c r="K764" s="223"/>
      <c r="L764" s="223"/>
      <c r="M764" s="223"/>
      <c r="N764" s="223"/>
    </row>
    <row r="765" ht="15.75" hidden="1" customHeight="1">
      <c r="A765" s="89"/>
      <c r="B765" s="89"/>
      <c r="C765" s="223"/>
      <c r="D765" s="223"/>
      <c r="E765" s="223"/>
      <c r="F765" s="223"/>
      <c r="G765" s="223"/>
      <c r="H765" s="223"/>
      <c r="I765" s="223"/>
      <c r="J765" s="223"/>
      <c r="K765" s="223"/>
      <c r="L765" s="223"/>
      <c r="M765" s="223"/>
      <c r="N765" s="223"/>
    </row>
    <row r="766" ht="15.75" hidden="1" customHeight="1">
      <c r="A766" s="89"/>
      <c r="B766" s="89"/>
      <c r="C766" s="223"/>
      <c r="D766" s="223"/>
      <c r="E766" s="223"/>
      <c r="F766" s="223"/>
      <c r="G766" s="223"/>
      <c r="H766" s="223"/>
      <c r="I766" s="223"/>
      <c r="J766" s="223"/>
      <c r="K766" s="223"/>
      <c r="L766" s="223"/>
      <c r="M766" s="223"/>
      <c r="N766" s="223"/>
    </row>
    <row r="767" ht="15.75" hidden="1" customHeight="1">
      <c r="A767" s="89"/>
      <c r="B767" s="89"/>
      <c r="C767" s="223"/>
      <c r="D767" s="223"/>
      <c r="E767" s="223"/>
      <c r="F767" s="223"/>
      <c r="G767" s="223"/>
      <c r="H767" s="223"/>
      <c r="I767" s="223"/>
      <c r="J767" s="223"/>
      <c r="K767" s="223"/>
      <c r="L767" s="223"/>
      <c r="M767" s="223"/>
      <c r="N767" s="223"/>
    </row>
    <row r="768" ht="15.75" hidden="1" customHeight="1">
      <c r="A768" s="89"/>
      <c r="B768" s="89"/>
      <c r="C768" s="223"/>
      <c r="D768" s="223"/>
      <c r="E768" s="223"/>
      <c r="F768" s="223"/>
      <c r="G768" s="223"/>
      <c r="H768" s="223"/>
      <c r="I768" s="223"/>
      <c r="J768" s="223"/>
      <c r="K768" s="223"/>
      <c r="L768" s="223"/>
      <c r="M768" s="223"/>
      <c r="N768" s="223"/>
    </row>
    <row r="769" ht="15.75" hidden="1" customHeight="1">
      <c r="A769" s="89"/>
      <c r="B769" s="89"/>
      <c r="C769" s="223"/>
      <c r="D769" s="223"/>
      <c r="E769" s="223"/>
      <c r="F769" s="223"/>
      <c r="G769" s="223"/>
      <c r="H769" s="223"/>
      <c r="I769" s="223"/>
      <c r="J769" s="223"/>
      <c r="K769" s="223"/>
      <c r="L769" s="223"/>
      <c r="M769" s="223"/>
      <c r="N769" s="223"/>
    </row>
    <row r="770" ht="15.75" hidden="1" customHeight="1">
      <c r="A770" s="89"/>
      <c r="B770" s="89"/>
      <c r="C770" s="223"/>
      <c r="D770" s="223"/>
      <c r="E770" s="223"/>
      <c r="F770" s="223"/>
      <c r="G770" s="223"/>
      <c r="H770" s="223"/>
      <c r="I770" s="223"/>
      <c r="J770" s="223"/>
      <c r="K770" s="223"/>
      <c r="L770" s="223"/>
      <c r="M770" s="223"/>
      <c r="N770" s="223"/>
    </row>
    <row r="771" ht="15.75" hidden="1" customHeight="1">
      <c r="A771" s="89"/>
      <c r="B771" s="89"/>
      <c r="C771" s="223"/>
      <c r="D771" s="223"/>
      <c r="E771" s="223"/>
      <c r="F771" s="223"/>
      <c r="G771" s="223"/>
      <c r="H771" s="223"/>
      <c r="I771" s="223"/>
      <c r="J771" s="223"/>
      <c r="K771" s="223"/>
      <c r="L771" s="223"/>
      <c r="M771" s="223"/>
      <c r="N771" s="223"/>
    </row>
    <row r="772" ht="15.75" hidden="1" customHeight="1">
      <c r="A772" s="89"/>
      <c r="B772" s="89"/>
      <c r="C772" s="223"/>
      <c r="D772" s="223"/>
      <c r="E772" s="223"/>
      <c r="F772" s="223"/>
      <c r="G772" s="223"/>
      <c r="H772" s="223"/>
      <c r="I772" s="223"/>
      <c r="J772" s="223"/>
      <c r="K772" s="223"/>
      <c r="L772" s="223"/>
      <c r="M772" s="223"/>
      <c r="N772" s="223"/>
    </row>
    <row r="773" ht="15.75" hidden="1" customHeight="1">
      <c r="A773" s="89"/>
      <c r="B773" s="89"/>
      <c r="C773" s="223"/>
      <c r="D773" s="223"/>
      <c r="E773" s="223"/>
      <c r="F773" s="223"/>
      <c r="G773" s="223"/>
      <c r="H773" s="223"/>
      <c r="I773" s="223"/>
      <c r="J773" s="223"/>
      <c r="K773" s="223"/>
      <c r="L773" s="223"/>
      <c r="M773" s="223"/>
      <c r="N773" s="223"/>
    </row>
    <row r="774" ht="15.75" hidden="1" customHeight="1">
      <c r="A774" s="89"/>
      <c r="B774" s="89"/>
      <c r="C774" s="223"/>
      <c r="D774" s="223"/>
      <c r="E774" s="223"/>
      <c r="F774" s="223"/>
      <c r="G774" s="223"/>
      <c r="H774" s="223"/>
      <c r="I774" s="223"/>
      <c r="J774" s="223"/>
      <c r="K774" s="223"/>
      <c r="L774" s="223"/>
      <c r="M774" s="223"/>
      <c r="N774" s="223"/>
    </row>
    <row r="775" ht="15.75" hidden="1" customHeight="1">
      <c r="A775" s="89"/>
      <c r="B775" s="89"/>
      <c r="C775" s="223"/>
      <c r="D775" s="223"/>
      <c r="E775" s="223"/>
      <c r="F775" s="223"/>
      <c r="G775" s="223"/>
      <c r="H775" s="223"/>
      <c r="I775" s="223"/>
      <c r="J775" s="223"/>
      <c r="K775" s="223"/>
      <c r="L775" s="223"/>
      <c r="M775" s="223"/>
      <c r="N775" s="223"/>
    </row>
    <row r="776" ht="15.75" hidden="1" customHeight="1">
      <c r="A776" s="89"/>
      <c r="B776" s="89"/>
      <c r="C776" s="223"/>
      <c r="D776" s="223"/>
      <c r="E776" s="223"/>
      <c r="F776" s="223"/>
      <c r="G776" s="223"/>
      <c r="H776" s="223"/>
      <c r="I776" s="223"/>
      <c r="J776" s="223"/>
      <c r="K776" s="223"/>
      <c r="L776" s="223"/>
      <c r="M776" s="223"/>
      <c r="N776" s="223"/>
    </row>
    <row r="777" ht="15.75" hidden="1" customHeight="1">
      <c r="A777" s="89"/>
      <c r="B777" s="89"/>
      <c r="C777" s="223"/>
      <c r="D777" s="223"/>
      <c r="E777" s="223"/>
      <c r="F777" s="223"/>
      <c r="G777" s="223"/>
      <c r="H777" s="223"/>
      <c r="I777" s="223"/>
      <c r="J777" s="223"/>
      <c r="K777" s="223"/>
      <c r="L777" s="223"/>
      <c r="M777" s="223"/>
      <c r="N777" s="223"/>
    </row>
    <row r="778" ht="15.75" hidden="1" customHeight="1">
      <c r="A778" s="89"/>
      <c r="B778" s="89"/>
      <c r="C778" s="223"/>
      <c r="D778" s="223"/>
      <c r="E778" s="223"/>
      <c r="F778" s="223"/>
      <c r="G778" s="223"/>
      <c r="H778" s="223"/>
      <c r="I778" s="223"/>
      <c r="J778" s="223"/>
      <c r="K778" s="223"/>
      <c r="L778" s="223"/>
      <c r="M778" s="223"/>
      <c r="N778" s="223"/>
    </row>
    <row r="779" ht="15.75" hidden="1" customHeight="1">
      <c r="A779" s="89"/>
      <c r="B779" s="89"/>
      <c r="C779" s="223"/>
      <c r="D779" s="223"/>
      <c r="E779" s="223"/>
      <c r="F779" s="223"/>
      <c r="G779" s="223"/>
      <c r="H779" s="223"/>
      <c r="I779" s="223"/>
      <c r="J779" s="223"/>
      <c r="K779" s="223"/>
      <c r="L779" s="223"/>
      <c r="M779" s="223"/>
      <c r="N779" s="223"/>
    </row>
    <row r="780" ht="15.75" hidden="1" customHeight="1">
      <c r="A780" s="89"/>
      <c r="B780" s="89"/>
      <c r="C780" s="223"/>
      <c r="D780" s="223"/>
      <c r="E780" s="223"/>
      <c r="F780" s="223"/>
      <c r="G780" s="223"/>
      <c r="H780" s="223"/>
      <c r="I780" s="223"/>
      <c r="J780" s="223"/>
      <c r="K780" s="223"/>
      <c r="L780" s="223"/>
      <c r="M780" s="223"/>
      <c r="N780" s="223"/>
    </row>
    <row r="781" ht="15.75" hidden="1" customHeight="1">
      <c r="A781" s="89"/>
      <c r="B781" s="89"/>
      <c r="C781" s="223"/>
      <c r="D781" s="223"/>
      <c r="E781" s="223"/>
      <c r="F781" s="223"/>
      <c r="G781" s="223"/>
      <c r="H781" s="223"/>
      <c r="I781" s="223"/>
      <c r="J781" s="223"/>
      <c r="K781" s="223"/>
      <c r="L781" s="223"/>
      <c r="M781" s="223"/>
      <c r="N781" s="223"/>
    </row>
    <row r="782" ht="15.75" hidden="1" customHeight="1">
      <c r="A782" s="89"/>
      <c r="B782" s="89"/>
      <c r="C782" s="223"/>
      <c r="D782" s="223"/>
      <c r="E782" s="223"/>
      <c r="F782" s="223"/>
      <c r="G782" s="223"/>
      <c r="H782" s="223"/>
      <c r="I782" s="223"/>
      <c r="J782" s="223"/>
      <c r="K782" s="223"/>
      <c r="L782" s="223"/>
      <c r="M782" s="223"/>
      <c r="N782" s="223"/>
    </row>
    <row r="783" ht="15.75" hidden="1" customHeight="1">
      <c r="A783" s="89"/>
      <c r="B783" s="89"/>
      <c r="C783" s="223"/>
      <c r="D783" s="223"/>
      <c r="E783" s="223"/>
      <c r="F783" s="223"/>
      <c r="G783" s="223"/>
      <c r="H783" s="223"/>
      <c r="I783" s="223"/>
      <c r="J783" s="223"/>
      <c r="K783" s="223"/>
      <c r="L783" s="223"/>
      <c r="M783" s="223"/>
      <c r="N783" s="223"/>
    </row>
    <row r="784" ht="15.75" hidden="1" customHeight="1">
      <c r="A784" s="89"/>
      <c r="B784" s="89"/>
      <c r="C784" s="223"/>
      <c r="D784" s="223"/>
      <c r="E784" s="223"/>
      <c r="F784" s="223"/>
      <c r="G784" s="223"/>
      <c r="H784" s="223"/>
      <c r="I784" s="223"/>
      <c r="J784" s="223"/>
      <c r="K784" s="223"/>
      <c r="L784" s="223"/>
      <c r="M784" s="223"/>
      <c r="N784" s="223"/>
    </row>
    <row r="785" ht="15.75" hidden="1" customHeight="1">
      <c r="A785" s="89"/>
      <c r="B785" s="89"/>
      <c r="C785" s="223"/>
      <c r="D785" s="223"/>
      <c r="E785" s="223"/>
      <c r="F785" s="223"/>
      <c r="G785" s="223"/>
      <c r="H785" s="223"/>
      <c r="I785" s="223"/>
      <c r="J785" s="223"/>
      <c r="K785" s="223"/>
      <c r="L785" s="223"/>
      <c r="M785" s="223"/>
      <c r="N785" s="223"/>
    </row>
    <row r="786" ht="15.75" hidden="1" customHeight="1">
      <c r="A786" s="89"/>
      <c r="B786" s="89"/>
      <c r="C786" s="223"/>
      <c r="D786" s="223"/>
      <c r="E786" s="223"/>
      <c r="F786" s="223"/>
      <c r="G786" s="223"/>
      <c r="H786" s="223"/>
      <c r="I786" s="223"/>
      <c r="J786" s="223"/>
      <c r="K786" s="223"/>
      <c r="L786" s="223"/>
      <c r="M786" s="223"/>
      <c r="N786" s="223"/>
    </row>
    <row r="787" ht="15.75" hidden="1" customHeight="1">
      <c r="A787" s="89"/>
      <c r="B787" s="89"/>
      <c r="C787" s="223"/>
      <c r="D787" s="223"/>
      <c r="E787" s="223"/>
      <c r="F787" s="223"/>
      <c r="G787" s="223"/>
      <c r="H787" s="223"/>
      <c r="I787" s="223"/>
      <c r="J787" s="223"/>
      <c r="K787" s="223"/>
      <c r="L787" s="223"/>
      <c r="M787" s="223"/>
      <c r="N787" s="223"/>
    </row>
    <row r="788" ht="15.75" hidden="1" customHeight="1">
      <c r="A788" s="89"/>
      <c r="B788" s="89"/>
      <c r="C788" s="223"/>
      <c r="D788" s="223"/>
      <c r="E788" s="223"/>
      <c r="F788" s="223"/>
      <c r="G788" s="223"/>
      <c r="H788" s="223"/>
      <c r="I788" s="223"/>
      <c r="J788" s="223"/>
      <c r="K788" s="223"/>
      <c r="L788" s="223"/>
      <c r="M788" s="223"/>
      <c r="N788" s="223"/>
    </row>
    <row r="789" ht="15.75" hidden="1" customHeight="1">
      <c r="A789" s="89"/>
      <c r="B789" s="89"/>
      <c r="C789" s="223"/>
      <c r="D789" s="223"/>
      <c r="E789" s="223"/>
      <c r="F789" s="223"/>
      <c r="G789" s="223"/>
      <c r="H789" s="223"/>
      <c r="I789" s="223"/>
      <c r="J789" s="223"/>
      <c r="K789" s="223"/>
      <c r="L789" s="223"/>
      <c r="M789" s="223"/>
      <c r="N789" s="223"/>
    </row>
    <row r="790" ht="15.75" hidden="1" customHeight="1">
      <c r="A790" s="89"/>
      <c r="B790" s="89"/>
      <c r="C790" s="223"/>
      <c r="D790" s="223"/>
      <c r="E790" s="223"/>
      <c r="F790" s="223"/>
      <c r="G790" s="223"/>
      <c r="H790" s="223"/>
      <c r="I790" s="223"/>
      <c r="J790" s="223"/>
      <c r="K790" s="223"/>
      <c r="L790" s="223"/>
      <c r="M790" s="223"/>
      <c r="N790" s="223"/>
    </row>
    <row r="791" ht="15.75" hidden="1" customHeight="1">
      <c r="A791" s="89"/>
      <c r="B791" s="89"/>
      <c r="C791" s="223"/>
      <c r="D791" s="223"/>
      <c r="E791" s="223"/>
      <c r="F791" s="223"/>
      <c r="G791" s="223"/>
      <c r="H791" s="223"/>
      <c r="I791" s="223"/>
      <c r="J791" s="223"/>
      <c r="K791" s="223"/>
      <c r="L791" s="223"/>
      <c r="M791" s="223"/>
      <c r="N791" s="223"/>
    </row>
    <row r="792" ht="15.75" hidden="1" customHeight="1">
      <c r="A792" s="89"/>
      <c r="B792" s="89"/>
      <c r="C792" s="223"/>
      <c r="D792" s="223"/>
      <c r="E792" s="223"/>
      <c r="F792" s="223"/>
      <c r="G792" s="223"/>
      <c r="H792" s="223"/>
      <c r="I792" s="223"/>
      <c r="J792" s="223"/>
      <c r="K792" s="223"/>
      <c r="L792" s="223"/>
      <c r="M792" s="223"/>
      <c r="N792" s="223"/>
    </row>
    <row r="793" ht="15.75" hidden="1" customHeight="1">
      <c r="A793" s="89"/>
      <c r="B793" s="89"/>
      <c r="C793" s="223"/>
      <c r="D793" s="223"/>
      <c r="E793" s="223"/>
      <c r="F793" s="223"/>
      <c r="G793" s="223"/>
      <c r="H793" s="223"/>
      <c r="I793" s="223"/>
      <c r="J793" s="223"/>
      <c r="K793" s="223"/>
      <c r="L793" s="223"/>
      <c r="M793" s="223"/>
      <c r="N793" s="223"/>
    </row>
    <row r="794" ht="15.75" hidden="1" customHeight="1">
      <c r="A794" s="89"/>
      <c r="B794" s="89"/>
      <c r="C794" s="223"/>
      <c r="D794" s="223"/>
      <c r="E794" s="223"/>
      <c r="F794" s="223"/>
      <c r="G794" s="223"/>
      <c r="H794" s="223"/>
      <c r="I794" s="223"/>
      <c r="J794" s="223"/>
      <c r="K794" s="223"/>
      <c r="L794" s="223"/>
      <c r="M794" s="223"/>
      <c r="N794" s="223"/>
    </row>
    <row r="795" ht="15.75" hidden="1" customHeight="1">
      <c r="A795" s="89"/>
      <c r="B795" s="89"/>
      <c r="C795" s="223"/>
      <c r="D795" s="223"/>
      <c r="E795" s="223"/>
      <c r="F795" s="223"/>
      <c r="G795" s="223"/>
      <c r="H795" s="223"/>
      <c r="I795" s="223"/>
      <c r="J795" s="223"/>
      <c r="K795" s="223"/>
      <c r="L795" s="223"/>
      <c r="M795" s="223"/>
      <c r="N795" s="223"/>
    </row>
    <row r="796" ht="15.75" hidden="1" customHeight="1">
      <c r="A796" s="89"/>
      <c r="B796" s="89"/>
      <c r="C796" s="223"/>
      <c r="D796" s="223"/>
      <c r="E796" s="223"/>
      <c r="F796" s="223"/>
      <c r="G796" s="223"/>
      <c r="H796" s="223"/>
      <c r="I796" s="223"/>
      <c r="J796" s="223"/>
      <c r="K796" s="223"/>
      <c r="L796" s="223"/>
      <c r="M796" s="223"/>
      <c r="N796" s="223"/>
    </row>
    <row r="797" ht="15.75" hidden="1" customHeight="1">
      <c r="A797" s="89"/>
      <c r="B797" s="89"/>
      <c r="C797" s="223"/>
      <c r="D797" s="223"/>
      <c r="E797" s="223"/>
      <c r="F797" s="223"/>
      <c r="G797" s="223"/>
      <c r="H797" s="223"/>
      <c r="I797" s="223"/>
      <c r="J797" s="223"/>
      <c r="K797" s="223"/>
      <c r="L797" s="223"/>
      <c r="M797" s="223"/>
      <c r="N797" s="223"/>
    </row>
    <row r="798" ht="15.75" hidden="1" customHeight="1">
      <c r="A798" s="89"/>
      <c r="B798" s="89"/>
      <c r="C798" s="223"/>
      <c r="D798" s="223"/>
      <c r="E798" s="223"/>
      <c r="F798" s="223"/>
      <c r="G798" s="223"/>
      <c r="H798" s="223"/>
      <c r="I798" s="223"/>
      <c r="J798" s="223"/>
      <c r="K798" s="223"/>
      <c r="L798" s="223"/>
      <c r="M798" s="223"/>
      <c r="N798" s="223"/>
    </row>
    <row r="799" ht="15.75" hidden="1" customHeight="1">
      <c r="A799" s="89"/>
      <c r="B799" s="89"/>
      <c r="C799" s="223"/>
      <c r="D799" s="223"/>
      <c r="E799" s="223"/>
      <c r="F799" s="223"/>
      <c r="G799" s="223"/>
      <c r="H799" s="223"/>
      <c r="I799" s="223"/>
      <c r="J799" s="223"/>
      <c r="K799" s="223"/>
      <c r="L799" s="223"/>
      <c r="M799" s="223"/>
      <c r="N799" s="223"/>
    </row>
    <row r="800" ht="15.75" hidden="1" customHeight="1">
      <c r="A800" s="89"/>
      <c r="B800" s="89"/>
      <c r="C800" s="223"/>
      <c r="D800" s="223"/>
      <c r="E800" s="223"/>
      <c r="F800" s="223"/>
      <c r="G800" s="223"/>
      <c r="H800" s="223"/>
      <c r="I800" s="223"/>
      <c r="J800" s="223"/>
      <c r="K800" s="223"/>
      <c r="L800" s="223"/>
      <c r="M800" s="223"/>
      <c r="N800" s="223"/>
    </row>
    <row r="801" ht="15.75" hidden="1" customHeight="1">
      <c r="A801" s="89"/>
      <c r="B801" s="89"/>
      <c r="C801" s="223"/>
      <c r="D801" s="223"/>
      <c r="E801" s="223"/>
      <c r="F801" s="223"/>
      <c r="G801" s="223"/>
      <c r="H801" s="223"/>
      <c r="I801" s="223"/>
      <c r="J801" s="223"/>
      <c r="K801" s="223"/>
      <c r="L801" s="223"/>
      <c r="M801" s="223"/>
      <c r="N801" s="223"/>
    </row>
    <row r="802" ht="15.75" hidden="1" customHeight="1">
      <c r="A802" s="89"/>
      <c r="B802" s="89"/>
      <c r="C802" s="223"/>
      <c r="D802" s="223"/>
      <c r="E802" s="223"/>
      <c r="F802" s="223"/>
      <c r="G802" s="223"/>
      <c r="H802" s="223"/>
      <c r="I802" s="223"/>
      <c r="J802" s="223"/>
      <c r="K802" s="223"/>
      <c r="L802" s="223"/>
      <c r="M802" s="223"/>
      <c r="N802" s="223"/>
    </row>
    <row r="803" ht="15.75" hidden="1" customHeight="1">
      <c r="A803" s="89"/>
      <c r="B803" s="89"/>
      <c r="C803" s="223"/>
      <c r="D803" s="223"/>
      <c r="E803" s="223"/>
      <c r="F803" s="223"/>
      <c r="G803" s="223"/>
      <c r="H803" s="223"/>
      <c r="I803" s="223"/>
      <c r="J803" s="223"/>
      <c r="K803" s="223"/>
      <c r="L803" s="223"/>
      <c r="M803" s="223"/>
      <c r="N803" s="223"/>
    </row>
    <row r="804" ht="15.75" hidden="1" customHeight="1">
      <c r="A804" s="89"/>
      <c r="B804" s="89"/>
      <c r="C804" s="223"/>
      <c r="D804" s="223"/>
      <c r="E804" s="223"/>
      <c r="F804" s="223"/>
      <c r="G804" s="223"/>
      <c r="H804" s="223"/>
      <c r="I804" s="223"/>
      <c r="J804" s="223"/>
      <c r="K804" s="223"/>
      <c r="L804" s="223"/>
      <c r="M804" s="223"/>
      <c r="N804" s="223"/>
    </row>
    <row r="805" ht="15.75" hidden="1" customHeight="1">
      <c r="A805" s="89"/>
      <c r="B805" s="89"/>
      <c r="C805" s="223"/>
      <c r="D805" s="223"/>
      <c r="E805" s="223"/>
      <c r="F805" s="223"/>
      <c r="G805" s="223"/>
      <c r="H805" s="223"/>
      <c r="I805" s="223"/>
      <c r="J805" s="223"/>
      <c r="K805" s="223"/>
      <c r="L805" s="223"/>
      <c r="M805" s="223"/>
      <c r="N805" s="223"/>
    </row>
    <row r="806" ht="15.75" hidden="1" customHeight="1">
      <c r="A806" s="89"/>
      <c r="B806" s="89"/>
      <c r="C806" s="223"/>
      <c r="D806" s="223"/>
      <c r="E806" s="223"/>
      <c r="F806" s="223"/>
      <c r="G806" s="223"/>
      <c r="H806" s="223"/>
      <c r="I806" s="223"/>
      <c r="J806" s="223"/>
      <c r="K806" s="223"/>
      <c r="L806" s="223"/>
      <c r="M806" s="223"/>
      <c r="N806" s="223"/>
    </row>
    <row r="807" ht="15.75" hidden="1" customHeight="1">
      <c r="A807" s="89"/>
      <c r="B807" s="89"/>
      <c r="C807" s="223"/>
      <c r="D807" s="223"/>
      <c r="E807" s="223"/>
      <c r="F807" s="223"/>
      <c r="G807" s="223"/>
      <c r="H807" s="223"/>
      <c r="I807" s="223"/>
      <c r="J807" s="223"/>
      <c r="K807" s="223"/>
      <c r="L807" s="223"/>
      <c r="M807" s="223"/>
      <c r="N807" s="223"/>
    </row>
    <row r="808" ht="15.75" hidden="1" customHeight="1">
      <c r="A808" s="89"/>
      <c r="B808" s="89"/>
      <c r="C808" s="223"/>
      <c r="D808" s="223"/>
      <c r="E808" s="223"/>
      <c r="F808" s="223"/>
      <c r="G808" s="223"/>
      <c r="H808" s="223"/>
      <c r="I808" s="223"/>
      <c r="J808" s="223"/>
      <c r="K808" s="223"/>
      <c r="L808" s="223"/>
      <c r="M808" s="223"/>
      <c r="N808" s="223"/>
    </row>
    <row r="809" ht="15.75" hidden="1" customHeight="1">
      <c r="A809" s="89"/>
      <c r="B809" s="89"/>
      <c r="C809" s="223"/>
      <c r="D809" s="223"/>
      <c r="E809" s="223"/>
      <c r="F809" s="223"/>
      <c r="G809" s="223"/>
      <c r="H809" s="223"/>
      <c r="I809" s="223"/>
      <c r="J809" s="223"/>
      <c r="K809" s="223"/>
      <c r="L809" s="223"/>
      <c r="M809" s="223"/>
      <c r="N809" s="223"/>
    </row>
    <row r="810" ht="15.75" hidden="1" customHeight="1">
      <c r="A810" s="89"/>
      <c r="B810" s="89"/>
      <c r="C810" s="223"/>
      <c r="D810" s="223"/>
      <c r="E810" s="223"/>
      <c r="F810" s="223"/>
      <c r="G810" s="223"/>
      <c r="H810" s="223"/>
      <c r="I810" s="223"/>
      <c r="J810" s="223"/>
      <c r="K810" s="223"/>
      <c r="L810" s="223"/>
      <c r="M810" s="223"/>
      <c r="N810" s="223"/>
    </row>
    <row r="811" ht="15.75" hidden="1" customHeight="1">
      <c r="A811" s="89"/>
      <c r="B811" s="89"/>
      <c r="C811" s="223"/>
      <c r="D811" s="223"/>
      <c r="E811" s="223"/>
      <c r="F811" s="223"/>
      <c r="G811" s="223"/>
      <c r="H811" s="223"/>
      <c r="I811" s="223"/>
      <c r="J811" s="223"/>
      <c r="K811" s="223"/>
      <c r="L811" s="223"/>
      <c r="M811" s="223"/>
      <c r="N811" s="223"/>
    </row>
    <row r="812" ht="15.75" hidden="1" customHeight="1">
      <c r="A812" s="89"/>
      <c r="B812" s="89"/>
      <c r="C812" s="223"/>
      <c r="D812" s="223"/>
      <c r="E812" s="223"/>
      <c r="F812" s="223"/>
      <c r="G812" s="223"/>
      <c r="H812" s="223"/>
      <c r="I812" s="223"/>
      <c r="J812" s="223"/>
      <c r="K812" s="223"/>
      <c r="L812" s="223"/>
      <c r="M812" s="223"/>
      <c r="N812" s="223"/>
    </row>
    <row r="813" ht="15.75" hidden="1" customHeight="1">
      <c r="A813" s="89"/>
      <c r="B813" s="89"/>
      <c r="C813" s="223"/>
      <c r="D813" s="223"/>
      <c r="E813" s="223"/>
      <c r="F813" s="223"/>
      <c r="G813" s="223"/>
      <c r="H813" s="223"/>
      <c r="I813" s="223"/>
      <c r="J813" s="223"/>
      <c r="K813" s="223"/>
      <c r="L813" s="223"/>
      <c r="M813" s="223"/>
      <c r="N813" s="223"/>
    </row>
    <row r="814" ht="15.75" hidden="1" customHeight="1">
      <c r="A814" s="89"/>
      <c r="B814" s="89"/>
      <c r="C814" s="223"/>
      <c r="D814" s="223"/>
      <c r="E814" s="223"/>
      <c r="F814" s="223"/>
      <c r="G814" s="223"/>
      <c r="H814" s="223"/>
      <c r="I814" s="223"/>
      <c r="J814" s="223"/>
      <c r="K814" s="223"/>
      <c r="L814" s="223"/>
      <c r="M814" s="223"/>
      <c r="N814" s="223"/>
    </row>
    <row r="815" ht="15.75" hidden="1" customHeight="1">
      <c r="A815" s="89"/>
      <c r="B815" s="89"/>
      <c r="C815" s="223"/>
      <c r="D815" s="223"/>
      <c r="E815" s="223"/>
      <c r="F815" s="223"/>
      <c r="G815" s="223"/>
      <c r="H815" s="223"/>
      <c r="I815" s="223"/>
      <c r="J815" s="223"/>
      <c r="K815" s="223"/>
      <c r="L815" s="223"/>
      <c r="M815" s="223"/>
      <c r="N815" s="223"/>
    </row>
    <row r="816" ht="15.75" hidden="1" customHeight="1">
      <c r="A816" s="89"/>
      <c r="B816" s="89"/>
      <c r="C816" s="223"/>
      <c r="D816" s="223"/>
      <c r="E816" s="223"/>
      <c r="F816" s="223"/>
      <c r="G816" s="223"/>
      <c r="H816" s="223"/>
      <c r="I816" s="223"/>
      <c r="J816" s="223"/>
      <c r="K816" s="223"/>
      <c r="L816" s="223"/>
      <c r="M816" s="223"/>
      <c r="N816" s="223"/>
    </row>
    <row r="817" ht="15.75" hidden="1" customHeight="1">
      <c r="A817" s="89"/>
      <c r="B817" s="89"/>
      <c r="C817" s="223"/>
      <c r="D817" s="223"/>
      <c r="E817" s="223"/>
      <c r="F817" s="223"/>
      <c r="G817" s="223"/>
      <c r="H817" s="223"/>
      <c r="I817" s="223"/>
      <c r="J817" s="223"/>
      <c r="K817" s="223"/>
      <c r="L817" s="223"/>
      <c r="M817" s="223"/>
      <c r="N817" s="223"/>
    </row>
    <row r="818" ht="15.75" hidden="1" customHeight="1">
      <c r="A818" s="89"/>
      <c r="B818" s="89"/>
      <c r="C818" s="223"/>
      <c r="D818" s="223"/>
      <c r="E818" s="223"/>
      <c r="F818" s="223"/>
      <c r="G818" s="223"/>
      <c r="H818" s="223"/>
      <c r="I818" s="223"/>
      <c r="J818" s="223"/>
      <c r="K818" s="223"/>
      <c r="L818" s="223"/>
      <c r="M818" s="223"/>
      <c r="N818" s="223"/>
    </row>
    <row r="819" ht="15.75" hidden="1" customHeight="1">
      <c r="A819" s="89"/>
      <c r="B819" s="89"/>
      <c r="C819" s="223"/>
      <c r="D819" s="223"/>
      <c r="E819" s="223"/>
      <c r="F819" s="223"/>
      <c r="G819" s="223"/>
      <c r="H819" s="223"/>
      <c r="I819" s="223"/>
      <c r="J819" s="223"/>
      <c r="K819" s="223"/>
      <c r="L819" s="223"/>
      <c r="M819" s="223"/>
      <c r="N819" s="223"/>
    </row>
    <row r="820" ht="15.75" hidden="1" customHeight="1">
      <c r="A820" s="89"/>
      <c r="B820" s="89"/>
      <c r="C820" s="223"/>
      <c r="D820" s="223"/>
      <c r="E820" s="223"/>
      <c r="F820" s="223"/>
      <c r="G820" s="223"/>
      <c r="H820" s="223"/>
      <c r="I820" s="223"/>
      <c r="J820" s="223"/>
      <c r="K820" s="223"/>
      <c r="L820" s="223"/>
      <c r="M820" s="223"/>
      <c r="N820" s="223"/>
    </row>
    <row r="821" ht="15.75" hidden="1" customHeight="1">
      <c r="A821" s="89"/>
      <c r="B821" s="89"/>
      <c r="C821" s="223"/>
      <c r="D821" s="223"/>
      <c r="E821" s="223"/>
      <c r="F821" s="223"/>
      <c r="G821" s="223"/>
      <c r="H821" s="223"/>
      <c r="I821" s="223"/>
      <c r="J821" s="223"/>
      <c r="K821" s="223"/>
      <c r="L821" s="223"/>
      <c r="M821" s="223"/>
      <c r="N821" s="223"/>
    </row>
    <row r="822" ht="15.75" hidden="1" customHeight="1">
      <c r="A822" s="89"/>
      <c r="B822" s="89"/>
      <c r="C822" s="223"/>
      <c r="D822" s="223"/>
      <c r="E822" s="223"/>
      <c r="F822" s="223"/>
      <c r="G822" s="223"/>
      <c r="H822" s="223"/>
      <c r="I822" s="223"/>
      <c r="J822" s="223"/>
      <c r="K822" s="223"/>
      <c r="L822" s="223"/>
      <c r="M822" s="223"/>
      <c r="N822" s="223"/>
    </row>
    <row r="823" ht="15.75" hidden="1" customHeight="1">
      <c r="A823" s="89"/>
      <c r="B823" s="89"/>
      <c r="C823" s="223"/>
      <c r="D823" s="223"/>
      <c r="E823" s="223"/>
      <c r="F823" s="223"/>
      <c r="G823" s="223"/>
      <c r="H823" s="223"/>
      <c r="I823" s="223"/>
      <c r="J823" s="223"/>
      <c r="K823" s="223"/>
      <c r="L823" s="223"/>
      <c r="M823" s="223"/>
      <c r="N823" s="223"/>
    </row>
    <row r="824" ht="15.75" hidden="1" customHeight="1">
      <c r="A824" s="89"/>
      <c r="B824" s="89"/>
      <c r="C824" s="223"/>
      <c r="D824" s="223"/>
      <c r="E824" s="223"/>
      <c r="F824" s="223"/>
      <c r="G824" s="223"/>
      <c r="H824" s="223"/>
      <c r="I824" s="223"/>
      <c r="J824" s="223"/>
      <c r="K824" s="223"/>
      <c r="L824" s="223"/>
      <c r="M824" s="223"/>
      <c r="N824" s="223"/>
    </row>
    <row r="825" ht="15.75" hidden="1" customHeight="1">
      <c r="A825" s="89"/>
      <c r="B825" s="89"/>
      <c r="C825" s="223"/>
      <c r="D825" s="223"/>
      <c r="E825" s="223"/>
      <c r="F825" s="223"/>
      <c r="G825" s="223"/>
      <c r="H825" s="223"/>
      <c r="I825" s="223"/>
      <c r="J825" s="223"/>
      <c r="K825" s="223"/>
      <c r="L825" s="223"/>
      <c r="M825" s="223"/>
      <c r="N825" s="223"/>
    </row>
    <row r="826" ht="15.75" hidden="1" customHeight="1">
      <c r="A826" s="89"/>
      <c r="B826" s="89"/>
      <c r="C826" s="223"/>
      <c r="D826" s="223"/>
      <c r="E826" s="223"/>
      <c r="F826" s="223"/>
      <c r="G826" s="223"/>
      <c r="H826" s="223"/>
      <c r="I826" s="223"/>
      <c r="J826" s="223"/>
      <c r="K826" s="223"/>
      <c r="L826" s="223"/>
      <c r="M826" s="223"/>
      <c r="N826" s="223"/>
    </row>
    <row r="827" ht="15.75" hidden="1" customHeight="1">
      <c r="A827" s="89"/>
      <c r="B827" s="89"/>
      <c r="C827" s="223"/>
      <c r="D827" s="223"/>
      <c r="E827" s="223"/>
      <c r="F827" s="223"/>
      <c r="G827" s="223"/>
      <c r="H827" s="223"/>
      <c r="I827" s="223"/>
      <c r="J827" s="223"/>
      <c r="K827" s="223"/>
      <c r="L827" s="223"/>
      <c r="M827" s="223"/>
      <c r="N827" s="223"/>
    </row>
    <row r="828" ht="15.75" hidden="1" customHeight="1">
      <c r="A828" s="89"/>
      <c r="B828" s="89"/>
      <c r="C828" s="223"/>
      <c r="D828" s="223"/>
      <c r="E828" s="223"/>
      <c r="F828" s="223"/>
      <c r="G828" s="223"/>
      <c r="H828" s="223"/>
      <c r="I828" s="223"/>
      <c r="J828" s="223"/>
      <c r="K828" s="223"/>
      <c r="L828" s="223"/>
      <c r="M828" s="223"/>
      <c r="N828" s="223"/>
    </row>
    <row r="829" ht="15.75" hidden="1" customHeight="1">
      <c r="A829" s="89"/>
      <c r="B829" s="89"/>
      <c r="C829" s="223"/>
      <c r="D829" s="223"/>
      <c r="E829" s="223"/>
      <c r="F829" s="223"/>
      <c r="G829" s="223"/>
      <c r="H829" s="223"/>
      <c r="I829" s="223"/>
      <c r="J829" s="223"/>
      <c r="K829" s="223"/>
      <c r="L829" s="223"/>
      <c r="M829" s="223"/>
      <c r="N829" s="223"/>
    </row>
    <row r="830" ht="15.75" hidden="1" customHeight="1">
      <c r="A830" s="89"/>
      <c r="B830" s="89"/>
      <c r="C830" s="223"/>
      <c r="D830" s="223"/>
      <c r="E830" s="223"/>
      <c r="F830" s="223"/>
      <c r="G830" s="223"/>
      <c r="H830" s="223"/>
      <c r="I830" s="223"/>
      <c r="J830" s="223"/>
      <c r="K830" s="223"/>
      <c r="L830" s="223"/>
      <c r="M830" s="223"/>
      <c r="N830" s="223"/>
    </row>
    <row r="831" ht="15.75" hidden="1" customHeight="1">
      <c r="A831" s="89"/>
      <c r="B831" s="89"/>
      <c r="C831" s="223"/>
      <c r="D831" s="223"/>
      <c r="E831" s="223"/>
      <c r="F831" s="223"/>
      <c r="G831" s="223"/>
      <c r="H831" s="223"/>
      <c r="I831" s="223"/>
      <c r="J831" s="223"/>
      <c r="K831" s="223"/>
      <c r="L831" s="223"/>
      <c r="M831" s="223"/>
      <c r="N831" s="223"/>
    </row>
    <row r="832" ht="15.75" hidden="1" customHeight="1">
      <c r="A832" s="89"/>
      <c r="B832" s="89"/>
      <c r="C832" s="223"/>
      <c r="D832" s="223"/>
      <c r="E832" s="223"/>
      <c r="F832" s="223"/>
      <c r="G832" s="223"/>
      <c r="H832" s="223"/>
      <c r="I832" s="223"/>
      <c r="J832" s="223"/>
      <c r="K832" s="223"/>
      <c r="L832" s="223"/>
      <c r="M832" s="223"/>
      <c r="N832" s="223"/>
    </row>
    <row r="833" ht="15.75" hidden="1" customHeight="1">
      <c r="A833" s="89"/>
      <c r="B833" s="89"/>
      <c r="C833" s="223"/>
      <c r="D833" s="223"/>
      <c r="E833" s="223"/>
      <c r="F833" s="223"/>
      <c r="G833" s="223"/>
      <c r="H833" s="223"/>
      <c r="I833" s="223"/>
      <c r="J833" s="223"/>
      <c r="K833" s="223"/>
      <c r="L833" s="223"/>
      <c r="M833" s="223"/>
      <c r="N833" s="223"/>
    </row>
    <row r="834" ht="15.75" hidden="1" customHeight="1">
      <c r="A834" s="89"/>
      <c r="B834" s="89"/>
      <c r="C834" s="223"/>
      <c r="D834" s="223"/>
      <c r="E834" s="223"/>
      <c r="F834" s="223"/>
      <c r="G834" s="223"/>
      <c r="H834" s="223"/>
      <c r="I834" s="223"/>
      <c r="J834" s="223"/>
      <c r="K834" s="223"/>
      <c r="L834" s="223"/>
      <c r="M834" s="223"/>
      <c r="N834" s="223"/>
    </row>
    <row r="835" ht="15.75" hidden="1" customHeight="1">
      <c r="A835" s="89"/>
      <c r="B835" s="89"/>
      <c r="C835" s="223"/>
      <c r="D835" s="223"/>
      <c r="E835" s="223"/>
      <c r="F835" s="223"/>
      <c r="G835" s="223"/>
      <c r="H835" s="223"/>
      <c r="I835" s="223"/>
      <c r="J835" s="223"/>
      <c r="K835" s="223"/>
      <c r="L835" s="223"/>
      <c r="M835" s="223"/>
      <c r="N835" s="223"/>
    </row>
    <row r="836" ht="15.75" hidden="1" customHeight="1">
      <c r="A836" s="89"/>
      <c r="B836" s="89"/>
      <c r="C836" s="223"/>
      <c r="D836" s="223"/>
      <c r="E836" s="223"/>
      <c r="F836" s="223"/>
      <c r="G836" s="223"/>
      <c r="H836" s="223"/>
      <c r="I836" s="223"/>
      <c r="J836" s="223"/>
      <c r="K836" s="223"/>
      <c r="L836" s="223"/>
      <c r="M836" s="223"/>
      <c r="N836" s="223"/>
    </row>
    <row r="837" ht="15.75" hidden="1" customHeight="1">
      <c r="A837" s="89"/>
      <c r="B837" s="89"/>
      <c r="C837" s="223"/>
      <c r="D837" s="223"/>
      <c r="E837" s="223"/>
      <c r="F837" s="223"/>
      <c r="G837" s="223"/>
      <c r="H837" s="223"/>
      <c r="I837" s="223"/>
      <c r="J837" s="223"/>
      <c r="K837" s="223"/>
      <c r="L837" s="223"/>
      <c r="M837" s="223"/>
      <c r="N837" s="223"/>
    </row>
    <row r="838" ht="15.75" hidden="1" customHeight="1">
      <c r="A838" s="89"/>
      <c r="B838" s="89"/>
      <c r="C838" s="223"/>
      <c r="D838" s="223"/>
      <c r="E838" s="223"/>
      <c r="F838" s="223"/>
      <c r="G838" s="223"/>
      <c r="H838" s="223"/>
      <c r="I838" s="223"/>
      <c r="J838" s="223"/>
      <c r="K838" s="223"/>
      <c r="L838" s="223"/>
      <c r="M838" s="223"/>
      <c r="N838" s="223"/>
    </row>
    <row r="839" ht="15.75" hidden="1" customHeight="1">
      <c r="A839" s="89"/>
      <c r="B839" s="89"/>
      <c r="C839" s="223"/>
      <c r="D839" s="223"/>
      <c r="E839" s="223"/>
      <c r="F839" s="223"/>
      <c r="G839" s="223"/>
      <c r="H839" s="223"/>
      <c r="I839" s="223"/>
      <c r="J839" s="223"/>
      <c r="K839" s="223"/>
      <c r="L839" s="223"/>
      <c r="M839" s="223"/>
      <c r="N839" s="223"/>
    </row>
    <row r="840" ht="15.75" hidden="1" customHeight="1">
      <c r="A840" s="89"/>
      <c r="B840" s="89"/>
      <c r="C840" s="223"/>
      <c r="D840" s="223"/>
      <c r="E840" s="223"/>
      <c r="F840" s="223"/>
      <c r="G840" s="223"/>
      <c r="H840" s="223"/>
      <c r="I840" s="223"/>
      <c r="J840" s="223"/>
      <c r="K840" s="223"/>
      <c r="L840" s="223"/>
      <c r="M840" s="223"/>
      <c r="N840" s="223"/>
    </row>
    <row r="841" ht="15.75" hidden="1" customHeight="1">
      <c r="A841" s="89"/>
      <c r="B841" s="89"/>
      <c r="C841" s="223"/>
      <c r="D841" s="223"/>
      <c r="E841" s="223"/>
      <c r="F841" s="223"/>
      <c r="G841" s="223"/>
      <c r="H841" s="223"/>
      <c r="I841" s="223"/>
      <c r="J841" s="223"/>
      <c r="K841" s="223"/>
      <c r="L841" s="223"/>
      <c r="M841" s="223"/>
      <c r="N841" s="223"/>
    </row>
    <row r="842" ht="15.75" hidden="1" customHeight="1">
      <c r="A842" s="89"/>
      <c r="B842" s="89"/>
      <c r="C842" s="223"/>
      <c r="D842" s="223"/>
      <c r="E842" s="223"/>
      <c r="F842" s="223"/>
      <c r="G842" s="223"/>
      <c r="H842" s="223"/>
      <c r="I842" s="223"/>
      <c r="J842" s="223"/>
      <c r="K842" s="223"/>
      <c r="L842" s="223"/>
      <c r="M842" s="223"/>
      <c r="N842" s="223"/>
    </row>
    <row r="843" ht="15.75" hidden="1" customHeight="1">
      <c r="A843" s="89"/>
      <c r="B843" s="89"/>
      <c r="C843" s="223"/>
      <c r="D843" s="223"/>
      <c r="E843" s="223"/>
      <c r="F843" s="223"/>
      <c r="G843" s="223"/>
      <c r="H843" s="223"/>
      <c r="I843" s="223"/>
      <c r="J843" s="223"/>
      <c r="K843" s="223"/>
      <c r="L843" s="223"/>
      <c r="M843" s="223"/>
      <c r="N843" s="223"/>
    </row>
    <row r="844" ht="15.75" hidden="1" customHeight="1">
      <c r="A844" s="89"/>
      <c r="B844" s="89"/>
      <c r="C844" s="223"/>
      <c r="D844" s="223"/>
      <c r="E844" s="223"/>
      <c r="F844" s="223"/>
      <c r="G844" s="223"/>
      <c r="H844" s="223"/>
      <c r="I844" s="223"/>
      <c r="J844" s="223"/>
      <c r="K844" s="223"/>
      <c r="L844" s="223"/>
      <c r="M844" s="223"/>
      <c r="N844" s="223"/>
    </row>
    <row r="845" ht="15.75" hidden="1" customHeight="1">
      <c r="A845" s="89"/>
      <c r="B845" s="89"/>
      <c r="C845" s="223"/>
      <c r="D845" s="223"/>
      <c r="E845" s="223"/>
      <c r="F845" s="223"/>
      <c r="G845" s="223"/>
      <c r="H845" s="223"/>
      <c r="I845" s="223"/>
      <c r="J845" s="223"/>
      <c r="K845" s="223"/>
      <c r="L845" s="223"/>
      <c r="M845" s="223"/>
      <c r="N845" s="223"/>
    </row>
    <row r="846" ht="15.75" hidden="1" customHeight="1">
      <c r="A846" s="89"/>
      <c r="B846" s="89"/>
      <c r="C846" s="223"/>
      <c r="D846" s="223"/>
      <c r="E846" s="223"/>
      <c r="F846" s="223"/>
      <c r="G846" s="223"/>
      <c r="H846" s="223"/>
      <c r="I846" s="223"/>
      <c r="J846" s="223"/>
      <c r="K846" s="223"/>
      <c r="L846" s="223"/>
      <c r="M846" s="223"/>
      <c r="N846" s="223"/>
    </row>
    <row r="847" ht="15.75" hidden="1" customHeight="1">
      <c r="A847" s="89"/>
      <c r="B847" s="89"/>
      <c r="C847" s="223"/>
      <c r="D847" s="223"/>
      <c r="E847" s="223"/>
      <c r="F847" s="223"/>
      <c r="G847" s="223"/>
      <c r="H847" s="223"/>
      <c r="I847" s="223"/>
      <c r="J847" s="223"/>
      <c r="K847" s="223"/>
      <c r="L847" s="223"/>
      <c r="M847" s="223"/>
      <c r="N847" s="223"/>
    </row>
    <row r="848" ht="15.75" hidden="1" customHeight="1">
      <c r="A848" s="89"/>
      <c r="B848" s="89"/>
      <c r="C848" s="223"/>
      <c r="D848" s="223"/>
      <c r="E848" s="223"/>
      <c r="F848" s="223"/>
      <c r="G848" s="223"/>
      <c r="H848" s="223"/>
      <c r="I848" s="223"/>
      <c r="J848" s="223"/>
      <c r="K848" s="223"/>
      <c r="L848" s="223"/>
      <c r="M848" s="223"/>
      <c r="N848" s="223"/>
    </row>
    <row r="849" ht="15.75" hidden="1" customHeight="1">
      <c r="A849" s="89"/>
      <c r="B849" s="89"/>
      <c r="C849" s="223"/>
      <c r="D849" s="223"/>
      <c r="E849" s="223"/>
      <c r="F849" s="223"/>
      <c r="G849" s="223"/>
      <c r="H849" s="223"/>
      <c r="I849" s="223"/>
      <c r="J849" s="223"/>
      <c r="K849" s="223"/>
      <c r="L849" s="223"/>
      <c r="M849" s="223"/>
      <c r="N849" s="223"/>
    </row>
    <row r="850" ht="15.75" hidden="1" customHeight="1">
      <c r="A850" s="89"/>
      <c r="B850" s="89"/>
      <c r="C850" s="223"/>
      <c r="D850" s="223"/>
      <c r="E850" s="223"/>
      <c r="F850" s="223"/>
      <c r="G850" s="223"/>
      <c r="H850" s="223"/>
      <c r="I850" s="223"/>
      <c r="J850" s="223"/>
      <c r="K850" s="223"/>
      <c r="L850" s="223"/>
      <c r="M850" s="223"/>
      <c r="N850" s="223"/>
    </row>
    <row r="851" ht="15.75" hidden="1" customHeight="1">
      <c r="A851" s="89"/>
      <c r="B851" s="89"/>
      <c r="C851" s="223"/>
      <c r="D851" s="223"/>
      <c r="E851" s="223"/>
      <c r="F851" s="223"/>
      <c r="G851" s="223"/>
      <c r="H851" s="223"/>
      <c r="I851" s="223"/>
      <c r="J851" s="223"/>
      <c r="K851" s="223"/>
      <c r="L851" s="223"/>
      <c r="M851" s="223"/>
      <c r="N851" s="223"/>
    </row>
    <row r="852" ht="15.75" hidden="1" customHeight="1">
      <c r="A852" s="89"/>
      <c r="B852" s="89"/>
      <c r="C852" s="223"/>
      <c r="D852" s="223"/>
      <c r="E852" s="223"/>
      <c r="F852" s="223"/>
      <c r="G852" s="223"/>
      <c r="H852" s="223"/>
      <c r="I852" s="223"/>
      <c r="J852" s="223"/>
      <c r="K852" s="223"/>
      <c r="L852" s="223"/>
      <c r="M852" s="223"/>
      <c r="N852" s="223"/>
    </row>
    <row r="853" ht="15.75" hidden="1" customHeight="1">
      <c r="A853" s="89"/>
      <c r="B853" s="89"/>
      <c r="C853" s="223"/>
      <c r="D853" s="223"/>
      <c r="E853" s="223"/>
      <c r="F853" s="223"/>
      <c r="G853" s="223"/>
      <c r="H853" s="223"/>
      <c r="I853" s="223"/>
      <c r="J853" s="223"/>
      <c r="K853" s="223"/>
      <c r="L853" s="223"/>
      <c r="M853" s="223"/>
      <c r="N853" s="223"/>
    </row>
    <row r="854" ht="15.75" hidden="1" customHeight="1">
      <c r="A854" s="89"/>
      <c r="B854" s="89"/>
      <c r="C854" s="223"/>
      <c r="D854" s="223"/>
      <c r="E854" s="223"/>
      <c r="F854" s="223"/>
      <c r="G854" s="223"/>
      <c r="H854" s="223"/>
      <c r="I854" s="223"/>
      <c r="J854" s="223"/>
      <c r="K854" s="223"/>
      <c r="L854" s="223"/>
      <c r="M854" s="223"/>
      <c r="N854" s="223"/>
    </row>
    <row r="855" ht="15.75" hidden="1" customHeight="1">
      <c r="A855" s="89"/>
      <c r="B855" s="89"/>
      <c r="C855" s="223"/>
      <c r="D855" s="223"/>
      <c r="E855" s="223"/>
      <c r="F855" s="223"/>
      <c r="G855" s="223"/>
      <c r="H855" s="223"/>
      <c r="I855" s="223"/>
      <c r="J855" s="223"/>
      <c r="K855" s="223"/>
      <c r="L855" s="223"/>
      <c r="M855" s="223"/>
      <c r="N855" s="223"/>
    </row>
    <row r="856" ht="15.75" hidden="1" customHeight="1">
      <c r="A856" s="89"/>
      <c r="B856" s="89"/>
      <c r="C856" s="223"/>
      <c r="D856" s="223"/>
      <c r="E856" s="223"/>
      <c r="F856" s="223"/>
      <c r="G856" s="223"/>
      <c r="H856" s="223"/>
      <c r="I856" s="223"/>
      <c r="J856" s="223"/>
      <c r="K856" s="223"/>
      <c r="L856" s="223"/>
      <c r="M856" s="223"/>
      <c r="N856" s="223"/>
    </row>
    <row r="857" ht="15.75" hidden="1" customHeight="1">
      <c r="A857" s="89"/>
      <c r="B857" s="89"/>
      <c r="C857" s="223"/>
      <c r="D857" s="223"/>
      <c r="E857" s="223"/>
      <c r="F857" s="223"/>
      <c r="G857" s="223"/>
      <c r="H857" s="223"/>
      <c r="I857" s="223"/>
      <c r="J857" s="223"/>
      <c r="K857" s="223"/>
      <c r="L857" s="223"/>
      <c r="M857" s="223"/>
      <c r="N857" s="223"/>
    </row>
    <row r="858" ht="15.75" hidden="1" customHeight="1">
      <c r="A858" s="89"/>
      <c r="B858" s="89"/>
      <c r="C858" s="223"/>
      <c r="D858" s="223"/>
      <c r="E858" s="223"/>
      <c r="F858" s="223"/>
      <c r="G858" s="223"/>
      <c r="H858" s="223"/>
      <c r="I858" s="223"/>
      <c r="J858" s="223"/>
      <c r="K858" s="223"/>
      <c r="L858" s="223"/>
      <c r="M858" s="223"/>
      <c r="N858" s="223"/>
    </row>
    <row r="859" ht="15.75" hidden="1" customHeight="1">
      <c r="A859" s="89"/>
      <c r="B859" s="89"/>
      <c r="C859" s="223"/>
      <c r="D859" s="223"/>
      <c r="E859" s="223"/>
      <c r="F859" s="223"/>
      <c r="G859" s="223"/>
      <c r="H859" s="223"/>
      <c r="I859" s="223"/>
      <c r="J859" s="223"/>
      <c r="K859" s="223"/>
      <c r="L859" s="223"/>
      <c r="M859" s="223"/>
      <c r="N859" s="223"/>
    </row>
    <row r="860" ht="15.75" hidden="1" customHeight="1">
      <c r="A860" s="89"/>
      <c r="B860" s="89"/>
      <c r="C860" s="223"/>
      <c r="D860" s="223"/>
      <c r="E860" s="223"/>
      <c r="F860" s="223"/>
      <c r="G860" s="223"/>
      <c r="H860" s="223"/>
      <c r="I860" s="223"/>
      <c r="J860" s="223"/>
      <c r="K860" s="223"/>
      <c r="L860" s="223"/>
      <c r="M860" s="223"/>
      <c r="N860" s="223"/>
    </row>
    <row r="861" ht="15.75" hidden="1" customHeight="1">
      <c r="A861" s="89"/>
      <c r="B861" s="89"/>
      <c r="C861" s="223"/>
      <c r="D861" s="223"/>
      <c r="E861" s="223"/>
      <c r="F861" s="223"/>
      <c r="G861" s="223"/>
      <c r="H861" s="223"/>
      <c r="I861" s="223"/>
      <c r="J861" s="223"/>
      <c r="K861" s="223"/>
      <c r="L861" s="223"/>
      <c r="M861" s="223"/>
      <c r="N861" s="223"/>
    </row>
    <row r="862" ht="15.75" hidden="1" customHeight="1">
      <c r="A862" s="89"/>
      <c r="B862" s="89"/>
      <c r="C862" s="223"/>
      <c r="D862" s="223"/>
      <c r="E862" s="223"/>
      <c r="F862" s="223"/>
      <c r="G862" s="223"/>
      <c r="H862" s="223"/>
      <c r="I862" s="223"/>
      <c r="J862" s="223"/>
      <c r="K862" s="223"/>
      <c r="L862" s="223"/>
      <c r="M862" s="223"/>
      <c r="N862" s="223"/>
    </row>
    <row r="863" ht="15.75" hidden="1" customHeight="1">
      <c r="A863" s="89"/>
      <c r="B863" s="89"/>
      <c r="C863" s="223"/>
      <c r="D863" s="223"/>
      <c r="E863" s="223"/>
      <c r="F863" s="223"/>
      <c r="G863" s="223"/>
      <c r="H863" s="223"/>
      <c r="I863" s="223"/>
      <c r="J863" s="223"/>
      <c r="K863" s="223"/>
      <c r="L863" s="223"/>
      <c r="M863" s="223"/>
      <c r="N863" s="223"/>
    </row>
    <row r="864" ht="15.75" hidden="1" customHeight="1">
      <c r="A864" s="89"/>
      <c r="B864" s="89"/>
      <c r="C864" s="223"/>
      <c r="D864" s="223"/>
      <c r="E864" s="223"/>
      <c r="F864" s="223"/>
      <c r="G864" s="223"/>
      <c r="H864" s="223"/>
      <c r="I864" s="223"/>
      <c r="J864" s="223"/>
      <c r="K864" s="223"/>
      <c r="L864" s="223"/>
      <c r="M864" s="223"/>
      <c r="N864" s="223"/>
    </row>
    <row r="865" ht="15.75" hidden="1" customHeight="1">
      <c r="A865" s="89"/>
      <c r="B865" s="89"/>
      <c r="C865" s="223"/>
      <c r="D865" s="223"/>
      <c r="E865" s="223"/>
      <c r="F865" s="223"/>
      <c r="G865" s="223"/>
      <c r="H865" s="223"/>
      <c r="I865" s="223"/>
      <c r="J865" s="223"/>
      <c r="K865" s="223"/>
      <c r="L865" s="223"/>
      <c r="M865" s="223"/>
      <c r="N865" s="223"/>
    </row>
    <row r="866" ht="15.75" hidden="1" customHeight="1">
      <c r="A866" s="89"/>
      <c r="B866" s="89"/>
      <c r="C866" s="223"/>
      <c r="D866" s="223"/>
      <c r="E866" s="223"/>
      <c r="F866" s="223"/>
      <c r="G866" s="223"/>
      <c r="H866" s="223"/>
      <c r="I866" s="223"/>
      <c r="J866" s="223"/>
      <c r="K866" s="223"/>
      <c r="L866" s="223"/>
      <c r="M866" s="223"/>
      <c r="N866" s="223"/>
    </row>
    <row r="867" ht="15.75" hidden="1" customHeight="1">
      <c r="A867" s="89"/>
      <c r="B867" s="89"/>
      <c r="C867" s="223"/>
      <c r="D867" s="223"/>
      <c r="E867" s="223"/>
      <c r="F867" s="223"/>
      <c r="G867" s="223"/>
      <c r="H867" s="223"/>
      <c r="I867" s="223"/>
      <c r="J867" s="223"/>
      <c r="K867" s="223"/>
      <c r="L867" s="223"/>
      <c r="M867" s="223"/>
      <c r="N867" s="223"/>
    </row>
    <row r="868" ht="15.75" hidden="1" customHeight="1">
      <c r="A868" s="89"/>
      <c r="B868" s="89"/>
      <c r="C868" s="223"/>
      <c r="D868" s="223"/>
      <c r="E868" s="223"/>
      <c r="F868" s="223"/>
      <c r="G868" s="223"/>
      <c r="H868" s="223"/>
      <c r="I868" s="223"/>
      <c r="J868" s="223"/>
      <c r="K868" s="223"/>
      <c r="L868" s="223"/>
      <c r="M868" s="223"/>
      <c r="N868" s="223"/>
    </row>
    <row r="869" ht="15.75" hidden="1" customHeight="1">
      <c r="A869" s="89"/>
      <c r="B869" s="89"/>
      <c r="C869" s="223"/>
      <c r="D869" s="223"/>
      <c r="E869" s="223"/>
      <c r="F869" s="223"/>
      <c r="G869" s="223"/>
      <c r="H869" s="223"/>
      <c r="I869" s="223"/>
      <c r="J869" s="223"/>
      <c r="K869" s="223"/>
      <c r="L869" s="223"/>
      <c r="M869" s="223"/>
      <c r="N869" s="223"/>
    </row>
    <row r="870" ht="15.75" hidden="1" customHeight="1">
      <c r="A870" s="89"/>
      <c r="B870" s="89"/>
      <c r="C870" s="223"/>
      <c r="D870" s="223"/>
      <c r="E870" s="223"/>
      <c r="F870" s="223"/>
      <c r="G870" s="223"/>
      <c r="H870" s="223"/>
      <c r="I870" s="223"/>
      <c r="J870" s="223"/>
      <c r="K870" s="223"/>
      <c r="L870" s="223"/>
      <c r="M870" s="223"/>
      <c r="N870" s="223"/>
    </row>
    <row r="871" ht="15.75" hidden="1" customHeight="1">
      <c r="A871" s="89"/>
      <c r="B871" s="89"/>
      <c r="C871" s="223"/>
      <c r="D871" s="223"/>
      <c r="E871" s="223"/>
      <c r="F871" s="223"/>
      <c r="G871" s="223"/>
      <c r="H871" s="223"/>
      <c r="I871" s="223"/>
      <c r="J871" s="223"/>
      <c r="K871" s="223"/>
      <c r="L871" s="223"/>
      <c r="M871" s="223"/>
      <c r="N871" s="223"/>
    </row>
    <row r="872" ht="15.75" hidden="1" customHeight="1">
      <c r="A872" s="89"/>
      <c r="B872" s="89"/>
      <c r="C872" s="223"/>
      <c r="D872" s="223"/>
      <c r="E872" s="223"/>
      <c r="F872" s="223"/>
      <c r="G872" s="223"/>
      <c r="H872" s="223"/>
      <c r="I872" s="223"/>
      <c r="J872" s="223"/>
      <c r="K872" s="223"/>
      <c r="L872" s="223"/>
      <c r="M872" s="223"/>
      <c r="N872" s="223"/>
    </row>
    <row r="873" ht="15.75" hidden="1" customHeight="1">
      <c r="A873" s="89"/>
      <c r="B873" s="89"/>
      <c r="C873" s="223"/>
      <c r="D873" s="223"/>
      <c r="E873" s="223"/>
      <c r="F873" s="223"/>
      <c r="G873" s="223"/>
      <c r="H873" s="223"/>
      <c r="I873" s="223"/>
      <c r="J873" s="223"/>
      <c r="K873" s="223"/>
      <c r="L873" s="223"/>
      <c r="M873" s="223"/>
      <c r="N873" s="223"/>
    </row>
    <row r="874" ht="15.75" hidden="1" customHeight="1">
      <c r="A874" s="89"/>
      <c r="B874" s="89"/>
      <c r="C874" s="223"/>
      <c r="D874" s="223"/>
      <c r="E874" s="223"/>
      <c r="F874" s="223"/>
      <c r="G874" s="223"/>
      <c r="H874" s="223"/>
      <c r="I874" s="223"/>
      <c r="J874" s="223"/>
      <c r="K874" s="223"/>
      <c r="L874" s="223"/>
      <c r="M874" s="223"/>
      <c r="N874" s="223"/>
    </row>
    <row r="875" ht="15.75" hidden="1" customHeight="1">
      <c r="A875" s="89"/>
      <c r="B875" s="89"/>
      <c r="C875" s="223"/>
      <c r="D875" s="223"/>
      <c r="E875" s="223"/>
      <c r="F875" s="223"/>
      <c r="G875" s="223"/>
      <c r="H875" s="223"/>
      <c r="I875" s="223"/>
      <c r="J875" s="223"/>
      <c r="K875" s="223"/>
      <c r="L875" s="223"/>
      <c r="M875" s="223"/>
      <c r="N875" s="223"/>
    </row>
    <row r="876" ht="15.75" hidden="1" customHeight="1">
      <c r="A876" s="89"/>
      <c r="B876" s="89"/>
      <c r="C876" s="223"/>
      <c r="D876" s="223"/>
      <c r="E876" s="223"/>
      <c r="F876" s="223"/>
      <c r="G876" s="223"/>
      <c r="H876" s="223"/>
      <c r="I876" s="223"/>
      <c r="J876" s="223"/>
      <c r="K876" s="223"/>
      <c r="L876" s="223"/>
      <c r="M876" s="223"/>
      <c r="N876" s="223"/>
    </row>
    <row r="877" ht="15.75" hidden="1" customHeight="1">
      <c r="A877" s="89"/>
      <c r="B877" s="89"/>
      <c r="C877" s="223"/>
      <c r="D877" s="223"/>
      <c r="E877" s="223"/>
      <c r="F877" s="223"/>
      <c r="G877" s="223"/>
      <c r="H877" s="223"/>
      <c r="I877" s="223"/>
      <c r="J877" s="223"/>
      <c r="K877" s="223"/>
      <c r="L877" s="223"/>
      <c r="M877" s="223"/>
      <c r="N877" s="223"/>
    </row>
    <row r="878" ht="15.75" hidden="1" customHeight="1">
      <c r="A878" s="89"/>
      <c r="B878" s="89"/>
      <c r="C878" s="223"/>
      <c r="D878" s="223"/>
      <c r="E878" s="223"/>
      <c r="F878" s="223"/>
      <c r="G878" s="223"/>
      <c r="H878" s="223"/>
      <c r="I878" s="223"/>
      <c r="J878" s="223"/>
      <c r="K878" s="223"/>
      <c r="L878" s="223"/>
      <c r="M878" s="223"/>
      <c r="N878" s="223"/>
    </row>
    <row r="879" ht="15.75" hidden="1" customHeight="1">
      <c r="A879" s="89"/>
      <c r="B879" s="89"/>
      <c r="C879" s="223"/>
      <c r="D879" s="223"/>
      <c r="E879" s="223"/>
      <c r="F879" s="223"/>
      <c r="G879" s="223"/>
      <c r="H879" s="223"/>
      <c r="I879" s="223"/>
      <c r="J879" s="223"/>
      <c r="K879" s="223"/>
      <c r="L879" s="223"/>
      <c r="M879" s="223"/>
      <c r="N879" s="223"/>
    </row>
    <row r="880" ht="15.75" hidden="1" customHeight="1">
      <c r="A880" s="89"/>
      <c r="B880" s="89"/>
      <c r="C880" s="223"/>
      <c r="D880" s="223"/>
      <c r="E880" s="223"/>
      <c r="F880" s="223"/>
      <c r="G880" s="223"/>
      <c r="H880" s="223"/>
      <c r="I880" s="223"/>
      <c r="J880" s="223"/>
      <c r="K880" s="223"/>
      <c r="L880" s="223"/>
      <c r="M880" s="223"/>
      <c r="N880" s="223"/>
    </row>
    <row r="881" ht="15.75" hidden="1" customHeight="1">
      <c r="A881" s="89"/>
      <c r="B881" s="89"/>
      <c r="C881" s="223"/>
      <c r="D881" s="223"/>
      <c r="E881" s="223"/>
      <c r="F881" s="223"/>
      <c r="G881" s="223"/>
      <c r="H881" s="223"/>
      <c r="I881" s="223"/>
      <c r="J881" s="223"/>
      <c r="K881" s="223"/>
      <c r="L881" s="223"/>
      <c r="M881" s="223"/>
      <c r="N881" s="223"/>
    </row>
    <row r="882" ht="15.75" hidden="1" customHeight="1">
      <c r="A882" s="89"/>
      <c r="B882" s="89"/>
      <c r="C882" s="223"/>
      <c r="D882" s="223"/>
      <c r="E882" s="223"/>
      <c r="F882" s="223"/>
      <c r="G882" s="223"/>
      <c r="H882" s="223"/>
      <c r="I882" s="223"/>
      <c r="J882" s="223"/>
      <c r="K882" s="223"/>
      <c r="L882" s="223"/>
      <c r="M882" s="223"/>
      <c r="N882" s="223"/>
    </row>
    <row r="883" ht="15.75" hidden="1" customHeight="1">
      <c r="A883" s="89"/>
      <c r="B883" s="89"/>
      <c r="C883" s="223"/>
      <c r="D883" s="223"/>
      <c r="E883" s="223"/>
      <c r="F883" s="223"/>
      <c r="G883" s="223"/>
      <c r="H883" s="223"/>
      <c r="I883" s="223"/>
      <c r="J883" s="223"/>
      <c r="K883" s="223"/>
      <c r="L883" s="223"/>
      <c r="M883" s="223"/>
      <c r="N883" s="223"/>
    </row>
    <row r="884" ht="15.75" hidden="1" customHeight="1">
      <c r="A884" s="89"/>
      <c r="B884" s="89"/>
      <c r="C884" s="223"/>
      <c r="D884" s="223"/>
      <c r="E884" s="223"/>
      <c r="F884" s="223"/>
      <c r="G884" s="223"/>
      <c r="H884" s="223"/>
      <c r="I884" s="223"/>
      <c r="J884" s="223"/>
      <c r="K884" s="223"/>
      <c r="L884" s="223"/>
      <c r="M884" s="223"/>
      <c r="N884" s="223"/>
    </row>
    <row r="885" ht="15.75" hidden="1" customHeight="1">
      <c r="A885" s="89"/>
      <c r="B885" s="89"/>
      <c r="C885" s="223"/>
      <c r="D885" s="223"/>
      <c r="E885" s="223"/>
      <c r="F885" s="223"/>
      <c r="G885" s="223"/>
      <c r="H885" s="223"/>
      <c r="I885" s="223"/>
      <c r="J885" s="223"/>
      <c r="K885" s="223"/>
      <c r="L885" s="223"/>
      <c r="M885" s="223"/>
      <c r="N885" s="223"/>
    </row>
    <row r="886" ht="15.75" hidden="1" customHeight="1">
      <c r="A886" s="89"/>
      <c r="B886" s="89"/>
      <c r="C886" s="223"/>
      <c r="D886" s="223"/>
      <c r="E886" s="223"/>
      <c r="F886" s="223"/>
      <c r="G886" s="223"/>
      <c r="H886" s="223"/>
      <c r="I886" s="223"/>
      <c r="J886" s="223"/>
      <c r="K886" s="223"/>
      <c r="L886" s="223"/>
      <c r="M886" s="223"/>
      <c r="N886" s="223"/>
    </row>
    <row r="887" ht="15.75" hidden="1" customHeight="1">
      <c r="A887" s="89"/>
      <c r="B887" s="89"/>
      <c r="C887" s="223"/>
      <c r="D887" s="223"/>
      <c r="E887" s="223"/>
      <c r="F887" s="223"/>
      <c r="G887" s="223"/>
      <c r="H887" s="223"/>
      <c r="I887" s="223"/>
      <c r="J887" s="223"/>
      <c r="K887" s="223"/>
      <c r="L887" s="223"/>
      <c r="M887" s="223"/>
      <c r="N887" s="223"/>
    </row>
    <row r="888" ht="15.75" hidden="1" customHeight="1">
      <c r="A888" s="89"/>
      <c r="B888" s="89"/>
      <c r="C888" s="223"/>
      <c r="D888" s="223"/>
      <c r="E888" s="223"/>
      <c r="F888" s="223"/>
      <c r="G888" s="223"/>
      <c r="H888" s="223"/>
      <c r="I888" s="223"/>
      <c r="J888" s="223"/>
      <c r="K888" s="223"/>
      <c r="L888" s="223"/>
      <c r="M888" s="223"/>
      <c r="N888" s="223"/>
    </row>
    <row r="889" ht="15.75" hidden="1" customHeight="1">
      <c r="A889" s="89"/>
      <c r="B889" s="89"/>
      <c r="C889" s="223"/>
      <c r="D889" s="223"/>
      <c r="E889" s="223"/>
      <c r="F889" s="223"/>
      <c r="G889" s="223"/>
      <c r="H889" s="223"/>
      <c r="I889" s="223"/>
      <c r="J889" s="223"/>
      <c r="K889" s="223"/>
      <c r="L889" s="223"/>
      <c r="M889" s="223"/>
      <c r="N889" s="223"/>
    </row>
    <row r="890" ht="15.75" hidden="1" customHeight="1">
      <c r="A890" s="89"/>
      <c r="B890" s="89"/>
      <c r="C890" s="223"/>
      <c r="D890" s="223"/>
      <c r="E890" s="223"/>
      <c r="F890" s="223"/>
      <c r="G890" s="223"/>
      <c r="H890" s="223"/>
      <c r="I890" s="223"/>
      <c r="J890" s="223"/>
      <c r="K890" s="223"/>
      <c r="L890" s="223"/>
      <c r="M890" s="223"/>
      <c r="N890" s="223"/>
    </row>
    <row r="891" ht="15.75" hidden="1" customHeight="1">
      <c r="A891" s="89"/>
      <c r="B891" s="89"/>
      <c r="C891" s="223"/>
      <c r="D891" s="223"/>
      <c r="E891" s="223"/>
      <c r="F891" s="223"/>
      <c r="G891" s="223"/>
      <c r="H891" s="223"/>
      <c r="I891" s="223"/>
      <c r="J891" s="223"/>
      <c r="K891" s="223"/>
      <c r="L891" s="223"/>
      <c r="M891" s="223"/>
      <c r="N891" s="223"/>
    </row>
    <row r="892" ht="15.75" hidden="1" customHeight="1">
      <c r="A892" s="89"/>
      <c r="B892" s="89"/>
      <c r="C892" s="223"/>
      <c r="D892" s="223"/>
      <c r="E892" s="223"/>
      <c r="F892" s="223"/>
      <c r="G892" s="223"/>
      <c r="H892" s="223"/>
      <c r="I892" s="223"/>
      <c r="J892" s="223"/>
      <c r="K892" s="223"/>
      <c r="L892" s="223"/>
      <c r="M892" s="223"/>
      <c r="N892" s="223"/>
    </row>
    <row r="893" ht="15.75" hidden="1" customHeight="1">
      <c r="A893" s="89"/>
      <c r="B893" s="89"/>
      <c r="C893" s="223"/>
      <c r="D893" s="223"/>
      <c r="E893" s="223"/>
      <c r="F893" s="223"/>
      <c r="G893" s="223"/>
      <c r="H893" s="223"/>
      <c r="I893" s="223"/>
      <c r="J893" s="223"/>
      <c r="K893" s="223"/>
      <c r="L893" s="223"/>
      <c r="M893" s="223"/>
      <c r="N893" s="223"/>
    </row>
    <row r="894" ht="15.75" hidden="1" customHeight="1">
      <c r="A894" s="89"/>
      <c r="B894" s="89"/>
      <c r="C894" s="223"/>
      <c r="D894" s="223"/>
      <c r="E894" s="223"/>
      <c r="F894" s="223"/>
      <c r="G894" s="223"/>
      <c r="H894" s="223"/>
      <c r="I894" s="223"/>
      <c r="J894" s="223"/>
      <c r="K894" s="223"/>
      <c r="L894" s="223"/>
      <c r="M894" s="223"/>
      <c r="N894" s="223"/>
    </row>
    <row r="895" ht="15.75" hidden="1" customHeight="1">
      <c r="A895" s="89"/>
      <c r="B895" s="89"/>
      <c r="C895" s="223"/>
      <c r="D895" s="223"/>
      <c r="E895" s="223"/>
      <c r="F895" s="223"/>
      <c r="G895" s="223"/>
      <c r="H895" s="223"/>
      <c r="I895" s="223"/>
      <c r="J895" s="223"/>
      <c r="K895" s="223"/>
      <c r="L895" s="223"/>
      <c r="M895" s="223"/>
      <c r="N895" s="223"/>
    </row>
    <row r="896" ht="15.75" hidden="1" customHeight="1">
      <c r="A896" s="89"/>
      <c r="B896" s="89"/>
      <c r="C896" s="223"/>
      <c r="D896" s="223"/>
      <c r="E896" s="223"/>
      <c r="F896" s="223"/>
      <c r="G896" s="223"/>
      <c r="H896" s="223"/>
      <c r="I896" s="223"/>
      <c r="J896" s="223"/>
      <c r="K896" s="223"/>
      <c r="L896" s="223"/>
      <c r="M896" s="223"/>
      <c r="N896" s="223"/>
    </row>
    <row r="897" ht="15.75" hidden="1" customHeight="1">
      <c r="A897" s="89"/>
      <c r="B897" s="89"/>
      <c r="C897" s="223"/>
      <c r="D897" s="223"/>
      <c r="E897" s="223"/>
      <c r="F897" s="223"/>
      <c r="G897" s="223"/>
      <c r="H897" s="223"/>
      <c r="I897" s="223"/>
      <c r="J897" s="223"/>
      <c r="K897" s="223"/>
      <c r="L897" s="223"/>
      <c r="M897" s="223"/>
      <c r="N897" s="223"/>
    </row>
    <row r="898" ht="15.75" hidden="1" customHeight="1">
      <c r="A898" s="89"/>
      <c r="B898" s="89"/>
      <c r="C898" s="223"/>
      <c r="D898" s="223"/>
      <c r="E898" s="223"/>
      <c r="F898" s="223"/>
      <c r="G898" s="223"/>
      <c r="H898" s="223"/>
      <c r="I898" s="223"/>
      <c r="J898" s="223"/>
      <c r="K898" s="223"/>
      <c r="L898" s="223"/>
      <c r="M898" s="223"/>
      <c r="N898" s="223"/>
    </row>
    <row r="899" ht="15.75" hidden="1" customHeight="1">
      <c r="A899" s="89"/>
      <c r="B899" s="89"/>
      <c r="C899" s="223"/>
      <c r="D899" s="223"/>
      <c r="E899" s="223"/>
      <c r="F899" s="223"/>
      <c r="G899" s="223"/>
      <c r="H899" s="223"/>
      <c r="I899" s="223"/>
      <c r="J899" s="223"/>
      <c r="K899" s="223"/>
      <c r="L899" s="223"/>
      <c r="M899" s="223"/>
      <c r="N899" s="223"/>
    </row>
    <row r="900" ht="15.75" hidden="1" customHeight="1">
      <c r="A900" s="89"/>
      <c r="B900" s="89"/>
      <c r="C900" s="223"/>
      <c r="D900" s="223"/>
      <c r="E900" s="223"/>
      <c r="F900" s="223"/>
      <c r="G900" s="223"/>
      <c r="H900" s="223"/>
      <c r="I900" s="223"/>
      <c r="J900" s="223"/>
      <c r="K900" s="223"/>
      <c r="L900" s="223"/>
      <c r="M900" s="223"/>
      <c r="N900" s="223"/>
    </row>
    <row r="901" ht="15.75" hidden="1" customHeight="1">
      <c r="A901" s="89"/>
      <c r="B901" s="89"/>
      <c r="C901" s="223"/>
      <c r="D901" s="223"/>
      <c r="E901" s="223"/>
      <c r="F901" s="223"/>
      <c r="G901" s="223"/>
      <c r="H901" s="223"/>
      <c r="I901" s="223"/>
      <c r="J901" s="223"/>
      <c r="K901" s="223"/>
      <c r="L901" s="223"/>
      <c r="M901" s="223"/>
      <c r="N901" s="223"/>
    </row>
    <row r="902" ht="15.75" hidden="1" customHeight="1">
      <c r="A902" s="89"/>
      <c r="B902" s="89"/>
      <c r="C902" s="223"/>
      <c r="D902" s="223"/>
      <c r="E902" s="223"/>
      <c r="F902" s="223"/>
      <c r="G902" s="223"/>
      <c r="H902" s="223"/>
      <c r="I902" s="223"/>
      <c r="J902" s="223"/>
      <c r="K902" s="223"/>
      <c r="L902" s="223"/>
      <c r="M902" s="223"/>
      <c r="N902" s="223"/>
    </row>
    <row r="903" ht="15.75" hidden="1" customHeight="1">
      <c r="A903" s="89"/>
      <c r="B903" s="89"/>
      <c r="C903" s="223"/>
      <c r="D903" s="223"/>
      <c r="E903" s="223"/>
      <c r="F903" s="223"/>
      <c r="G903" s="223"/>
      <c r="H903" s="223"/>
      <c r="I903" s="223"/>
      <c r="J903" s="223"/>
      <c r="K903" s="223"/>
      <c r="L903" s="223"/>
      <c r="M903" s="223"/>
      <c r="N903" s="223"/>
    </row>
    <row r="904" ht="15.75" hidden="1" customHeight="1">
      <c r="A904" s="89"/>
      <c r="B904" s="89"/>
      <c r="C904" s="223"/>
      <c r="D904" s="223"/>
      <c r="E904" s="223"/>
      <c r="F904" s="223"/>
      <c r="G904" s="223"/>
      <c r="H904" s="223"/>
      <c r="I904" s="223"/>
      <c r="J904" s="223"/>
      <c r="K904" s="223"/>
      <c r="L904" s="223"/>
      <c r="M904" s="223"/>
      <c r="N904" s="223"/>
    </row>
    <row r="905" ht="15.75" hidden="1" customHeight="1">
      <c r="A905" s="89"/>
      <c r="B905" s="89"/>
      <c r="C905" s="223"/>
      <c r="D905" s="223"/>
      <c r="E905" s="223"/>
      <c r="F905" s="223"/>
      <c r="G905" s="223"/>
      <c r="H905" s="223"/>
      <c r="I905" s="223"/>
      <c r="J905" s="223"/>
      <c r="K905" s="223"/>
      <c r="L905" s="223"/>
      <c r="M905" s="223"/>
      <c r="N905" s="223"/>
    </row>
    <row r="906" ht="15.75" hidden="1" customHeight="1">
      <c r="A906" s="89"/>
      <c r="B906" s="89"/>
      <c r="C906" s="223"/>
      <c r="D906" s="223"/>
      <c r="E906" s="223"/>
      <c r="F906" s="223"/>
      <c r="G906" s="223"/>
      <c r="H906" s="223"/>
      <c r="I906" s="223"/>
      <c r="J906" s="223"/>
      <c r="K906" s="223"/>
      <c r="L906" s="223"/>
      <c r="M906" s="223"/>
      <c r="N906" s="223"/>
    </row>
    <row r="907" ht="15.75" hidden="1" customHeight="1">
      <c r="A907" s="89"/>
      <c r="B907" s="89"/>
      <c r="C907" s="223"/>
      <c r="D907" s="223"/>
      <c r="E907" s="223"/>
      <c r="F907" s="223"/>
      <c r="G907" s="223"/>
      <c r="H907" s="223"/>
      <c r="I907" s="223"/>
      <c r="J907" s="223"/>
      <c r="K907" s="223"/>
      <c r="L907" s="223"/>
      <c r="M907" s="223"/>
      <c r="N907" s="223"/>
    </row>
    <row r="908" ht="15.75" hidden="1" customHeight="1">
      <c r="A908" s="89"/>
      <c r="B908" s="89"/>
      <c r="C908" s="223"/>
      <c r="D908" s="223"/>
      <c r="E908" s="223"/>
      <c r="F908" s="223"/>
      <c r="G908" s="223"/>
      <c r="H908" s="223"/>
      <c r="I908" s="223"/>
      <c r="J908" s="223"/>
      <c r="K908" s="223"/>
      <c r="L908" s="223"/>
      <c r="M908" s="223"/>
      <c r="N908" s="223"/>
    </row>
    <row r="909" ht="15.75" hidden="1" customHeight="1">
      <c r="A909" s="89"/>
      <c r="B909" s="89"/>
      <c r="C909" s="223"/>
      <c r="D909" s="223"/>
      <c r="E909" s="223"/>
      <c r="F909" s="223"/>
      <c r="G909" s="223"/>
      <c r="H909" s="223"/>
      <c r="I909" s="223"/>
      <c r="J909" s="223"/>
      <c r="K909" s="223"/>
      <c r="L909" s="223"/>
      <c r="M909" s="223"/>
      <c r="N909" s="223"/>
    </row>
    <row r="910" ht="15.75" hidden="1" customHeight="1">
      <c r="A910" s="89"/>
      <c r="B910" s="89"/>
      <c r="C910" s="223"/>
      <c r="D910" s="223"/>
      <c r="E910" s="223"/>
      <c r="F910" s="223"/>
      <c r="G910" s="223"/>
      <c r="H910" s="223"/>
      <c r="I910" s="223"/>
      <c r="J910" s="223"/>
      <c r="K910" s="223"/>
      <c r="L910" s="223"/>
      <c r="M910" s="223"/>
      <c r="N910" s="223"/>
    </row>
    <row r="911" ht="15.75" hidden="1" customHeight="1">
      <c r="A911" s="89"/>
      <c r="B911" s="89"/>
      <c r="C911" s="223"/>
      <c r="D911" s="223"/>
      <c r="E911" s="223"/>
      <c r="F911" s="223"/>
      <c r="G911" s="223"/>
      <c r="H911" s="223"/>
      <c r="I911" s="223"/>
      <c r="J911" s="223"/>
      <c r="K911" s="223"/>
      <c r="L911" s="223"/>
      <c r="M911" s="223"/>
      <c r="N911" s="223"/>
    </row>
    <row r="912" ht="15.75" hidden="1" customHeight="1">
      <c r="A912" s="89"/>
      <c r="B912" s="89"/>
      <c r="C912" s="223"/>
      <c r="D912" s="223"/>
      <c r="E912" s="223"/>
      <c r="F912" s="223"/>
      <c r="G912" s="223"/>
      <c r="H912" s="223"/>
      <c r="I912" s="223"/>
      <c r="J912" s="223"/>
      <c r="K912" s="223"/>
      <c r="L912" s="223"/>
      <c r="M912" s="223"/>
      <c r="N912" s="223"/>
    </row>
    <row r="913" ht="15.75" hidden="1" customHeight="1">
      <c r="A913" s="89"/>
      <c r="B913" s="89"/>
      <c r="C913" s="223"/>
      <c r="D913" s="223"/>
      <c r="E913" s="223"/>
      <c r="F913" s="223"/>
      <c r="G913" s="223"/>
      <c r="H913" s="223"/>
      <c r="I913" s="223"/>
      <c r="J913" s="223"/>
      <c r="K913" s="223"/>
      <c r="L913" s="223"/>
      <c r="M913" s="223"/>
      <c r="N913" s="223"/>
    </row>
    <row r="914" ht="15.75" hidden="1" customHeight="1">
      <c r="A914" s="89"/>
      <c r="B914" s="89"/>
      <c r="C914" s="223"/>
      <c r="D914" s="223"/>
      <c r="E914" s="223"/>
      <c r="F914" s="223"/>
      <c r="G914" s="223"/>
      <c r="H914" s="223"/>
      <c r="I914" s="223"/>
      <c r="J914" s="223"/>
      <c r="K914" s="223"/>
      <c r="L914" s="223"/>
      <c r="M914" s="223"/>
      <c r="N914" s="223"/>
    </row>
    <row r="915" ht="15.75" hidden="1" customHeight="1">
      <c r="A915" s="89"/>
      <c r="B915" s="89"/>
      <c r="C915" s="223"/>
      <c r="D915" s="223"/>
      <c r="E915" s="223"/>
      <c r="F915" s="223"/>
      <c r="G915" s="223"/>
      <c r="H915" s="223"/>
      <c r="I915" s="223"/>
      <c r="J915" s="223"/>
      <c r="K915" s="223"/>
      <c r="L915" s="223"/>
      <c r="M915" s="223"/>
      <c r="N915" s="223"/>
    </row>
    <row r="916" ht="15.75" hidden="1" customHeight="1">
      <c r="A916" s="89"/>
      <c r="B916" s="89"/>
      <c r="C916" s="223"/>
      <c r="D916" s="223"/>
      <c r="E916" s="223"/>
      <c r="F916" s="223"/>
      <c r="G916" s="223"/>
      <c r="H916" s="223"/>
      <c r="I916" s="223"/>
      <c r="J916" s="223"/>
      <c r="K916" s="223"/>
      <c r="L916" s="223"/>
      <c r="M916" s="223"/>
      <c r="N916" s="223"/>
    </row>
    <row r="917" ht="15.75" hidden="1" customHeight="1">
      <c r="A917" s="89"/>
      <c r="B917" s="89"/>
      <c r="C917" s="223"/>
      <c r="D917" s="223"/>
      <c r="E917" s="223"/>
      <c r="F917" s="223"/>
      <c r="G917" s="223"/>
      <c r="H917" s="223"/>
      <c r="I917" s="223"/>
      <c r="J917" s="223"/>
      <c r="K917" s="223"/>
      <c r="L917" s="223"/>
      <c r="M917" s="223"/>
      <c r="N917" s="223"/>
    </row>
    <row r="918" ht="15.75" hidden="1" customHeight="1">
      <c r="A918" s="89"/>
      <c r="B918" s="89"/>
      <c r="C918" s="223"/>
      <c r="D918" s="223"/>
      <c r="E918" s="223"/>
      <c r="F918" s="223"/>
      <c r="G918" s="223"/>
      <c r="H918" s="223"/>
      <c r="I918" s="223"/>
      <c r="J918" s="223"/>
      <c r="K918" s="223"/>
      <c r="L918" s="223"/>
      <c r="M918" s="223"/>
      <c r="N918" s="223"/>
    </row>
    <row r="919" ht="15.75" hidden="1" customHeight="1">
      <c r="A919" s="89"/>
      <c r="B919" s="89"/>
      <c r="C919" s="223"/>
      <c r="D919" s="223"/>
      <c r="E919" s="223"/>
      <c r="F919" s="223"/>
      <c r="G919" s="223"/>
      <c r="H919" s="223"/>
      <c r="I919" s="223"/>
      <c r="J919" s="223"/>
      <c r="K919" s="223"/>
      <c r="L919" s="223"/>
      <c r="M919" s="223"/>
      <c r="N919" s="223"/>
    </row>
    <row r="920" ht="15.75" hidden="1" customHeight="1">
      <c r="A920" s="89"/>
      <c r="B920" s="89"/>
      <c r="C920" s="223"/>
      <c r="D920" s="223"/>
      <c r="E920" s="223"/>
      <c r="F920" s="223"/>
      <c r="G920" s="223"/>
      <c r="H920" s="223"/>
      <c r="I920" s="223"/>
      <c r="J920" s="223"/>
      <c r="K920" s="223"/>
      <c r="L920" s="223"/>
      <c r="M920" s="223"/>
      <c r="N920" s="223"/>
    </row>
    <row r="921" ht="15.75" hidden="1" customHeight="1">
      <c r="A921" s="89"/>
      <c r="B921" s="89"/>
      <c r="C921" s="223"/>
      <c r="D921" s="223"/>
      <c r="E921" s="223"/>
      <c r="F921" s="223"/>
      <c r="G921" s="223"/>
      <c r="H921" s="223"/>
      <c r="I921" s="223"/>
      <c r="J921" s="223"/>
      <c r="K921" s="223"/>
      <c r="L921" s="223"/>
      <c r="M921" s="223"/>
      <c r="N921" s="223"/>
    </row>
    <row r="922" ht="15.75" hidden="1" customHeight="1">
      <c r="A922" s="89"/>
      <c r="B922" s="89"/>
      <c r="C922" s="223"/>
      <c r="D922" s="223"/>
      <c r="E922" s="223"/>
      <c r="F922" s="223"/>
      <c r="G922" s="223"/>
      <c r="H922" s="223"/>
      <c r="I922" s="223"/>
      <c r="J922" s="223"/>
      <c r="K922" s="223"/>
      <c r="L922" s="223"/>
      <c r="M922" s="223"/>
      <c r="N922" s="223"/>
    </row>
    <row r="923" ht="15.75" hidden="1" customHeight="1">
      <c r="A923" s="89"/>
      <c r="B923" s="89"/>
      <c r="C923" s="223"/>
      <c r="D923" s="223"/>
      <c r="E923" s="223"/>
      <c r="F923" s="223"/>
      <c r="G923" s="223"/>
      <c r="H923" s="223"/>
      <c r="I923" s="223"/>
      <c r="J923" s="223"/>
      <c r="K923" s="223"/>
      <c r="L923" s="223"/>
      <c r="M923" s="223"/>
      <c r="N923" s="223"/>
    </row>
    <row r="924" ht="15.75" hidden="1" customHeight="1">
      <c r="A924" s="89"/>
      <c r="B924" s="89"/>
      <c r="C924" s="223"/>
      <c r="D924" s="223"/>
      <c r="E924" s="223"/>
      <c r="F924" s="223"/>
      <c r="G924" s="223"/>
      <c r="H924" s="223"/>
      <c r="I924" s="223"/>
      <c r="J924" s="223"/>
      <c r="K924" s="223"/>
      <c r="L924" s="223"/>
      <c r="M924" s="223"/>
      <c r="N924" s="223"/>
    </row>
    <row r="925" ht="15.75" hidden="1" customHeight="1">
      <c r="A925" s="89"/>
      <c r="B925" s="89"/>
      <c r="C925" s="223"/>
      <c r="D925" s="223"/>
      <c r="E925" s="223"/>
      <c r="F925" s="223"/>
      <c r="G925" s="223"/>
      <c r="H925" s="223"/>
      <c r="I925" s="223"/>
      <c r="J925" s="223"/>
      <c r="K925" s="223"/>
      <c r="L925" s="223"/>
      <c r="M925" s="223"/>
      <c r="N925" s="223"/>
    </row>
    <row r="926" ht="15.75" hidden="1" customHeight="1">
      <c r="A926" s="89"/>
      <c r="B926" s="89"/>
      <c r="C926" s="223"/>
      <c r="D926" s="223"/>
      <c r="E926" s="223"/>
      <c r="F926" s="223"/>
      <c r="G926" s="223"/>
      <c r="H926" s="223"/>
      <c r="I926" s="223"/>
      <c r="J926" s="223"/>
      <c r="K926" s="223"/>
      <c r="L926" s="223"/>
      <c r="M926" s="223"/>
      <c r="N926" s="223"/>
    </row>
    <row r="927" ht="15.75" hidden="1" customHeight="1">
      <c r="A927" s="89"/>
      <c r="B927" s="89"/>
      <c r="C927" s="223"/>
      <c r="D927" s="223"/>
      <c r="E927" s="223"/>
      <c r="F927" s="223"/>
      <c r="G927" s="223"/>
      <c r="H927" s="223"/>
      <c r="I927" s="223"/>
      <c r="J927" s="223"/>
      <c r="K927" s="223"/>
      <c r="L927" s="223"/>
      <c r="M927" s="223"/>
      <c r="N927" s="223"/>
    </row>
    <row r="928" ht="15.75" hidden="1" customHeight="1">
      <c r="A928" s="89"/>
      <c r="B928" s="89"/>
      <c r="C928" s="223"/>
      <c r="D928" s="223"/>
      <c r="E928" s="223"/>
      <c r="F928" s="223"/>
      <c r="G928" s="223"/>
      <c r="H928" s="223"/>
      <c r="I928" s="223"/>
      <c r="J928" s="223"/>
      <c r="K928" s="223"/>
      <c r="L928" s="223"/>
      <c r="M928" s="223"/>
      <c r="N928" s="223"/>
    </row>
    <row r="929" ht="15.75" hidden="1" customHeight="1">
      <c r="A929" s="89"/>
      <c r="B929" s="89"/>
      <c r="C929" s="223"/>
      <c r="D929" s="223"/>
      <c r="E929" s="223"/>
      <c r="F929" s="223"/>
      <c r="G929" s="223"/>
      <c r="H929" s="223"/>
      <c r="I929" s="223"/>
      <c r="J929" s="223"/>
      <c r="K929" s="223"/>
      <c r="L929" s="223"/>
      <c r="M929" s="223"/>
      <c r="N929" s="223"/>
    </row>
    <row r="930" ht="15.75" hidden="1" customHeight="1">
      <c r="A930" s="89"/>
      <c r="B930" s="89"/>
      <c r="C930" s="223"/>
      <c r="D930" s="223"/>
      <c r="E930" s="223"/>
      <c r="F930" s="223"/>
      <c r="G930" s="223"/>
      <c r="H930" s="223"/>
      <c r="I930" s="223"/>
      <c r="J930" s="223"/>
      <c r="K930" s="223"/>
      <c r="L930" s="223"/>
      <c r="M930" s="223"/>
      <c r="N930" s="223"/>
    </row>
    <row r="931" ht="15.75" hidden="1" customHeight="1">
      <c r="A931" s="89"/>
      <c r="B931" s="89"/>
      <c r="C931" s="223"/>
      <c r="D931" s="223"/>
      <c r="E931" s="223"/>
      <c r="F931" s="223"/>
      <c r="G931" s="223"/>
      <c r="H931" s="223"/>
      <c r="I931" s="223"/>
      <c r="J931" s="223"/>
      <c r="K931" s="223"/>
      <c r="L931" s="223"/>
      <c r="M931" s="223"/>
      <c r="N931" s="223"/>
    </row>
    <row r="932" ht="15.75" hidden="1" customHeight="1">
      <c r="A932" s="89"/>
      <c r="B932" s="89"/>
      <c r="C932" s="223"/>
      <c r="D932" s="223"/>
      <c r="E932" s="223"/>
      <c r="F932" s="223"/>
      <c r="G932" s="223"/>
      <c r="H932" s="223"/>
      <c r="I932" s="223"/>
      <c r="J932" s="223"/>
      <c r="K932" s="223"/>
      <c r="L932" s="223"/>
      <c r="M932" s="223"/>
      <c r="N932" s="223"/>
    </row>
    <row r="933" ht="15.75" hidden="1" customHeight="1">
      <c r="A933" s="89"/>
      <c r="B933" s="89"/>
      <c r="C933" s="223"/>
      <c r="D933" s="223"/>
      <c r="E933" s="223"/>
      <c r="F933" s="223"/>
      <c r="G933" s="223"/>
      <c r="H933" s="223"/>
      <c r="I933" s="223"/>
      <c r="J933" s="223"/>
      <c r="K933" s="223"/>
      <c r="L933" s="223"/>
      <c r="M933" s="223"/>
      <c r="N933" s="223"/>
    </row>
    <row r="934" ht="15.75" hidden="1" customHeight="1">
      <c r="A934" s="89"/>
      <c r="B934" s="89"/>
      <c r="C934" s="223"/>
      <c r="D934" s="223"/>
      <c r="E934" s="223"/>
      <c r="F934" s="223"/>
      <c r="G934" s="223"/>
      <c r="H934" s="223"/>
      <c r="I934" s="223"/>
      <c r="J934" s="223"/>
      <c r="K934" s="223"/>
      <c r="L934" s="223"/>
      <c r="M934" s="223"/>
      <c r="N934" s="223"/>
    </row>
    <row r="935" ht="15.75" hidden="1" customHeight="1">
      <c r="A935" s="89"/>
      <c r="B935" s="89"/>
      <c r="C935" s="223"/>
      <c r="D935" s="223"/>
      <c r="E935" s="223"/>
      <c r="F935" s="223"/>
      <c r="G935" s="223"/>
      <c r="H935" s="223"/>
      <c r="I935" s="223"/>
      <c r="J935" s="223"/>
      <c r="K935" s="223"/>
      <c r="L935" s="223"/>
      <c r="M935" s="223"/>
      <c r="N935" s="223"/>
    </row>
    <row r="936" ht="15.75" hidden="1" customHeight="1">
      <c r="A936" s="89"/>
      <c r="B936" s="89"/>
      <c r="C936" s="223"/>
      <c r="D936" s="223"/>
      <c r="E936" s="223"/>
      <c r="F936" s="223"/>
      <c r="G936" s="223"/>
      <c r="H936" s="223"/>
      <c r="I936" s="223"/>
      <c r="J936" s="223"/>
      <c r="K936" s="223"/>
      <c r="L936" s="223"/>
      <c r="M936" s="223"/>
      <c r="N936" s="223"/>
    </row>
    <row r="937" ht="15.75" hidden="1" customHeight="1">
      <c r="A937" s="89"/>
      <c r="B937" s="89"/>
      <c r="C937" s="223"/>
      <c r="D937" s="223"/>
      <c r="E937" s="223"/>
      <c r="F937" s="223"/>
      <c r="G937" s="223"/>
      <c r="H937" s="223"/>
      <c r="I937" s="223"/>
      <c r="J937" s="223"/>
      <c r="K937" s="223"/>
      <c r="L937" s="223"/>
      <c r="M937" s="223"/>
      <c r="N937" s="223"/>
    </row>
    <row r="938" ht="15.75" hidden="1" customHeight="1">
      <c r="A938" s="89"/>
      <c r="B938" s="89"/>
      <c r="C938" s="223"/>
      <c r="D938" s="223"/>
      <c r="E938" s="223"/>
      <c r="F938" s="223"/>
      <c r="G938" s="223"/>
      <c r="H938" s="223"/>
      <c r="I938" s="223"/>
      <c r="J938" s="223"/>
      <c r="K938" s="223"/>
      <c r="L938" s="223"/>
      <c r="M938" s="223"/>
      <c r="N938" s="223"/>
    </row>
    <row r="939" ht="15.75" hidden="1" customHeight="1">
      <c r="A939" s="89"/>
      <c r="B939" s="89"/>
      <c r="C939" s="223"/>
      <c r="D939" s="223"/>
      <c r="E939" s="223"/>
      <c r="F939" s="223"/>
      <c r="G939" s="223"/>
      <c r="H939" s="223"/>
      <c r="I939" s="223"/>
      <c r="J939" s="223"/>
      <c r="K939" s="223"/>
      <c r="L939" s="223"/>
      <c r="M939" s="223"/>
      <c r="N939" s="223"/>
    </row>
    <row r="940" ht="15.75" hidden="1" customHeight="1">
      <c r="A940" s="89"/>
      <c r="B940" s="89"/>
      <c r="C940" s="223"/>
      <c r="D940" s="223"/>
      <c r="E940" s="223"/>
      <c r="F940" s="223"/>
      <c r="G940" s="223"/>
      <c r="H940" s="223"/>
      <c r="I940" s="223"/>
      <c r="J940" s="223"/>
      <c r="K940" s="223"/>
      <c r="L940" s="223"/>
      <c r="M940" s="223"/>
      <c r="N940" s="223"/>
    </row>
    <row r="941" ht="15.75" hidden="1" customHeight="1">
      <c r="A941" s="89"/>
      <c r="B941" s="89"/>
      <c r="C941" s="223"/>
      <c r="D941" s="223"/>
      <c r="E941" s="223"/>
      <c r="F941" s="223"/>
      <c r="G941" s="223"/>
      <c r="H941" s="223"/>
      <c r="I941" s="223"/>
      <c r="J941" s="223"/>
      <c r="K941" s="223"/>
      <c r="L941" s="223"/>
      <c r="M941" s="223"/>
      <c r="N941" s="223"/>
    </row>
    <row r="942" ht="15.75" hidden="1" customHeight="1">
      <c r="A942" s="89"/>
      <c r="B942" s="89"/>
      <c r="C942" s="223"/>
      <c r="D942" s="223"/>
      <c r="E942" s="223"/>
      <c r="F942" s="223"/>
      <c r="G942" s="223"/>
      <c r="H942" s="223"/>
      <c r="I942" s="223"/>
      <c r="J942" s="223"/>
      <c r="K942" s="223"/>
      <c r="L942" s="223"/>
      <c r="M942" s="223"/>
      <c r="N942" s="223"/>
    </row>
    <row r="943" ht="15.75" hidden="1" customHeight="1">
      <c r="A943" s="89"/>
      <c r="B943" s="89"/>
      <c r="C943" s="223"/>
      <c r="D943" s="223"/>
      <c r="E943" s="223"/>
      <c r="F943" s="223"/>
      <c r="G943" s="223"/>
      <c r="H943" s="223"/>
      <c r="I943" s="223"/>
      <c r="J943" s="223"/>
      <c r="K943" s="223"/>
      <c r="L943" s="223"/>
      <c r="M943" s="223"/>
      <c r="N943" s="223"/>
    </row>
    <row r="944" ht="15.75" hidden="1" customHeight="1">
      <c r="A944" s="89"/>
      <c r="B944" s="89"/>
      <c r="C944" s="223"/>
      <c r="D944" s="223"/>
      <c r="E944" s="223"/>
      <c r="F944" s="223"/>
      <c r="G944" s="223"/>
      <c r="H944" s="223"/>
      <c r="I944" s="223"/>
      <c r="J944" s="223"/>
      <c r="K944" s="223"/>
      <c r="L944" s="223"/>
      <c r="M944" s="223"/>
      <c r="N944" s="223"/>
    </row>
    <row r="945" ht="15.75" hidden="1" customHeight="1">
      <c r="A945" s="89"/>
      <c r="B945" s="89"/>
      <c r="C945" s="223"/>
      <c r="D945" s="223"/>
      <c r="E945" s="223"/>
      <c r="F945" s="223"/>
      <c r="G945" s="223"/>
      <c r="H945" s="223"/>
      <c r="I945" s="223"/>
      <c r="J945" s="223"/>
      <c r="K945" s="223"/>
      <c r="L945" s="223"/>
      <c r="M945" s="223"/>
      <c r="N945" s="223"/>
    </row>
    <row r="946" ht="15.75" hidden="1" customHeight="1">
      <c r="A946" s="89"/>
      <c r="B946" s="89"/>
      <c r="C946" s="223"/>
      <c r="D946" s="223"/>
      <c r="E946" s="223"/>
      <c r="F946" s="223"/>
      <c r="G946" s="223"/>
      <c r="H946" s="223"/>
      <c r="I946" s="223"/>
      <c r="J946" s="223"/>
      <c r="K946" s="223"/>
      <c r="L946" s="223"/>
      <c r="M946" s="223"/>
      <c r="N946" s="223"/>
    </row>
    <row r="947" ht="15.75" hidden="1" customHeight="1">
      <c r="A947" s="89"/>
      <c r="B947" s="89"/>
      <c r="C947" s="223"/>
      <c r="D947" s="223"/>
      <c r="E947" s="223"/>
      <c r="F947" s="223"/>
      <c r="G947" s="223"/>
      <c r="H947" s="223"/>
      <c r="I947" s="223"/>
      <c r="J947" s="223"/>
      <c r="K947" s="223"/>
      <c r="L947" s="223"/>
      <c r="M947" s="223"/>
      <c r="N947" s="223"/>
    </row>
    <row r="948" ht="15.75" hidden="1" customHeight="1">
      <c r="A948" s="89"/>
      <c r="B948" s="89"/>
      <c r="C948" s="223"/>
      <c r="D948" s="223"/>
      <c r="E948" s="223"/>
      <c r="F948" s="223"/>
      <c r="G948" s="223"/>
      <c r="H948" s="223"/>
      <c r="I948" s="223"/>
      <c r="J948" s="223"/>
      <c r="K948" s="223"/>
      <c r="L948" s="223"/>
      <c r="M948" s="223"/>
      <c r="N948" s="223"/>
    </row>
    <row r="949" ht="15.75" hidden="1" customHeight="1">
      <c r="A949" s="89"/>
      <c r="B949" s="89"/>
      <c r="C949" s="223"/>
      <c r="D949" s="223"/>
      <c r="E949" s="223"/>
      <c r="F949" s="223"/>
      <c r="G949" s="223"/>
      <c r="H949" s="223"/>
      <c r="I949" s="223"/>
      <c r="J949" s="223"/>
      <c r="K949" s="223"/>
      <c r="L949" s="223"/>
      <c r="M949" s="223"/>
      <c r="N949" s="223"/>
    </row>
    <row r="950" ht="15.75" hidden="1" customHeight="1">
      <c r="A950" s="89"/>
      <c r="B950" s="89"/>
      <c r="C950" s="223"/>
      <c r="D950" s="223"/>
      <c r="E950" s="223"/>
      <c r="F950" s="223"/>
      <c r="G950" s="223"/>
      <c r="H950" s="223"/>
      <c r="I950" s="223"/>
      <c r="J950" s="223"/>
      <c r="K950" s="223"/>
      <c r="L950" s="223"/>
      <c r="M950" s="223"/>
      <c r="N950" s="223"/>
    </row>
    <row r="951" ht="15.75" hidden="1" customHeight="1">
      <c r="A951" s="89"/>
      <c r="B951" s="89"/>
      <c r="C951" s="223"/>
      <c r="D951" s="223"/>
      <c r="E951" s="223"/>
      <c r="F951" s="223"/>
      <c r="G951" s="223"/>
      <c r="H951" s="223"/>
      <c r="I951" s="223"/>
      <c r="J951" s="223"/>
      <c r="K951" s="223"/>
      <c r="L951" s="223"/>
      <c r="M951" s="223"/>
      <c r="N951" s="223"/>
    </row>
    <row r="952" ht="15.75" hidden="1" customHeight="1">
      <c r="A952" s="89"/>
      <c r="B952" s="89"/>
      <c r="C952" s="223"/>
      <c r="D952" s="223"/>
      <c r="E952" s="223"/>
      <c r="F952" s="223"/>
      <c r="G952" s="223"/>
      <c r="H952" s="223"/>
      <c r="I952" s="223"/>
      <c r="J952" s="223"/>
      <c r="K952" s="223"/>
      <c r="L952" s="223"/>
      <c r="M952" s="223"/>
      <c r="N952" s="223"/>
    </row>
    <row r="953" ht="15.75" hidden="1" customHeight="1">
      <c r="A953" s="89"/>
      <c r="B953" s="89"/>
      <c r="C953" s="223"/>
      <c r="D953" s="223"/>
      <c r="E953" s="223"/>
      <c r="F953" s="223"/>
      <c r="G953" s="223"/>
      <c r="H953" s="223"/>
      <c r="I953" s="223"/>
      <c r="J953" s="223"/>
      <c r="K953" s="223"/>
      <c r="L953" s="223"/>
      <c r="M953" s="223"/>
      <c r="N953" s="223"/>
    </row>
    <row r="954" ht="15.75" hidden="1" customHeight="1">
      <c r="A954" s="89"/>
      <c r="B954" s="89"/>
      <c r="C954" s="223"/>
      <c r="D954" s="223"/>
      <c r="E954" s="223"/>
      <c r="F954" s="223"/>
      <c r="G954" s="223"/>
      <c r="H954" s="223"/>
      <c r="I954" s="223"/>
      <c r="J954" s="223"/>
      <c r="K954" s="223"/>
      <c r="L954" s="223"/>
      <c r="M954" s="223"/>
      <c r="N954" s="223"/>
    </row>
    <row r="955" ht="15.75" hidden="1" customHeight="1">
      <c r="A955" s="89"/>
      <c r="B955" s="89"/>
      <c r="C955" s="223"/>
      <c r="D955" s="223"/>
      <c r="E955" s="223"/>
      <c r="F955" s="223"/>
      <c r="G955" s="223"/>
      <c r="H955" s="223"/>
      <c r="I955" s="223"/>
      <c r="J955" s="223"/>
      <c r="K955" s="223"/>
      <c r="L955" s="223"/>
      <c r="M955" s="223"/>
      <c r="N955" s="223"/>
    </row>
    <row r="956" ht="15.75" hidden="1" customHeight="1">
      <c r="A956" s="89"/>
      <c r="B956" s="89"/>
      <c r="C956" s="223"/>
      <c r="D956" s="223"/>
      <c r="E956" s="223"/>
      <c r="F956" s="223"/>
      <c r="G956" s="223"/>
      <c r="H956" s="223"/>
      <c r="I956" s="223"/>
      <c r="J956" s="223"/>
      <c r="K956" s="223"/>
      <c r="L956" s="223"/>
      <c r="M956" s="223"/>
      <c r="N956" s="223"/>
    </row>
    <row r="957" ht="15.75" hidden="1" customHeight="1">
      <c r="A957" s="89"/>
      <c r="B957" s="89"/>
      <c r="C957" s="223"/>
      <c r="D957" s="223"/>
      <c r="E957" s="223"/>
      <c r="F957" s="223"/>
      <c r="G957" s="223"/>
      <c r="H957" s="223"/>
      <c r="I957" s="223"/>
      <c r="J957" s="223"/>
      <c r="K957" s="223"/>
      <c r="L957" s="223"/>
      <c r="M957" s="223"/>
      <c r="N957" s="223"/>
    </row>
    <row r="958" ht="15.75" hidden="1" customHeight="1">
      <c r="A958" s="89"/>
      <c r="B958" s="89"/>
      <c r="C958" s="223"/>
      <c r="D958" s="223"/>
      <c r="E958" s="223"/>
      <c r="F958" s="223"/>
      <c r="G958" s="223"/>
      <c r="H958" s="223"/>
      <c r="I958" s="223"/>
      <c r="J958" s="223"/>
      <c r="K958" s="223"/>
      <c r="L958" s="223"/>
      <c r="M958" s="223"/>
      <c r="N958" s="223"/>
    </row>
    <row r="959" ht="15.75" hidden="1" customHeight="1">
      <c r="A959" s="89"/>
      <c r="B959" s="89"/>
      <c r="C959" s="223"/>
      <c r="D959" s="223"/>
      <c r="E959" s="223"/>
      <c r="F959" s="223"/>
      <c r="G959" s="223"/>
      <c r="H959" s="223"/>
      <c r="I959" s="223"/>
      <c r="J959" s="223"/>
      <c r="K959" s="223"/>
      <c r="L959" s="223"/>
      <c r="M959" s="223"/>
      <c r="N959" s="223"/>
    </row>
    <row r="960" ht="15.75" hidden="1" customHeight="1">
      <c r="A960" s="89"/>
      <c r="B960" s="89"/>
      <c r="C960" s="223"/>
      <c r="D960" s="223"/>
      <c r="E960" s="223"/>
      <c r="F960" s="223"/>
      <c r="G960" s="223"/>
      <c r="H960" s="223"/>
      <c r="I960" s="223"/>
      <c r="J960" s="223"/>
      <c r="K960" s="223"/>
      <c r="L960" s="223"/>
      <c r="M960" s="223"/>
      <c r="N960" s="223"/>
    </row>
    <row r="961" ht="15.75" hidden="1" customHeight="1">
      <c r="A961" s="89"/>
      <c r="B961" s="89"/>
      <c r="C961" s="223"/>
      <c r="D961" s="223"/>
      <c r="E961" s="223"/>
      <c r="F961" s="223"/>
      <c r="G961" s="223"/>
      <c r="H961" s="223"/>
      <c r="I961" s="223"/>
      <c r="J961" s="223"/>
      <c r="K961" s="223"/>
      <c r="L961" s="223"/>
      <c r="M961" s="223"/>
      <c r="N961" s="223"/>
    </row>
    <row r="962" ht="15.75" hidden="1" customHeight="1">
      <c r="A962" s="89"/>
      <c r="B962" s="89"/>
      <c r="C962" s="223"/>
      <c r="D962" s="223"/>
      <c r="E962" s="223"/>
      <c r="F962" s="223"/>
      <c r="G962" s="223"/>
      <c r="H962" s="223"/>
      <c r="I962" s="223"/>
      <c r="J962" s="223"/>
      <c r="K962" s="223"/>
      <c r="L962" s="223"/>
      <c r="M962" s="223"/>
      <c r="N962" s="223"/>
    </row>
    <row r="963" ht="15.75" hidden="1" customHeight="1">
      <c r="A963" s="89"/>
      <c r="B963" s="89"/>
      <c r="C963" s="223"/>
      <c r="D963" s="223"/>
      <c r="E963" s="223"/>
      <c r="F963" s="223"/>
      <c r="G963" s="223"/>
      <c r="H963" s="223"/>
      <c r="I963" s="223"/>
      <c r="J963" s="223"/>
      <c r="K963" s="223"/>
      <c r="L963" s="223"/>
      <c r="M963" s="223"/>
      <c r="N963" s="223"/>
    </row>
    <row r="964" ht="15.75" hidden="1" customHeight="1">
      <c r="A964" s="89"/>
      <c r="B964" s="89"/>
      <c r="C964" s="223"/>
      <c r="D964" s="223"/>
      <c r="E964" s="223"/>
      <c r="F964" s="223"/>
      <c r="G964" s="223"/>
      <c r="H964" s="223"/>
      <c r="I964" s="223"/>
      <c r="J964" s="223"/>
      <c r="K964" s="223"/>
      <c r="L964" s="223"/>
      <c r="M964" s="223"/>
      <c r="N964" s="223"/>
    </row>
    <row r="965" ht="15.75" hidden="1" customHeight="1">
      <c r="A965" s="89"/>
      <c r="B965" s="89"/>
      <c r="C965" s="223"/>
      <c r="D965" s="223"/>
      <c r="E965" s="223"/>
      <c r="F965" s="223"/>
      <c r="G965" s="223"/>
      <c r="H965" s="223"/>
      <c r="I965" s="223"/>
      <c r="J965" s="223"/>
      <c r="K965" s="223"/>
      <c r="L965" s="223"/>
      <c r="M965" s="223"/>
      <c r="N965" s="223"/>
    </row>
    <row r="966" ht="15.75" hidden="1" customHeight="1">
      <c r="A966" s="89"/>
      <c r="B966" s="89"/>
      <c r="C966" s="223"/>
      <c r="D966" s="223"/>
      <c r="E966" s="223"/>
      <c r="F966" s="223"/>
      <c r="G966" s="223"/>
      <c r="H966" s="223"/>
      <c r="I966" s="223"/>
      <c r="J966" s="223"/>
      <c r="K966" s="223"/>
      <c r="L966" s="223"/>
      <c r="M966" s="223"/>
      <c r="N966" s="223"/>
    </row>
    <row r="967" ht="15.75" hidden="1" customHeight="1">
      <c r="A967" s="89"/>
      <c r="B967" s="89"/>
      <c r="C967" s="223"/>
      <c r="D967" s="223"/>
      <c r="E967" s="223"/>
      <c r="F967" s="223"/>
      <c r="G967" s="223"/>
      <c r="H967" s="223"/>
      <c r="I967" s="223"/>
      <c r="J967" s="223"/>
      <c r="K967" s="223"/>
      <c r="L967" s="223"/>
      <c r="M967" s="223"/>
      <c r="N967" s="223"/>
    </row>
    <row r="968" ht="15.75" hidden="1" customHeight="1">
      <c r="A968" s="89"/>
      <c r="B968" s="89"/>
      <c r="C968" s="223"/>
      <c r="D968" s="223"/>
      <c r="E968" s="223"/>
      <c r="F968" s="223"/>
      <c r="G968" s="223"/>
      <c r="H968" s="223"/>
      <c r="I968" s="223"/>
      <c r="J968" s="223"/>
      <c r="K968" s="223"/>
      <c r="L968" s="223"/>
      <c r="M968" s="223"/>
      <c r="N968" s="223"/>
    </row>
    <row r="969" ht="15.75" hidden="1" customHeight="1">
      <c r="A969" s="89"/>
      <c r="B969" s="89"/>
      <c r="C969" s="223"/>
      <c r="D969" s="223"/>
      <c r="E969" s="223"/>
      <c r="F969" s="223"/>
      <c r="G969" s="223"/>
      <c r="H969" s="223"/>
      <c r="I969" s="223"/>
      <c r="J969" s="223"/>
      <c r="K969" s="223"/>
      <c r="L969" s="223"/>
      <c r="M969" s="223"/>
      <c r="N969" s="223"/>
    </row>
    <row r="970" ht="15.75" hidden="1" customHeight="1">
      <c r="A970" s="89"/>
      <c r="B970" s="89"/>
      <c r="C970" s="223"/>
      <c r="D970" s="223"/>
      <c r="E970" s="223"/>
      <c r="F970" s="223"/>
      <c r="G970" s="223"/>
      <c r="H970" s="223"/>
      <c r="I970" s="223"/>
      <c r="J970" s="223"/>
      <c r="K970" s="223"/>
      <c r="L970" s="223"/>
      <c r="M970" s="223"/>
      <c r="N970" s="223"/>
    </row>
    <row r="971" ht="15.75" hidden="1" customHeight="1">
      <c r="A971" s="89"/>
      <c r="B971" s="89"/>
      <c r="C971" s="223"/>
      <c r="D971" s="223"/>
      <c r="E971" s="223"/>
      <c r="F971" s="223"/>
      <c r="G971" s="223"/>
      <c r="H971" s="223"/>
      <c r="I971" s="223"/>
      <c r="J971" s="223"/>
      <c r="K971" s="223"/>
      <c r="L971" s="223"/>
      <c r="M971" s="223"/>
      <c r="N971" s="223"/>
    </row>
    <row r="972" ht="15.75" hidden="1" customHeight="1">
      <c r="A972" s="89"/>
      <c r="B972" s="89"/>
      <c r="C972" s="223"/>
      <c r="D972" s="223"/>
      <c r="E972" s="223"/>
      <c r="F972" s="223"/>
      <c r="G972" s="223"/>
      <c r="H972" s="223"/>
      <c r="I972" s="223"/>
      <c r="J972" s="223"/>
      <c r="K972" s="223"/>
      <c r="L972" s="223"/>
      <c r="M972" s="223"/>
      <c r="N972" s="223"/>
    </row>
    <row r="973" ht="15.75" hidden="1" customHeight="1">
      <c r="A973" s="89"/>
      <c r="B973" s="89"/>
      <c r="C973" s="223"/>
      <c r="D973" s="223"/>
      <c r="E973" s="223"/>
      <c r="F973" s="223"/>
      <c r="G973" s="223"/>
      <c r="H973" s="223"/>
      <c r="I973" s="223"/>
      <c r="J973" s="223"/>
      <c r="K973" s="223"/>
      <c r="L973" s="223"/>
      <c r="M973" s="223"/>
      <c r="N973" s="223"/>
    </row>
    <row r="974" ht="15.75" hidden="1" customHeight="1">
      <c r="A974" s="89"/>
      <c r="B974" s="89"/>
      <c r="C974" s="223"/>
      <c r="D974" s="223"/>
      <c r="E974" s="223"/>
      <c r="F974" s="223"/>
      <c r="G974" s="223"/>
      <c r="H974" s="223"/>
      <c r="I974" s="223"/>
      <c r="J974" s="223"/>
      <c r="K974" s="223"/>
      <c r="L974" s="223"/>
      <c r="M974" s="223"/>
      <c r="N974" s="223"/>
    </row>
    <row r="975" ht="15.75" hidden="1" customHeight="1">
      <c r="A975" s="89"/>
      <c r="B975" s="89"/>
      <c r="C975" s="223"/>
      <c r="D975" s="223"/>
      <c r="E975" s="223"/>
      <c r="F975" s="223"/>
      <c r="G975" s="223"/>
      <c r="H975" s="223"/>
      <c r="I975" s="223"/>
      <c r="J975" s="223"/>
      <c r="K975" s="223"/>
      <c r="L975" s="223"/>
      <c r="M975" s="223"/>
      <c r="N975" s="223"/>
    </row>
    <row r="976" ht="15.75" hidden="1" customHeight="1">
      <c r="A976" s="89"/>
      <c r="B976" s="89"/>
      <c r="C976" s="223"/>
      <c r="D976" s="223"/>
      <c r="E976" s="223"/>
      <c r="F976" s="223"/>
      <c r="G976" s="223"/>
      <c r="H976" s="223"/>
      <c r="I976" s="223"/>
      <c r="J976" s="223"/>
      <c r="K976" s="223"/>
      <c r="L976" s="223"/>
      <c r="M976" s="223"/>
      <c r="N976" s="223"/>
    </row>
    <row r="977" ht="15.75" hidden="1" customHeight="1">
      <c r="A977" s="89"/>
      <c r="B977" s="89"/>
      <c r="C977" s="223"/>
      <c r="D977" s="223"/>
      <c r="E977" s="223"/>
      <c r="F977" s="223"/>
      <c r="G977" s="223"/>
      <c r="H977" s="223"/>
      <c r="I977" s="223"/>
      <c r="J977" s="223"/>
      <c r="K977" s="223"/>
      <c r="L977" s="223"/>
      <c r="M977" s="223"/>
      <c r="N977" s="223"/>
    </row>
    <row r="978" ht="15.75" hidden="1" customHeight="1">
      <c r="A978" s="89"/>
      <c r="B978" s="89"/>
      <c r="C978" s="223"/>
      <c r="D978" s="223"/>
      <c r="E978" s="223"/>
      <c r="F978" s="223"/>
      <c r="G978" s="223"/>
      <c r="H978" s="223"/>
      <c r="I978" s="223"/>
      <c r="J978" s="223"/>
      <c r="K978" s="223"/>
      <c r="L978" s="223"/>
      <c r="M978" s="223"/>
      <c r="N978" s="223"/>
    </row>
    <row r="979" ht="15.75" hidden="1" customHeight="1">
      <c r="A979" s="89"/>
      <c r="B979" s="89"/>
      <c r="C979" s="223"/>
      <c r="D979" s="223"/>
      <c r="E979" s="223"/>
      <c r="F979" s="223"/>
      <c r="G979" s="223"/>
      <c r="H979" s="223"/>
      <c r="I979" s="223"/>
      <c r="J979" s="223"/>
      <c r="K979" s="223"/>
      <c r="L979" s="223"/>
      <c r="M979" s="223"/>
      <c r="N979" s="223"/>
    </row>
    <row r="980" ht="15.75" hidden="1" customHeight="1">
      <c r="A980" s="89"/>
      <c r="B980" s="89"/>
      <c r="C980" s="223"/>
      <c r="D980" s="223"/>
      <c r="E980" s="223"/>
      <c r="F980" s="223"/>
      <c r="G980" s="223"/>
      <c r="H980" s="223"/>
      <c r="I980" s="223"/>
      <c r="J980" s="223"/>
      <c r="K980" s="223"/>
      <c r="L980" s="223"/>
      <c r="M980" s="223"/>
      <c r="N980" s="223"/>
    </row>
    <row r="981" ht="15.75" hidden="1" customHeight="1">
      <c r="A981" s="89"/>
      <c r="B981" s="89"/>
      <c r="C981" s="223"/>
      <c r="D981" s="223"/>
      <c r="E981" s="223"/>
      <c r="F981" s="223"/>
      <c r="G981" s="223"/>
      <c r="H981" s="223"/>
      <c r="I981" s="223"/>
      <c r="J981" s="223"/>
      <c r="K981" s="223"/>
      <c r="L981" s="223"/>
      <c r="M981" s="223"/>
      <c r="N981" s="223"/>
    </row>
    <row r="982" ht="15.75" hidden="1" customHeight="1">
      <c r="A982" s="89"/>
      <c r="B982" s="89"/>
      <c r="C982" s="223"/>
      <c r="D982" s="223"/>
      <c r="E982" s="223"/>
      <c r="F982" s="223"/>
      <c r="G982" s="223"/>
      <c r="H982" s="223"/>
      <c r="I982" s="223"/>
      <c r="J982" s="223"/>
      <c r="K982" s="223"/>
      <c r="L982" s="223"/>
      <c r="M982" s="223"/>
      <c r="N982" s="223"/>
    </row>
    <row r="983" ht="15.75" hidden="1" customHeight="1">
      <c r="A983" s="89"/>
      <c r="B983" s="89"/>
      <c r="C983" s="223"/>
      <c r="D983" s="223"/>
      <c r="E983" s="223"/>
      <c r="F983" s="223"/>
      <c r="G983" s="223"/>
      <c r="H983" s="223"/>
      <c r="I983" s="223"/>
      <c r="J983" s="223"/>
      <c r="K983" s="223"/>
      <c r="L983" s="223"/>
      <c r="M983" s="223"/>
      <c r="N983" s="223"/>
    </row>
    <row r="984" ht="15.75" hidden="1" customHeight="1">
      <c r="A984" s="89"/>
      <c r="B984" s="89"/>
      <c r="C984" s="223"/>
      <c r="D984" s="223"/>
      <c r="E984" s="223"/>
      <c r="F984" s="223"/>
      <c r="G984" s="223"/>
      <c r="H984" s="223"/>
      <c r="I984" s="223"/>
      <c r="J984" s="223"/>
      <c r="K984" s="223"/>
      <c r="L984" s="223"/>
      <c r="M984" s="223"/>
      <c r="N984" s="223"/>
    </row>
    <row r="985" ht="15.75" hidden="1" customHeight="1">
      <c r="A985" s="89"/>
      <c r="B985" s="89"/>
      <c r="C985" s="223"/>
      <c r="D985" s="223"/>
      <c r="E985" s="223"/>
      <c r="F985" s="223"/>
      <c r="G985" s="223"/>
      <c r="H985" s="223"/>
      <c r="I985" s="223"/>
      <c r="J985" s="223"/>
      <c r="K985" s="223"/>
      <c r="L985" s="223"/>
      <c r="M985" s="223"/>
      <c r="N985" s="223"/>
    </row>
    <row r="986" ht="15.75" hidden="1" customHeight="1">
      <c r="A986" s="89"/>
      <c r="B986" s="89"/>
      <c r="C986" s="223"/>
      <c r="D986" s="223"/>
      <c r="E986" s="223"/>
      <c r="F986" s="223"/>
      <c r="G986" s="223"/>
      <c r="H986" s="223"/>
      <c r="I986" s="223"/>
      <c r="J986" s="223"/>
      <c r="K986" s="223"/>
      <c r="L986" s="223"/>
      <c r="M986" s="223"/>
      <c r="N986" s="223"/>
    </row>
    <row r="987" ht="15.75" hidden="1" customHeight="1">
      <c r="A987" s="89"/>
      <c r="B987" s="89"/>
      <c r="C987" s="223"/>
      <c r="D987" s="223"/>
      <c r="E987" s="223"/>
      <c r="F987" s="223"/>
      <c r="G987" s="223"/>
      <c r="H987" s="223"/>
      <c r="I987" s="223"/>
      <c r="J987" s="223"/>
      <c r="K987" s="223"/>
      <c r="L987" s="223"/>
      <c r="M987" s="223"/>
      <c r="N987" s="223"/>
    </row>
    <row r="988" ht="15.75" hidden="1" customHeight="1">
      <c r="A988" s="89"/>
      <c r="B988" s="89"/>
      <c r="C988" s="223"/>
      <c r="D988" s="223"/>
      <c r="E988" s="223"/>
      <c r="F988" s="223"/>
      <c r="G988" s="223"/>
      <c r="H988" s="223"/>
      <c r="I988" s="223"/>
      <c r="J988" s="223"/>
      <c r="K988" s="223"/>
      <c r="L988" s="223"/>
      <c r="M988" s="223"/>
      <c r="N988" s="223"/>
    </row>
    <row r="989" ht="15.75" hidden="1" customHeight="1">
      <c r="A989" s="89"/>
      <c r="B989" s="89"/>
      <c r="C989" s="223"/>
      <c r="D989" s="223"/>
      <c r="E989" s="223"/>
      <c r="F989" s="223"/>
      <c r="G989" s="223"/>
      <c r="H989" s="223"/>
      <c r="I989" s="223"/>
      <c r="J989" s="223"/>
      <c r="K989" s="223"/>
      <c r="L989" s="223"/>
      <c r="M989" s="223"/>
      <c r="N989" s="223"/>
    </row>
    <row r="990" ht="15.75" hidden="1" customHeight="1">
      <c r="A990" s="89"/>
      <c r="B990" s="89"/>
      <c r="C990" s="223"/>
      <c r="D990" s="223"/>
      <c r="E990" s="223"/>
      <c r="F990" s="223"/>
      <c r="G990" s="223"/>
      <c r="H990" s="223"/>
      <c r="I990" s="223"/>
      <c r="J990" s="223"/>
      <c r="K990" s="223"/>
      <c r="L990" s="223"/>
      <c r="M990" s="223"/>
      <c r="N990" s="223"/>
    </row>
    <row r="991" ht="15.75" hidden="1" customHeight="1">
      <c r="A991" s="89"/>
      <c r="B991" s="89"/>
      <c r="C991" s="223"/>
      <c r="D991" s="223"/>
      <c r="E991" s="223"/>
      <c r="F991" s="223"/>
      <c r="G991" s="223"/>
      <c r="H991" s="223"/>
      <c r="I991" s="223"/>
      <c r="J991" s="223"/>
      <c r="K991" s="223"/>
      <c r="L991" s="223"/>
      <c r="M991" s="223"/>
      <c r="N991" s="223"/>
    </row>
    <row r="992" ht="15.75" hidden="1" customHeight="1">
      <c r="A992" s="89"/>
      <c r="B992" s="89"/>
      <c r="C992" s="223"/>
      <c r="D992" s="223"/>
      <c r="E992" s="223"/>
      <c r="F992" s="223"/>
      <c r="G992" s="223"/>
      <c r="H992" s="223"/>
      <c r="I992" s="223"/>
      <c r="J992" s="223"/>
      <c r="K992" s="223"/>
      <c r="L992" s="223"/>
      <c r="M992" s="223"/>
      <c r="N992" s="223"/>
    </row>
    <row r="993" ht="15.75" hidden="1" customHeight="1">
      <c r="A993" s="89"/>
      <c r="B993" s="89"/>
      <c r="C993" s="223"/>
      <c r="D993" s="223"/>
      <c r="E993" s="223"/>
      <c r="F993" s="223"/>
      <c r="G993" s="223"/>
      <c r="H993" s="223"/>
      <c r="I993" s="223"/>
      <c r="J993" s="223"/>
      <c r="K993" s="223"/>
      <c r="L993" s="223"/>
      <c r="M993" s="223"/>
      <c r="N993" s="223"/>
    </row>
    <row r="994" ht="15.75" hidden="1" customHeight="1">
      <c r="A994" s="89"/>
      <c r="B994" s="89"/>
      <c r="C994" s="223"/>
      <c r="D994" s="223"/>
      <c r="E994" s="223"/>
      <c r="F994" s="223"/>
      <c r="G994" s="223"/>
      <c r="H994" s="223"/>
      <c r="I994" s="223"/>
      <c r="J994" s="223"/>
      <c r="K994" s="223"/>
      <c r="L994" s="223"/>
      <c r="M994" s="223"/>
      <c r="N994" s="223"/>
    </row>
    <row r="995" ht="15.75" hidden="1" customHeight="1">
      <c r="A995" s="89"/>
      <c r="B995" s="89"/>
      <c r="C995" s="223"/>
      <c r="D995" s="223"/>
      <c r="E995" s="223"/>
      <c r="F995" s="223"/>
      <c r="G995" s="223"/>
      <c r="H995" s="223"/>
      <c r="I995" s="223"/>
      <c r="J995" s="223"/>
      <c r="K995" s="223"/>
      <c r="L995" s="223"/>
      <c r="M995" s="223"/>
      <c r="N995" s="223"/>
    </row>
    <row r="996" ht="15.75" hidden="1" customHeight="1">
      <c r="A996" s="89"/>
      <c r="B996" s="89"/>
      <c r="C996" s="223"/>
      <c r="D996" s="223"/>
      <c r="E996" s="223"/>
      <c r="F996" s="223"/>
      <c r="G996" s="223"/>
      <c r="H996" s="223"/>
      <c r="I996" s="223"/>
      <c r="J996" s="223"/>
      <c r="K996" s="223"/>
      <c r="L996" s="223"/>
      <c r="M996" s="223"/>
      <c r="N996" s="223"/>
    </row>
    <row r="997" ht="15.75" hidden="1" customHeight="1">
      <c r="A997" s="89"/>
      <c r="B997" s="89"/>
      <c r="C997" s="223"/>
      <c r="D997" s="223"/>
      <c r="E997" s="223"/>
      <c r="F997" s="223"/>
      <c r="G997" s="223"/>
      <c r="H997" s="223"/>
      <c r="I997" s="223"/>
      <c r="J997" s="223"/>
      <c r="K997" s="223"/>
      <c r="L997" s="223"/>
      <c r="M997" s="223"/>
      <c r="N997" s="223"/>
    </row>
    <row r="998" ht="15.75" hidden="1" customHeight="1">
      <c r="A998" s="89"/>
      <c r="B998" s="89"/>
      <c r="C998" s="223"/>
      <c r="D998" s="223"/>
      <c r="E998" s="223"/>
      <c r="F998" s="223"/>
      <c r="G998" s="223"/>
      <c r="H998" s="223"/>
      <c r="I998" s="223"/>
      <c r="J998" s="223"/>
      <c r="K998" s="223"/>
      <c r="L998" s="223"/>
      <c r="M998" s="223"/>
      <c r="N998" s="223"/>
    </row>
    <row r="999" ht="15.75" hidden="1" customHeight="1">
      <c r="A999" s="89"/>
      <c r="B999" s="89"/>
      <c r="C999" s="223"/>
      <c r="D999" s="223"/>
      <c r="E999" s="223"/>
      <c r="F999" s="223"/>
      <c r="G999" s="223"/>
      <c r="H999" s="223"/>
      <c r="I999" s="223"/>
      <c r="J999" s="223"/>
      <c r="K999" s="223"/>
      <c r="L999" s="223"/>
      <c r="M999" s="223"/>
      <c r="N999" s="223"/>
    </row>
    <row r="1000" ht="15.75" hidden="1" customHeight="1">
      <c r="A1000" s="89"/>
      <c r="B1000" s="89"/>
      <c r="C1000" s="223"/>
      <c r="D1000" s="223"/>
      <c r="E1000" s="223"/>
      <c r="F1000" s="223"/>
      <c r="G1000" s="223"/>
      <c r="H1000" s="223"/>
      <c r="I1000" s="223"/>
      <c r="J1000" s="223"/>
      <c r="K1000" s="223"/>
      <c r="L1000" s="223"/>
      <c r="M1000" s="223"/>
      <c r="N1000" s="223"/>
    </row>
    <row r="1001" ht="15.75" hidden="1" customHeight="1">
      <c r="A1001" s="89"/>
      <c r="B1001" s="89"/>
      <c r="C1001" s="223"/>
      <c r="D1001" s="223"/>
      <c r="E1001" s="223"/>
      <c r="F1001" s="223"/>
      <c r="G1001" s="223"/>
      <c r="H1001" s="223"/>
      <c r="I1001" s="223"/>
      <c r="J1001" s="223"/>
      <c r="K1001" s="223"/>
      <c r="L1001" s="223"/>
      <c r="M1001" s="223"/>
      <c r="N1001" s="223"/>
    </row>
  </sheetData>
  <mergeCells count="17">
    <mergeCell ref="K2:M3"/>
    <mergeCell ref="N2:N4"/>
    <mergeCell ref="A23:B23"/>
    <mergeCell ref="A26:A28"/>
    <mergeCell ref="B26:C26"/>
    <mergeCell ref="D26:E26"/>
    <mergeCell ref="B27:B28"/>
    <mergeCell ref="C27:C28"/>
    <mergeCell ref="D27:D28"/>
    <mergeCell ref="E27:E28"/>
    <mergeCell ref="A1:A4"/>
    <mergeCell ref="B1:B4"/>
    <mergeCell ref="C1:N1"/>
    <mergeCell ref="C2:E3"/>
    <mergeCell ref="F2:F4"/>
    <mergeCell ref="G2:I3"/>
    <mergeCell ref="J2:J4"/>
  </mergeCells>
  <printOptions/>
  <pageMargins bottom="0.75" footer="0.0" header="0.0" left="0.7" right="0.7" top="0.75"/>
  <pageSetup paperSize="9" orientation="landscape"/>
  <headerFooter>
    <oddHeader>&amp;LNumber of Regulated Hospitals as of Dec. 31, 2022</oddHeader>
  </headerFooter>
  <colBreaks count="2" manualBreakCount="2">
    <brk man="1"/>
    <brk id="14"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3.5"/>
    <col customWidth="1" min="2" max="2" width="20.5"/>
    <col customWidth="1" min="3" max="3" width="32.0"/>
    <col customWidth="1" min="4" max="15" width="10.63"/>
  </cols>
  <sheetData>
    <row r="1">
      <c r="A1" s="168" t="s">
        <v>15</v>
      </c>
      <c r="B1" s="168" t="s">
        <v>1</v>
      </c>
      <c r="C1" s="168" t="s">
        <v>7029</v>
      </c>
      <c r="D1" s="169" t="s">
        <v>9481</v>
      </c>
      <c r="E1" s="4"/>
      <c r="F1" s="4"/>
      <c r="G1" s="4"/>
      <c r="H1" s="4"/>
      <c r="I1" s="4"/>
      <c r="J1" s="4"/>
      <c r="K1" s="4"/>
      <c r="L1" s="4"/>
      <c r="M1" s="4"/>
      <c r="N1" s="4"/>
      <c r="O1" s="5"/>
    </row>
    <row r="2">
      <c r="A2" s="7"/>
      <c r="B2" s="7"/>
      <c r="C2" s="7"/>
      <c r="D2" s="170" t="s">
        <v>3</v>
      </c>
      <c r="E2" s="9"/>
      <c r="F2" s="10"/>
      <c r="G2" s="171" t="s">
        <v>4</v>
      </c>
      <c r="H2" s="172" t="s">
        <v>5</v>
      </c>
      <c r="I2" s="9"/>
      <c r="J2" s="10"/>
      <c r="K2" s="173" t="s">
        <v>4</v>
      </c>
      <c r="L2" s="174" t="s">
        <v>6</v>
      </c>
      <c r="O2" s="175" t="s">
        <v>7</v>
      </c>
    </row>
    <row r="3">
      <c r="A3" s="7"/>
      <c r="B3" s="7"/>
      <c r="C3" s="7"/>
      <c r="D3" s="17"/>
      <c r="E3" s="18"/>
      <c r="F3" s="19"/>
      <c r="G3" s="7"/>
      <c r="H3" s="17"/>
      <c r="I3" s="18"/>
      <c r="J3" s="19"/>
      <c r="K3" s="7"/>
      <c r="L3" s="17"/>
      <c r="M3" s="18"/>
      <c r="N3" s="18"/>
      <c r="O3" s="7"/>
    </row>
    <row r="4">
      <c r="A4" s="20"/>
      <c r="B4" s="20"/>
      <c r="C4" s="20"/>
      <c r="D4" s="176" t="s">
        <v>8</v>
      </c>
      <c r="E4" s="176" t="s">
        <v>9</v>
      </c>
      <c r="F4" s="176" t="s">
        <v>10</v>
      </c>
      <c r="G4" s="20"/>
      <c r="H4" s="177" t="s">
        <v>8</v>
      </c>
      <c r="I4" s="177" t="s">
        <v>9</v>
      </c>
      <c r="J4" s="177" t="s">
        <v>10</v>
      </c>
      <c r="K4" s="20"/>
      <c r="L4" s="178" t="s">
        <v>8</v>
      </c>
      <c r="M4" s="178" t="s">
        <v>9</v>
      </c>
      <c r="N4" s="178" t="s">
        <v>10</v>
      </c>
      <c r="O4" s="20"/>
    </row>
    <row r="5">
      <c r="A5" s="179" t="s">
        <v>11</v>
      </c>
      <c r="B5" s="179" t="s">
        <v>12</v>
      </c>
      <c r="C5" s="180" t="s">
        <v>7149</v>
      </c>
      <c r="D5" s="181">
        <f>COUNTIFS('RAW Govt'!C:C, "NCR", 'RAW Govt'!D:D,"Capital District (1st District)", 'RAW Govt'!K:K,"Level 1")</f>
        <v>0</v>
      </c>
      <c r="E5" s="181">
        <f>COUNTIFS('RAW Govt'!C:C, "NCR", 'RAW Govt'!D:D,"Capital District (1st District)", 'RAW Govt'!K:K,"Level 2")</f>
        <v>0</v>
      </c>
      <c r="F5" s="181">
        <f>COUNTIFS('RAW Govt'!C:C, "NCR", 'RAW Govt'!D:D,"Capital District (1st District)", 'RAW Govt'!K:K,"Level 3")</f>
        <v>0</v>
      </c>
      <c r="G5" s="182">
        <f t="shared" ref="G5:G8" si="2">sum(D5:F5)</f>
        <v>0</v>
      </c>
      <c r="H5" s="181">
        <f>CountIFS( Private!C:C, "NCR", Private!K:K,"Level 1", Private!D:D,"Capital District (1st District)")</f>
        <v>0</v>
      </c>
      <c r="I5" s="181">
        <f>COUNTIFS( Private!C:C, "NCR", Private!K:K,"Level 2", Private!D:D,"Capital District (1st District)")</f>
        <v>0</v>
      </c>
      <c r="J5" s="181">
        <f>COUNTIFS(Private!C:C, "NCR", Private!K:K,"Level 3", Private!D:D,"Capital District (1st District)")</f>
        <v>0</v>
      </c>
      <c r="K5" s="183">
        <f t="shared" ref="K5:K8" si="3">SUM(H5:J5)</f>
        <v>0</v>
      </c>
      <c r="L5" s="181">
        <f t="shared" ref="L5:L8" si="4">SUM(H5,D5)</f>
        <v>0</v>
      </c>
      <c r="M5" s="181">
        <f t="shared" ref="M5:N5" si="1">SUM(E5,I5)</f>
        <v>0</v>
      </c>
      <c r="N5" s="181">
        <f t="shared" si="1"/>
        <v>0</v>
      </c>
      <c r="O5" s="184">
        <f t="shared" ref="O5:O8" si="6">SUM(L5:N5)</f>
        <v>0</v>
      </c>
    </row>
    <row r="6">
      <c r="A6" s="7"/>
      <c r="B6" s="7"/>
      <c r="C6" s="180" t="s">
        <v>9607</v>
      </c>
      <c r="D6" s="181">
        <f>COUNTIFS('RAW Govt'!C:C, "NCR", 'RAW Govt'!D:D,"Eastern Manila District (2nd District)", 'RAW Govt'!K:K,"Level 1")</f>
        <v>0</v>
      </c>
      <c r="E6" s="181">
        <f>COUNTIFS('RAW Govt'!C:C, "NCR", 'RAW Govt'!D:D,"Eastern Manila District (2nd District)", 'RAW Govt'!K:K,"Level 2")</f>
        <v>0</v>
      </c>
      <c r="F6" s="181">
        <f>COUNTIFS('RAW Govt'!C:C, "NCR", 'RAW Govt'!D:D,"Eastern Manila District (2nd District)", 'RAW Govt'!K:K,"Level 3")</f>
        <v>0</v>
      </c>
      <c r="G6" s="182">
        <f t="shared" si="2"/>
        <v>0</v>
      </c>
      <c r="H6" s="181">
        <f>CountIFS(Private!C:C, "NCR", Private!K:K,"Level 1", Private!D:D,"Eastern Manila District (2nd District)")</f>
        <v>0</v>
      </c>
      <c r="I6" s="181">
        <f>COUNTIFS(Private!C:C, "NCR", Private!K:K,"Level 2", Private!D:D,"Eastern Manila District (2nd District)")</f>
        <v>0</v>
      </c>
      <c r="J6" s="181">
        <f>COUNTIFS( Private!C:C, "NCR", Private!K:K,"Level 3", Private!D:D,"Eastern Manila District (2nd District)")</f>
        <v>0</v>
      </c>
      <c r="K6" s="183">
        <f t="shared" si="3"/>
        <v>0</v>
      </c>
      <c r="L6" s="181">
        <f t="shared" si="4"/>
        <v>0</v>
      </c>
      <c r="M6" s="181">
        <f t="shared" ref="M6:N6" si="5">SUM(E6,I6)</f>
        <v>0</v>
      </c>
      <c r="N6" s="181">
        <f t="shared" si="5"/>
        <v>0</v>
      </c>
      <c r="O6" s="184">
        <f t="shared" si="6"/>
        <v>0</v>
      </c>
    </row>
    <row r="7">
      <c r="A7" s="7"/>
      <c r="B7" s="7"/>
      <c r="C7" s="180" t="s">
        <v>7222</v>
      </c>
      <c r="D7" s="181">
        <f>COUNTIFS('RAW Govt'!C:C, "NCR", 'RAW Govt'!D:D,"Northern Manila District (3rd District)", 'RAW Govt'!K:K,"Level 1")</f>
        <v>0</v>
      </c>
      <c r="E7" s="181">
        <f>COUNTIFS('RAW Govt'!C:C, "NCR", 'RAW Govt'!D:D,"Northern Manila District (3rd District)", 'RAW Govt'!K:K,"Level 2")</f>
        <v>0</v>
      </c>
      <c r="F7" s="181">
        <f>COUNTIFS('RAW Govt'!C:C, "NCR", 'RAW Govt'!D:D,"Northern Manila District (3rd District)", 'RAW Govt'!K:K,"Level 3")</f>
        <v>0</v>
      </c>
      <c r="G7" s="182">
        <f t="shared" si="2"/>
        <v>0</v>
      </c>
      <c r="H7" s="181">
        <f>COUNTIFS( Private!C:C, "NCR", Private!K:K,"Level 1", Private!D:D,"Northern Manila District (3rd District)")</f>
        <v>0</v>
      </c>
      <c r="I7" s="181">
        <f>COUNTIFS(Private!C:C, "NCR", Private!K:K,"Level 2", Private!D:D,"Northern Manila District (3rd District)")</f>
        <v>0</v>
      </c>
      <c r="J7" s="181">
        <f>CountIFS(Private!C:C, "NCR", Private!K:K,"Level 3", Private!D:D,"Northern Manila District (3rd District)")</f>
        <v>0</v>
      </c>
      <c r="K7" s="183">
        <f t="shared" si="3"/>
        <v>0</v>
      </c>
      <c r="L7" s="181">
        <f t="shared" si="4"/>
        <v>0</v>
      </c>
      <c r="M7" s="181">
        <f t="shared" ref="M7:N7" si="7">SUM(E7,I7)</f>
        <v>0</v>
      </c>
      <c r="N7" s="181">
        <f t="shared" si="7"/>
        <v>0</v>
      </c>
      <c r="O7" s="184">
        <f t="shared" si="6"/>
        <v>0</v>
      </c>
    </row>
    <row r="8">
      <c r="A8" s="20"/>
      <c r="B8" s="20"/>
      <c r="C8" s="180" t="s">
        <v>9730</v>
      </c>
      <c r="D8" s="181">
        <f>COUNTIFS('RAW Govt'!C:C, "NCR", 'RAW Govt'!D:D,"Southern Manila District (4th District)", 'RAW Govt'!K:K,"Level 1")</f>
        <v>0</v>
      </c>
      <c r="E8" s="181">
        <f>COUNTIFS('RAW Govt'!C:C, "NCR", 'RAW Govt'!D:D,"Southern Manila District (4th District)", 'RAW Govt'!K:K,"Level 2")</f>
        <v>0</v>
      </c>
      <c r="F8" s="181">
        <f>COUNTIFS('RAW Govt'!C:C, "NCR", 'RAW Govt'!D:D,"Southern Manila District (4th District)", 'RAW Govt'!K:K,"Level 3")</f>
        <v>0</v>
      </c>
      <c r="G8" s="182">
        <f t="shared" si="2"/>
        <v>0</v>
      </c>
      <c r="H8" s="181">
        <f>COUNTIFS(Private!C:C, "NCR", Private!K:K,"Level 1", Private!D:D,"Southern Manila District (4th District)")</f>
        <v>0</v>
      </c>
      <c r="I8" s="181">
        <f>COUNTIFS(Private!C:C, "NCR", Private!K:K,"Level 2", Private!D:D,"Southern Manila District (4th District)")</f>
        <v>0</v>
      </c>
      <c r="J8" s="181">
        <f>COUNTIFS(Private!C:C, "NCR", Private!K:K,"Level 3", Private!D:D,"Southern Manila District (4th District)")</f>
        <v>0</v>
      </c>
      <c r="K8" s="183">
        <f t="shared" si="3"/>
        <v>0</v>
      </c>
      <c r="L8" s="181">
        <f t="shared" si="4"/>
        <v>0</v>
      </c>
      <c r="M8" s="181">
        <f t="shared" ref="M8:N8" si="8">SUM(E8,I8)</f>
        <v>0</v>
      </c>
      <c r="N8" s="181">
        <f t="shared" si="8"/>
        <v>0</v>
      </c>
      <c r="O8" s="184">
        <f t="shared" si="6"/>
        <v>0</v>
      </c>
    </row>
    <row r="9">
      <c r="A9" s="185" t="s">
        <v>7</v>
      </c>
      <c r="B9" s="4"/>
      <c r="C9" s="5"/>
      <c r="D9" s="176">
        <f t="shared" ref="D9:O9" si="9">sum(D5:D8)</f>
        <v>0</v>
      </c>
      <c r="E9" s="176">
        <f t="shared" si="9"/>
        <v>0</v>
      </c>
      <c r="F9" s="176">
        <f t="shared" si="9"/>
        <v>0</v>
      </c>
      <c r="G9" s="176">
        <f t="shared" si="9"/>
        <v>0</v>
      </c>
      <c r="H9" s="186">
        <f t="shared" si="9"/>
        <v>0</v>
      </c>
      <c r="I9" s="186">
        <f t="shared" si="9"/>
        <v>0</v>
      </c>
      <c r="J9" s="186">
        <f t="shared" si="9"/>
        <v>0</v>
      </c>
      <c r="K9" s="186">
        <f t="shared" si="9"/>
        <v>0</v>
      </c>
      <c r="L9" s="211">
        <f t="shared" si="9"/>
        <v>0</v>
      </c>
      <c r="M9" s="211">
        <f t="shared" si="9"/>
        <v>0</v>
      </c>
      <c r="N9" s="211">
        <f t="shared" si="9"/>
        <v>0</v>
      </c>
      <c r="O9" s="211">
        <f t="shared" si="9"/>
        <v>0</v>
      </c>
    </row>
    <row r="10">
      <c r="A10" s="179" t="s">
        <v>52</v>
      </c>
      <c r="B10" s="179" t="s">
        <v>89</v>
      </c>
      <c r="C10" s="180" t="s">
        <v>53</v>
      </c>
      <c r="D10" s="181">
        <f>CountIFS('RAW Govt'!C:C, "Region 1", 'RAW Govt'!K:K,"Level 1",'RAW Govt'!D:D,"Ilocos Norte")</f>
        <v>0</v>
      </c>
      <c r="E10" s="181">
        <f>COUNTIFS('RAW Govt'!C:C, "Region 1", 'RAW Govt'!K:K,"Level 2",'RAW Govt'!D:D,"Ilocos Norte")</f>
        <v>0</v>
      </c>
      <c r="F10" s="181">
        <f>COUNTIFS('RAW Govt'!C:C, "Region 1", 'RAW Govt'!K:K,"Level 3",'RAW Govt'!D:D,"Ilocos Norte")</f>
        <v>0</v>
      </c>
      <c r="G10" s="182">
        <f t="shared" ref="G10:G13" si="11">sum(D10:F10)</f>
        <v>0</v>
      </c>
      <c r="H10" s="181">
        <f>COUNTIFS( Private!C:C, "Region 1", Private!K:K,"Level 1", Private!D:D,"Ilocos Norte")</f>
        <v>3</v>
      </c>
      <c r="I10" s="181">
        <f>COUNTIFS(Private!C:C, "Region 1", Private!K:K,"Level 2", Private!D:D,"Ilocos Norte")</f>
        <v>1</v>
      </c>
      <c r="J10" s="181">
        <f>COUNTIFS(Private!C:C, "Region 1", Private!K:K,"Level 3", Private!D:D,"Ilocos Norte")</f>
        <v>0</v>
      </c>
      <c r="K10" s="183">
        <f t="shared" ref="K10:K13" si="12">SUM(H10:J10)</f>
        <v>4</v>
      </c>
      <c r="L10" s="181">
        <f t="shared" ref="L10:N10" si="10">sum(D10,H10)</f>
        <v>3</v>
      </c>
      <c r="M10" s="181">
        <f t="shared" si="10"/>
        <v>1</v>
      </c>
      <c r="N10" s="181">
        <f t="shared" si="10"/>
        <v>0</v>
      </c>
      <c r="O10" s="184">
        <f t="shared" ref="O10:O13" si="14">SUM(L10:N10)</f>
        <v>4</v>
      </c>
    </row>
    <row r="11">
      <c r="A11" s="7"/>
      <c r="B11" s="7"/>
      <c r="C11" s="180" t="s">
        <v>109</v>
      </c>
      <c r="D11" s="181">
        <f>CountIFS('RAW Govt'!C:C, "Region 1", 'RAW Govt'!K:K,"Level 1",'RAW Govt'!D:D,"Ilocos Sur")</f>
        <v>0</v>
      </c>
      <c r="E11" s="181">
        <f>CountIFS('RAW Govt'!C:C, "Region 1", 'RAW Govt'!K:K,"Level 2",'RAW Govt'!D:D,"Ilocos Sur")</f>
        <v>0</v>
      </c>
      <c r="F11" s="181">
        <f>CountIFS('RAW Govt'!C:C, "Region 1", 'RAW Govt'!K:K,"Level 3",'RAW Govt'!D:D,"Ilocos Sur")</f>
        <v>0</v>
      </c>
      <c r="G11" s="182">
        <f t="shared" si="11"/>
        <v>0</v>
      </c>
      <c r="H11" s="181">
        <f>COUNTIFS(Private!C:C, "Region 1", Private!K:K,"Level 1", Private!D:D,"Ilocos Sur")</f>
        <v>10</v>
      </c>
      <c r="I11" s="181">
        <f>CountIFS(Private!C:C, "Region 1", Private!K:K,"Level 2", Private!D:D,"Ilocos Sur")</f>
        <v>2</v>
      </c>
      <c r="J11" s="181">
        <f>COUNTIFS(Private!C:C, "Region 1", Private!K:K,"Level 3", Private!D:D,"Ilocos Sur")</f>
        <v>0</v>
      </c>
      <c r="K11" s="183">
        <f t="shared" si="12"/>
        <v>12</v>
      </c>
      <c r="L11" s="181">
        <f t="shared" ref="L11:N11" si="13">sum(D11,H11)</f>
        <v>10</v>
      </c>
      <c r="M11" s="181">
        <f t="shared" si="13"/>
        <v>2</v>
      </c>
      <c r="N11" s="181">
        <f t="shared" si="13"/>
        <v>0</v>
      </c>
      <c r="O11" s="184">
        <f t="shared" si="14"/>
        <v>12</v>
      </c>
    </row>
    <row r="12">
      <c r="A12" s="7"/>
      <c r="B12" s="7"/>
      <c r="C12" s="180" t="s">
        <v>166</v>
      </c>
      <c r="D12" s="181">
        <f>CountIFS('RAW Govt'!C:C, "Region 1", 'RAW Govt'!K:K,"Level 1",'RAW Govt'!D:D,"La Union")</f>
        <v>0</v>
      </c>
      <c r="E12" s="181">
        <f>COUNTIFS('RAW Govt'!C:C, "Region 1", 'RAW Govt'!K:K,"Level 2",'RAW Govt'!D:D,"La Union")</f>
        <v>0</v>
      </c>
      <c r="F12" s="181">
        <f>COUNTIFS('RAW Govt'!C:C, "Region 1", 'RAW Govt'!K:K,"Level 3",'RAW Govt'!D:D,"La Union")</f>
        <v>0</v>
      </c>
      <c r="G12" s="182">
        <f t="shared" si="11"/>
        <v>0</v>
      </c>
      <c r="H12" s="181">
        <f>COUNTIFS(Private!C:C, "Region 1", Private!K:K,"Level 1", Private!D:D,"La Union")</f>
        <v>2</v>
      </c>
      <c r="I12" s="181">
        <f>COUNTIFS(Private!C:C, "Region 1", Private!K:K,"Level 2", Private!D:D,"La Union")</f>
        <v>1</v>
      </c>
      <c r="J12" s="181">
        <f>COUNTIFS(Private!C:C, "Region 1", Private!K:K,"Level 3", Private!D:D,"La Union")</f>
        <v>1</v>
      </c>
      <c r="K12" s="183">
        <f t="shared" si="12"/>
        <v>4</v>
      </c>
      <c r="L12" s="181">
        <f t="shared" ref="L12:N12" si="15">sum(D12,H12)</f>
        <v>2</v>
      </c>
      <c r="M12" s="181">
        <f t="shared" si="15"/>
        <v>1</v>
      </c>
      <c r="N12" s="181">
        <f t="shared" si="15"/>
        <v>1</v>
      </c>
      <c r="O12" s="184">
        <f t="shared" si="14"/>
        <v>4</v>
      </c>
    </row>
    <row r="13">
      <c r="A13" s="20"/>
      <c r="B13" s="20"/>
      <c r="C13" s="180" t="s">
        <v>206</v>
      </c>
      <c r="D13" s="181">
        <f>COUNTIFS('RAW Govt'!C:C, "Region 1", 'RAW Govt'!K:K,"Level 1",'RAW Govt'!D:D,"Pangasinan")</f>
        <v>0</v>
      </c>
      <c r="E13" s="181">
        <f>CountIFS('RAW Govt'!C:C, "Region 1", 'RAW Govt'!K:K,"Level 2",'RAW Govt'!D:D,"Pangasinan")</f>
        <v>0</v>
      </c>
      <c r="F13" s="181">
        <f>CountIFS('RAW Govt'!C:C, "Region 1", 'RAW Govt'!K:K,"Level 3",'RAW Govt'!D:D,"Pangasinan")</f>
        <v>0</v>
      </c>
      <c r="G13" s="182">
        <f t="shared" si="11"/>
        <v>0</v>
      </c>
      <c r="H13" s="181">
        <f>COUNTIFS(Private!C:C, "Region 1", Private!K:K,"Level 1", Private!D:D,"Pangasinan")</f>
        <v>11</v>
      </c>
      <c r="I13" s="181">
        <f>COUNTIFS(Private!C:C, "Region 1", Private!K:K,"Level 2", Private!D:D,"Pangasinan")</f>
        <v>17</v>
      </c>
      <c r="J13" s="181">
        <f>COUNTIFS(Private!C:C, "Region 1", Private!K:K,"Level 3", Private!D:D,"Pangasinan")</f>
        <v>0</v>
      </c>
      <c r="K13" s="183">
        <f t="shared" si="12"/>
        <v>28</v>
      </c>
      <c r="L13" s="181">
        <f t="shared" ref="L13:N13" si="16">sum(D13,H13)</f>
        <v>11</v>
      </c>
      <c r="M13" s="181">
        <f t="shared" si="16"/>
        <v>17</v>
      </c>
      <c r="N13" s="181">
        <f t="shared" si="16"/>
        <v>0</v>
      </c>
      <c r="O13" s="184">
        <f t="shared" si="14"/>
        <v>28</v>
      </c>
    </row>
    <row r="14">
      <c r="A14" s="185" t="s">
        <v>7</v>
      </c>
      <c r="B14" s="4"/>
      <c r="C14" s="5"/>
      <c r="D14" s="176">
        <f t="shared" ref="D14:O14" si="17">sum(D10:D13)</f>
        <v>0</v>
      </c>
      <c r="E14" s="176">
        <f t="shared" si="17"/>
        <v>0</v>
      </c>
      <c r="F14" s="176">
        <f t="shared" si="17"/>
        <v>0</v>
      </c>
      <c r="G14" s="176">
        <f t="shared" si="17"/>
        <v>0</v>
      </c>
      <c r="H14" s="186">
        <f t="shared" si="17"/>
        <v>26</v>
      </c>
      <c r="I14" s="186">
        <f t="shared" si="17"/>
        <v>21</v>
      </c>
      <c r="J14" s="186">
        <f t="shared" si="17"/>
        <v>1</v>
      </c>
      <c r="K14" s="186">
        <f t="shared" si="17"/>
        <v>48</v>
      </c>
      <c r="L14" s="211">
        <f t="shared" si="17"/>
        <v>26</v>
      </c>
      <c r="M14" s="211">
        <f t="shared" si="17"/>
        <v>21</v>
      </c>
      <c r="N14" s="211">
        <f t="shared" si="17"/>
        <v>1</v>
      </c>
      <c r="O14" s="211">
        <f t="shared" si="17"/>
        <v>48</v>
      </c>
    </row>
    <row r="15">
      <c r="A15" s="179" t="s">
        <v>188</v>
      </c>
      <c r="B15" s="179" t="s">
        <v>189</v>
      </c>
      <c r="C15" s="180" t="s">
        <v>316</v>
      </c>
      <c r="D15" s="181">
        <f>COUNTIFS('RAW Govt'!C:C, "Region 2", 'RAW Govt'!K:K,"Level 1",'RAW Govt'!D:D,"Batanes")</f>
        <v>0</v>
      </c>
      <c r="E15" s="181">
        <f>COUNTIFS('RAW Govt'!C:C, "Region 2", 'RAW Govt'!K:K,"Level 2",'RAW Govt'!D:D,"Batanes")</f>
        <v>0</v>
      </c>
      <c r="F15" s="181">
        <f>COUNTIFS('RAW Govt'!C:C, "Region 2", 'RAW Govt'!K:K,"Level 3",'RAW Govt'!D:D,"Batanes")</f>
        <v>0</v>
      </c>
      <c r="G15" s="182">
        <f t="shared" ref="G15:G19" si="19">sum(D15:F15)</f>
        <v>0</v>
      </c>
      <c r="H15" s="181">
        <f>COUNTIFS(Private!C:C, "Region 2", Private!K:K,"Level 1",Private!D:D,"Batanes")</f>
        <v>0</v>
      </c>
      <c r="I15" s="181">
        <f>COUNTIFS(Private!C:C, "Region 2", Private!K:K,"Level 2",Private!D:D,"Batanes")</f>
        <v>0</v>
      </c>
      <c r="J15" s="181">
        <f>COUNTIFS(Private!C:C, "Region 2", Private!K:K,"Level 3",Private!D:D,"Batanes")</f>
        <v>0</v>
      </c>
      <c r="K15" s="183">
        <f t="shared" ref="K15:K19" si="20">SUM(H15:J15)</f>
        <v>0</v>
      </c>
      <c r="L15" s="181">
        <f t="shared" ref="L15:N15" si="18">SUM(D15,H15)</f>
        <v>0</v>
      </c>
      <c r="M15" s="181">
        <f t="shared" si="18"/>
        <v>0</v>
      </c>
      <c r="N15" s="181">
        <f t="shared" si="18"/>
        <v>0</v>
      </c>
      <c r="O15" s="184">
        <f t="shared" ref="O15:O19" si="22">SUM(L15:N15)</f>
        <v>0</v>
      </c>
    </row>
    <row r="16">
      <c r="A16" s="7"/>
      <c r="B16" s="7"/>
      <c r="C16" s="180" t="s">
        <v>366</v>
      </c>
      <c r="D16" s="181">
        <f>COUNTIFS('RAW Govt'!C:C, "Region 2", 'RAW Govt'!K:K,"Level 1",'RAW Govt'!D:D,"Cagayan")</f>
        <v>0</v>
      </c>
      <c r="E16" s="181">
        <f>COUNTIFS('RAW Govt'!C:C, "Region 2", 'RAW Govt'!K:K,"Level 2",'RAW Govt'!D:D,"Cagayan")</f>
        <v>0</v>
      </c>
      <c r="F16" s="181">
        <f>COUNTIFS('RAW Govt'!C:C, "Region 2", 'RAW Govt'!K:K,"Level 3",'RAW Govt'!D:D,"Cagayan")</f>
        <v>0</v>
      </c>
      <c r="G16" s="182">
        <f t="shared" si="19"/>
        <v>0</v>
      </c>
      <c r="H16" s="181">
        <f>COUNTIFS(Private!C:C, "Region 2", Private!K:K,"Level 1",Private!D:D,"Cagayan")</f>
        <v>6</v>
      </c>
      <c r="I16" s="181">
        <f>COUNTIFS(Private!C:C, "Region 2", Private!K:K,"Level 2",Private!D:D,"Cagayan")</f>
        <v>7</v>
      </c>
      <c r="J16" s="181">
        <f>COUNTIFS(Private!C:C, "Region 2", Private!K:K,"Level 3",Private!D:D,"Cagayan")</f>
        <v>0</v>
      </c>
      <c r="K16" s="183">
        <f t="shared" si="20"/>
        <v>13</v>
      </c>
      <c r="L16" s="181">
        <f t="shared" ref="L16:N16" si="21">SUM(D16,H16)</f>
        <v>6</v>
      </c>
      <c r="M16" s="181">
        <f t="shared" si="21"/>
        <v>7</v>
      </c>
      <c r="N16" s="181">
        <f t="shared" si="21"/>
        <v>0</v>
      </c>
      <c r="O16" s="184">
        <f t="shared" si="22"/>
        <v>13</v>
      </c>
    </row>
    <row r="17">
      <c r="A17" s="7"/>
      <c r="B17" s="7"/>
      <c r="C17" s="180" t="s">
        <v>485</v>
      </c>
      <c r="D17" s="181">
        <f>COUNTIFS('RAW Govt'!C:C, "Region 2", 'RAW Govt'!K:K,"Level 1",'RAW Govt'!D:D,"Isabela")</f>
        <v>0</v>
      </c>
      <c r="E17" s="181">
        <f>COUNTIFS('RAW Govt'!C:C, "Region 2", 'RAW Govt'!K:K,"Level 2",'RAW Govt'!D:D,"Isabela")</f>
        <v>0</v>
      </c>
      <c r="F17" s="181">
        <f>COUNTIFS('RAW Govt'!C:C, "Region 2", 'RAW Govt'!K:K,"Level 3",'RAW Govt'!D:D,"Isabela")</f>
        <v>0</v>
      </c>
      <c r="G17" s="182">
        <f t="shared" si="19"/>
        <v>0</v>
      </c>
      <c r="H17" s="181">
        <f>COUNTIFS(Private!C:C, "Region 2", Private!K:K,"Level 1",Private!D:D,"Isabela")</f>
        <v>19</v>
      </c>
      <c r="I17" s="181">
        <f>COUNTIFS(Private!C:C, "Region 2", Private!K:K,"Level 2",Private!D:D,"Isabela")</f>
        <v>7</v>
      </c>
      <c r="J17" s="181">
        <f>COUNTIFS(Private!C:C, "Region 3", Private!K:K,"Level 2",Private!D:D,"Isabela")</f>
        <v>0</v>
      </c>
      <c r="K17" s="183">
        <f t="shared" si="20"/>
        <v>26</v>
      </c>
      <c r="L17" s="181">
        <f t="shared" ref="L17:N17" si="23">SUM(D17,H17)</f>
        <v>19</v>
      </c>
      <c r="M17" s="181">
        <f t="shared" si="23"/>
        <v>7</v>
      </c>
      <c r="N17" s="181">
        <f t="shared" si="23"/>
        <v>0</v>
      </c>
      <c r="O17" s="184">
        <f t="shared" si="22"/>
        <v>26</v>
      </c>
    </row>
    <row r="18">
      <c r="A18" s="7"/>
      <c r="B18" s="7"/>
      <c r="C18" s="180" t="s">
        <v>530</v>
      </c>
      <c r="D18" s="181">
        <f>COUNTIFS('RAW Govt'!C:C, "Region 2", 'RAW Govt'!K:K,"Level 1",'RAW Govt'!D:D,"Nueva Vizcaya")</f>
        <v>0</v>
      </c>
      <c r="E18" s="181">
        <f>COUNTIFS('RAW Govt'!C:C, "Region 2", 'RAW Govt'!K:K,"Level 2",'RAW Govt'!D:D,"Nueva Vizcaya")</f>
        <v>0</v>
      </c>
      <c r="F18" s="181">
        <f>COUNTIFS('RAW Govt'!C:C, "Region 2", 'RAW Govt'!K:K,"Level 3",'RAW Govt'!D:D,"Nueva Vizcaya")</f>
        <v>0</v>
      </c>
      <c r="G18" s="182">
        <f t="shared" si="19"/>
        <v>0</v>
      </c>
      <c r="H18" s="181">
        <f>COUNTIFS(Private!C:C, "Region 2", Private!K:K,"Level 1",Private!D:D,"Nueva Vizcaya")</f>
        <v>1</v>
      </c>
      <c r="I18" s="181">
        <f>COUNTIFS(Private!C:C, "Region 2", Private!K:K,"Level 2",Private!D:D,"Nueva Vizcaya")</f>
        <v>2</v>
      </c>
      <c r="J18" s="181">
        <f>COUNTIFS(Private!C:C, "Region 2", Private!K:K,"Level 3",Private!D:D,"Nueva Vizcaya")</f>
        <v>0</v>
      </c>
      <c r="K18" s="183">
        <f t="shared" si="20"/>
        <v>3</v>
      </c>
      <c r="L18" s="181">
        <f t="shared" ref="L18:N18" si="24">SUM(D18,H18)</f>
        <v>1</v>
      </c>
      <c r="M18" s="181">
        <f t="shared" si="24"/>
        <v>2</v>
      </c>
      <c r="N18" s="181">
        <f t="shared" si="24"/>
        <v>0</v>
      </c>
      <c r="O18" s="184">
        <f t="shared" si="22"/>
        <v>3</v>
      </c>
    </row>
    <row r="19">
      <c r="A19" s="20"/>
      <c r="B19" s="20"/>
      <c r="C19" s="180" t="s">
        <v>7420</v>
      </c>
      <c r="D19" s="181">
        <f>COUNTIFS('RAW Govt'!C:C, "Region 2", 'RAW Govt'!K:K,"Level 1",'RAW Govt'!D:D,"Quirino")</f>
        <v>0</v>
      </c>
      <c r="E19" s="181">
        <f>COUNTIFS('RAW Govt'!C:C, "Region 2", 'RAW Govt'!K:K,"Level 2",'RAW Govt'!D:D,"Quirino")</f>
        <v>0</v>
      </c>
      <c r="F19" s="181">
        <f>COUNTIFS('RAW Govt'!C:C, "Region 2", 'RAW Govt'!K:K,"Level 3",'RAW Govt'!D:D,"Quirino")</f>
        <v>0</v>
      </c>
      <c r="G19" s="182">
        <f t="shared" si="19"/>
        <v>0</v>
      </c>
      <c r="H19" s="181">
        <f>COUNTIFS(Private!C:C, "Region 2", Private!K:K,"Level 1",Private!D:D,"Quirino")</f>
        <v>0</v>
      </c>
      <c r="I19" s="181">
        <f>COUNTIFS(Private!C:C, "Region 2", Private!K:K,"Level 2",Private!D:D,"Quirino")</f>
        <v>0</v>
      </c>
      <c r="J19" s="181">
        <f>COUNTIFS(Private!C:C, "Region 2", Private!K:K,"Level 3",Private!D:D,"Quirino")</f>
        <v>0</v>
      </c>
      <c r="K19" s="183">
        <f t="shared" si="20"/>
        <v>0</v>
      </c>
      <c r="L19" s="181">
        <f t="shared" ref="L19:N19" si="25">SUM(D19,H19)</f>
        <v>0</v>
      </c>
      <c r="M19" s="181">
        <f t="shared" si="25"/>
        <v>0</v>
      </c>
      <c r="N19" s="181">
        <f t="shared" si="25"/>
        <v>0</v>
      </c>
      <c r="O19" s="184">
        <f t="shared" si="22"/>
        <v>0</v>
      </c>
    </row>
    <row r="20">
      <c r="A20" s="185" t="s">
        <v>7</v>
      </c>
      <c r="B20" s="4"/>
      <c r="C20" s="5"/>
      <c r="D20" s="176">
        <f t="shared" ref="D20:O20" si="26">sum(D15:D19)</f>
        <v>0</v>
      </c>
      <c r="E20" s="176">
        <f t="shared" si="26"/>
        <v>0</v>
      </c>
      <c r="F20" s="176">
        <f t="shared" si="26"/>
        <v>0</v>
      </c>
      <c r="G20" s="176">
        <f t="shared" si="26"/>
        <v>0</v>
      </c>
      <c r="H20" s="186">
        <f t="shared" si="26"/>
        <v>26</v>
      </c>
      <c r="I20" s="186">
        <f t="shared" si="26"/>
        <v>16</v>
      </c>
      <c r="J20" s="186">
        <f t="shared" si="26"/>
        <v>0</v>
      </c>
      <c r="K20" s="186">
        <f t="shared" si="26"/>
        <v>42</v>
      </c>
      <c r="L20" s="211">
        <f t="shared" si="26"/>
        <v>26</v>
      </c>
      <c r="M20" s="211">
        <f t="shared" si="26"/>
        <v>16</v>
      </c>
      <c r="N20" s="211">
        <f t="shared" si="26"/>
        <v>0</v>
      </c>
      <c r="O20" s="211">
        <f t="shared" si="26"/>
        <v>42</v>
      </c>
    </row>
    <row r="21">
      <c r="A21" s="179" t="s">
        <v>265</v>
      </c>
      <c r="B21" s="179" t="s">
        <v>268</v>
      </c>
      <c r="C21" s="180" t="s">
        <v>579</v>
      </c>
      <c r="D21" s="181">
        <f>COUNTIFS('RAW Govt'!C:C, "Region 3", 'RAW Govt'!K:K,"Level 1",'RAW Govt'!D:D,"Bataan")</f>
        <v>0</v>
      </c>
      <c r="E21" s="181">
        <f>COUNTIFS('RAW Govt'!C:C, "Region 3", 'RAW Govt'!K:K,"Level 2",'RAW Govt'!D:D,"Bataan")</f>
        <v>0</v>
      </c>
      <c r="F21" s="181">
        <f>COUNTIFS('RAW Govt'!C:C, "Region 3", 'RAW Govt'!K:K,"Level 3",'RAW Govt'!D:D,"Bataan")</f>
        <v>0</v>
      </c>
      <c r="G21" s="182">
        <f t="shared" ref="G21:G27" si="28">sum(D21:F21)</f>
        <v>0</v>
      </c>
      <c r="H21" s="191">
        <f>COUNTIFS(Private!C:C, "Region 3", Private!K:K,"Level 1",Private!D:D,"Bataan")</f>
        <v>5</v>
      </c>
      <c r="I21" s="181">
        <f>COUNTIFS(Private!C:C, "Region 3", Private!K:K,"Level 2",Private!D:D,"Bataan")</f>
        <v>4</v>
      </c>
      <c r="J21" s="181">
        <f>COUNTIFS(Private!C:C, "Region 3", Private!K:K,"Level 3",Private!D:D,"Bataan")</f>
        <v>0</v>
      </c>
      <c r="K21" s="183">
        <f t="shared" ref="K21:K27" si="29">sum(H21:J21)</f>
        <v>9</v>
      </c>
      <c r="L21" s="181">
        <f t="shared" ref="L21:N21" si="27">sum(D21,H21)</f>
        <v>5</v>
      </c>
      <c r="M21" s="181">
        <f t="shared" si="27"/>
        <v>4</v>
      </c>
      <c r="N21" s="181">
        <f t="shared" si="27"/>
        <v>0</v>
      </c>
      <c r="O21" s="184">
        <f t="shared" ref="O21:O27" si="31">sum(L21:N21)</f>
        <v>9</v>
      </c>
    </row>
    <row r="22">
      <c r="A22" s="7"/>
      <c r="B22" s="7"/>
      <c r="C22" s="180" t="s">
        <v>709</v>
      </c>
      <c r="D22" s="181">
        <f>COUNTIFS('RAW Govt'!C:C, "Region 3", 'RAW Govt'!K:K,"Level 1",'RAW Govt'!D:D,"Bulacan")</f>
        <v>0</v>
      </c>
      <c r="E22" s="181">
        <f>COUNTIFS('RAW Govt'!C:C, "Region 3", 'RAW Govt'!K:K,"Level 2",'RAW Govt'!D:D,"Bulacan")</f>
        <v>0</v>
      </c>
      <c r="F22" s="181">
        <f>COUNTIFS('RAW Govt'!C:C, "Region 3", 'RAW Govt'!K:K,"Level 3",'RAW Govt'!D:D,"Bulacan")</f>
        <v>0</v>
      </c>
      <c r="G22" s="182">
        <f t="shared" si="28"/>
        <v>0</v>
      </c>
      <c r="H22" s="181">
        <f>COUNTIFS(Private!C:C, "Region 3", Private!K:K,"Level 1",Private!D:D,"Bulacan")</f>
        <v>36</v>
      </c>
      <c r="I22" s="181">
        <f>COUNTIFS(Private!C:C, "Region 3", Private!K:K,"Level 2",Private!D:D,"Bulacan")</f>
        <v>16</v>
      </c>
      <c r="J22" s="181">
        <f>COUNTIFS(Private!C:C, "Region 3", Private!K:K,"Level 3",Private!D:D,"Bulacan")</f>
        <v>0</v>
      </c>
      <c r="K22" s="183">
        <f t="shared" si="29"/>
        <v>52</v>
      </c>
      <c r="L22" s="181">
        <f t="shared" ref="L22:N22" si="30">sum(D22,H22)</f>
        <v>36</v>
      </c>
      <c r="M22" s="181">
        <f t="shared" si="30"/>
        <v>16</v>
      </c>
      <c r="N22" s="181">
        <f t="shared" si="30"/>
        <v>0</v>
      </c>
      <c r="O22" s="184">
        <f t="shared" si="31"/>
        <v>52</v>
      </c>
    </row>
    <row r="23">
      <c r="A23" s="7"/>
      <c r="B23" s="7"/>
      <c r="C23" s="180" t="s">
        <v>774</v>
      </c>
      <c r="D23" s="181">
        <f>COUNTIFS('RAW Govt'!C:C, "Region 3", 'RAW Govt'!K:K,"Level 1",'RAW Govt'!D:D,"Nueva Ecija")</f>
        <v>0</v>
      </c>
      <c r="E23" s="181">
        <f>COUNTIFS('RAW Govt'!C:C, "Region 3", 'RAW Govt'!K:K,"Level 2",'RAW Govt'!D:D,"Nueva Ecija")</f>
        <v>0</v>
      </c>
      <c r="F23" s="181">
        <f>COUNTIFS('RAW Govt'!C:C, "Region 3", 'RAW Govt'!K:K,"Level 3",'RAW Govt'!D:D,"Nueva Ecija")</f>
        <v>0</v>
      </c>
      <c r="G23" s="182">
        <f t="shared" si="28"/>
        <v>0</v>
      </c>
      <c r="H23" s="181">
        <f>COUNTIFS(Private!C:C, "Region 3", Private!K:K,"Level 1",Private!D:D,"Nueva Ecija")</f>
        <v>8</v>
      </c>
      <c r="I23" s="181">
        <f>COUNTIFS(Private!C:C, "Region 3", Private!K:K,"Level 2",Private!D:D,"Nueva Ecija")</f>
        <v>6</v>
      </c>
      <c r="J23" s="181">
        <f>COUNTIFS(Private!C:C, "Region 3", Private!K:K,"Level 3",Private!D:D,"Nueva Ecija")</f>
        <v>1</v>
      </c>
      <c r="K23" s="183">
        <f t="shared" si="29"/>
        <v>15</v>
      </c>
      <c r="L23" s="181">
        <f t="shared" ref="L23:N23" si="32">sum(D23,H23)</f>
        <v>8</v>
      </c>
      <c r="M23" s="181">
        <f t="shared" si="32"/>
        <v>6</v>
      </c>
      <c r="N23" s="181">
        <f t="shared" si="32"/>
        <v>1</v>
      </c>
      <c r="O23" s="184">
        <f t="shared" si="31"/>
        <v>15</v>
      </c>
    </row>
    <row r="24">
      <c r="A24" s="7"/>
      <c r="B24" s="7"/>
      <c r="C24" s="180" t="s">
        <v>881</v>
      </c>
      <c r="D24" s="181">
        <f>COUNTIFS('RAW Govt'!C:C, "Region 3", 'RAW Govt'!K:K,"Level 1",'RAW Govt'!D:D,"Pampanga")</f>
        <v>0</v>
      </c>
      <c r="E24" s="181">
        <f>COUNTIFS('RAW Govt'!C:C, "Region 3", 'RAW Govt'!K:K,"Level 2",'RAW Govt'!D:D,"Pampanga")</f>
        <v>0</v>
      </c>
      <c r="F24" s="181">
        <f>COUNTIFS('RAW Govt'!C:C, "Region 3", 'RAW Govt'!K:K,"Level 3",'RAW Govt'!D:D,"Pampanga")</f>
        <v>0</v>
      </c>
      <c r="G24" s="182">
        <f t="shared" si="28"/>
        <v>0</v>
      </c>
      <c r="H24" s="181">
        <f>COUNTIFS(Private!C:C, "Region 3", Private!K:K,"Level 1",Private!D:D,"Pampanga")</f>
        <v>12</v>
      </c>
      <c r="I24" s="181">
        <f>COUNTIFS(Private!C:C, "Region 3", Private!K:K,"Level 2",Private!D:D,"Pampanga")</f>
        <v>15</v>
      </c>
      <c r="J24" s="181">
        <f>COUNTIFS(Private!C:C, "Region 3", Private!K:K,"Level 3",Private!D:D,"Pampanga")</f>
        <v>2</v>
      </c>
      <c r="K24" s="183">
        <f t="shared" si="29"/>
        <v>29</v>
      </c>
      <c r="L24" s="181">
        <f t="shared" ref="L24:N24" si="33">sum(D24,H24)</f>
        <v>12</v>
      </c>
      <c r="M24" s="181">
        <f t="shared" si="33"/>
        <v>15</v>
      </c>
      <c r="N24" s="181">
        <f t="shared" si="33"/>
        <v>2</v>
      </c>
      <c r="O24" s="184">
        <f t="shared" si="31"/>
        <v>29</v>
      </c>
    </row>
    <row r="25">
      <c r="A25" s="7"/>
      <c r="B25" s="7"/>
      <c r="C25" s="180" t="s">
        <v>2719</v>
      </c>
      <c r="D25" s="181">
        <f>COUNTIFS('RAW Govt'!C:C, "Region 3", 'RAW Govt'!K:K,"Level 1",'RAW Govt'!D:D,"Tarlac")</f>
        <v>0</v>
      </c>
      <c r="E25" s="181">
        <f>COUNTIFS('RAW Govt'!C:C, "Region 3", 'RAW Govt'!K:K,"Level 2",'RAW Govt'!D:D,"Tarlac")</f>
        <v>0</v>
      </c>
      <c r="F25" s="181">
        <f>COUNTIFS('RAW Govt'!C:C, "Region 3", 'RAW Govt'!K:K,"Level 3",'RAW Govt'!D:D,"Tarlac")</f>
        <v>0</v>
      </c>
      <c r="G25" s="182">
        <f t="shared" si="28"/>
        <v>0</v>
      </c>
      <c r="H25" s="181">
        <f>COUNTIFS(Private!C:C, "Region 3", Private!K:K,"Level 1",Private!D:D,"Tarlac")</f>
        <v>6</v>
      </c>
      <c r="I25" s="181">
        <f>COUNTIFS(Private!C:C, "Region 3", Private!K:K,"Level 2",Private!D:D,"Tarlac")</f>
        <v>6</v>
      </c>
      <c r="J25" s="181">
        <f>COUNTIFS(Private!C:C, "Region 3", Private!K:K,"Level 3",Private!D:D,"Tarlac")</f>
        <v>1</v>
      </c>
      <c r="K25" s="183">
        <f t="shared" si="29"/>
        <v>13</v>
      </c>
      <c r="L25" s="181">
        <f t="shared" ref="L25:N25" si="34">sum(D25,H25)</f>
        <v>6</v>
      </c>
      <c r="M25" s="181">
        <f t="shared" si="34"/>
        <v>6</v>
      </c>
      <c r="N25" s="181">
        <f t="shared" si="34"/>
        <v>1</v>
      </c>
      <c r="O25" s="184">
        <f t="shared" si="31"/>
        <v>13</v>
      </c>
    </row>
    <row r="26">
      <c r="A26" s="7"/>
      <c r="B26" s="7"/>
      <c r="C26" s="180" t="s">
        <v>2864</v>
      </c>
      <c r="D26" s="181">
        <f>COUNTIFS('RAW Govt'!C:C, "Region 3", 'RAW Govt'!K:K,"Level 1",'RAW Govt'!D:D,"Zambales")</f>
        <v>0</v>
      </c>
      <c r="E26" s="181">
        <f>COUNTIFS('RAW Govt'!C:C, "Region 3", 'RAW Govt'!K:K,"Level 2",'RAW Govt'!D:D,"Zambales")</f>
        <v>0</v>
      </c>
      <c r="F26" s="181">
        <f>COUNTIFS('RAW Govt'!C:C, "Region 3", 'RAW Govt'!K:K,"Level 3",'RAW Govt'!D:D,"Zambales")</f>
        <v>0</v>
      </c>
      <c r="G26" s="182">
        <f t="shared" si="28"/>
        <v>0</v>
      </c>
      <c r="H26" s="181">
        <f>COUNTIFS(Private!C:C, "Region 3", Private!K:K,"Level 1",Private!D:D,"Zambales")</f>
        <v>3</v>
      </c>
      <c r="I26" s="181">
        <f>COUNTIFS(Private!C:C, "Region 3", Private!K:K,"Level 2",Private!D:D,"Zambales")</f>
        <v>3</v>
      </c>
      <c r="J26" s="181">
        <f>COUNTIFS(Private!C:C, "Region 3", Private!K:K,"Level 3",Private!D:D,"Zambales")</f>
        <v>0</v>
      </c>
      <c r="K26" s="183">
        <f t="shared" si="29"/>
        <v>6</v>
      </c>
      <c r="L26" s="181">
        <f t="shared" ref="L26:N26" si="35">sum(D26,H26)</f>
        <v>3</v>
      </c>
      <c r="M26" s="181">
        <f t="shared" si="35"/>
        <v>3</v>
      </c>
      <c r="N26" s="181">
        <f t="shared" si="35"/>
        <v>0</v>
      </c>
      <c r="O26" s="184">
        <f t="shared" si="31"/>
        <v>6</v>
      </c>
    </row>
    <row r="27">
      <c r="A27" s="20"/>
      <c r="B27" s="20"/>
      <c r="C27" s="180" t="s">
        <v>1776</v>
      </c>
      <c r="D27" s="181">
        <f>COUNTIFS('RAW Govt'!C:C, "Region 3", 'RAW Govt'!K:K,"Level 1",'RAW Govt'!D:D,"Aurora")</f>
        <v>0</v>
      </c>
      <c r="E27" s="181">
        <f>COUNTIFS('RAW Govt'!C:C, "Region 3", 'RAW Govt'!K:K,"Level 2",'RAW Govt'!D:D,"Aurora")</f>
        <v>0</v>
      </c>
      <c r="F27" s="181">
        <f>COUNTIFS('RAW Govt'!C:C, "Region 3", 'RAW Govt'!K:K,"Level 3",'RAW Govt'!D:D,"Aurora")</f>
        <v>0</v>
      </c>
      <c r="G27" s="182">
        <f t="shared" si="28"/>
        <v>0</v>
      </c>
      <c r="H27" s="181">
        <f>COUNTIFS(Private!C:C, "Region 3", Private!K:K,"Level 1",Private!D:D,"Aurora")</f>
        <v>0</v>
      </c>
      <c r="I27" s="181">
        <f>COUNTIFS(Private!C:C, "Region 3", Private!K:K,"Level 2",Private!D:D,"Aurora")</f>
        <v>1</v>
      </c>
      <c r="J27" s="181">
        <f>COUNTIFS(Private!C:C, "Region 3", Private!K:K,"Level 3",Private!D:D,"Aurora")</f>
        <v>0</v>
      </c>
      <c r="K27" s="183">
        <f t="shared" si="29"/>
        <v>1</v>
      </c>
      <c r="L27" s="181">
        <f t="shared" ref="L27:N27" si="36">sum(D27,H27)</f>
        <v>0</v>
      </c>
      <c r="M27" s="181">
        <f t="shared" si="36"/>
        <v>1</v>
      </c>
      <c r="N27" s="181">
        <f t="shared" si="36"/>
        <v>0</v>
      </c>
      <c r="O27" s="184">
        <f t="shared" si="31"/>
        <v>1</v>
      </c>
    </row>
    <row r="28">
      <c r="A28" s="185" t="s">
        <v>7</v>
      </c>
      <c r="B28" s="4"/>
      <c r="C28" s="5"/>
      <c r="D28" s="176">
        <f t="shared" ref="D28:O28" si="37">sum(D21:D27)</f>
        <v>0</v>
      </c>
      <c r="E28" s="176">
        <f t="shared" si="37"/>
        <v>0</v>
      </c>
      <c r="F28" s="176">
        <f t="shared" si="37"/>
        <v>0</v>
      </c>
      <c r="G28" s="176">
        <f t="shared" si="37"/>
        <v>0</v>
      </c>
      <c r="H28" s="186">
        <f t="shared" si="37"/>
        <v>70</v>
      </c>
      <c r="I28" s="186">
        <f t="shared" si="37"/>
        <v>51</v>
      </c>
      <c r="J28" s="186">
        <f t="shared" si="37"/>
        <v>4</v>
      </c>
      <c r="K28" s="186">
        <f t="shared" si="37"/>
        <v>125</v>
      </c>
      <c r="L28" s="211">
        <f t="shared" si="37"/>
        <v>70</v>
      </c>
      <c r="M28" s="211">
        <f t="shared" si="37"/>
        <v>51</v>
      </c>
      <c r="N28" s="211">
        <f t="shared" si="37"/>
        <v>4</v>
      </c>
      <c r="O28" s="211">
        <f t="shared" si="37"/>
        <v>125</v>
      </c>
    </row>
    <row r="29">
      <c r="A29" s="179" t="s">
        <v>351</v>
      </c>
      <c r="B29" s="179" t="s">
        <v>353</v>
      </c>
      <c r="C29" s="180" t="s">
        <v>935</v>
      </c>
      <c r="D29" s="181">
        <f>COUNTIFS('RAW Govt'!C:C, "Region 4-a", 'RAW Govt'!K:K,"Level 1",'RAW Govt'!D:D,"Batangas")</f>
        <v>0</v>
      </c>
      <c r="E29" s="181">
        <f>COUNTIFS('RAW Govt'!C:C, "Region 4-a", 'RAW Govt'!K:K,"Level 2",'RAW Govt'!D:D,"Batangas")</f>
        <v>0</v>
      </c>
      <c r="F29" s="181">
        <f>COUNTIFS('RAW Govt'!C:C, "Region 4-a", 'RAW Govt'!K:K,"Level 3",'RAW Govt'!D:D,"Batangas")</f>
        <v>0</v>
      </c>
      <c r="G29" s="182">
        <f t="shared" ref="G29:G33" si="39">sum(D29:F29)</f>
        <v>0</v>
      </c>
      <c r="H29" s="181">
        <f>COUNTIFS(Private!C:C, "Region 4-a", Private!K:K,"Level 1",Private!D:D,"Batangas")</f>
        <v>19</v>
      </c>
      <c r="I29" s="181">
        <f>COUNTIFS(Private!C:C, "Region 4-a", Private!K:K,"Level 2",Private!D:D,"Batangas")</f>
        <v>23</v>
      </c>
      <c r="J29" s="181">
        <f>COUNTIFS(Private!C:C, "Region 4-a", Private!K:K,"Level 3",Private!D:D,"Batangas")</f>
        <v>1</v>
      </c>
      <c r="K29" s="183">
        <f t="shared" ref="K29:K33" si="40">SUM(H29:J29)</f>
        <v>43</v>
      </c>
      <c r="L29" s="181">
        <f t="shared" ref="L29:N29" si="38">sum(D29,H29)</f>
        <v>19</v>
      </c>
      <c r="M29" s="181">
        <f t="shared" si="38"/>
        <v>23</v>
      </c>
      <c r="N29" s="181">
        <f t="shared" si="38"/>
        <v>1</v>
      </c>
      <c r="O29" s="184">
        <f t="shared" ref="O29:O33" si="42">sum(L29:N29)</f>
        <v>43</v>
      </c>
    </row>
    <row r="30">
      <c r="A30" s="7"/>
      <c r="B30" s="7"/>
      <c r="C30" s="180" t="s">
        <v>994</v>
      </c>
      <c r="D30" s="181">
        <f>COUNTIFS('RAW Govt'!C:C, "Region 4-a", 'RAW Govt'!K:K,"Level 1",'RAW Govt'!D:D,"Cavite")</f>
        <v>0</v>
      </c>
      <c r="E30" s="181">
        <f>COUNTIFS('RAW Govt'!C:C, "Region 4-a", 'RAW Govt'!K:K,"Level 2",'RAW Govt'!D:D,"Cavite")</f>
        <v>0</v>
      </c>
      <c r="F30" s="181">
        <f>COUNTIFS('RAW Govt'!C:C, "Region 4-a", 'RAW Govt'!K:K,"Level 3",'RAW Govt'!D:D,"Cavite")</f>
        <v>0</v>
      </c>
      <c r="G30" s="182">
        <f t="shared" si="39"/>
        <v>0</v>
      </c>
      <c r="H30" s="181">
        <f>COUNTIFS(Private!C:C, "Region 4-a", Private!K:K,"Level 1",Private!D:D,"Cavite")</f>
        <v>22</v>
      </c>
      <c r="I30" s="181">
        <f>COUNTIFS(Private!C:C, "Region 4-a", Private!K:K,"Level 2",Private!D:D,"Cavite")</f>
        <v>22</v>
      </c>
      <c r="J30" s="181">
        <f>COUNTIFS(Private!C:C, "Region 4-a", Private!K:K,"Level 3",Private!D:D,"Cavite")</f>
        <v>1</v>
      </c>
      <c r="K30" s="183">
        <f t="shared" si="40"/>
        <v>45</v>
      </c>
      <c r="L30" s="181">
        <f t="shared" ref="L30:N30" si="41">sum(D30,H30)</f>
        <v>22</v>
      </c>
      <c r="M30" s="181">
        <f t="shared" si="41"/>
        <v>22</v>
      </c>
      <c r="N30" s="181">
        <f t="shared" si="41"/>
        <v>1</v>
      </c>
      <c r="O30" s="184">
        <f t="shared" si="42"/>
        <v>45</v>
      </c>
    </row>
    <row r="31">
      <c r="A31" s="7"/>
      <c r="B31" s="7"/>
      <c r="C31" s="180" t="s">
        <v>3306</v>
      </c>
      <c r="D31" s="181">
        <f>COUNTIFS('RAW Govt'!C:C, "Region 4-a", 'RAW Govt'!K:K,"Level 1",'RAW Govt'!D:D,"Laguna")</f>
        <v>0</v>
      </c>
      <c r="E31" s="181">
        <f>COUNTIFS('RAW Govt'!C:C, "Region 4-a", 'RAW Govt'!K:K,"Level 2",'RAW Govt'!D:D,"Laguna")</f>
        <v>0</v>
      </c>
      <c r="F31" s="181">
        <f>COUNTIFS('RAW Govt'!C:C, "Region 4-a", 'RAW Govt'!K:K,"Level 3",'RAW Govt'!D:D,"Laguna")</f>
        <v>0</v>
      </c>
      <c r="G31" s="182">
        <f t="shared" si="39"/>
        <v>0</v>
      </c>
      <c r="H31" s="181">
        <f>COUNTIFS(Private!C:C, "Region 4-a", Private!K:K,"Level 1",Private!D:D,"Laguna")</f>
        <v>15</v>
      </c>
      <c r="I31" s="181">
        <f>COUNTIFS(Private!C:C, "Region 4-a", Private!K:K,"Level 2",Private!D:D,"Laguna")</f>
        <v>22</v>
      </c>
      <c r="J31" s="181">
        <f>COUNTIFS(Private!C:C, "Region 4-a", Private!K:K,"Level 3",Private!D:D,"Laguna")</f>
        <v>1</v>
      </c>
      <c r="K31" s="183">
        <f t="shared" si="40"/>
        <v>38</v>
      </c>
      <c r="L31" s="181">
        <f t="shared" ref="L31:N31" si="43">sum(D31,H31)</f>
        <v>15</v>
      </c>
      <c r="M31" s="181">
        <f t="shared" si="43"/>
        <v>22</v>
      </c>
      <c r="N31" s="181">
        <f t="shared" si="43"/>
        <v>1</v>
      </c>
      <c r="O31" s="184">
        <f t="shared" si="42"/>
        <v>38</v>
      </c>
    </row>
    <row r="32">
      <c r="A32" s="7"/>
      <c r="B32" s="7"/>
      <c r="C32" s="180" t="s">
        <v>1054</v>
      </c>
      <c r="D32" s="181">
        <f>COUNTIFS('RAW Govt'!C:C, "Region 4-a", 'RAW Govt'!K:K,"Level 1",'RAW Govt'!D:D,"Quezon")</f>
        <v>0</v>
      </c>
      <c r="E32" s="181">
        <f>COUNTIFS('RAW Govt'!C:C, "Region 4-a", 'RAW Govt'!K:K,"Level 2",'RAW Govt'!D:D,"Quezon")</f>
        <v>0</v>
      </c>
      <c r="F32" s="181">
        <f>COUNTIFS('RAW Govt'!C:C, "Region 4-a", 'RAW Govt'!K:K,"Level 3",'RAW Govt'!D:D,"Quezon")</f>
        <v>0</v>
      </c>
      <c r="G32" s="182">
        <f t="shared" si="39"/>
        <v>0</v>
      </c>
      <c r="H32" s="181">
        <f>COUNTIFS(Private!C:C, "Region 4-a", Private!K:K,"Level 1",Private!D:D,"Quezon")</f>
        <v>5</v>
      </c>
      <c r="I32" s="181">
        <f>COUNTIFS(Private!C:C, "Region 4-a", Private!K:K,"Level 2",Private!D:D,"Quezon")</f>
        <v>10</v>
      </c>
      <c r="J32" s="181">
        <f>COUNTIFS(Private!C:C, "Region 4-a", Private!K:K,"Level 3",Private!D:D,"Quezon")</f>
        <v>0</v>
      </c>
      <c r="K32" s="183">
        <f t="shared" si="40"/>
        <v>15</v>
      </c>
      <c r="L32" s="181">
        <f t="shared" ref="L32:N32" si="44">sum(D32,H32)</f>
        <v>5</v>
      </c>
      <c r="M32" s="181">
        <f t="shared" si="44"/>
        <v>10</v>
      </c>
      <c r="N32" s="181">
        <f t="shared" si="44"/>
        <v>0</v>
      </c>
      <c r="O32" s="184">
        <f t="shared" si="42"/>
        <v>15</v>
      </c>
    </row>
    <row r="33">
      <c r="A33" s="20"/>
      <c r="B33" s="20"/>
      <c r="C33" s="180" t="s">
        <v>3806</v>
      </c>
      <c r="D33" s="181">
        <f>COUNTIFS('RAW Govt'!C:C, "Region 4-a", 'RAW Govt'!K:K,"Level 1",'RAW Govt'!D:D,"Rizal")</f>
        <v>0</v>
      </c>
      <c r="E33" s="181">
        <f>COUNTIFS('RAW Govt'!C:C, "Region 4-a", 'RAW Govt'!K:K,"Level 2",'RAW Govt'!D:D,"Rizal")</f>
        <v>0</v>
      </c>
      <c r="F33" s="181">
        <f>COUNTIFS('RAW Govt'!C:C, "Region 4-a", 'RAW Govt'!K:K,"Level 3",'RAW Govt'!D:D,"Rizal")</f>
        <v>0</v>
      </c>
      <c r="G33" s="182">
        <f t="shared" si="39"/>
        <v>0</v>
      </c>
      <c r="H33" s="181">
        <f>COUNTIFS(Private!C:C, "Region 4-a", Private!K:K,"Level 1",Private!D:D,"Rizal")</f>
        <v>20</v>
      </c>
      <c r="I33" s="181">
        <f>COUNTIFS(Private!C:C, "Region 4-a", Private!K:K,"Level 2",Private!D:D,"Rizal")</f>
        <v>9</v>
      </c>
      <c r="J33" s="181">
        <f>COUNTIFS(Private!C:C, "Region 4-a", Private!K:K,"Level 3",Private!D:D,"Rizal")</f>
        <v>0</v>
      </c>
      <c r="K33" s="183">
        <f t="shared" si="40"/>
        <v>29</v>
      </c>
      <c r="L33" s="181">
        <f t="shared" ref="L33:N33" si="45">sum(D33,H33)</f>
        <v>20</v>
      </c>
      <c r="M33" s="181">
        <f t="shared" si="45"/>
        <v>9</v>
      </c>
      <c r="N33" s="181">
        <f t="shared" si="45"/>
        <v>0</v>
      </c>
      <c r="O33" s="184">
        <f t="shared" si="42"/>
        <v>29</v>
      </c>
    </row>
    <row r="34">
      <c r="A34" s="185" t="s">
        <v>7</v>
      </c>
      <c r="B34" s="4"/>
      <c r="C34" s="5"/>
      <c r="D34" s="176">
        <f t="shared" ref="D34:O34" si="46">sum(D29:D33)</f>
        <v>0</v>
      </c>
      <c r="E34" s="176">
        <f t="shared" si="46"/>
        <v>0</v>
      </c>
      <c r="F34" s="176">
        <f t="shared" si="46"/>
        <v>0</v>
      </c>
      <c r="G34" s="176">
        <f t="shared" si="46"/>
        <v>0</v>
      </c>
      <c r="H34" s="186">
        <f t="shared" si="46"/>
        <v>81</v>
      </c>
      <c r="I34" s="186">
        <f t="shared" si="46"/>
        <v>86</v>
      </c>
      <c r="J34" s="186">
        <f t="shared" si="46"/>
        <v>3</v>
      </c>
      <c r="K34" s="186">
        <f t="shared" si="46"/>
        <v>170</v>
      </c>
      <c r="L34" s="211">
        <f t="shared" si="46"/>
        <v>81</v>
      </c>
      <c r="M34" s="211">
        <f t="shared" si="46"/>
        <v>86</v>
      </c>
      <c r="N34" s="211">
        <f t="shared" si="46"/>
        <v>3</v>
      </c>
      <c r="O34" s="211">
        <f t="shared" si="46"/>
        <v>170</v>
      </c>
    </row>
    <row r="35">
      <c r="A35" s="179" t="s">
        <v>422</v>
      </c>
      <c r="B35" s="179" t="s">
        <v>423</v>
      </c>
      <c r="C35" s="180" t="s">
        <v>3975</v>
      </c>
      <c r="D35" s="181">
        <f>COUNTIFS('RAW Govt'!C:C, "Region 4-b", 'RAW Govt'!K:K,"Level 1",'RAW Govt'!D:D,"Marinduque")</f>
        <v>0</v>
      </c>
      <c r="E35" s="181">
        <f>COUNTIFS('RAW Govt'!C:C, "Region 4-b", 'RAW Govt'!K:K,"Level 2",'RAW Govt'!D:D,"Marinduque")</f>
        <v>0</v>
      </c>
      <c r="F35" s="181">
        <f>COUNTIFS('RAW Govt'!C:C, "Region 4-b", 'RAW Govt'!K:K,"Level 3",'RAW Govt'!D:D,"Marinduque")</f>
        <v>0</v>
      </c>
      <c r="G35" s="182">
        <f t="shared" ref="G35:G39" si="48">sum(D35:F35)</f>
        <v>0</v>
      </c>
      <c r="H35" s="181">
        <f>COUNTIFS(Private!C:C, "Region 4-b", Private!K:K,"Level 1",Private!D:D,"Marinduque")</f>
        <v>0</v>
      </c>
      <c r="I35" s="181">
        <f>COUNTIFS(Private!C:C, "Region 4-b", Private!K:K,"Level 2",Private!D:D,"Marinduque")</f>
        <v>0</v>
      </c>
      <c r="J35" s="181">
        <f>COUNTIFS(Private!C:C, "Region 4-b", Private!K:K,"Level 3",Private!D:D,"Marinduque")</f>
        <v>0</v>
      </c>
      <c r="K35" s="183">
        <f t="shared" ref="K35:K39" si="49">SUM(H35:J35)</f>
        <v>0</v>
      </c>
      <c r="L35" s="181">
        <f t="shared" ref="L35:N35" si="47">SUM(D35,H35)</f>
        <v>0</v>
      </c>
      <c r="M35" s="181">
        <f t="shared" si="47"/>
        <v>0</v>
      </c>
      <c r="N35" s="181">
        <f t="shared" si="47"/>
        <v>0</v>
      </c>
      <c r="O35" s="184">
        <f t="shared" ref="O35:O39" si="51">SUM(L35:N35)</f>
        <v>0</v>
      </c>
    </row>
    <row r="36">
      <c r="A36" s="7"/>
      <c r="B36" s="7"/>
      <c r="C36" s="180" t="s">
        <v>3994</v>
      </c>
      <c r="D36" s="181">
        <f>COUNTIFS('RAW Govt'!C:C, "Region 4-b", 'RAW Govt'!K:K,"Level 1",'RAW Govt'!D:D,"Occidental Mindoro")</f>
        <v>0</v>
      </c>
      <c r="E36" s="181">
        <f>COUNTIFS('RAW Govt'!C:C, "Region 4-b", 'RAW Govt'!K:K,"Level 2",'RAW Govt'!D:D,"Occidental Mindoro")</f>
        <v>0</v>
      </c>
      <c r="F36" s="181">
        <f>COUNTIFS('RAW Govt'!C:C, "Region 4-b", 'RAW Govt'!K:K,"Level 3",'RAW Govt'!D:D,"Occidental Mindoro")</f>
        <v>0</v>
      </c>
      <c r="G36" s="182">
        <f t="shared" si="48"/>
        <v>0</v>
      </c>
      <c r="H36" s="181">
        <f>COUNTIFS(Private!C:C, "Region 4-b", Private!K:K,"Level 1",Private!D:D,"Occidental Mindoro")</f>
        <v>0</v>
      </c>
      <c r="I36" s="181">
        <f>COUNTIFS(Private!C:C, "Region 4-b", Private!K:K,"Level 2",Private!D:D,"Occidental Mindoro")</f>
        <v>0</v>
      </c>
      <c r="J36" s="181">
        <f>COUNTIFS(Private!C:C, "Region 4-b", Private!K:K,"Level 3",Private!D:D,"Occidental Mindoro")</f>
        <v>0</v>
      </c>
      <c r="K36" s="183">
        <f t="shared" si="49"/>
        <v>0</v>
      </c>
      <c r="L36" s="181">
        <f t="shared" ref="L36:N36" si="50">SUM(D36,H36)</f>
        <v>0</v>
      </c>
      <c r="M36" s="181">
        <f t="shared" si="50"/>
        <v>0</v>
      </c>
      <c r="N36" s="181">
        <f t="shared" si="50"/>
        <v>0</v>
      </c>
      <c r="O36" s="184">
        <f t="shared" si="51"/>
        <v>0</v>
      </c>
    </row>
    <row r="37">
      <c r="A37" s="7"/>
      <c r="B37" s="7"/>
      <c r="C37" s="180" t="s">
        <v>4042</v>
      </c>
      <c r="D37" s="181">
        <f>COUNTIFS('RAW Govt'!C:C, "Region 4-b", 'RAW Govt'!K:K,"Level 1",'RAW Govt'!D:D,"Oriental Mindoro")</f>
        <v>0</v>
      </c>
      <c r="E37" s="181">
        <f>COUNTIFS('RAW Govt'!C:C, "Region 4-b", 'RAW Govt'!K:K,"Level 2",'RAW Govt'!D:D,"Oriental Mindoro")</f>
        <v>0</v>
      </c>
      <c r="F37" s="181">
        <f>COUNTIFS('RAW Govt'!C:C, "Region 4-b", 'RAW Govt'!K:K,"Level 3",'RAW Govt'!D:D,"Oriental Mindoro")</f>
        <v>0</v>
      </c>
      <c r="G37" s="182">
        <f t="shared" si="48"/>
        <v>0</v>
      </c>
      <c r="H37" s="181">
        <f>COUNTIFS(Private!C:C, "Region 4-b", Private!K:K,"Level 1",Private!D:D,"Oriental Mindoro")</f>
        <v>4</v>
      </c>
      <c r="I37" s="181">
        <f>COUNTIFS(Private!C:C, "Region 4-b", Private!K:K,"Level 2",Private!D:D,"Oriental Mindoro")</f>
        <v>4</v>
      </c>
      <c r="J37" s="181">
        <f>COUNTIFS(Private!C:C, "Region 4-b", Private!K:K,"Level 3",Private!D:D,"Oriental Mindoro")</f>
        <v>0</v>
      </c>
      <c r="K37" s="183">
        <f t="shared" si="49"/>
        <v>8</v>
      </c>
      <c r="L37" s="181">
        <f t="shared" ref="L37:N37" si="52">SUM(D37,H37)</f>
        <v>4</v>
      </c>
      <c r="M37" s="181">
        <f t="shared" si="52"/>
        <v>4</v>
      </c>
      <c r="N37" s="181">
        <f t="shared" si="52"/>
        <v>0</v>
      </c>
      <c r="O37" s="184">
        <f t="shared" si="51"/>
        <v>8</v>
      </c>
    </row>
    <row r="38">
      <c r="A38" s="7"/>
      <c r="B38" s="7"/>
      <c r="C38" s="180" t="s">
        <v>1100</v>
      </c>
      <c r="D38" s="181">
        <f>COUNTIFS('RAW Govt'!C:C, "Region 4-b", 'RAW Govt'!K:K,"Level 1",'RAW Govt'!D:D,"Palawan")</f>
        <v>0</v>
      </c>
      <c r="E38" s="181">
        <f>COUNTIFS('RAW Govt'!C:C, "Region 4-b", 'RAW Govt'!K:K,"Level 2",'RAW Govt'!D:D,"Palawan")</f>
        <v>0</v>
      </c>
      <c r="F38" s="181">
        <f>COUNTIFS('RAW Govt'!C:C, "Region 4-b", 'RAW Govt'!K:K,"Level 3",'RAW Govt'!D:D,"Palawan")</f>
        <v>0</v>
      </c>
      <c r="G38" s="182">
        <f t="shared" si="48"/>
        <v>0</v>
      </c>
      <c r="H38" s="181">
        <f>COUNTIFS(Private!C:C, "Region 4-b", Private!K:K,"Level 1",Private!D:D,"Palawan")</f>
        <v>4</v>
      </c>
      <c r="I38" s="181">
        <f>COUNTIFS(Private!C:C, "Region 4-b", Private!K:K,"Level 2",Private!D:D,"Palawan")</f>
        <v>3</v>
      </c>
      <c r="J38" s="181">
        <f>COUNTIFS(Private!C:C, "Region 4-b", Private!K:K,"Level 3",Private!D:D,"Palawan")</f>
        <v>0</v>
      </c>
      <c r="K38" s="183">
        <f t="shared" si="49"/>
        <v>7</v>
      </c>
      <c r="L38" s="181">
        <f t="shared" ref="L38:N38" si="53">SUM(D38,H38)</f>
        <v>4</v>
      </c>
      <c r="M38" s="181">
        <f t="shared" si="53"/>
        <v>3</v>
      </c>
      <c r="N38" s="181">
        <f t="shared" si="53"/>
        <v>0</v>
      </c>
      <c r="O38" s="184">
        <f t="shared" si="51"/>
        <v>7</v>
      </c>
    </row>
    <row r="39">
      <c r="A39" s="20"/>
      <c r="B39" s="20"/>
      <c r="C39" s="180" t="s">
        <v>4206</v>
      </c>
      <c r="D39" s="181">
        <f>COUNTIFS('RAW Govt'!C:C, "Region 4-b", 'RAW Govt'!K:K,"Level 1",'RAW Govt'!D:D,"Romblon")</f>
        <v>0</v>
      </c>
      <c r="E39" s="181">
        <f>COUNTIFS('RAW Govt'!C:C, "Region 4-b", 'RAW Govt'!K:K,"Level 2",'RAW Govt'!D:D,"Romblon")</f>
        <v>0</v>
      </c>
      <c r="F39" s="181">
        <f>COUNTIFS('RAW Govt'!C:C, "Region 4-b", 'RAW Govt'!K:K,"Level 3",'RAW Govt'!D:D,"Romblon")</f>
        <v>0</v>
      </c>
      <c r="G39" s="182">
        <f t="shared" si="48"/>
        <v>0</v>
      </c>
      <c r="H39" s="181">
        <f>COUNTIFS(Private!C:C, "Region 4-b", Private!K:K,"Level 1",Private!D:D,"Romblon")</f>
        <v>1</v>
      </c>
      <c r="I39" s="181">
        <f>COUNTIFS(Private!C:C, "Region 4-b", Private!K:K,"Level 2",Private!D:D,"Romblon")</f>
        <v>0</v>
      </c>
      <c r="J39" s="181">
        <f>COUNTIFS(Private!C:C, "Region 4-b", Private!K:K,"Level 3",Private!D:D,"Romblon")</f>
        <v>0</v>
      </c>
      <c r="K39" s="183">
        <f t="shared" si="49"/>
        <v>1</v>
      </c>
      <c r="L39" s="181">
        <f t="shared" ref="L39:N39" si="54">SUM(D39,H39)</f>
        <v>1</v>
      </c>
      <c r="M39" s="181">
        <f t="shared" si="54"/>
        <v>0</v>
      </c>
      <c r="N39" s="181">
        <f t="shared" si="54"/>
        <v>0</v>
      </c>
      <c r="O39" s="184">
        <f t="shared" si="51"/>
        <v>1</v>
      </c>
    </row>
    <row r="40">
      <c r="A40" s="185" t="s">
        <v>7</v>
      </c>
      <c r="B40" s="4"/>
      <c r="C40" s="5"/>
      <c r="D40" s="176">
        <f t="shared" ref="D40:O40" si="55">sum(D35:D39)</f>
        <v>0</v>
      </c>
      <c r="E40" s="176">
        <f t="shared" si="55"/>
        <v>0</v>
      </c>
      <c r="F40" s="176">
        <f t="shared" si="55"/>
        <v>0</v>
      </c>
      <c r="G40" s="176">
        <f t="shared" si="55"/>
        <v>0</v>
      </c>
      <c r="H40" s="186">
        <f t="shared" si="55"/>
        <v>9</v>
      </c>
      <c r="I40" s="186">
        <f t="shared" si="55"/>
        <v>7</v>
      </c>
      <c r="J40" s="186">
        <f t="shared" si="55"/>
        <v>0</v>
      </c>
      <c r="K40" s="186">
        <f t="shared" si="55"/>
        <v>16</v>
      </c>
      <c r="L40" s="211">
        <f t="shared" si="55"/>
        <v>9</v>
      </c>
      <c r="M40" s="211">
        <f t="shared" si="55"/>
        <v>7</v>
      </c>
      <c r="N40" s="211">
        <f t="shared" si="55"/>
        <v>0</v>
      </c>
      <c r="O40" s="211">
        <f t="shared" si="55"/>
        <v>16</v>
      </c>
    </row>
    <row r="41">
      <c r="A41" s="179" t="s">
        <v>509</v>
      </c>
      <c r="B41" s="179" t="s">
        <v>511</v>
      </c>
      <c r="C41" s="180" t="s">
        <v>1167</v>
      </c>
      <c r="D41" s="191">
        <f>COUNTIFS('RAW Govt'!C:C, "Region 5", 'RAW Govt'!K:K,"Level 1",'RAW Govt'!D:D,"Albay")</f>
        <v>0</v>
      </c>
      <c r="E41" s="191">
        <f>COUNTIFS('RAW Govt'!C:C, "Region 5", 'RAW Govt'!K:K,"Level 2",'RAW Govt'!D:D,"Albay")</f>
        <v>0</v>
      </c>
      <c r="F41" s="191">
        <f>COUNTIFS('RAW Govt'!C:C, "Region 5", 'RAW Govt'!K:K,"Level 3",'RAW Govt'!D:D,"Albay")</f>
        <v>0</v>
      </c>
      <c r="G41" s="182">
        <f t="shared" ref="G41:G46" si="57">sum(D41:F41)</f>
        <v>0</v>
      </c>
      <c r="H41" s="181">
        <f>COUNTIFS(Private!C:C, "Region 5", Private!K:K,"Level 1",Private!D:D,"Albay")</f>
        <v>5</v>
      </c>
      <c r="I41" s="181">
        <f>COUNTIFS(Private!C:C, "Region 5", Private!K:K,"Level 2",Private!D:D,"Albay")</f>
        <v>5</v>
      </c>
      <c r="J41" s="181">
        <f>COUNTIFS(Private!C:C, "Region 5", Private!K:K,"Level 3",Private!D:D,"Albay")</f>
        <v>0</v>
      </c>
      <c r="K41" s="183">
        <f t="shared" ref="K41:K46" si="58">SUM(H41:J41)</f>
        <v>10</v>
      </c>
      <c r="L41" s="181">
        <f t="shared" ref="L41:N41" si="56">SUM(H41,D41)</f>
        <v>5</v>
      </c>
      <c r="M41" s="181">
        <f t="shared" si="56"/>
        <v>5</v>
      </c>
      <c r="N41" s="181">
        <f t="shared" si="56"/>
        <v>0</v>
      </c>
      <c r="O41" s="184">
        <f t="shared" ref="O41:O46" si="60">SUM(L41:N41)</f>
        <v>10</v>
      </c>
    </row>
    <row r="42">
      <c r="A42" s="7"/>
      <c r="B42" s="7"/>
      <c r="C42" s="180" t="s">
        <v>4339</v>
      </c>
      <c r="D42" s="191">
        <f>COUNTIFS('RAW Govt'!C:C, "Region 5", 'RAW Govt'!K:K,"Level 1",'RAW Govt'!D:D,"Camarines Norte")</f>
        <v>0</v>
      </c>
      <c r="E42" s="191">
        <f>COUNTIFS('RAW Govt'!C:C, "Region 5", 'RAW Govt'!K:K,"Level 2",'RAW Govt'!D:D,"Camarines Norte")</f>
        <v>0</v>
      </c>
      <c r="F42" s="191">
        <f>COUNTIFS('RAW Govt'!C:C, "Region 5", 'RAW Govt'!K:K,"Level 3",'RAW Govt'!D:D,"Camarines Norte")</f>
        <v>0</v>
      </c>
      <c r="G42" s="182">
        <f t="shared" si="57"/>
        <v>0</v>
      </c>
      <c r="H42" s="181">
        <f>COUNTIFS(Private!C:C, "Region 5", Private!K:K,"Level 1",Private!D:D,"Camarines Norte")</f>
        <v>4</v>
      </c>
      <c r="I42" s="181">
        <f>COUNTIFS(Private!C:C, "Region 5", Private!K:K,"Level 2",Private!D:D,"Camarines Norte")</f>
        <v>1</v>
      </c>
      <c r="J42" s="181">
        <f>COUNTIFS(Private!C:C, "Region 5", Private!K:K,"Level 3",Private!D:D,"Camarines Norte")</f>
        <v>0</v>
      </c>
      <c r="K42" s="183">
        <f t="shared" si="58"/>
        <v>5</v>
      </c>
      <c r="L42" s="181">
        <f t="shared" ref="L42:N42" si="59">SUM(H42,D42)</f>
        <v>4</v>
      </c>
      <c r="M42" s="181">
        <f t="shared" si="59"/>
        <v>1</v>
      </c>
      <c r="N42" s="181">
        <f t="shared" si="59"/>
        <v>0</v>
      </c>
      <c r="O42" s="184">
        <f t="shared" si="60"/>
        <v>5</v>
      </c>
    </row>
    <row r="43">
      <c r="A43" s="7"/>
      <c r="B43" s="7"/>
      <c r="C43" s="180" t="s">
        <v>1209</v>
      </c>
      <c r="D43" s="191">
        <f>COUNTIFS('RAW Govt'!C:C, "Region 5", 'RAW Govt'!K:K,"Level 1",'RAW Govt'!D:D,"Camarines Sur")</f>
        <v>0</v>
      </c>
      <c r="E43" s="191">
        <f>COUNTIFS('RAW Govt'!C:C, "Region 5", 'RAW Govt'!K:K,"Level 2",'RAW Govt'!D:D,"Camarines Sur")</f>
        <v>0</v>
      </c>
      <c r="F43" s="191">
        <f>COUNTIFS('RAW Govt'!C:C, "Region 5", 'RAW Govt'!K:K,"Level 3",'RAW Govt'!D:D,"Camarines Sur")</f>
        <v>0</v>
      </c>
      <c r="G43" s="182">
        <f t="shared" si="57"/>
        <v>0</v>
      </c>
      <c r="H43" s="181">
        <f>COUNTIFS(Private!C:C, "Region 5", Private!K:K,"Level 1",Private!D:D,"Camarines Sur")</f>
        <v>7</v>
      </c>
      <c r="I43" s="181">
        <f>COUNTIFS(Private!C:C, "Region 5", Private!K:K,"Level 2",Private!D:D,"Camarines Sur")</f>
        <v>3</v>
      </c>
      <c r="J43" s="181">
        <f>COUNTIFS(Private!C:C, "Region 5", Private!K:K,"Level 3",Private!D:D,"Camarines Sur")</f>
        <v>1</v>
      </c>
      <c r="K43" s="183">
        <f t="shared" si="58"/>
        <v>11</v>
      </c>
      <c r="L43" s="181">
        <f t="shared" ref="L43:N43" si="61">SUM(H43,D43)</f>
        <v>7</v>
      </c>
      <c r="M43" s="181">
        <f t="shared" si="61"/>
        <v>3</v>
      </c>
      <c r="N43" s="181">
        <f t="shared" si="61"/>
        <v>1</v>
      </c>
      <c r="O43" s="184">
        <f t="shared" si="60"/>
        <v>11</v>
      </c>
    </row>
    <row r="44">
      <c r="A44" s="7"/>
      <c r="B44" s="7"/>
      <c r="C44" s="180" t="s">
        <v>4417</v>
      </c>
      <c r="D44" s="191">
        <f>COUNTIFS('RAW Govt'!C:C, "Region 5", 'RAW Govt'!K:K,"Level 1",'RAW Govt'!D:D,"Catanduanes")</f>
        <v>0</v>
      </c>
      <c r="E44" s="191">
        <f>COUNTIFS('RAW Govt'!C:C, "Region 5", 'RAW Govt'!K:K,"Level 2",'RAW Govt'!D:D,"Catanduanes")</f>
        <v>0</v>
      </c>
      <c r="F44" s="191">
        <f>COUNTIFS('RAW Govt'!C:C, "Region 5", 'RAW Govt'!K:K,"Level 3",'RAW Govt'!D:D,"Catanduanes")</f>
        <v>0</v>
      </c>
      <c r="G44" s="182">
        <f t="shared" si="57"/>
        <v>0</v>
      </c>
      <c r="H44" s="181">
        <f>COUNTIFS(Private!C:C, "Region 5", Private!K:K,"Level 1",Private!D:D,"Catanduanes")</f>
        <v>0</v>
      </c>
      <c r="I44" s="181">
        <f>COUNTIFS(Private!C:C, "Region 5", Private!K:K,"Level 2",Private!D:D,"Catanduanes")</f>
        <v>2</v>
      </c>
      <c r="J44" s="181">
        <f>COUNTIFS(Private!C:C, "Region 5", Private!K:K,"Level 3",Private!D:D,"Catanduanes")</f>
        <v>0</v>
      </c>
      <c r="K44" s="183">
        <f t="shared" si="58"/>
        <v>2</v>
      </c>
      <c r="L44" s="181">
        <f t="shared" ref="L44:N44" si="62">SUM(H44,D44)</f>
        <v>0</v>
      </c>
      <c r="M44" s="181">
        <f t="shared" si="62"/>
        <v>2</v>
      </c>
      <c r="N44" s="181">
        <f t="shared" si="62"/>
        <v>0</v>
      </c>
      <c r="O44" s="184">
        <f t="shared" si="60"/>
        <v>2</v>
      </c>
    </row>
    <row r="45">
      <c r="A45" s="7"/>
      <c r="B45" s="7"/>
      <c r="C45" s="180" t="s">
        <v>4486</v>
      </c>
      <c r="D45" s="191">
        <f>COUNTIFS('RAW Govt'!C:C, "Region 5", 'RAW Govt'!K:K,"Level 1",'RAW Govt'!D:D,"Masbate")</f>
        <v>0</v>
      </c>
      <c r="E45" s="191">
        <f>COUNTIFS('RAW Govt'!C:C, "Region 5", 'RAW Govt'!K:K,"Level 2",'RAW Govt'!D:D,"Masbate")</f>
        <v>0</v>
      </c>
      <c r="F45" s="191">
        <f>COUNTIFS('RAW Govt'!C:C, "Region 5", 'RAW Govt'!K:K,"Level 3",'RAW Govt'!D:D,"Masbate")</f>
        <v>0</v>
      </c>
      <c r="G45" s="182">
        <f t="shared" si="57"/>
        <v>0</v>
      </c>
      <c r="H45" s="181">
        <f>COUNTIFS(Private!C:C, "Region 5", Private!K:K,"Level 1",Private!D:D,"Masbate")</f>
        <v>1</v>
      </c>
      <c r="I45" s="181">
        <f>COUNTIFS(Private!C:C, "Region 5", Private!K:K,"Level 2",Private!D:D,"Masbate")</f>
        <v>0</v>
      </c>
      <c r="J45" s="181">
        <f>COUNTIFS(Private!C:C, "Region 5", Private!K:K,"Level 3",Private!D:D,"Masbate")</f>
        <v>0</v>
      </c>
      <c r="K45" s="183">
        <f t="shared" si="58"/>
        <v>1</v>
      </c>
      <c r="L45" s="181">
        <f t="shared" ref="L45:N45" si="63">SUM(H45,D45)</f>
        <v>1</v>
      </c>
      <c r="M45" s="181">
        <f t="shared" si="63"/>
        <v>0</v>
      </c>
      <c r="N45" s="181">
        <f t="shared" si="63"/>
        <v>0</v>
      </c>
      <c r="O45" s="184">
        <f t="shared" si="60"/>
        <v>1</v>
      </c>
    </row>
    <row r="46">
      <c r="A46" s="20"/>
      <c r="B46" s="20"/>
      <c r="C46" s="180" t="s">
        <v>4527</v>
      </c>
      <c r="D46" s="191">
        <f>COUNTIFS('RAW Govt'!C:C, "Region 5", 'RAW Govt'!K:K,"Level 1",'RAW Govt'!D:D,"Sorsogon")</f>
        <v>0</v>
      </c>
      <c r="E46" s="191">
        <f>COUNTIFS('RAW Govt'!C:C, "Region 5", 'RAW Govt'!K:K,"Level 2",'RAW Govt'!D:D,"Sorsogon")</f>
        <v>0</v>
      </c>
      <c r="F46" s="191">
        <f>COUNTIFS('RAW Govt'!C:C, "Region 5", 'RAW Govt'!K:K,"Level 3",'RAW Govt'!D:D,"Sorsogon")</f>
        <v>0</v>
      </c>
      <c r="G46" s="182">
        <f t="shared" si="57"/>
        <v>0</v>
      </c>
      <c r="H46" s="181">
        <f>COUNTIFS(Private!C:C, "Region 5", Private!K:K,"Level 1",Private!D:D,"Sorsogon")</f>
        <v>2</v>
      </c>
      <c r="I46" s="181">
        <f>COUNTIFS(Private!C:C, "Region 5", Private!K:K,"Level 2",Private!D:D,"sorsogon")</f>
        <v>2</v>
      </c>
      <c r="J46" s="181">
        <f>COUNTIFS(Private!C:C, "Region 5", Private!K:K,"Level 3",Private!D:D,"Sorsogon")</f>
        <v>0</v>
      </c>
      <c r="K46" s="183">
        <f t="shared" si="58"/>
        <v>4</v>
      </c>
      <c r="L46" s="181">
        <f t="shared" ref="L46:N46" si="64">SUM(H46,D46)</f>
        <v>2</v>
      </c>
      <c r="M46" s="181">
        <f t="shared" si="64"/>
        <v>2</v>
      </c>
      <c r="N46" s="181">
        <f t="shared" si="64"/>
        <v>0</v>
      </c>
      <c r="O46" s="184">
        <f t="shared" si="60"/>
        <v>4</v>
      </c>
    </row>
    <row r="47">
      <c r="A47" s="185" t="s">
        <v>7</v>
      </c>
      <c r="B47" s="4"/>
      <c r="C47" s="5"/>
      <c r="D47" s="176">
        <f t="shared" ref="D47:O47" si="65">sum(D41:D46)</f>
        <v>0</v>
      </c>
      <c r="E47" s="176">
        <f t="shared" si="65"/>
        <v>0</v>
      </c>
      <c r="F47" s="176">
        <f t="shared" si="65"/>
        <v>0</v>
      </c>
      <c r="G47" s="176">
        <f t="shared" si="65"/>
        <v>0</v>
      </c>
      <c r="H47" s="186">
        <f t="shared" si="65"/>
        <v>19</v>
      </c>
      <c r="I47" s="186">
        <f t="shared" si="65"/>
        <v>13</v>
      </c>
      <c r="J47" s="186">
        <f t="shared" si="65"/>
        <v>1</v>
      </c>
      <c r="K47" s="186">
        <f t="shared" si="65"/>
        <v>33</v>
      </c>
      <c r="L47" s="211">
        <f t="shared" si="65"/>
        <v>19</v>
      </c>
      <c r="M47" s="211">
        <f t="shared" si="65"/>
        <v>13</v>
      </c>
      <c r="N47" s="211">
        <f t="shared" si="65"/>
        <v>1</v>
      </c>
      <c r="O47" s="211">
        <f t="shared" si="65"/>
        <v>33</v>
      </c>
    </row>
    <row r="48">
      <c r="A48" s="179" t="s">
        <v>581</v>
      </c>
      <c r="B48" s="179" t="s">
        <v>587</v>
      </c>
      <c r="C48" s="180" t="s">
        <v>4618</v>
      </c>
      <c r="D48" s="191">
        <f>COUNTIFS('RAW Govt'!C:C, "Region 6", 'RAW Govt'!K:K,"Level 1",'RAW Govt'!D:D,"Aklan")</f>
        <v>0</v>
      </c>
      <c r="E48" s="191">
        <f>COUNTIFS('RAW Govt'!C:C, "Region 6", 'RAW Govt'!K:K,"Level 2",'RAW Govt'!D:D,"Aklan")</f>
        <v>0</v>
      </c>
      <c r="F48" s="191">
        <f>COUNTIFS('RAW Govt'!C:C, "Region 6", 'RAW Govt'!K:K,"Level 3",'RAW Govt'!D:D,"Aklan")</f>
        <v>0</v>
      </c>
      <c r="G48" s="182">
        <f t="shared" ref="G48:G53" si="67">sum(D48:F48)</f>
        <v>0</v>
      </c>
      <c r="H48" s="181">
        <f>COUNTIFS(Private!C:C, "Region 6", Private!K:K,"Level 1",Private!D:D,"Aklan")</f>
        <v>2</v>
      </c>
      <c r="I48" s="181">
        <f>COUNTIFS(Private!C:C, "Region 6", Private!K:K,"Level 2",Private!D:D,"Aklan")</f>
        <v>3</v>
      </c>
      <c r="J48" s="181">
        <f>COUNTIFS(Private!C:C, "Region 6", Private!K:K,"Level 3",Private!D:D,"Aklan")</f>
        <v>0</v>
      </c>
      <c r="K48" s="183">
        <f t="shared" ref="K48:K53" si="68">SUM(H48:J48)</f>
        <v>5</v>
      </c>
      <c r="L48" s="181">
        <f t="shared" ref="L48:N48" si="66">SUM(H48,D48)</f>
        <v>2</v>
      </c>
      <c r="M48" s="181">
        <f t="shared" si="66"/>
        <v>3</v>
      </c>
      <c r="N48" s="181">
        <f t="shared" si="66"/>
        <v>0</v>
      </c>
      <c r="O48" s="184">
        <f t="shared" ref="O48:O53" si="70">SUM(L48:N48)</f>
        <v>5</v>
      </c>
    </row>
    <row r="49">
      <c r="A49" s="7"/>
      <c r="B49" s="7"/>
      <c r="C49" s="180" t="s">
        <v>4660</v>
      </c>
      <c r="D49" s="191">
        <f>COUNTIFS('RAW Govt'!C:C, "Region 6", 'RAW Govt'!K:K,"Level 1",'RAW Govt'!D:D,"Antique")</f>
        <v>0</v>
      </c>
      <c r="E49" s="191">
        <f>COUNTIFS('RAW Govt'!C:C, "Region 6", 'RAW Govt'!K:K,"Level 2",'RAW Govt'!D:D,"Antique")</f>
        <v>0</v>
      </c>
      <c r="F49" s="191">
        <f>COUNTIFS('RAW Govt'!C:C, "Region 6", 'RAW Govt'!K:K,"Level 3",'RAW Govt'!D:D,"Antique")</f>
        <v>0</v>
      </c>
      <c r="G49" s="182">
        <f t="shared" si="67"/>
        <v>0</v>
      </c>
      <c r="H49" s="181">
        <f>COUNTIFS(Private!C:C, "Region 6", Private!K:K,"Level 1",Private!D:D,"Antique")</f>
        <v>0</v>
      </c>
      <c r="I49" s="181">
        <f>COUNTIFS(Private!C:C, "Region 6", Private!K:K,"Level 2",Private!D:D,"Antique")</f>
        <v>1</v>
      </c>
      <c r="J49" s="181">
        <f>COUNTIFS(Private!C:C, "Region 6", Private!K:K,"Level 3",Private!D:D,"Antique")</f>
        <v>0</v>
      </c>
      <c r="K49" s="183">
        <f t="shared" si="68"/>
        <v>1</v>
      </c>
      <c r="L49" s="181">
        <f t="shared" ref="L49:N49" si="69">SUM(H49,D49)</f>
        <v>0</v>
      </c>
      <c r="M49" s="181">
        <f t="shared" si="69"/>
        <v>1</v>
      </c>
      <c r="N49" s="181">
        <f t="shared" si="69"/>
        <v>0</v>
      </c>
      <c r="O49" s="184">
        <f t="shared" si="70"/>
        <v>1</v>
      </c>
    </row>
    <row r="50">
      <c r="A50" s="7"/>
      <c r="B50" s="7"/>
      <c r="C50" s="180" t="s">
        <v>4717</v>
      </c>
      <c r="D50" s="191">
        <f>COUNTIFS('RAW Govt'!C:C, "Region 6", 'RAW Govt'!K:K,"Level 1",'RAW Govt'!D:D,"Capiz")</f>
        <v>0</v>
      </c>
      <c r="E50" s="191">
        <f>COUNTIFS('RAW Govt'!C:C, "Region 6", 'RAW Govt'!K:K,"Level 2",'RAW Govt'!D:D,"Capiz")</f>
        <v>0</v>
      </c>
      <c r="F50" s="191">
        <f>COUNTIFS('RAW Govt'!C:C, "Region 6", 'RAW Govt'!K:K,"Level 3",'RAW Govt'!D:D,"Capiz")</f>
        <v>0</v>
      </c>
      <c r="G50" s="182">
        <f t="shared" si="67"/>
        <v>0</v>
      </c>
      <c r="H50" s="181">
        <f>COUNTIFS(Private!C:C, "Region 6", Private!K:K,"Level 1",Private!D:D,"Capiz")</f>
        <v>0</v>
      </c>
      <c r="I50" s="181">
        <f>COUNTIFS(Private!C:C, "Region 6", Private!K:K,"Level 2",Private!D:D,"Capiz")</f>
        <v>4</v>
      </c>
      <c r="J50" s="181">
        <f>COUNTIFS(Private!C:C, "Region 6", Private!K:K,"Level 3",Private!D:D,"Capiz")</f>
        <v>0</v>
      </c>
      <c r="K50" s="183">
        <f t="shared" si="68"/>
        <v>4</v>
      </c>
      <c r="L50" s="181">
        <f t="shared" ref="L50:N50" si="71">SUM(H50,D50)</f>
        <v>0</v>
      </c>
      <c r="M50" s="181">
        <f t="shared" si="71"/>
        <v>4</v>
      </c>
      <c r="N50" s="181">
        <f t="shared" si="71"/>
        <v>0</v>
      </c>
      <c r="O50" s="184">
        <f t="shared" si="70"/>
        <v>4</v>
      </c>
    </row>
    <row r="51">
      <c r="A51" s="7"/>
      <c r="B51" s="7"/>
      <c r="C51" s="180" t="s">
        <v>1274</v>
      </c>
      <c r="D51" s="191">
        <f>COUNTIFS('RAW Govt'!C:C, "Region 6", 'RAW Govt'!K:K,"Level 1",'RAW Govt'!D:D,"Iloilo")</f>
        <v>0</v>
      </c>
      <c r="E51" s="191">
        <f>COUNTIFS('RAW Govt'!C:C, "Region 6", 'RAW Govt'!K:K,"Level 2",'RAW Govt'!D:D,"Iloilo")</f>
        <v>0</v>
      </c>
      <c r="F51" s="191">
        <f>COUNTIFS('RAW Govt'!C:C, "Region 6", 'RAW Govt'!K:K,"Level 3",'RAW Govt'!D:D,"Iloilo")</f>
        <v>0</v>
      </c>
      <c r="G51" s="182">
        <f t="shared" si="67"/>
        <v>0</v>
      </c>
      <c r="H51" s="181">
        <f>COUNTIFS(Private!C:C, "Region 6", Private!K:K,"Level 1",Private!D:D,"Iloilo")</f>
        <v>0</v>
      </c>
      <c r="I51" s="181">
        <f>COUNTIFS(Private!C:C, "Region 6", Private!K:K,"Level 2",Private!D:D,"Iloilo")</f>
        <v>6</v>
      </c>
      <c r="J51" s="181">
        <f>COUNTIFS(Private!C:C, "Region 6", Private!K:K,"Level 3",Private!D:D,"Iloilo")</f>
        <v>3</v>
      </c>
      <c r="K51" s="183">
        <f t="shared" si="68"/>
        <v>9</v>
      </c>
      <c r="L51" s="181">
        <f t="shared" ref="L51:N51" si="72">SUM(H51,D51)</f>
        <v>0</v>
      </c>
      <c r="M51" s="181">
        <f t="shared" si="72"/>
        <v>6</v>
      </c>
      <c r="N51" s="181">
        <f t="shared" si="72"/>
        <v>3</v>
      </c>
      <c r="O51" s="184">
        <f t="shared" si="70"/>
        <v>9</v>
      </c>
    </row>
    <row r="52">
      <c r="A52" s="7"/>
      <c r="B52" s="7"/>
      <c r="C52" s="180" t="s">
        <v>4794</v>
      </c>
      <c r="D52" s="191">
        <f>COUNTIFS('RAW Govt'!C:C, "Region 6", 'RAW Govt'!K:K,"Level 1",'RAW Govt'!D:D,"Guimaras")</f>
        <v>0</v>
      </c>
      <c r="E52" s="191">
        <f>COUNTIFS('RAW Govt'!C:C, "Region 6", 'RAW Govt'!K:K,"Level 2",'RAW Govt'!D:D,"Guimaras")</f>
        <v>0</v>
      </c>
      <c r="F52" s="191">
        <f>COUNTIFS('RAW Govt'!C:C, "Region 6", 'RAW Govt'!K:K,"Level 3",'RAW Govt'!D:D,"Guimaras")</f>
        <v>0</v>
      </c>
      <c r="G52" s="182">
        <f t="shared" si="67"/>
        <v>0</v>
      </c>
      <c r="H52" s="181">
        <f>COUNTIFS(Private!C:C, "Region 6", Private!K:K,"Level 1",Private!D:D,"Guimaras")</f>
        <v>0</v>
      </c>
      <c r="I52" s="181">
        <f>COUNTIFS(Private!C:C, "Region 6", Private!K:K,"Level 2",Private!D:D,"Guimaras")</f>
        <v>1</v>
      </c>
      <c r="J52" s="181">
        <f>COUNTIFS(Private!C:C, "Region 6", Private!K:K,"Level 3",Private!D:D,"Guimaras")</f>
        <v>0</v>
      </c>
      <c r="K52" s="183">
        <f t="shared" si="68"/>
        <v>1</v>
      </c>
      <c r="L52" s="181">
        <f t="shared" ref="L52:N52" si="73">SUM(H52,D52)</f>
        <v>0</v>
      </c>
      <c r="M52" s="181">
        <f t="shared" si="73"/>
        <v>1</v>
      </c>
      <c r="N52" s="181">
        <f t="shared" si="73"/>
        <v>0</v>
      </c>
      <c r="O52" s="184">
        <f t="shared" si="70"/>
        <v>1</v>
      </c>
    </row>
    <row r="53">
      <c r="A53" s="20"/>
      <c r="B53" s="20"/>
      <c r="C53" s="180" t="s">
        <v>3617</v>
      </c>
      <c r="D53" s="191">
        <f>COUNTIFS('RAW Govt'!C:C, "Region 6", 'RAW Govt'!K:K,"Level 1",'RAW Govt'!D:D,"Negros Occidental")</f>
        <v>0</v>
      </c>
      <c r="E53" s="191">
        <f>COUNTIFS('RAW Govt'!C:C, "Region 6", 'RAW Govt'!K:K,"Level 2",'RAW Govt'!D:D,"Negros Occidental")</f>
        <v>0</v>
      </c>
      <c r="F53" s="191">
        <f>COUNTIFS('RAW Govt'!C:C, "Region 6", 'RAW Govt'!K:K,"Level 3",'RAW Govt'!D:D,"Negros Occidental")</f>
        <v>0</v>
      </c>
      <c r="G53" s="182">
        <f t="shared" si="67"/>
        <v>0</v>
      </c>
      <c r="H53" s="181">
        <f>COUNTIFS(Private!C:C, "Region 6", Private!K:K,"Level 1",Private!D:D,"Negros Occidental")</f>
        <v>0</v>
      </c>
      <c r="I53" s="181">
        <f>COUNTIFS(Private!C:C, "Region 6", Private!K:K,"Level 2",Private!D:D,"Negros Occidental")</f>
        <v>0</v>
      </c>
      <c r="J53" s="181">
        <f>COUNTIFS(Private!C:C, "Region 6", Private!K:K,"Level 3",Private!D:D,"Negros Occidental")</f>
        <v>0</v>
      </c>
      <c r="K53" s="183">
        <f t="shared" si="68"/>
        <v>0</v>
      </c>
      <c r="L53" s="181">
        <f t="shared" ref="L53:N53" si="74">SUM(H53,D53)</f>
        <v>0</v>
      </c>
      <c r="M53" s="181">
        <f t="shared" si="74"/>
        <v>0</v>
      </c>
      <c r="N53" s="181">
        <f t="shared" si="74"/>
        <v>0</v>
      </c>
      <c r="O53" s="184">
        <f t="shared" si="70"/>
        <v>0</v>
      </c>
    </row>
    <row r="54">
      <c r="A54" s="185" t="s">
        <v>7</v>
      </c>
      <c r="B54" s="4"/>
      <c r="C54" s="5"/>
      <c r="D54" s="176">
        <f t="shared" ref="D54:O54" si="75">sum(D48:D53)</f>
        <v>0</v>
      </c>
      <c r="E54" s="176">
        <f t="shared" si="75"/>
        <v>0</v>
      </c>
      <c r="F54" s="176">
        <f t="shared" si="75"/>
        <v>0</v>
      </c>
      <c r="G54" s="176">
        <f t="shared" si="75"/>
        <v>0</v>
      </c>
      <c r="H54" s="186">
        <f t="shared" si="75"/>
        <v>2</v>
      </c>
      <c r="I54" s="186">
        <f t="shared" si="75"/>
        <v>15</v>
      </c>
      <c r="J54" s="186">
        <f t="shared" si="75"/>
        <v>3</v>
      </c>
      <c r="K54" s="186">
        <f t="shared" si="75"/>
        <v>20</v>
      </c>
      <c r="L54" s="211">
        <f t="shared" si="75"/>
        <v>2</v>
      </c>
      <c r="M54" s="211">
        <f t="shared" si="75"/>
        <v>15</v>
      </c>
      <c r="N54" s="211">
        <f t="shared" si="75"/>
        <v>3</v>
      </c>
      <c r="O54" s="211">
        <f t="shared" si="75"/>
        <v>20</v>
      </c>
    </row>
    <row r="55">
      <c r="A55" s="179" t="s">
        <v>682</v>
      </c>
      <c r="B55" s="179" t="s">
        <v>684</v>
      </c>
      <c r="C55" s="180" t="s">
        <v>7998</v>
      </c>
      <c r="D55" s="191">
        <f>COUNTIFS('RAW Govt'!C:C, "Region 7", 'RAW Govt'!K:K,"Level 1",'RAW Govt'!D:D,"Negros Oriental")</f>
        <v>0</v>
      </c>
      <c r="E55" s="191">
        <f>COUNTIFS('RAW Govt'!C:C, "Region 7", 'RAW Govt'!K:K,"Level 2",'RAW Govt'!D:D,"Negros Oriental")</f>
        <v>0</v>
      </c>
      <c r="F55" s="191">
        <f>COUNTIFS('RAW Govt'!C:C, "Region 7", 'RAW Govt'!K:K,"Level 3",'RAW Govt'!D:D,"Negros Oriental")</f>
        <v>0</v>
      </c>
      <c r="G55" s="182">
        <f t="shared" ref="G55:G58" si="77">sum(D55:F55)</f>
        <v>0</v>
      </c>
      <c r="H55" s="181">
        <f>COUNTIFS(Private!C:C, "Region 7", Private!K:K,"Level 1",Private!D:D,"Negros Oriental")</f>
        <v>0</v>
      </c>
      <c r="I55" s="181">
        <f>COUNTIFS(Private!C:C, "Region 7", Private!K:K,"Level 2",Private!D:D,"Negros Oriental")</f>
        <v>0</v>
      </c>
      <c r="J55" s="181">
        <f>COUNTIFS(Private!C:C, "Region 7", Private!K:K,"Level 3",Private!D:D,"Negros Oriental")</f>
        <v>0</v>
      </c>
      <c r="K55" s="183">
        <f t="shared" ref="K55:K58" si="78">SUM(H55:J55)</f>
        <v>0</v>
      </c>
      <c r="L55" s="181">
        <f t="shared" ref="L55:N55" si="76">SUM(D55,H55)</f>
        <v>0</v>
      </c>
      <c r="M55" s="181">
        <f t="shared" si="76"/>
        <v>0</v>
      </c>
      <c r="N55" s="181">
        <f t="shared" si="76"/>
        <v>0</v>
      </c>
      <c r="O55" s="184">
        <f t="shared" ref="O55:O58" si="80">SUM(L55:N55)</f>
        <v>0</v>
      </c>
    </row>
    <row r="56">
      <c r="A56" s="7"/>
      <c r="B56" s="7"/>
      <c r="C56" s="180" t="s">
        <v>8022</v>
      </c>
      <c r="D56" s="191">
        <f>COUNTIFS('RAW Govt'!C:C, "Region 7", 'RAW Govt'!K:K,"Level 1",'RAW Govt'!D:D,"Siquijor")</f>
        <v>0</v>
      </c>
      <c r="E56" s="191">
        <f>COUNTIFS('RAW Govt'!C:C, "Region 7", 'RAW Govt'!K:K,"Level 2",'RAW Govt'!D:D,"Siquijor")</f>
        <v>0</v>
      </c>
      <c r="F56" s="191">
        <f>COUNTIFS('RAW Govt'!C:C, "Region 7", 'RAW Govt'!K:K,"Level 3",'RAW Govt'!D:D,"Siquijor")</f>
        <v>0</v>
      </c>
      <c r="G56" s="182">
        <f t="shared" si="77"/>
        <v>0</v>
      </c>
      <c r="H56" s="181">
        <f>COUNTIFS(Private!C:C, "Region 7", Private!K:K,"Level 1",Private!D:D,"Siquijor")</f>
        <v>0</v>
      </c>
      <c r="I56" s="181">
        <f>COUNTIFS(Private!C:C, "Region 7", Private!K:K,"Level 2",Private!D:D,"Siquijor")</f>
        <v>0</v>
      </c>
      <c r="J56" s="181">
        <f>COUNTIFS(Private!C:C, "Region 7", Private!K:K,"Level 3",Private!D:D,"Siquijor")</f>
        <v>0</v>
      </c>
      <c r="K56" s="183">
        <f t="shared" si="78"/>
        <v>0</v>
      </c>
      <c r="L56" s="181">
        <f t="shared" ref="L56:N56" si="79">SUM(D56,H56)</f>
        <v>0</v>
      </c>
      <c r="M56" s="181">
        <f t="shared" si="79"/>
        <v>0</v>
      </c>
      <c r="N56" s="181">
        <f t="shared" si="79"/>
        <v>0</v>
      </c>
      <c r="O56" s="184">
        <f t="shared" si="80"/>
        <v>0</v>
      </c>
    </row>
    <row r="57">
      <c r="A57" s="7"/>
      <c r="B57" s="7"/>
      <c r="C57" s="180" t="s">
        <v>1408</v>
      </c>
      <c r="D57" s="191">
        <f>COUNTIFS('RAW Govt'!C:C, "Region 7", 'RAW Govt'!K:K,"Level 1",'RAW Govt'!D:D,"Bohol")</f>
        <v>0</v>
      </c>
      <c r="E57" s="191">
        <f>COUNTIFS('RAW Govt'!C:C, "Region 7", 'RAW Govt'!K:K,"Level 2",'RAW Govt'!D:D,"Bohol")</f>
        <v>0</v>
      </c>
      <c r="F57" s="191">
        <f>COUNTIFS('RAW Govt'!C:C, "Region 7", 'RAW Govt'!K:K,"Level 3",'RAW Govt'!D:D,"Bohol")</f>
        <v>0</v>
      </c>
      <c r="G57" s="182">
        <f t="shared" si="77"/>
        <v>0</v>
      </c>
      <c r="H57" s="181">
        <f>COUNTIFS(Private!C:C, "Region 7", Private!K:K,"Level 1",Private!D:D,"Bohol")</f>
        <v>5</v>
      </c>
      <c r="I57" s="181">
        <f>COUNTIFS(Private!C:C, "Region 7", Private!K:K,"Level 2",Private!D:D,"Bohol")</f>
        <v>4</v>
      </c>
      <c r="J57" s="181">
        <f>COUNTIFS(Private!C:C, "Region 7", Private!K:K,"Level 3",Private!D:D,"Bohol")</f>
        <v>0</v>
      </c>
      <c r="K57" s="183">
        <f t="shared" si="78"/>
        <v>9</v>
      </c>
      <c r="L57" s="181">
        <f t="shared" ref="L57:N57" si="81">SUM(D57,H57)</f>
        <v>5</v>
      </c>
      <c r="M57" s="181">
        <f t="shared" si="81"/>
        <v>4</v>
      </c>
      <c r="N57" s="181">
        <f t="shared" si="81"/>
        <v>0</v>
      </c>
      <c r="O57" s="184">
        <f t="shared" si="80"/>
        <v>9</v>
      </c>
    </row>
    <row r="58">
      <c r="A58" s="20"/>
      <c r="B58" s="20"/>
      <c r="C58" s="180" t="s">
        <v>1498</v>
      </c>
      <c r="D58" s="191">
        <f>COUNTIFS('RAW Govt'!C:C, "Region 7", 'RAW Govt'!K:K,"Level 1",'RAW Govt'!D:D,"Cebu")</f>
        <v>0</v>
      </c>
      <c r="E58" s="191">
        <f>COUNTIFS('RAW Govt'!C:C, "Region 7", 'RAW Govt'!K:K,"Level 2",'RAW Govt'!D:D,"Cebu")</f>
        <v>0</v>
      </c>
      <c r="F58" s="191">
        <f>COUNTIFS('RAW Govt'!C:C, "Region 7", 'RAW Govt'!K:K,"Level 3",'RAW Govt'!D:D,"Cebu")</f>
        <v>0</v>
      </c>
      <c r="G58" s="182">
        <f t="shared" si="77"/>
        <v>0</v>
      </c>
      <c r="H58" s="181">
        <f>COUNTIFS(Private!C:C, "Region 7", Private!K:K,"Level 1",Private!D:D,"Cebu")</f>
        <v>3</v>
      </c>
      <c r="I58" s="181">
        <f>COUNTIFS(Private!C:C, "Region 7", Private!K:K,"Level 2",Private!D:D,"Cebu")</f>
        <v>11</v>
      </c>
      <c r="J58" s="181">
        <f>COUNTIFS(Private!C:C, "Region 7", Private!K:K,"Level 3",Private!D:D,"Cebu")</f>
        <v>8</v>
      </c>
      <c r="K58" s="183">
        <f t="shared" si="78"/>
        <v>22</v>
      </c>
      <c r="L58" s="181">
        <f t="shared" ref="L58:N58" si="82">SUM(D58,H58)</f>
        <v>3</v>
      </c>
      <c r="M58" s="181">
        <f t="shared" si="82"/>
        <v>11</v>
      </c>
      <c r="N58" s="181">
        <f t="shared" si="82"/>
        <v>8</v>
      </c>
      <c r="O58" s="184">
        <f t="shared" si="80"/>
        <v>22</v>
      </c>
    </row>
    <row r="59">
      <c r="A59" s="185" t="s">
        <v>7</v>
      </c>
      <c r="B59" s="4"/>
      <c r="C59" s="5"/>
      <c r="D59" s="176">
        <f t="shared" ref="D59:O59" si="83">sum(D55:D58)</f>
        <v>0</v>
      </c>
      <c r="E59" s="176">
        <f t="shared" si="83"/>
        <v>0</v>
      </c>
      <c r="F59" s="176">
        <f t="shared" si="83"/>
        <v>0</v>
      </c>
      <c r="G59" s="176">
        <f t="shared" si="83"/>
        <v>0</v>
      </c>
      <c r="H59" s="186">
        <f t="shared" si="83"/>
        <v>8</v>
      </c>
      <c r="I59" s="186">
        <f t="shared" si="83"/>
        <v>15</v>
      </c>
      <c r="J59" s="186">
        <f t="shared" si="83"/>
        <v>8</v>
      </c>
      <c r="K59" s="186">
        <f t="shared" si="83"/>
        <v>31</v>
      </c>
      <c r="L59" s="211">
        <f t="shared" si="83"/>
        <v>8</v>
      </c>
      <c r="M59" s="211">
        <f t="shared" si="83"/>
        <v>15</v>
      </c>
      <c r="N59" s="211">
        <f t="shared" si="83"/>
        <v>8</v>
      </c>
      <c r="O59" s="211">
        <f t="shared" si="83"/>
        <v>31</v>
      </c>
    </row>
    <row r="60">
      <c r="A60" s="179" t="s">
        <v>764</v>
      </c>
      <c r="B60" s="179" t="s">
        <v>765</v>
      </c>
      <c r="C60" s="180" t="s">
        <v>5506</v>
      </c>
      <c r="D60" s="191">
        <f>COUNTIFS('RAW Govt'!C:C, "Region 8", 'RAW Govt'!K:K,"Level 1",'RAW Govt'!D:D,"Eastern Samar")</f>
        <v>0</v>
      </c>
      <c r="E60" s="191">
        <f>COUNTIFS('RAW Govt'!C:C, "Region 8", 'RAW Govt'!K:K,"Level 2",'RAW Govt'!D:D,"Eastern Samar")</f>
        <v>0</v>
      </c>
      <c r="F60" s="191">
        <f>COUNTIFS('RAW Govt'!C:C, "Region 8", 'RAW Govt'!K:K,"Level 3",'RAW Govt'!D:D,"Eastern Samar")</f>
        <v>0</v>
      </c>
      <c r="G60" s="182">
        <f t="shared" ref="G60:G65" si="85">sum(D60:F60)</f>
        <v>0</v>
      </c>
      <c r="H60" s="181">
        <f>COUNTIFS(Private!C:C, "Region 8", Private!K:K,"Level 1",Private!D:D,"Eastern Samar")</f>
        <v>9</v>
      </c>
      <c r="I60" s="181">
        <f>COUNTIFS(Private!C:C, "Region 8", Private!K:K,"Level 2",Private!D:D,"Eastern Samar")</f>
        <v>0</v>
      </c>
      <c r="J60" s="181">
        <f>COUNTIFS(Private!C:C, "Region 8", Private!K:K,"Level 3",Private!D:D,"Eastern Samar")</f>
        <v>0</v>
      </c>
      <c r="K60" s="183">
        <f t="shared" ref="K60:K65" si="86">SUM(H60:J60)</f>
        <v>9</v>
      </c>
      <c r="L60" s="181">
        <f t="shared" ref="L60:N60" si="84">SUM(D60,H60)</f>
        <v>9</v>
      </c>
      <c r="M60" s="181">
        <f t="shared" si="84"/>
        <v>0</v>
      </c>
      <c r="N60" s="181">
        <f t="shared" si="84"/>
        <v>0</v>
      </c>
      <c r="O60" s="184">
        <f t="shared" ref="O60:O65" si="88">SUM(L60:N60)</f>
        <v>9</v>
      </c>
    </row>
    <row r="61">
      <c r="A61" s="7"/>
      <c r="B61" s="7"/>
      <c r="C61" s="180" t="s">
        <v>8115</v>
      </c>
      <c r="D61" s="191">
        <f>COUNTIFS('RAW Govt'!C:C, "Region 8", 'RAW Govt'!K:K,"Level 1",'RAW Govt'!D:D,"Leyte")</f>
        <v>0</v>
      </c>
      <c r="E61" s="191">
        <f>COUNTIFS('RAW Govt'!C:C, "Region 8", 'RAW Govt'!K:K,"Level 2",'RAW Govt'!D:D,"Leyte")</f>
        <v>0</v>
      </c>
      <c r="F61" s="191">
        <f>COUNTIFS('RAW Govt'!C:C, "Region 8", 'RAW Govt'!K:K,"Level 3",'RAW Govt'!D:D,"Leyte")</f>
        <v>0</v>
      </c>
      <c r="G61" s="182">
        <f t="shared" si="85"/>
        <v>0</v>
      </c>
      <c r="H61" s="181">
        <f>COUNTIFS(Private!C:C, "Region 8", Private!K:K,"Level 1",Private!D:D,"Leyte")</f>
        <v>3</v>
      </c>
      <c r="I61" s="181">
        <f>COUNTIFS(Private!C:C, "Region 8", Private!K:K,"Level 2",Private!D:D,"Leyte")</f>
        <v>5</v>
      </c>
      <c r="J61" s="181">
        <f>COUNTIFS(Private!C:C, "Region 8", Private!K:K,"Level 3",Private!D:D,"Leyte")</f>
        <v>1</v>
      </c>
      <c r="K61" s="183">
        <f t="shared" si="86"/>
        <v>9</v>
      </c>
      <c r="L61" s="181">
        <f t="shared" ref="L61:N61" si="87">SUM(D61,H61)</f>
        <v>3</v>
      </c>
      <c r="M61" s="181">
        <f t="shared" si="87"/>
        <v>5</v>
      </c>
      <c r="N61" s="181">
        <f t="shared" si="87"/>
        <v>1</v>
      </c>
      <c r="O61" s="184">
        <f t="shared" si="88"/>
        <v>9</v>
      </c>
    </row>
    <row r="62">
      <c r="A62" s="7"/>
      <c r="B62" s="7"/>
      <c r="C62" s="180" t="s">
        <v>8125</v>
      </c>
      <c r="D62" s="191">
        <f>COUNTIFS('RAW Govt'!C:C, "Region 8", 'RAW Govt'!K:K,"Level 1",'RAW Govt'!D:D,"Northern Samar")</f>
        <v>0</v>
      </c>
      <c r="E62" s="191">
        <f>COUNTIFS('RAW Govt'!C:C, "Region 8", 'RAW Govt'!K:K,"Level 2",'RAW Govt'!D:D,"Northern Samar")</f>
        <v>0</v>
      </c>
      <c r="F62" s="191">
        <f>COUNTIFS('RAW Govt'!C:C, "Region 8", 'RAW Govt'!K:K,"Level 3",'RAW Govt'!D:D,"Northern Samar")</f>
        <v>0</v>
      </c>
      <c r="G62" s="182">
        <f t="shared" si="85"/>
        <v>0</v>
      </c>
      <c r="H62" s="181">
        <f>COUNTIFS(Private!C:C, "Region 8", Private!K:K,"Level 1",Private!D:D,"Northern Samar")</f>
        <v>3</v>
      </c>
      <c r="I62" s="181">
        <f>COUNTIFS(Private!C:C, "Region 8", Private!K:K,"Level 2",Private!D:D,"Northern Samar")</f>
        <v>0</v>
      </c>
      <c r="J62" s="181">
        <f>COUNTIFS(Private!C:C, "Region 8", Private!K:K,"Level 3",Private!D:D,"Northern Samar")</f>
        <v>0</v>
      </c>
      <c r="K62" s="183">
        <f t="shared" si="86"/>
        <v>3</v>
      </c>
      <c r="L62" s="181">
        <f t="shared" ref="L62:N62" si="89">SUM(D62,H62)</f>
        <v>3</v>
      </c>
      <c r="M62" s="181">
        <f t="shared" si="89"/>
        <v>0</v>
      </c>
      <c r="N62" s="181">
        <f t="shared" si="89"/>
        <v>0</v>
      </c>
      <c r="O62" s="184">
        <f t="shared" si="88"/>
        <v>3</v>
      </c>
    </row>
    <row r="63">
      <c r="A63" s="7"/>
      <c r="B63" s="7"/>
      <c r="C63" s="180" t="s">
        <v>8136</v>
      </c>
      <c r="D63" s="191">
        <f>COUNTIFS('RAW Govt'!C:C, "Region 8", 'RAW Govt'!K:K,"Level 1",'RAW Govt'!D:D,"Samar")</f>
        <v>0</v>
      </c>
      <c r="E63" s="191">
        <f>COUNTIFS('RAW Govt'!C:C, "Region 8", 'RAW Govt'!K:K,"Level 2",'RAW Govt'!D:D,"Samar")</f>
        <v>0</v>
      </c>
      <c r="F63" s="191">
        <f>COUNTIFS('RAW Govt'!C:C, "Region 8", 'RAW Govt'!K:K,"Level 3",'RAW Govt'!D:D,"Samar")</f>
        <v>0</v>
      </c>
      <c r="G63" s="182">
        <f t="shared" si="85"/>
        <v>0</v>
      </c>
      <c r="H63" s="181">
        <f>COUNTIFS(Private!C:C, "Region 8", Private!K:K,"Level 1",Private!D:D,"Samar")</f>
        <v>4</v>
      </c>
      <c r="I63" s="181">
        <f>COUNTIFS(Private!C:C, "Region 8", Private!K:K,"Level 2",Private!D:D,"Samar")</f>
        <v>0</v>
      </c>
      <c r="J63" s="192">
        <f>COUNTIFS(Private!C:C, "Region 8", Private!K:K,"Level 3",Private!D:D,"Samar")</f>
        <v>0</v>
      </c>
      <c r="K63" s="183">
        <f t="shared" si="86"/>
        <v>4</v>
      </c>
      <c r="L63" s="181">
        <f t="shared" ref="L63:N63" si="90">SUM(D63,H63)</f>
        <v>4</v>
      </c>
      <c r="M63" s="181">
        <f t="shared" si="90"/>
        <v>0</v>
      </c>
      <c r="N63" s="181">
        <f t="shared" si="90"/>
        <v>0</v>
      </c>
      <c r="O63" s="184">
        <f t="shared" si="88"/>
        <v>4</v>
      </c>
    </row>
    <row r="64">
      <c r="A64" s="7"/>
      <c r="B64" s="7"/>
      <c r="C64" s="180" t="s">
        <v>8146</v>
      </c>
      <c r="D64" s="191">
        <f>COUNTIFS('RAW Govt'!C:C, "Region 8", 'RAW Govt'!K:K,"Level 1",'RAW Govt'!D:D,"Southern Leyte")</f>
        <v>0</v>
      </c>
      <c r="E64" s="191">
        <f>COUNTIFS('RAW Govt'!C:C, "Region 8", 'RAW Govt'!K:K,"Level 2",'RAW Govt'!D:D,"Southern Leyte")</f>
        <v>0</v>
      </c>
      <c r="F64" s="191">
        <f>COUNTIFS('RAW Govt'!C:C, "Region 8", 'RAW Govt'!K:K,"Level 3",'RAW Govt'!D:D,"Southern Leyte")</f>
        <v>0</v>
      </c>
      <c r="G64" s="182">
        <f t="shared" si="85"/>
        <v>0</v>
      </c>
      <c r="H64" s="181">
        <f>COUNTIFS(Private!C:C, "Region 8", Private!K:K,"Level 1",Private!D:D,"Southern Leyte")</f>
        <v>5</v>
      </c>
      <c r="I64" s="181">
        <f>COUNTIFS(Private!C:C, "Region 8", Private!K:K,"Level 2",Private!D:D,"Southern Leyte")</f>
        <v>0</v>
      </c>
      <c r="J64" s="181">
        <f>COUNTIFS(Private!C:C, "Region 8", Private!K:K,"Level 3",Private!D:D,"Southern Leyte")</f>
        <v>0</v>
      </c>
      <c r="K64" s="183">
        <f t="shared" si="86"/>
        <v>5</v>
      </c>
      <c r="L64" s="181">
        <f t="shared" ref="L64:N64" si="91">SUM(D64,H64)</f>
        <v>5</v>
      </c>
      <c r="M64" s="181">
        <f t="shared" si="91"/>
        <v>0</v>
      </c>
      <c r="N64" s="181">
        <f t="shared" si="91"/>
        <v>0</v>
      </c>
      <c r="O64" s="184">
        <f t="shared" si="88"/>
        <v>5</v>
      </c>
    </row>
    <row r="65">
      <c r="A65" s="20"/>
      <c r="B65" s="20"/>
      <c r="C65" s="180" t="s">
        <v>8158</v>
      </c>
      <c r="D65" s="191">
        <f>COUNTIFS('RAW Govt'!C:C, "Region 8", 'RAW Govt'!K:K,"Level 1",'RAW Govt'!D:D,"Biliran")</f>
        <v>0</v>
      </c>
      <c r="E65" s="191">
        <f>COUNTIFS('RAW Govt'!C:C, "Region 8", 'RAW Govt'!K:K,"Level 2",'RAW Govt'!D:D,"Biliran")</f>
        <v>0</v>
      </c>
      <c r="F65" s="191">
        <f>COUNTIFS('RAW Govt'!C:C, "Region 8", 'RAW Govt'!K:K,"Level 3",'RAW Govt'!D:D,"Biliran")</f>
        <v>0</v>
      </c>
      <c r="G65" s="182">
        <f t="shared" si="85"/>
        <v>0</v>
      </c>
      <c r="H65" s="181">
        <f>COUNTIFS(Private!C:C, "Region 8", Private!K:K,"Level 1",Private!D:D,"Biliran")</f>
        <v>0</v>
      </c>
      <c r="I65" s="181">
        <f>COUNTIFS(Private!C:C, "Region 8", Private!K:K,"Level 2",Private!D:D,"Biliran")</f>
        <v>0</v>
      </c>
      <c r="J65" s="181">
        <f>COUNTIFS(Private!C:C, "Region 8", Private!K:K,"Level 3",Private!D:D,"Biliran")</f>
        <v>0</v>
      </c>
      <c r="K65" s="183">
        <f t="shared" si="86"/>
        <v>0</v>
      </c>
      <c r="L65" s="181">
        <f t="shared" ref="L65:N65" si="92">SUM(D65,H65)</f>
        <v>0</v>
      </c>
      <c r="M65" s="181">
        <f t="shared" si="92"/>
        <v>0</v>
      </c>
      <c r="N65" s="181">
        <f t="shared" si="92"/>
        <v>0</v>
      </c>
      <c r="O65" s="184">
        <f t="shared" si="88"/>
        <v>0</v>
      </c>
    </row>
    <row r="66">
      <c r="A66" s="185" t="s">
        <v>7</v>
      </c>
      <c r="B66" s="4"/>
      <c r="C66" s="5"/>
      <c r="D66" s="176">
        <f t="shared" ref="D66:O66" si="93">sum(D60:D65)</f>
        <v>0</v>
      </c>
      <c r="E66" s="176">
        <f t="shared" si="93"/>
        <v>0</v>
      </c>
      <c r="F66" s="176">
        <f t="shared" si="93"/>
        <v>0</v>
      </c>
      <c r="G66" s="176">
        <f t="shared" si="93"/>
        <v>0</v>
      </c>
      <c r="H66" s="186">
        <f t="shared" si="93"/>
        <v>24</v>
      </c>
      <c r="I66" s="186">
        <f t="shared" si="93"/>
        <v>5</v>
      </c>
      <c r="J66" s="186">
        <f t="shared" si="93"/>
        <v>1</v>
      </c>
      <c r="K66" s="186">
        <f t="shared" si="93"/>
        <v>30</v>
      </c>
      <c r="L66" s="211">
        <f t="shared" si="93"/>
        <v>24</v>
      </c>
      <c r="M66" s="211">
        <f t="shared" si="93"/>
        <v>5</v>
      </c>
      <c r="N66" s="211">
        <f t="shared" si="93"/>
        <v>1</v>
      </c>
      <c r="O66" s="211">
        <f t="shared" si="93"/>
        <v>30</v>
      </c>
    </row>
    <row r="67">
      <c r="A67" s="179" t="s">
        <v>808</v>
      </c>
      <c r="B67" s="179" t="s">
        <v>809</v>
      </c>
      <c r="C67" s="180" t="s">
        <v>2197</v>
      </c>
      <c r="D67" s="191">
        <f>COUNTIFS('RAW Govt'!C:C, "Region 9", 'RAW Govt'!K:K,"Level 1",'RAW Govt'!D:D,"Basilan")</f>
        <v>0</v>
      </c>
      <c r="E67" s="191">
        <f>COUNTIFS('RAW Govt'!C:C, "Region 9", 'RAW Govt'!K:K,"Level 2",'RAW Govt'!D:D,"Basilan")</f>
        <v>0</v>
      </c>
      <c r="F67" s="191">
        <f>COUNTIFS('RAW Govt'!C:C, "Region 9", 'RAW Govt'!K:K,"Level 3",'RAW Govt'!D:D,"Basilan")</f>
        <v>0</v>
      </c>
      <c r="G67" s="182">
        <f t="shared" ref="G67:G71" si="95">sum(D67:F67)</f>
        <v>0</v>
      </c>
      <c r="H67" s="181">
        <f>COUNTIFS(Private!C:C, "Region 9", Private!K:K,"Level 1",Private!D:D,"Basilan")</f>
        <v>3</v>
      </c>
      <c r="I67" s="181">
        <f>COUNTIFS(Private!C:C, "Region 9", Private!K:K,"Level 2",Private!D:D,"Basilan")</f>
        <v>0</v>
      </c>
      <c r="J67" s="181">
        <f>COUNTIFS(Private!C:C, "Region 9", Private!K:K,"Level 3",Private!D:D,"Basilan")</f>
        <v>0</v>
      </c>
      <c r="K67" s="183">
        <f t="shared" ref="K67:K71" si="96">SUM(H67:J67)</f>
        <v>3</v>
      </c>
      <c r="L67" s="181">
        <f t="shared" ref="L67:N67" si="94">SUM(D67,H67)</f>
        <v>3</v>
      </c>
      <c r="M67" s="181">
        <f t="shared" si="94"/>
        <v>0</v>
      </c>
      <c r="N67" s="181">
        <f t="shared" si="94"/>
        <v>0</v>
      </c>
      <c r="O67" s="184">
        <f t="shared" ref="O67:O71" si="98">SUM(L67:N67)</f>
        <v>3</v>
      </c>
    </row>
    <row r="68">
      <c r="A68" s="7"/>
      <c r="B68" s="7"/>
      <c r="C68" s="180" t="s">
        <v>2274</v>
      </c>
      <c r="D68" s="191">
        <f>COUNTIFS('RAW Govt'!C:C, "Region 9", 'RAW Govt'!K:K,"Level 1",'RAW Govt'!D:D,"Sulu")</f>
        <v>0</v>
      </c>
      <c r="E68" s="191" t="str">
        <f>SUMIFS('RAW Govt'!L:L,'RAW Govt'!C:C, "Region 9", 'RAW Govt'!K:K,"Level 2",'RAW Govt'!D:D,"Sulu")</f>
        <v>#N/A</v>
      </c>
      <c r="F68" s="191">
        <f>COUNTIFS('RAW Govt'!C:C, "Region 9", 'RAW Govt'!K:K,"Level 3",'RAW Govt'!D:D,"Sulu")</f>
        <v>0</v>
      </c>
      <c r="G68" s="182" t="str">
        <f t="shared" si="95"/>
        <v>#N/A</v>
      </c>
      <c r="H68" s="181">
        <f>COUNTIFS(Private!C:C, "Region 9", Private!K:K,"Level 1",Private!D:D,"Sulu")</f>
        <v>0</v>
      </c>
      <c r="I68" s="181">
        <f>COUNTIFS(Private!C:C, "Region 9", Private!K:K,"Level 2",Private!D:D,"Sulu")</f>
        <v>0</v>
      </c>
      <c r="J68" s="181">
        <f>COUNTIFS(Private!C:C, "Region 9", Private!K:K,"Level 3",Private!D:D,"Sulu")</f>
        <v>0</v>
      </c>
      <c r="K68" s="183">
        <f t="shared" si="96"/>
        <v>0</v>
      </c>
      <c r="L68" s="181">
        <f t="shared" ref="L68:N68" si="97">SUM(D68,H68)</f>
        <v>0</v>
      </c>
      <c r="M68" s="181" t="str">
        <f t="shared" si="97"/>
        <v>#N/A</v>
      </c>
      <c r="N68" s="181">
        <f t="shared" si="97"/>
        <v>0</v>
      </c>
      <c r="O68" s="184" t="str">
        <f t="shared" si="98"/>
        <v>#N/A</v>
      </c>
    </row>
    <row r="69">
      <c r="A69" s="7"/>
      <c r="B69" s="7"/>
      <c r="C69" s="180" t="s">
        <v>1952</v>
      </c>
      <c r="D69" s="191">
        <f>COUNTIFS('RAW Govt'!C:C, "Region 9", 'RAW Govt'!K:K,"Level 1",'RAW Govt'!D:D,"Zamboanga del Norte")</f>
        <v>0</v>
      </c>
      <c r="E69" s="191">
        <f>COUNTIFS('RAW Govt'!C:C, "Region 9", 'RAW Govt'!K:K,"Level 2",'RAW Govt'!D:D,"Zamboanga del Norte")</f>
        <v>0</v>
      </c>
      <c r="F69" s="191">
        <f>COUNTIFS('RAW Govt'!C:C, "Region 9", 'RAW Govt'!K:K,"Level 3",'RAW Govt'!D:D,"Zamboanga del Norte")</f>
        <v>0</v>
      </c>
      <c r="G69" s="182">
        <f t="shared" si="95"/>
        <v>0</v>
      </c>
      <c r="H69" s="181">
        <f>COUNTIFS(Private!C:C, "Region 9", Private!K:K,"Level 1",Private!D:D,"Zamboanga del Norte")</f>
        <v>2</v>
      </c>
      <c r="I69" s="181">
        <f>COUNTIFS(Private!C:C, "Region 9", Private!K:K,"Level 2",Private!D:D,"Zamboanga del Norte")</f>
        <v>1</v>
      </c>
      <c r="J69" s="181">
        <f>COUNTIFS(Private!C:C, "Region 9", Private!K:K,"Level 3",Private!D:D,"Zamboanga del Norte")</f>
        <v>0</v>
      </c>
      <c r="K69" s="183">
        <f t="shared" si="96"/>
        <v>3</v>
      </c>
      <c r="L69" s="181">
        <f t="shared" ref="L69:N69" si="99">SUM(D69,H69)</f>
        <v>2</v>
      </c>
      <c r="M69" s="181">
        <f t="shared" si="99"/>
        <v>1</v>
      </c>
      <c r="N69" s="181">
        <f t="shared" si="99"/>
        <v>0</v>
      </c>
      <c r="O69" s="184">
        <f t="shared" si="98"/>
        <v>3</v>
      </c>
    </row>
    <row r="70">
      <c r="A70" s="7"/>
      <c r="B70" s="7"/>
      <c r="C70" s="180" t="s">
        <v>2072</v>
      </c>
      <c r="D70" s="191">
        <f>COUNTIFS('RAW Govt'!C:C, "Region 9", 'RAW Govt'!K:K,"Level 1",'RAW Govt'!D:D,"Zamboanga del Sur")</f>
        <v>0</v>
      </c>
      <c r="E70" s="191">
        <f>COUNTIFS('RAW Govt'!C:C, "Region 9", 'RAW Govt'!K:K,"Level 2",'RAW Govt'!D:D,"Zamboanga del sur")</f>
        <v>0</v>
      </c>
      <c r="F70" s="191">
        <f>COUNTIFS('RAW Govt'!C:C, "Region 9", 'RAW Govt'!K:K,"Level 3",'RAW Govt'!D:D,"Zamboanga del Sur")</f>
        <v>0</v>
      </c>
      <c r="G70" s="182">
        <f t="shared" si="95"/>
        <v>0</v>
      </c>
      <c r="H70" s="181">
        <f>COUNTIFS(Private!C:C, "Region 9", Private!K:K,"Level 1",Private!D:D,"Zamboanga del Sur")</f>
        <v>10</v>
      </c>
      <c r="I70" s="181">
        <f>COUNTIFS(Private!C:C, "Region 9", Private!K:K,"Level 2",Private!D:D,"Zamboanga del Sur")</f>
        <v>7</v>
      </c>
      <c r="J70" s="181">
        <f>COUNTIFS(Private!C:C, "Region 9", Private!K:K,"Level 3",Private!D:D,"Zamboanga del Sur")</f>
        <v>0</v>
      </c>
      <c r="K70" s="183">
        <f t="shared" si="96"/>
        <v>17</v>
      </c>
      <c r="L70" s="181">
        <f t="shared" ref="L70:N70" si="100">SUM(D70,H70)</f>
        <v>10</v>
      </c>
      <c r="M70" s="181">
        <f t="shared" si="100"/>
        <v>7</v>
      </c>
      <c r="N70" s="181">
        <f t="shared" si="100"/>
        <v>0</v>
      </c>
      <c r="O70" s="184">
        <f t="shared" si="98"/>
        <v>17</v>
      </c>
    </row>
    <row r="71">
      <c r="A71" s="20"/>
      <c r="B71" s="20"/>
      <c r="C71" s="180" t="s">
        <v>6094</v>
      </c>
      <c r="D71" s="191">
        <f>COUNTIFS('RAW Govt'!C:C, "Region 9", 'RAW Govt'!K:K,"Level 1",'RAW Govt'!D:D,"Zamboanga Sibugay")</f>
        <v>0</v>
      </c>
      <c r="E71" s="191">
        <f>COUNTIFS('RAW Govt'!C:C, "Region 9", 'RAW Govt'!K:K,"Level 2",'RAW Govt'!D:D,"Zamboanga Sibugay")</f>
        <v>0</v>
      </c>
      <c r="F71" s="191">
        <f>COUNTIFS('RAW Govt'!C:C, "Region 9", 'RAW Govt'!K:K,"Level 3",'RAW Govt'!D:D,"Zamboanga Sibugay")</f>
        <v>0</v>
      </c>
      <c r="G71" s="182">
        <f t="shared" si="95"/>
        <v>0</v>
      </c>
      <c r="H71" s="181">
        <f>COUNTIFS(Private!C:C, "Region 9", Private!K:K,"Level 1",Private!D:D,"Zamboanga Sibugay")</f>
        <v>6</v>
      </c>
      <c r="I71" s="181">
        <f>COUNTIFS(Private!C:C, "Region 9", Private!K:K,"Level 2",Private!D:D,"Zamboanga Sibugay")</f>
        <v>0</v>
      </c>
      <c r="J71" s="181">
        <f>COUNTIFS(Private!C:C, "Region 9", Private!K:K,"Level 3",Private!D:D,"Zamboanga Sibugay")</f>
        <v>0</v>
      </c>
      <c r="K71" s="183">
        <f t="shared" si="96"/>
        <v>6</v>
      </c>
      <c r="L71" s="181">
        <f t="shared" ref="L71:N71" si="101">SUM(D71,H71)</f>
        <v>6</v>
      </c>
      <c r="M71" s="181">
        <f t="shared" si="101"/>
        <v>0</v>
      </c>
      <c r="N71" s="181">
        <f t="shared" si="101"/>
        <v>0</v>
      </c>
      <c r="O71" s="184">
        <f t="shared" si="98"/>
        <v>6</v>
      </c>
    </row>
    <row r="72">
      <c r="A72" s="185" t="s">
        <v>7</v>
      </c>
      <c r="B72" s="4"/>
      <c r="C72" s="5"/>
      <c r="D72" s="176">
        <f>sum(D67:D71)</f>
        <v>0</v>
      </c>
      <c r="E72" s="176">
        <f t="shared" ref="E72:F72" si="102">sum(E69:E71)</f>
        <v>0</v>
      </c>
      <c r="F72" s="176">
        <f t="shared" si="102"/>
        <v>0</v>
      </c>
      <c r="G72" s="176" t="str">
        <f t="shared" ref="G72:H72" si="103">sum(G67:G71)</f>
        <v>#N/A</v>
      </c>
      <c r="H72" s="186">
        <f t="shared" si="103"/>
        <v>21</v>
      </c>
      <c r="I72" s="186">
        <f t="shared" ref="I72:J72" si="104">sum(I69:I71)</f>
        <v>8</v>
      </c>
      <c r="J72" s="186">
        <f t="shared" si="104"/>
        <v>0</v>
      </c>
      <c r="K72" s="186">
        <f>sum(K67:K71)</f>
        <v>29</v>
      </c>
      <c r="L72" s="211">
        <f t="shared" ref="L72:N72" si="105">sum(L69:L71)</f>
        <v>18</v>
      </c>
      <c r="M72" s="211">
        <f t="shared" si="105"/>
        <v>8</v>
      </c>
      <c r="N72" s="211">
        <f t="shared" si="105"/>
        <v>0</v>
      </c>
      <c r="O72" s="211" t="str">
        <f>sum(O67:O71)</f>
        <v>#N/A</v>
      </c>
    </row>
    <row r="73">
      <c r="A73" s="179" t="s">
        <v>887</v>
      </c>
      <c r="B73" s="179" t="s">
        <v>890</v>
      </c>
      <c r="C73" s="180" t="s">
        <v>6115</v>
      </c>
      <c r="D73" s="191">
        <f>COUNTIFS('RAW Govt'!C:C, "Region 10", 'RAW Govt'!K:K,"Level 1",'RAW Govt'!D:D,"Bukidnon")</f>
        <v>0</v>
      </c>
      <c r="E73" s="191">
        <f>COUNTIFS('RAW Govt'!C:C, "Region 10", 'RAW Govt'!K:K,"Level 2",'RAW Govt'!D:D,"Bukidnon")</f>
        <v>0</v>
      </c>
      <c r="F73" s="191">
        <f>COUNTIFS('RAW Govt'!C:C, "Region 10", 'RAW Govt'!K:K,"Level 3",'RAW Govt'!D:D,"Bukidnon")</f>
        <v>0</v>
      </c>
      <c r="G73" s="182">
        <f t="shared" ref="G73:G78" si="107">sum(D73:F73)</f>
        <v>0</v>
      </c>
      <c r="H73" s="181">
        <f>COUNTIFS(Private!C:C, "Region 10", Private!K:K,"Level 1",Private!D:D,"Bukidnon")</f>
        <v>13</v>
      </c>
      <c r="I73" s="181">
        <f>COUNTIFS(Private!C:C, "Region 10", Private!K:K,"Level 2",Private!D:D,"Bukidnon")</f>
        <v>5</v>
      </c>
      <c r="J73" s="181">
        <f>COUNTIFS(Private!C:C, "Region 10", Private!K:K,"Level 3",Private!D:D,"Bukidnon")</f>
        <v>0</v>
      </c>
      <c r="K73" s="183">
        <f t="shared" ref="K73:K78" si="108">SUM(H73:J73)</f>
        <v>18</v>
      </c>
      <c r="L73" s="181">
        <f t="shared" ref="L73:N73" si="106">SUM(D73,H73)</f>
        <v>13</v>
      </c>
      <c r="M73" s="181">
        <f t="shared" si="106"/>
        <v>5</v>
      </c>
      <c r="N73" s="181">
        <f t="shared" si="106"/>
        <v>0</v>
      </c>
      <c r="O73" s="184">
        <f t="shared" ref="O73:O78" si="110">SUM(L73:N73)</f>
        <v>18</v>
      </c>
    </row>
    <row r="74">
      <c r="A74" s="7"/>
      <c r="B74" s="7"/>
      <c r="C74" s="180" t="s">
        <v>2310</v>
      </c>
      <c r="D74" s="191">
        <f>COUNTIFS('RAW Govt'!C:C, "Region 10", 'RAW Govt'!K:K,"Level 1",'RAW Govt'!D:D,"Camiguin")</f>
        <v>0</v>
      </c>
      <c r="E74" s="191">
        <f>COUNTIFS('RAW Govt'!C:C, "Region 10", 'RAW Govt'!K:K,"Level 2",'RAW Govt'!D:D,"Camiguin")</f>
        <v>0</v>
      </c>
      <c r="F74" s="191">
        <f>COUNTIFS('RAW Govt'!C:C, "Region 10", 'RAW Govt'!K:K,"Level 3",'RAW Govt'!D:D,"Camiguin")</f>
        <v>0</v>
      </c>
      <c r="G74" s="182">
        <f t="shared" si="107"/>
        <v>0</v>
      </c>
      <c r="H74" s="181">
        <f>COUNTIFS(Private!C:C, "Region 10", Private!K:K,"Level 1",Private!D:D,"Camiguin")</f>
        <v>0</v>
      </c>
      <c r="I74" s="181">
        <f>COUNTIFS(Private!C:C, "Region 10", Private!K:K,"Level 2",Private!D:D,"Camiguin")</f>
        <v>0</v>
      </c>
      <c r="J74" s="181">
        <f>COUNTIFS(Private!C:C, "Region 10", Private!K:K,"Level 3",Private!D:D,"Camiguin")</f>
        <v>0</v>
      </c>
      <c r="K74" s="183">
        <f t="shared" si="108"/>
        <v>0</v>
      </c>
      <c r="L74" s="181">
        <f t="shared" ref="L74:N74" si="109">SUM(D74,H74)</f>
        <v>0</v>
      </c>
      <c r="M74" s="181">
        <f t="shared" si="109"/>
        <v>0</v>
      </c>
      <c r="N74" s="181">
        <f t="shared" si="109"/>
        <v>0</v>
      </c>
      <c r="O74" s="184">
        <f t="shared" si="110"/>
        <v>0</v>
      </c>
    </row>
    <row r="75">
      <c r="A75" s="7"/>
      <c r="B75" s="7"/>
      <c r="C75" s="180" t="s">
        <v>6201</v>
      </c>
      <c r="D75" s="191">
        <f>COUNTIFS('RAW Govt'!C:C, "Region 10", 'RAW Govt'!K:K,"Level 1",'RAW Govt'!D:D,"Lanao del Norte")</f>
        <v>0</v>
      </c>
      <c r="E75" s="191">
        <f>COUNTIFS('RAW Govt'!C:C, "Region 10", 'RAW Govt'!K:K,"Level 2",'RAW Govt'!D:D,"Lanao del Norte")</f>
        <v>0</v>
      </c>
      <c r="F75" s="191">
        <f>COUNTIFS('RAW Govt'!C:C, "Region 10", 'RAW Govt'!K:K,"Level 3",'RAW Govt'!D:D,"Lanao del Norte")</f>
        <v>0</v>
      </c>
      <c r="G75" s="182">
        <f t="shared" si="107"/>
        <v>0</v>
      </c>
      <c r="H75" s="181">
        <f>COUNTIFS(Private!C:C, "Region 10", Private!K:K,"Level 1",Private!D:D,"Lanao del Norte")</f>
        <v>9</v>
      </c>
      <c r="I75" s="181">
        <f>COUNTIFS(Private!C:C, "Region 10", Private!K:K,"Level 2",Private!D:D,"Lanao del Norte")</f>
        <v>2</v>
      </c>
      <c r="J75" s="181">
        <f>COUNTIFS(Private!C:C, "Region 10", Private!K:K,"Level 3",Private!D:D,"Lanao del Norte")</f>
        <v>0</v>
      </c>
      <c r="K75" s="183">
        <f t="shared" si="108"/>
        <v>11</v>
      </c>
      <c r="L75" s="181">
        <f t="shared" ref="L75:N75" si="111">SUM(D75,H75)</f>
        <v>9</v>
      </c>
      <c r="M75" s="181">
        <f t="shared" si="111"/>
        <v>2</v>
      </c>
      <c r="N75" s="181">
        <f t="shared" si="111"/>
        <v>0</v>
      </c>
      <c r="O75" s="184">
        <f t="shared" si="110"/>
        <v>11</v>
      </c>
    </row>
    <row r="76">
      <c r="A76" s="7"/>
      <c r="B76" s="7"/>
      <c r="C76" s="180" t="s">
        <v>2333</v>
      </c>
      <c r="D76" s="191">
        <f>COUNTIFS('RAW Govt'!C:C, "Region 10", 'RAW Govt'!K:K,"Level 1",'RAW Govt'!D:D,"Lanao del Sur")</f>
        <v>0</v>
      </c>
      <c r="E76" s="191">
        <f>COUNTIFS('RAW Govt'!C:C, "Region 10", 'RAW Govt'!K:K,"Level 2",'RAW Govt'!D:D,"Lanao del Sur")</f>
        <v>0</v>
      </c>
      <c r="F76" s="191">
        <f>COUNTIFS('RAW Govt'!C:C, "Region 10", 'RAW Govt'!K:K,"Level 3",'RAW Govt'!D:D,"Lanao del Sur")</f>
        <v>0</v>
      </c>
      <c r="G76" s="182">
        <f t="shared" si="107"/>
        <v>0</v>
      </c>
      <c r="H76" s="181">
        <f>COUNTIFS(Private!C:C, "Region 10", Private!K:K,"Level 1",Private!D:D,"Lanao del Sur")</f>
        <v>0</v>
      </c>
      <c r="I76" s="181">
        <f>COUNTIFS(Private!C:C, "Region 10", Private!K:K,"Level 2",Private!D:D,"Lanao del Sur")</f>
        <v>0</v>
      </c>
      <c r="J76" s="181">
        <f>COUNTIFS(Private!C:C, "Region 10", Private!K:K,"Level 3",Private!D:D,"Lanao del Sur")</f>
        <v>0</v>
      </c>
      <c r="K76" s="183">
        <f t="shared" si="108"/>
        <v>0</v>
      </c>
      <c r="L76" s="181">
        <f t="shared" ref="L76:N76" si="112">SUM(D76,H76)</f>
        <v>0</v>
      </c>
      <c r="M76" s="181">
        <f t="shared" si="112"/>
        <v>0</v>
      </c>
      <c r="N76" s="181">
        <f t="shared" si="112"/>
        <v>0</v>
      </c>
      <c r="O76" s="184">
        <f t="shared" si="110"/>
        <v>0</v>
      </c>
    </row>
    <row r="77">
      <c r="A77" s="7"/>
      <c r="B77" s="7"/>
      <c r="C77" s="180" t="s">
        <v>2358</v>
      </c>
      <c r="D77" s="191">
        <f>COUNTIFS('RAW Govt'!C:C, "Region 10", 'RAW Govt'!K:K,"Level 1",'RAW Govt'!D:D,"Misamis Occidental")</f>
        <v>0</v>
      </c>
      <c r="E77" s="191">
        <f>COUNTIFS('RAW Govt'!C:C, "Region 10", 'RAW Govt'!K:K,"Level 2",'RAW Govt'!D:D,"Misamis Occidental")</f>
        <v>0</v>
      </c>
      <c r="F77" s="191">
        <f>COUNTIFS('RAW Govt'!C:C, "Region 10", 'RAW Govt'!K:K,"Level 3",'RAW Govt'!D:D,"Misamis Occidental")</f>
        <v>0</v>
      </c>
      <c r="G77" s="182">
        <f t="shared" si="107"/>
        <v>0</v>
      </c>
      <c r="H77" s="181">
        <f>COUNTIFS(Private!C:C, "Region 10", Private!K:K,"Level 1",Private!D:D,"Misamis Occidental")</f>
        <v>7</v>
      </c>
      <c r="I77" s="181">
        <f>COUNTIFS(Private!C:C, "Region 10", Private!K:K,"Level 2",Private!D:D,"Misamis Occidental")</f>
        <v>2</v>
      </c>
      <c r="J77" s="181">
        <f>COUNTIFS(Private!C:C, "Region 10", Private!K:K,"Level 3",Private!D:D,"Misamis Occidental")</f>
        <v>0</v>
      </c>
      <c r="K77" s="183">
        <f t="shared" si="108"/>
        <v>9</v>
      </c>
      <c r="L77" s="181">
        <f t="shared" ref="L77:N77" si="113">SUM(D77,H77)</f>
        <v>7</v>
      </c>
      <c r="M77" s="181">
        <f t="shared" si="113"/>
        <v>2</v>
      </c>
      <c r="N77" s="181">
        <f t="shared" si="113"/>
        <v>0</v>
      </c>
      <c r="O77" s="184">
        <f t="shared" si="110"/>
        <v>9</v>
      </c>
    </row>
    <row r="78">
      <c r="A78" s="20"/>
      <c r="B78" s="20"/>
      <c r="C78" s="180" t="s">
        <v>2388</v>
      </c>
      <c r="D78" s="191">
        <f>COUNTIFS('RAW Govt'!C:C, "Region 10", 'RAW Govt'!K:K,"Level 1",'RAW Govt'!D:D,"Misamis Oriental")</f>
        <v>0</v>
      </c>
      <c r="E78" s="191">
        <f>COUNTIFS('RAW Govt'!C:C, "Region 10", 'RAW Govt'!K:K,"Level 2",'RAW Govt'!D:D,"Misamis Oriental")</f>
        <v>0</v>
      </c>
      <c r="F78" s="191">
        <f>COUNTIFS('RAW Govt'!C:C, "Region 10", 'RAW Govt'!K:K,"Level 3",'RAW Govt'!D:D,"Misamis Oriental")</f>
        <v>0</v>
      </c>
      <c r="G78" s="182">
        <f t="shared" si="107"/>
        <v>0</v>
      </c>
      <c r="H78" s="181">
        <f>COUNTIFS(Private!C:C, "Region 10", Private!K:K,"Level 1",Private!D:D,"Misamis Oriental")</f>
        <v>7</v>
      </c>
      <c r="I78" s="181">
        <f>COUNTIFS(Private!C:C, "Region 10", Private!K:K,"Level 2",Private!D:D,"Misamis Oriental")</f>
        <v>7</v>
      </c>
      <c r="J78" s="181">
        <f>COUNTIFS(Private!C:C, "Region 10", Private!K:K,"Level 3",Private!D:D,"Misamis Oriental")</f>
        <v>1</v>
      </c>
      <c r="K78" s="183">
        <f t="shared" si="108"/>
        <v>15</v>
      </c>
      <c r="L78" s="181">
        <f t="shared" ref="L78:N78" si="114">SUM(D78,H78)</f>
        <v>7</v>
      </c>
      <c r="M78" s="181">
        <f t="shared" si="114"/>
        <v>7</v>
      </c>
      <c r="N78" s="181">
        <f t="shared" si="114"/>
        <v>1</v>
      </c>
      <c r="O78" s="184">
        <f t="shared" si="110"/>
        <v>15</v>
      </c>
    </row>
    <row r="79">
      <c r="A79" s="185" t="s">
        <v>7</v>
      </c>
      <c r="B79" s="4"/>
      <c r="C79" s="5"/>
      <c r="D79" s="176">
        <f t="shared" ref="D79:O79" si="115">sum(D73:D78)</f>
        <v>0</v>
      </c>
      <c r="E79" s="176">
        <f t="shared" si="115"/>
        <v>0</v>
      </c>
      <c r="F79" s="176">
        <f t="shared" si="115"/>
        <v>0</v>
      </c>
      <c r="G79" s="176">
        <f t="shared" si="115"/>
        <v>0</v>
      </c>
      <c r="H79" s="186">
        <f t="shared" si="115"/>
        <v>36</v>
      </c>
      <c r="I79" s="186">
        <f t="shared" si="115"/>
        <v>16</v>
      </c>
      <c r="J79" s="186">
        <f t="shared" si="115"/>
        <v>1</v>
      </c>
      <c r="K79" s="186">
        <f t="shared" si="115"/>
        <v>53</v>
      </c>
      <c r="L79" s="211">
        <f t="shared" si="115"/>
        <v>36</v>
      </c>
      <c r="M79" s="211">
        <f t="shared" si="115"/>
        <v>16</v>
      </c>
      <c r="N79" s="211">
        <f t="shared" si="115"/>
        <v>1</v>
      </c>
      <c r="O79" s="211">
        <f t="shared" si="115"/>
        <v>53</v>
      </c>
    </row>
    <row r="80">
      <c r="A80" s="179" t="s">
        <v>949</v>
      </c>
      <c r="B80" s="179" t="s">
        <v>951</v>
      </c>
      <c r="C80" s="180" t="s">
        <v>2420</v>
      </c>
      <c r="D80" s="191">
        <f>COUNTIFS('RAW Govt'!C:C, "Region 11", 'RAW Govt'!K:K,"Level 1",'RAW Govt'!D:D,"Davao del Norte")</f>
        <v>0</v>
      </c>
      <c r="E80" s="191">
        <f>COUNTIFS('RAW Govt'!C:C, "Region 11", 'RAW Govt'!K:K,"Level 2",'RAW Govt'!D:D,"Davao del Norte")</f>
        <v>0</v>
      </c>
      <c r="F80" s="191">
        <f>COUNTIFS('RAW Govt'!C:C, "Region 11", 'RAW Govt'!K:K,"Level 3",'RAW Govt'!D:D,"Davao del Norte")</f>
        <v>0</v>
      </c>
      <c r="G80" s="182">
        <f t="shared" ref="G80:G84" si="117">sum(D80:F80)</f>
        <v>0</v>
      </c>
      <c r="H80" s="181">
        <f>COUNTIFS(Private!C:C, "Region 11", Private!K:K,"Level 1",Private!D:D,"Davao del Norte")</f>
        <v>6</v>
      </c>
      <c r="I80" s="181">
        <f>COUNTIFS(Private!C:C, "Region 11", Private!K:K,"Level 2",Private!D:D,"Davao del Norte")</f>
        <v>7</v>
      </c>
      <c r="J80" s="181">
        <f>COUNTIFS(Private!C:C, "Region 11", Private!K:K,"Level 3",Private!D:D,"Davao del Norte")</f>
        <v>0</v>
      </c>
      <c r="K80" s="183">
        <f t="shared" ref="K80:K84" si="118">SUM(H80:J80)</f>
        <v>13</v>
      </c>
      <c r="L80" s="181">
        <f t="shared" ref="L80:N80" si="116">SUM(D80,H80)</f>
        <v>6</v>
      </c>
      <c r="M80" s="181">
        <f t="shared" si="116"/>
        <v>7</v>
      </c>
      <c r="N80" s="181">
        <f t="shared" si="116"/>
        <v>0</v>
      </c>
      <c r="O80" s="184">
        <f t="shared" ref="O80:O84" si="120">SUM(L80:N80)</f>
        <v>13</v>
      </c>
    </row>
    <row r="81">
      <c r="A81" s="7"/>
      <c r="B81" s="7"/>
      <c r="C81" s="180" t="s">
        <v>2457</v>
      </c>
      <c r="D81" s="191">
        <f>COUNTIFS('RAW Govt'!C:C, "Region 11", 'RAW Govt'!K:K,"Level 1",'RAW Govt'!D:D,"Davao del Sur")</f>
        <v>0</v>
      </c>
      <c r="E81" s="191">
        <f>COUNTIFS('RAW Govt'!C:C, "Region 11", 'RAW Govt'!K:K,"Level 2",'RAW Govt'!D:D,"Davao del Sur")</f>
        <v>0</v>
      </c>
      <c r="F81" s="191">
        <f>COUNTIFS('RAW Govt'!C:C, "Region 11", 'RAW Govt'!K:K,"Level 3",'RAW Govt'!D:D,"Davao del Sur")</f>
        <v>0</v>
      </c>
      <c r="G81" s="182">
        <f t="shared" si="117"/>
        <v>0</v>
      </c>
      <c r="H81" s="181">
        <f>COUNTIFS(Private!C:C, "Region 11", Private!K:K,"Level 1",Private!D:D,"Davao del Sur")</f>
        <v>15</v>
      </c>
      <c r="I81" s="181">
        <f>COUNTIFS(Private!C:C, "Region 11", Private!K:K,"Level 2",Private!D:D,"Davao del Sur")</f>
        <v>13</v>
      </c>
      <c r="J81" s="181">
        <f>COUNTIFS(Private!C:C, "Region 11", Private!K:K,"Level 3",Private!D:D,"Davao del Sur")</f>
        <v>3</v>
      </c>
      <c r="K81" s="183">
        <f t="shared" si="118"/>
        <v>31</v>
      </c>
      <c r="L81" s="181">
        <f t="shared" ref="L81:N81" si="119">SUM(D81,H81)</f>
        <v>15</v>
      </c>
      <c r="M81" s="181">
        <f t="shared" si="119"/>
        <v>13</v>
      </c>
      <c r="N81" s="181">
        <f t="shared" si="119"/>
        <v>3</v>
      </c>
      <c r="O81" s="184">
        <f t="shared" si="120"/>
        <v>31</v>
      </c>
    </row>
    <row r="82">
      <c r="A82" s="7"/>
      <c r="B82" s="7"/>
      <c r="C82" s="180" t="s">
        <v>6691</v>
      </c>
      <c r="D82" s="191">
        <f>COUNTIFS('RAW Govt'!C:C, "Region 11", 'RAW Govt'!K:K,"Level 1",'RAW Govt'!D:D,"Davao Oriental")</f>
        <v>0</v>
      </c>
      <c r="E82" s="191">
        <f>COUNTIFS('RAW Govt'!C:C, "Region 11", 'RAW Govt'!K:K,"Level 2",'RAW Govt'!D:D,"Davao Oriental")</f>
        <v>0</v>
      </c>
      <c r="F82" s="191">
        <f>COUNTIFS('RAW Govt'!C:C, "Region 11", 'RAW Govt'!K:K,"Level 3",'RAW Govt'!D:D,"Davao Oriental")</f>
        <v>0</v>
      </c>
      <c r="G82" s="182">
        <f t="shared" si="117"/>
        <v>0</v>
      </c>
      <c r="H82" s="181">
        <f>COUNTIFS(Private!C:C, "Region 11", Private!K:K,"Level 1",Private!D:D,"Davao Oriental")</f>
        <v>1</v>
      </c>
      <c r="I82" s="181">
        <f>COUNTIFS(Private!C:C, "Region 11", Private!K:K,"Level 2",Private!D:D,"Davao Oriental")</f>
        <v>0</v>
      </c>
      <c r="J82" s="181">
        <f>COUNTIFS(Private!C:C, "Region 11", Private!K:K,"Level 3",Private!D:D,"Davao Oriental")</f>
        <v>0</v>
      </c>
      <c r="K82" s="183">
        <f t="shared" si="118"/>
        <v>1</v>
      </c>
      <c r="L82" s="181">
        <f t="shared" ref="L82:N82" si="121">SUM(D82,H82)</f>
        <v>1</v>
      </c>
      <c r="M82" s="181">
        <f t="shared" si="121"/>
        <v>0</v>
      </c>
      <c r="N82" s="181">
        <f t="shared" si="121"/>
        <v>0</v>
      </c>
      <c r="O82" s="184">
        <f t="shared" si="120"/>
        <v>1</v>
      </c>
    </row>
    <row r="83">
      <c r="A83" s="7"/>
      <c r="B83" s="7"/>
      <c r="C83" s="180" t="s">
        <v>6487</v>
      </c>
      <c r="D83" s="191">
        <f>COUNTIFS('RAW Govt'!C:C, "Region 11", 'RAW Govt'!K:K,"Level 1",'RAW Govt'!D:D,"Davao de Oro")</f>
        <v>0</v>
      </c>
      <c r="E83" s="191">
        <f>COUNTIFS('RAW Govt'!C:C, "Region 11", 'RAW Govt'!K:K,"Level 2",'RAW Govt'!D:D,"Davao de Oro")</f>
        <v>0</v>
      </c>
      <c r="F83" s="191">
        <f>COUNTIFS('RAW Govt'!C:C, "Region 11", 'RAW Govt'!K:K,"Level 3",'RAW Govt'!D:D,"Davao de Oro")</f>
        <v>0</v>
      </c>
      <c r="G83" s="182">
        <f t="shared" si="117"/>
        <v>0</v>
      </c>
      <c r="H83" s="181">
        <f>COUNTIFS(Private!C:C, "Region 11", Private!K:K,"Level 1",Private!D:D,"Davao de Oro")</f>
        <v>2</v>
      </c>
      <c r="I83" s="181">
        <f>COUNTIFS(Private!C:C, "Region 11", Private!K:K,"Level 2",Private!D:D,"Davao de Oro")</f>
        <v>0</v>
      </c>
      <c r="J83" s="181">
        <f>COUNTIFS(Private!C:C, "Region 11", Private!K:K,"Level 3",Private!D:D,"Davao de Oro")</f>
        <v>0</v>
      </c>
      <c r="K83" s="183">
        <f t="shared" si="118"/>
        <v>2</v>
      </c>
      <c r="L83" s="181">
        <f t="shared" ref="L83:N83" si="122">SUM(D83,H83)</f>
        <v>2</v>
      </c>
      <c r="M83" s="181">
        <f t="shared" si="122"/>
        <v>0</v>
      </c>
      <c r="N83" s="181">
        <f t="shared" si="122"/>
        <v>0</v>
      </c>
      <c r="O83" s="184">
        <f t="shared" si="120"/>
        <v>2</v>
      </c>
    </row>
    <row r="84">
      <c r="A84" s="20"/>
      <c r="B84" s="20"/>
      <c r="C84" s="180" t="s">
        <v>2497</v>
      </c>
      <c r="D84" s="191">
        <f>COUNTIFS('RAW Govt'!C:C, "Region 11", 'RAW Govt'!K:K,"Level 1",'RAW Govt'!D:D,"Davao Occidental")</f>
        <v>0</v>
      </c>
      <c r="E84" s="191">
        <f>COUNTIFS('RAW Govt'!C:C, "Region 11", 'RAW Govt'!K:K,"Level 2",'RAW Govt'!D:D,"Davao Occidental")</f>
        <v>0</v>
      </c>
      <c r="F84" s="191">
        <f>COUNTIFS('RAW Govt'!C:C, "Region 11", 'RAW Govt'!K:K,"Level 3",'RAW Govt'!D:D,"Davao Occidental")</f>
        <v>0</v>
      </c>
      <c r="G84" s="182">
        <f t="shared" si="117"/>
        <v>0</v>
      </c>
      <c r="H84" s="181">
        <f>COUNTIFS(Private!C:C, "Region 11", Private!K:K,"Level 1",Private!D:D,"Davao Occidental")</f>
        <v>0</v>
      </c>
      <c r="I84" s="181">
        <f>COUNTIFS(Private!C:C, "Region 11", Private!K:K,"Level 2",Private!D:D,"Davao Occidental")</f>
        <v>0</v>
      </c>
      <c r="J84" s="181">
        <f>COUNTIFS(Private!C:C, "Region 11", Private!K:K,"Level 3",Private!D:D,"Davao Occidental")</f>
        <v>0</v>
      </c>
      <c r="K84" s="183">
        <f t="shared" si="118"/>
        <v>0</v>
      </c>
      <c r="L84" s="181">
        <f t="shared" ref="L84:N84" si="123">SUM(D84,H84)</f>
        <v>0</v>
      </c>
      <c r="M84" s="181">
        <f t="shared" si="123"/>
        <v>0</v>
      </c>
      <c r="N84" s="181">
        <f t="shared" si="123"/>
        <v>0</v>
      </c>
      <c r="O84" s="184">
        <f t="shared" si="120"/>
        <v>0</v>
      </c>
    </row>
    <row r="85">
      <c r="A85" s="185" t="s">
        <v>7</v>
      </c>
      <c r="B85" s="4"/>
      <c r="C85" s="5"/>
      <c r="D85" s="176">
        <f t="shared" ref="D85:O85" si="124">sum(D80:D84)</f>
        <v>0</v>
      </c>
      <c r="E85" s="176">
        <f t="shared" si="124"/>
        <v>0</v>
      </c>
      <c r="F85" s="176">
        <f t="shared" si="124"/>
        <v>0</v>
      </c>
      <c r="G85" s="176">
        <f t="shared" si="124"/>
        <v>0</v>
      </c>
      <c r="H85" s="186">
        <f t="shared" si="124"/>
        <v>24</v>
      </c>
      <c r="I85" s="186">
        <f t="shared" si="124"/>
        <v>20</v>
      </c>
      <c r="J85" s="186">
        <f t="shared" si="124"/>
        <v>3</v>
      </c>
      <c r="K85" s="186">
        <f t="shared" si="124"/>
        <v>47</v>
      </c>
      <c r="L85" s="211">
        <f t="shared" si="124"/>
        <v>24</v>
      </c>
      <c r="M85" s="211">
        <f t="shared" si="124"/>
        <v>20</v>
      </c>
      <c r="N85" s="211">
        <f t="shared" si="124"/>
        <v>3</v>
      </c>
      <c r="O85" s="211">
        <f t="shared" si="124"/>
        <v>47</v>
      </c>
    </row>
    <row r="86">
      <c r="A86" s="179" t="s">
        <v>1026</v>
      </c>
      <c r="B86" s="179" t="s">
        <v>1028</v>
      </c>
      <c r="C86" s="180" t="s">
        <v>6709</v>
      </c>
      <c r="D86" s="191">
        <f>COUNTIFS('RAW Govt'!C:C, "Region 12", 'RAW Govt'!K:K,"Level 1",'RAW Govt'!D:D,"Cotabato")</f>
        <v>0</v>
      </c>
      <c r="E86" s="191">
        <f>COUNTIFS('RAW Govt'!C:C, "Region 12", 'RAW Govt'!K:K,"Level 2",'RAW Govt'!D:D,"South Cotabato")</f>
        <v>0</v>
      </c>
      <c r="F86" s="191">
        <f>COUNTIFS('RAW Govt'!C:C, "Region 12", 'RAW Govt'!K:K,"Level 3",'RAW Govt'!D:D,"South Cotabato")</f>
        <v>0</v>
      </c>
      <c r="G86" s="182">
        <f t="shared" ref="G86:G91" si="126">sum(D86:F86)</f>
        <v>0</v>
      </c>
      <c r="H86" s="181">
        <f>COUNTIFS(Private!C:C, "Region 12", Private!K:K,"Level 1",Private!D:D,"South Cotabato")</f>
        <v>7</v>
      </c>
      <c r="I86" s="181">
        <f>COUNTIFS(Private!C:C, "Region 12", Private!K:K,"Level 2",Private!D:D,"South Cotabato")</f>
        <v>3</v>
      </c>
      <c r="J86" s="181">
        <f>COUNTIFS(Private!C:C, "Region 12", Private!K:K,"Level 3",Private!D:D,"South Cotabato")</f>
        <v>0</v>
      </c>
      <c r="K86" s="183">
        <f t="shared" ref="K86:K91" si="127">SUM(H86:J86)</f>
        <v>10</v>
      </c>
      <c r="L86" s="181">
        <f t="shared" ref="L86:N86" si="125">SUM(D86,H86)</f>
        <v>7</v>
      </c>
      <c r="M86" s="181">
        <f t="shared" si="125"/>
        <v>3</v>
      </c>
      <c r="N86" s="181">
        <f t="shared" si="125"/>
        <v>0</v>
      </c>
      <c r="O86" s="184">
        <f t="shared" ref="O86:O91" si="129">SUM(L86:N86)</f>
        <v>10</v>
      </c>
    </row>
    <row r="87">
      <c r="A87" s="7"/>
      <c r="B87" s="7"/>
      <c r="C87" s="180" t="s">
        <v>2538</v>
      </c>
      <c r="D87" s="191">
        <f>COUNTIFS('RAW Govt'!C:C, "Region 12", 'RAW Govt'!K:K,"Level 1",'RAW Govt'!D:D,"Maguindanao")</f>
        <v>0</v>
      </c>
      <c r="E87" s="191">
        <f>COUNTIFS('RAW Govt'!C:C, "Region 12", 'RAW Govt'!K:K,"Level 2",'RAW Govt'!D:D,"Maguindanao")</f>
        <v>0</v>
      </c>
      <c r="F87" s="191">
        <f>COUNTIFS('RAW Govt'!C:C, "Region 12", 'RAW Govt'!K:K,"Level 3",'RAW Govt'!D:D,"Maguindanao")</f>
        <v>0</v>
      </c>
      <c r="G87" s="182">
        <f t="shared" si="126"/>
        <v>0</v>
      </c>
      <c r="H87" s="181">
        <f>COUNTIFS(Private!C:C, "Region 12", Private!K:K,"Level 1",Private!D:D,"Maguindanao")</f>
        <v>0</v>
      </c>
      <c r="I87" s="181">
        <f>COUNTIFS(Private!C:C, "Region 12", Private!K:K,"Level 2",Private!D:D,"Maguindanao")</f>
        <v>0</v>
      </c>
      <c r="J87" s="181">
        <f>COUNTIFS(Private!C:C, "Region 12", Private!K:K,"Level 3",Private!D:D,"Maguindanao")</f>
        <v>0</v>
      </c>
      <c r="K87" s="183">
        <f t="shared" si="127"/>
        <v>0</v>
      </c>
      <c r="L87" s="181">
        <f t="shared" ref="L87:N87" si="128">SUM(D87,H87)</f>
        <v>0</v>
      </c>
      <c r="M87" s="181">
        <f t="shared" si="128"/>
        <v>0</v>
      </c>
      <c r="N87" s="181">
        <f t="shared" si="128"/>
        <v>0</v>
      </c>
      <c r="O87" s="184">
        <f t="shared" si="129"/>
        <v>0</v>
      </c>
    </row>
    <row r="88">
      <c r="A88" s="7"/>
      <c r="B88" s="7"/>
      <c r="C88" s="180" t="s">
        <v>2594</v>
      </c>
      <c r="D88" s="191">
        <f>COUNTIFS('RAW Govt'!C:C, "Region 12", 'RAW Govt'!K:K,"Level 1",'RAW Govt'!D:D,"North Cotabato")</f>
        <v>0</v>
      </c>
      <c r="E88" s="191">
        <f>COUNTIFS('RAW Govt'!C:C, "Region 12", 'RAW Govt'!K:K,"Level 2",'RAW Govt'!D:D,"North Cotabato")</f>
        <v>0</v>
      </c>
      <c r="F88" s="191">
        <f>COUNTIFS('RAW Govt'!C:C, "Region 12", 'RAW Govt'!K:K,"Level 3",'RAW Govt'!D:D,"North Cotabato")</f>
        <v>0</v>
      </c>
      <c r="G88" s="182">
        <f t="shared" si="126"/>
        <v>0</v>
      </c>
      <c r="H88" s="181">
        <f>COUNTIFS(Private!C:C, "Region 12", Private!K:K,"Level 1",Private!D:D,"North Cotabato")</f>
        <v>17</v>
      </c>
      <c r="I88" s="181">
        <f>COUNTIFS(Private!C:C, "Region 12", Private!K:K,"Level 2",Private!D:D,"North Cotabato")</f>
        <v>6</v>
      </c>
      <c r="J88" s="181">
        <f>COUNTIFS(Private!C:C, "Region 12", Private!K:K,"Level 3",Private!D:D,"North Cotabato")</f>
        <v>0</v>
      </c>
      <c r="K88" s="183">
        <f t="shared" si="127"/>
        <v>23</v>
      </c>
      <c r="L88" s="181">
        <f t="shared" ref="L88:N88" si="130">SUM(D88,H88)</f>
        <v>17</v>
      </c>
      <c r="M88" s="181">
        <f t="shared" si="130"/>
        <v>6</v>
      </c>
      <c r="N88" s="181">
        <f t="shared" si="130"/>
        <v>0</v>
      </c>
      <c r="O88" s="184">
        <f t="shared" si="129"/>
        <v>23</v>
      </c>
    </row>
    <row r="89">
      <c r="A89" s="7"/>
      <c r="B89" s="7"/>
      <c r="C89" s="180" t="s">
        <v>2615</v>
      </c>
      <c r="D89" s="191">
        <f>COUNTIFS('RAW Govt'!C:C, "Region 12", 'RAW Govt'!K:K,"Level 1",'RAW Govt'!D:D,"South Cotabato")</f>
        <v>0</v>
      </c>
      <c r="E89" s="191">
        <f>COUNTIFS('RAW Govt'!C:C, "Region 12", 'RAW Govt'!K:K,"Level 2",'RAW Govt'!D:D,"Cotabato")</f>
        <v>0</v>
      </c>
      <c r="F89" s="191">
        <f>COUNTIFS('RAW Govt'!C:C, "Region 12", 'RAW Govt'!K:K,"Level 3",'RAW Govt'!D:D,"Cotabato")</f>
        <v>0</v>
      </c>
      <c r="G89" s="182">
        <f t="shared" si="126"/>
        <v>0</v>
      </c>
      <c r="H89" s="181">
        <f>COUNTIFS(Private!C:C, "Region 12", Private!K:K,"Level 1",Private!D:D,"Cotabato")</f>
        <v>3</v>
      </c>
      <c r="I89" s="181">
        <f>COUNTIFS(Private!C:C, "Region 12", Private!K:K,"Level 2",Private!D:D,"Cotabato")</f>
        <v>1</v>
      </c>
      <c r="J89" s="181">
        <f>COUNTIFS(Private!C:C, "Region 12", Private!K:K,"Level 3",Private!D:D,"Cotabato")</f>
        <v>0</v>
      </c>
      <c r="K89" s="183">
        <f t="shared" si="127"/>
        <v>4</v>
      </c>
      <c r="L89" s="181">
        <f t="shared" ref="L89:N89" si="131">SUM(D89,H89)</f>
        <v>3</v>
      </c>
      <c r="M89" s="181">
        <f t="shared" si="131"/>
        <v>1</v>
      </c>
      <c r="N89" s="181">
        <f t="shared" si="131"/>
        <v>0</v>
      </c>
      <c r="O89" s="184">
        <f t="shared" si="129"/>
        <v>4</v>
      </c>
    </row>
    <row r="90">
      <c r="A90" s="7"/>
      <c r="B90" s="7"/>
      <c r="C90" s="180" t="s">
        <v>2539</v>
      </c>
      <c r="D90" s="191">
        <f>COUNTIFS('RAW Govt'!C:C, "Region 12", 'RAW Govt'!K:K,"Level 1",'RAW Govt'!D:D,"Sultan Kudarat")</f>
        <v>0</v>
      </c>
      <c r="E90" s="191">
        <f>COUNTIFS('RAW Govt'!C:C, "Region 12", 'RAW Govt'!K:K,"Level 2",'RAW Govt'!D:D,"Sultan Kudarat")</f>
        <v>0</v>
      </c>
      <c r="F90" s="191">
        <f>COUNTIFS('RAW Govt'!C:C, "Region 12", 'RAW Govt'!K:K,"Level 3",'RAW Govt'!D:D,"Sultan Kudarat")</f>
        <v>0</v>
      </c>
      <c r="G90" s="182">
        <f t="shared" si="126"/>
        <v>0</v>
      </c>
      <c r="H90" s="181">
        <f>COUNTIFS(Private!C:C, "Region 12", Private!K:K,"Level 1",Private!D:D,"Sultan Kudarat")</f>
        <v>14</v>
      </c>
      <c r="I90" s="181">
        <f>COUNTIFS(Private!C:C, "Region 12", Private!K:K,"Level 2",Private!D:D,"Sultan Kudarat")</f>
        <v>3</v>
      </c>
      <c r="J90" s="181">
        <f>COUNTIFS(Private!C:C, "Region 12", Private!K:K,"Level 3",Private!D:D,"Sultan Kudarat")</f>
        <v>0</v>
      </c>
      <c r="K90" s="183">
        <f t="shared" si="127"/>
        <v>17</v>
      </c>
      <c r="L90" s="181">
        <f t="shared" ref="L90:N90" si="132">SUM(D90,H90)</f>
        <v>14</v>
      </c>
      <c r="M90" s="181">
        <f t="shared" si="132"/>
        <v>3</v>
      </c>
      <c r="N90" s="181">
        <f t="shared" si="132"/>
        <v>0</v>
      </c>
      <c r="O90" s="184">
        <f t="shared" si="129"/>
        <v>17</v>
      </c>
    </row>
    <row r="91">
      <c r="A91" s="20"/>
      <c r="B91" s="20"/>
      <c r="C91" s="180" t="s">
        <v>6875</v>
      </c>
      <c r="D91" s="191">
        <f>COUNTIFS('RAW Govt'!C:C, "Region 12", 'RAW Govt'!K:K,"Level 1",'RAW Govt'!D:D,"Sarangani")</f>
        <v>0</v>
      </c>
      <c r="E91" s="191">
        <f>COUNTIFS('RAW Govt'!C:C, "Region 12", 'RAW Govt'!K:K,"Level 2",'RAW Govt'!D:D,"Sarangani")</f>
        <v>0</v>
      </c>
      <c r="F91" s="191">
        <f>COUNTIFS('RAW Govt'!C:C, "Region 12", 'RAW Govt'!K:K,"Level 3",'RAW Govt'!D:D,"Sarangani")</f>
        <v>0</v>
      </c>
      <c r="G91" s="182">
        <f t="shared" si="126"/>
        <v>0</v>
      </c>
      <c r="H91" s="181">
        <f>COUNTIFS(Private!C:C, "Region 12", Private!K:K,"Level 1",Private!D:D,"Sarangani")</f>
        <v>0</v>
      </c>
      <c r="I91" s="181">
        <f>COUNTIFS(Private!C:C, "Region 12", Private!K:K,"Level 2",Private!D:D,"Sarangani")</f>
        <v>0</v>
      </c>
      <c r="J91" s="181">
        <f>COUNTIFS(Private!C:C, "Region 12", Private!K:K,"Level 3",Private!D:D,"Sarangani")</f>
        <v>0</v>
      </c>
      <c r="K91" s="183">
        <f t="shared" si="127"/>
        <v>0</v>
      </c>
      <c r="L91" s="181">
        <f t="shared" ref="L91:N91" si="133">SUM(D91,H91)</f>
        <v>0</v>
      </c>
      <c r="M91" s="181">
        <f t="shared" si="133"/>
        <v>0</v>
      </c>
      <c r="N91" s="181">
        <f t="shared" si="133"/>
        <v>0</v>
      </c>
      <c r="O91" s="184">
        <f t="shared" si="129"/>
        <v>0</v>
      </c>
    </row>
    <row r="92">
      <c r="A92" s="185" t="s">
        <v>7</v>
      </c>
      <c r="B92" s="4"/>
      <c r="C92" s="5"/>
      <c r="D92" s="176">
        <f t="shared" ref="D92:O92" si="134">sum(D86:D91)</f>
        <v>0</v>
      </c>
      <c r="E92" s="176">
        <f t="shared" si="134"/>
        <v>0</v>
      </c>
      <c r="F92" s="176">
        <f t="shared" si="134"/>
        <v>0</v>
      </c>
      <c r="G92" s="176">
        <f t="shared" si="134"/>
        <v>0</v>
      </c>
      <c r="H92" s="186">
        <f t="shared" si="134"/>
        <v>41</v>
      </c>
      <c r="I92" s="186">
        <f t="shared" si="134"/>
        <v>13</v>
      </c>
      <c r="J92" s="186">
        <f t="shared" si="134"/>
        <v>0</v>
      </c>
      <c r="K92" s="186">
        <f t="shared" si="134"/>
        <v>54</v>
      </c>
      <c r="L92" s="211">
        <f t="shared" si="134"/>
        <v>41</v>
      </c>
      <c r="M92" s="211">
        <f t="shared" si="134"/>
        <v>13</v>
      </c>
      <c r="N92" s="211">
        <f t="shared" si="134"/>
        <v>0</v>
      </c>
      <c r="O92" s="211">
        <f t="shared" si="134"/>
        <v>54</v>
      </c>
    </row>
    <row r="93">
      <c r="A93" s="179" t="s">
        <v>1098</v>
      </c>
      <c r="B93" s="179" t="s">
        <v>1099</v>
      </c>
      <c r="C93" s="180" t="s">
        <v>7082</v>
      </c>
      <c r="D93" s="191">
        <f>COUNTIFS('RAW Govt'!C:C, "Region 13", 'RAW Govt'!K:K,"Level 1",'RAW Govt'!D:D,"Agusan del Norte")</f>
        <v>0</v>
      </c>
      <c r="E93" s="191">
        <f>COUNTIFS('RAW Govt'!C:C, "Region 13", 'RAW Govt'!K:K,"Level 2",'RAW Govt'!D:D,"Agusan del Norte")</f>
        <v>0</v>
      </c>
      <c r="F93" s="191">
        <f>COUNTIFS('RAW Govt'!C:C, "Region 13", 'RAW Govt'!K:K,"Level 3",'RAW Govt'!D:D,"Agusan del Norte")</f>
        <v>0</v>
      </c>
      <c r="G93" s="182">
        <f t="shared" ref="G93:G96" si="136">sum(D93:F93)</f>
        <v>0</v>
      </c>
      <c r="H93" s="181">
        <f>COUNTIFS(Private!C:C, "Region 13", Private!K:K,"Level 1",Private!D:D,"Agusan del Norte")</f>
        <v>1</v>
      </c>
      <c r="I93" s="181">
        <f>COUNTIFS(Private!C:C, "Region 13", Private!K:K,"Level 2",Private!D:D,"Agusan del Norte")</f>
        <v>4</v>
      </c>
      <c r="J93" s="181">
        <f>COUNTIFS(Private!C:C, "Region 13", Private!K:K,"Level 3",Private!D:D,"Agusan del Norte")</f>
        <v>0</v>
      </c>
      <c r="K93" s="183">
        <f t="shared" ref="K93:K96" si="137">SUM(H93:J93)</f>
        <v>5</v>
      </c>
      <c r="L93" s="181">
        <f t="shared" ref="L93:N93" si="135">SUM(D93,H93)</f>
        <v>1</v>
      </c>
      <c r="M93" s="181">
        <f t="shared" si="135"/>
        <v>4</v>
      </c>
      <c r="N93" s="181">
        <f t="shared" si="135"/>
        <v>0</v>
      </c>
      <c r="O93" s="184">
        <f t="shared" ref="O93:O96" si="139">SUM(L93:N93)</f>
        <v>5</v>
      </c>
    </row>
    <row r="94">
      <c r="A94" s="7"/>
      <c r="B94" s="7"/>
      <c r="C94" s="180" t="s">
        <v>7127</v>
      </c>
      <c r="D94" s="191">
        <f>COUNTIFS('RAW Govt'!C:C, "Region 13", 'RAW Govt'!K:K,"Level 1",'RAW Govt'!D:D,"Agusan del Sur")</f>
        <v>0</v>
      </c>
      <c r="E94" s="191">
        <f>COUNTIFS('RAW Govt'!C:C, "Region 13", 'RAW Govt'!K:K,"Level 2",'RAW Govt'!D:D,"Agusan del Sur")</f>
        <v>0</v>
      </c>
      <c r="F94" s="191">
        <f>COUNTIFS('RAW Govt'!C:C, "Region 13", 'RAW Govt'!K:K,"Level 3",'RAW Govt'!D:D,"Agusan del Sur")</f>
        <v>0</v>
      </c>
      <c r="G94" s="182">
        <f t="shared" si="136"/>
        <v>0</v>
      </c>
      <c r="H94" s="181">
        <f>COUNTIFS(Private!C:C, "Region 13", Private!K:K,"Level 1",Private!D:D,"Agusan del Sur")</f>
        <v>1</v>
      </c>
      <c r="I94" s="181">
        <f>COUNTIFS(Private!C:C, "Region 13", Private!K:K,"Level 2",Private!D:D,"Agusan del Sur")</f>
        <v>1</v>
      </c>
      <c r="J94" s="181">
        <f>COUNTIFS(Private!C:C, "Region 13", Private!K:K,"Level 3",Private!D:D,"Agusan del Sur")</f>
        <v>0</v>
      </c>
      <c r="K94" s="183">
        <f t="shared" si="137"/>
        <v>2</v>
      </c>
      <c r="L94" s="181">
        <f t="shared" ref="L94:N94" si="138">SUM(D94,H94)</f>
        <v>1</v>
      </c>
      <c r="M94" s="181">
        <f t="shared" si="138"/>
        <v>1</v>
      </c>
      <c r="N94" s="181">
        <f t="shared" si="138"/>
        <v>0</v>
      </c>
      <c r="O94" s="184">
        <f t="shared" si="139"/>
        <v>2</v>
      </c>
    </row>
    <row r="95">
      <c r="A95" s="7"/>
      <c r="B95" s="7"/>
      <c r="C95" s="180" t="s">
        <v>2640</v>
      </c>
      <c r="D95" s="191">
        <f>COUNTIFS('RAW Govt'!C:C, "Region 13", 'RAW Govt'!K:K,"Level 1",'RAW Govt'!D:D,"Surigao del Norte")</f>
        <v>0</v>
      </c>
      <c r="E95" s="191">
        <f>COUNTIFS('RAW Govt'!C:C, "Region 13", 'RAW Govt'!K:K,"Level 2",'RAW Govt'!D:D,"Surigao del Norte")</f>
        <v>0</v>
      </c>
      <c r="F95" s="191">
        <f>COUNTIFS('RAW Govt'!C:C, "Region 13", 'RAW Govt'!K:K,"Level 3",'RAW Govt'!D:D,"Surigao del Norte")</f>
        <v>0</v>
      </c>
      <c r="G95" s="182">
        <f t="shared" si="136"/>
        <v>0</v>
      </c>
      <c r="H95" s="181">
        <f>COUNTIFS(Private!C:C, "Region 13", Private!K:K,"Level 1",Private!D:D,"Surigao del Norte")</f>
        <v>2</v>
      </c>
      <c r="I95" s="181">
        <f>COUNTIFS(Private!C:C, "Region 13", Private!K:K,"Level 2",Private!D:D,"Surigao del Norte")</f>
        <v>1</v>
      </c>
      <c r="J95" s="181">
        <f>COUNTIFS(Private!C:C, "Region 13", Private!K:K,"Level 3",Private!D:D,"Surigao del Norte")</f>
        <v>0</v>
      </c>
      <c r="K95" s="183">
        <f t="shared" si="137"/>
        <v>3</v>
      </c>
      <c r="L95" s="181">
        <f t="shared" ref="L95:N95" si="140">SUM(D95,H95)</f>
        <v>2</v>
      </c>
      <c r="M95" s="181">
        <f t="shared" si="140"/>
        <v>1</v>
      </c>
      <c r="N95" s="181">
        <f t="shared" si="140"/>
        <v>0</v>
      </c>
      <c r="O95" s="184">
        <f t="shared" si="139"/>
        <v>3</v>
      </c>
    </row>
    <row r="96">
      <c r="A96" s="20"/>
      <c r="B96" s="20"/>
      <c r="C96" s="180" t="s">
        <v>2681</v>
      </c>
      <c r="D96" s="191">
        <f>COUNTIFS('RAW Govt'!C:C, "Region 13", 'RAW Govt'!K:K,"Level 1",'RAW Govt'!D:D,"Surigao del Sur")</f>
        <v>0</v>
      </c>
      <c r="E96" s="191">
        <f>COUNTIFS('RAW Govt'!C:C, "Region 13", 'RAW Govt'!K:K,"Level 2",'RAW Govt'!D:D,"Surigao del Sur")</f>
        <v>0</v>
      </c>
      <c r="F96" s="191">
        <f>COUNTIFS('RAW Govt'!C:C, "Region 13", 'RAW Govt'!K:K,"Level 3",'RAW Govt'!D:D,"Surigao del Sur")</f>
        <v>0</v>
      </c>
      <c r="G96" s="182">
        <f t="shared" si="136"/>
        <v>0</v>
      </c>
      <c r="H96" s="181">
        <f>COUNTIFS(Private!C:C, "Region 13", Private!K:K,"Level 1",Private!D:D,"Surigao del Sur")</f>
        <v>1</v>
      </c>
      <c r="I96" s="181">
        <f>COUNTIFS(Private!C:C, "Region 13", Private!K:K,"Level 2",Private!D:D,"Surigao del Sur")</f>
        <v>1</v>
      </c>
      <c r="J96" s="181">
        <f>COUNTIFS(Private!C:C, "Region 13", Private!K:K,"Level 3",Private!D:D,"Surigao del Sur")</f>
        <v>0</v>
      </c>
      <c r="K96" s="183">
        <f t="shared" si="137"/>
        <v>2</v>
      </c>
      <c r="L96" s="181">
        <f t="shared" ref="L96:N96" si="141">SUM(D96,H96)</f>
        <v>1</v>
      </c>
      <c r="M96" s="181">
        <f t="shared" si="141"/>
        <v>1</v>
      </c>
      <c r="N96" s="181">
        <f t="shared" si="141"/>
        <v>0</v>
      </c>
      <c r="O96" s="184">
        <f t="shared" si="139"/>
        <v>2</v>
      </c>
    </row>
    <row r="97">
      <c r="A97" s="185" t="s">
        <v>7</v>
      </c>
      <c r="B97" s="4"/>
      <c r="C97" s="5"/>
      <c r="D97" s="176">
        <f t="shared" ref="D97:O97" si="142">sum(D93:D96)</f>
        <v>0</v>
      </c>
      <c r="E97" s="176">
        <f t="shared" si="142"/>
        <v>0</v>
      </c>
      <c r="F97" s="176">
        <f t="shared" si="142"/>
        <v>0</v>
      </c>
      <c r="G97" s="176">
        <f t="shared" si="142"/>
        <v>0</v>
      </c>
      <c r="H97" s="186">
        <f t="shared" si="142"/>
        <v>5</v>
      </c>
      <c r="I97" s="186">
        <f t="shared" si="142"/>
        <v>7</v>
      </c>
      <c r="J97" s="186">
        <f t="shared" si="142"/>
        <v>0</v>
      </c>
      <c r="K97" s="186">
        <f t="shared" si="142"/>
        <v>12</v>
      </c>
      <c r="L97" s="211">
        <f t="shared" si="142"/>
        <v>5</v>
      </c>
      <c r="M97" s="211">
        <f t="shared" si="142"/>
        <v>7</v>
      </c>
      <c r="N97" s="211">
        <f t="shared" si="142"/>
        <v>0</v>
      </c>
      <c r="O97" s="211">
        <f t="shared" si="142"/>
        <v>12</v>
      </c>
    </row>
    <row r="98">
      <c r="A98" s="179" t="s">
        <v>1323</v>
      </c>
      <c r="B98" s="179" t="s">
        <v>4380</v>
      </c>
      <c r="C98" s="180" t="s">
        <v>8583</v>
      </c>
      <c r="D98" s="191">
        <f>COUNTIFS('RAW Govt'!C:C, "CORDILLERA", 'RAW Govt'!K:K,"Level 1",'RAW Govt'!D:D,"Abra")</f>
        <v>0</v>
      </c>
      <c r="E98" s="191">
        <f>COUNTIFS('RAW Govt'!C:C, "CORDILLERA", 'RAW Govt'!K:K,"Level 2",'RAW Govt'!D:D,"Abra")</f>
        <v>0</v>
      </c>
      <c r="F98" s="191">
        <f>COUNTIFS('RAW Govt'!C:C, "CORDILLERA", 'RAW Govt'!K:K,"Level 3",'RAW Govt'!D:D,"Abra")</f>
        <v>0</v>
      </c>
      <c r="G98" s="193">
        <f t="shared" ref="G98:G103" si="144">sum(D98:F98)</f>
        <v>0</v>
      </c>
      <c r="H98" s="181">
        <f>COUNTIFS(Private!C:C, "CORDILLERA", Private!K:K,"Level 1",Private!D:D,"Abra")</f>
        <v>3</v>
      </c>
      <c r="I98" s="181">
        <f>COUNTIFS(Private!C:C, "CORDILLERA", Private!K:K,"Level 2",Private!D:D,"Abra")</f>
        <v>0</v>
      </c>
      <c r="J98" s="181">
        <f>COUNTIFS(Private!C:C, "CORDILLERA", Private!K:K,"Level 3",Private!D:D,"Abra")</f>
        <v>0</v>
      </c>
      <c r="K98" s="183">
        <f t="shared" ref="K98:K103" si="145">SUM(H98:J98)</f>
        <v>3</v>
      </c>
      <c r="L98" s="194">
        <f t="shared" ref="L98:N98" si="143">SUM(D98,H98)</f>
        <v>3</v>
      </c>
      <c r="M98" s="194">
        <f t="shared" si="143"/>
        <v>0</v>
      </c>
      <c r="N98" s="194">
        <f t="shared" si="143"/>
        <v>0</v>
      </c>
      <c r="O98" s="184">
        <f t="shared" ref="O98:O103" si="147">sum(L98:N98)</f>
        <v>3</v>
      </c>
    </row>
    <row r="99">
      <c r="A99" s="7"/>
      <c r="B99" s="7"/>
      <c r="C99" s="180" t="s">
        <v>3761</v>
      </c>
      <c r="D99" s="191">
        <f>COUNTIFS('RAW Govt'!C:C, "CORDILLERA", 'RAW Govt'!K:K,"Level 1",'RAW Govt'!D:D,"Benguet")</f>
        <v>0</v>
      </c>
      <c r="E99" s="191">
        <f>COUNTIFS('RAW Govt'!C:C, "CORDILLERA", 'RAW Govt'!K:K,"Level 2",'RAW Govt'!D:D,"Benguet")</f>
        <v>0</v>
      </c>
      <c r="F99" s="191">
        <f>COUNTIFS('RAW Govt'!C:C, "CORDILLERA", 'RAW Govt'!K:K,"Level 3",'RAW Govt'!D:D,"Benguet")</f>
        <v>0</v>
      </c>
      <c r="G99" s="193">
        <f t="shared" si="144"/>
        <v>0</v>
      </c>
      <c r="H99" s="181">
        <f>COUNTIFS(Private!C:C, "CORDILLERA", Private!K:K,"Level 1",Private!D:D,"Benguet")</f>
        <v>2</v>
      </c>
      <c r="I99" s="181">
        <f>COUNTIFS(Private!C:C, "CORDILLERA", Private!K:K,"Level 2",Private!D:D,"Benguet")</f>
        <v>3</v>
      </c>
      <c r="J99" s="181">
        <f>COUNTIFS(Private!C:C, "CORDILLERA", Private!K:K,"Level 3",Private!D:D,"Benguet")</f>
        <v>1</v>
      </c>
      <c r="K99" s="183">
        <f t="shared" si="145"/>
        <v>6</v>
      </c>
      <c r="L99" s="194">
        <f t="shared" ref="L99:N99" si="146">SUM(D99,H99)</f>
        <v>2</v>
      </c>
      <c r="M99" s="194">
        <f t="shared" si="146"/>
        <v>3</v>
      </c>
      <c r="N99" s="194">
        <f t="shared" si="146"/>
        <v>1</v>
      </c>
      <c r="O99" s="184">
        <f t="shared" si="147"/>
        <v>6</v>
      </c>
    </row>
    <row r="100">
      <c r="A100" s="7"/>
      <c r="B100" s="7"/>
      <c r="C100" s="180" t="s">
        <v>8707</v>
      </c>
      <c r="D100" s="191">
        <f>COUNTIFS('RAW Govt'!C:C, "CORDILLERA", 'RAW Govt'!K:K,"Level 1",'RAW Govt'!D:D,"Ifugao")</f>
        <v>0</v>
      </c>
      <c r="E100" s="191">
        <f>COUNTIFS('RAW Govt'!C:C, "CORDILLERA", 'RAW Govt'!K:K,"Level 2",'RAW Govt'!D:D,"Ifugao")</f>
        <v>0</v>
      </c>
      <c r="F100" s="191">
        <f>COUNTIFS('RAW Govt'!C:C, "CORDILLERA", 'RAW Govt'!K:K,"Level 3",'RAW Govt'!D:D,"Ifugao")</f>
        <v>0</v>
      </c>
      <c r="G100" s="193">
        <f t="shared" si="144"/>
        <v>0</v>
      </c>
      <c r="H100" s="181">
        <f>COUNTIFS(Private!C:C, "CORDILLERA", Private!K:K,"Level 1",Private!D:D,"Ifugao")</f>
        <v>0</v>
      </c>
      <c r="I100" s="181">
        <f>COUNTIFS(Private!C:C, "CORDILLERA", Private!K:K,"Level 2",Private!D:D,"Ifugao")</f>
        <v>0</v>
      </c>
      <c r="J100" s="181">
        <f>COUNTIFS(Private!C:C, "CORDILLERA", Private!K:K,"Level 3",Private!D:D,"Ifugao")</f>
        <v>0</v>
      </c>
      <c r="K100" s="183">
        <f t="shared" si="145"/>
        <v>0</v>
      </c>
      <c r="L100" s="194">
        <f t="shared" ref="L100:N100" si="148">SUM(D100,H100)</f>
        <v>0</v>
      </c>
      <c r="M100" s="194">
        <f t="shared" si="148"/>
        <v>0</v>
      </c>
      <c r="N100" s="194">
        <f t="shared" si="148"/>
        <v>0</v>
      </c>
      <c r="O100" s="184">
        <f t="shared" si="147"/>
        <v>0</v>
      </c>
    </row>
    <row r="101">
      <c r="A101" s="7"/>
      <c r="B101" s="7"/>
      <c r="C101" s="180" t="s">
        <v>8760</v>
      </c>
      <c r="D101" s="191">
        <f>COUNTIFS('RAW Govt'!C:C, "CORDILLERA", 'RAW Govt'!K:K,"Level 1",'RAW Govt'!D:D,"Kalinga")</f>
        <v>0</v>
      </c>
      <c r="E101" s="191">
        <f>COUNTIFS('RAW Govt'!C:C, "CORDILLERA", 'RAW Govt'!K:K,"Level 2",'RAW Govt'!D:D,"Kalinga")</f>
        <v>0</v>
      </c>
      <c r="F101" s="191">
        <f>COUNTIFS('RAW Govt'!C:C, "CORDILLERA", 'RAW Govt'!K:K,"Level 3",'RAW Govt'!D:D,"Kalinga")</f>
        <v>0</v>
      </c>
      <c r="G101" s="193">
        <f t="shared" si="144"/>
        <v>0</v>
      </c>
      <c r="H101" s="181">
        <f>COUNTIFS(Private!C:C, "CORDILLERA", Private!K:K,"Level 1",Private!D:D,"Kalinga")</f>
        <v>4</v>
      </c>
      <c r="I101" s="181">
        <f>COUNTIFS(Private!C:C, "CORDILLERA", Private!K:K,"Level 2",Private!D:D,"Kalinga")</f>
        <v>0</v>
      </c>
      <c r="J101" s="181">
        <f>COUNTIFS(Private!C:C, "CORDILLERA", Private!K:K,"Level 3",Private!D:D,"Kalinga")</f>
        <v>0</v>
      </c>
      <c r="K101" s="183">
        <f t="shared" si="145"/>
        <v>4</v>
      </c>
      <c r="L101" s="194">
        <f t="shared" ref="L101:N101" si="149">SUM(D101,H101)</f>
        <v>4</v>
      </c>
      <c r="M101" s="194">
        <f t="shared" si="149"/>
        <v>0</v>
      </c>
      <c r="N101" s="194">
        <f t="shared" si="149"/>
        <v>0</v>
      </c>
      <c r="O101" s="184">
        <f t="shared" si="147"/>
        <v>4</v>
      </c>
    </row>
    <row r="102">
      <c r="A102" s="7"/>
      <c r="B102" s="7"/>
      <c r="C102" s="180" t="s">
        <v>3804</v>
      </c>
      <c r="D102" s="191">
        <f>COUNTIFS('RAW Govt'!C:C, "CORDILLERA", 'RAW Govt'!K:K,"Level 1",'RAW Govt'!D:D,"Mountain Province")</f>
        <v>0</v>
      </c>
      <c r="E102" s="191">
        <f>COUNTIFS('RAW Govt'!C:C, "CORDILLERA", 'RAW Govt'!K:K,"Level 2",'RAW Govt'!D:D,"Mountain Province")</f>
        <v>0</v>
      </c>
      <c r="F102" s="191">
        <f>COUNTIFS('RAW Govt'!C:C, "CORDILLERA", 'RAW Govt'!K:K,"Level 3",'RAW Govt'!D:D,"Mountain Province")</f>
        <v>0</v>
      </c>
      <c r="G102" s="193">
        <f t="shared" si="144"/>
        <v>0</v>
      </c>
      <c r="H102" s="181">
        <f>COUNTIFS(Private!C:C, "CORDILLERA", Private!K:K,"Level 1",Private!D:D,"Mountain Province")</f>
        <v>1</v>
      </c>
      <c r="I102" s="181">
        <f>COUNTIFS(Private!C:C, "CORDILLERA", Private!K:K,"Level 2",Private!D:D,"Mountain Province")</f>
        <v>0</v>
      </c>
      <c r="J102" s="181">
        <f>COUNTIFS(Private!C:C, "CORDILLERA", Private!K:K,"Level 3",Private!D:D,"Mountain Province")</f>
        <v>0</v>
      </c>
      <c r="K102" s="183">
        <f t="shared" si="145"/>
        <v>1</v>
      </c>
      <c r="L102" s="194">
        <f t="shared" ref="L102:N102" si="150">SUM(D102,H102)</f>
        <v>1</v>
      </c>
      <c r="M102" s="194">
        <f t="shared" si="150"/>
        <v>0</v>
      </c>
      <c r="N102" s="194">
        <f t="shared" si="150"/>
        <v>0</v>
      </c>
      <c r="O102" s="184">
        <f t="shared" si="147"/>
        <v>1</v>
      </c>
    </row>
    <row r="103">
      <c r="A103" s="20"/>
      <c r="B103" s="20"/>
      <c r="C103" s="180" t="s">
        <v>3672</v>
      </c>
      <c r="D103" s="191">
        <f>COUNTIFS('RAW Govt'!C:C, "CORDILLERA", 'RAW Govt'!K:K,"Level 1",'RAW Govt'!D:D,"Apayao")</f>
        <v>0</v>
      </c>
      <c r="E103" s="191">
        <f>COUNTIFS('RAW Govt'!C:C, "CORDILLERA", 'RAW Govt'!K:K,"Level 2",'RAW Govt'!D:D,"Apayao")</f>
        <v>0</v>
      </c>
      <c r="F103" s="191">
        <f>COUNTIFS('RAW Govt'!C:C, "CORDILLERA", 'RAW Govt'!K:K,"Level 3",'RAW Govt'!D:D,"Apayao")</f>
        <v>0</v>
      </c>
      <c r="G103" s="193">
        <f t="shared" si="144"/>
        <v>0</v>
      </c>
      <c r="H103" s="181">
        <f>COUNTIFS(Private!C:C, "CORDILLERA", Private!K:K,"Level 1",Private!D:D,"Apayao")</f>
        <v>0</v>
      </c>
      <c r="I103" s="181">
        <f>COUNTIFS(Private!C:C, "CORDILLERA", Private!K:K,"Level 2",Private!D:D,"Apayao")</f>
        <v>0</v>
      </c>
      <c r="J103" s="181">
        <f>COUNTIFS(Private!C:C, "CORDILLERA", Private!K:K,"Level 3",Private!D:D,"Apayao")</f>
        <v>0</v>
      </c>
      <c r="K103" s="183">
        <f t="shared" si="145"/>
        <v>0</v>
      </c>
      <c r="L103" s="194">
        <f t="shared" ref="L103:N103" si="151">SUM(D103,H103)</f>
        <v>0</v>
      </c>
      <c r="M103" s="194">
        <f t="shared" si="151"/>
        <v>0</v>
      </c>
      <c r="N103" s="194">
        <f t="shared" si="151"/>
        <v>0</v>
      </c>
      <c r="O103" s="184">
        <f t="shared" si="147"/>
        <v>0</v>
      </c>
    </row>
    <row r="104">
      <c r="A104" s="185" t="s">
        <v>7</v>
      </c>
      <c r="B104" s="4"/>
      <c r="C104" s="5"/>
      <c r="D104" s="176">
        <f t="shared" ref="D104:O104" si="152">sum(D98:D103)</f>
        <v>0</v>
      </c>
      <c r="E104" s="176">
        <f t="shared" si="152"/>
        <v>0</v>
      </c>
      <c r="F104" s="176">
        <f t="shared" si="152"/>
        <v>0</v>
      </c>
      <c r="G104" s="176">
        <f t="shared" si="152"/>
        <v>0</v>
      </c>
      <c r="H104" s="186">
        <f t="shared" si="152"/>
        <v>10</v>
      </c>
      <c r="I104" s="186">
        <f t="shared" si="152"/>
        <v>3</v>
      </c>
      <c r="J104" s="186">
        <f t="shared" si="152"/>
        <v>1</v>
      </c>
      <c r="K104" s="186">
        <f t="shared" si="152"/>
        <v>14</v>
      </c>
      <c r="L104" s="211">
        <f t="shared" si="152"/>
        <v>10</v>
      </c>
      <c r="M104" s="211">
        <f t="shared" si="152"/>
        <v>3</v>
      </c>
      <c r="N104" s="211">
        <f t="shared" si="152"/>
        <v>1</v>
      </c>
      <c r="O104" s="211">
        <f t="shared" si="152"/>
        <v>14</v>
      </c>
    </row>
    <row r="105">
      <c r="A105" s="179" t="s">
        <v>1418</v>
      </c>
      <c r="B105" s="179" t="s">
        <v>1420</v>
      </c>
      <c r="C105" s="180" t="s">
        <v>2197</v>
      </c>
      <c r="D105" s="191">
        <f>COUNTIFS('RAW Govt'!C:C, "BARMM", 'RAW Govt'!K:K,"Level 1",'RAW Govt'!D:D,"Basilan")</f>
        <v>0</v>
      </c>
      <c r="E105" s="191">
        <f>COUNTIFS('RAW Govt'!C:C, "BARMM", 'RAW Govt'!K:K,"Level 2",'RAW Govt'!D:D,"Basilan")</f>
        <v>0</v>
      </c>
      <c r="F105" s="191">
        <f>COUNTIFS('RAW Govt'!C:C, "BARMM", 'RAW Govt'!K:K,"Level 3",'RAW Govt'!D:D,"Basilan")</f>
        <v>0</v>
      </c>
      <c r="G105" s="182">
        <f t="shared" ref="G105:G109" si="154">sum(D105:F105)</f>
        <v>0</v>
      </c>
      <c r="H105" s="181">
        <f>COUNTIFS(Private!C:C, "BARMM", Private!K:K,"Level 1",Private!D:D,"Basilan")</f>
        <v>0</v>
      </c>
      <c r="I105" s="181">
        <f>SUMIFS(Private!L:L,Private!C:C, "BARMM", Private!K:K,"Level 2",Private!D:D,"Basilan")</f>
        <v>0</v>
      </c>
      <c r="J105" s="181">
        <f>SUMIFS(Private!L:L,Private!C:C, "BARMM", Private!K:K,"Level 3",Private!D:D,"Basilan")</f>
        <v>0</v>
      </c>
      <c r="K105" s="183">
        <f t="shared" ref="K105:K109" si="155">SUM(H105:J105)</f>
        <v>0</v>
      </c>
      <c r="L105" s="181">
        <f t="shared" ref="L105:N105" si="153">SUM(D105,H105)</f>
        <v>0</v>
      </c>
      <c r="M105" s="181">
        <f t="shared" si="153"/>
        <v>0</v>
      </c>
      <c r="N105" s="181">
        <f t="shared" si="153"/>
        <v>0</v>
      </c>
      <c r="O105" s="184">
        <f t="shared" ref="O105:O109" si="157">SUM(L105:N105)</f>
        <v>0</v>
      </c>
    </row>
    <row r="106">
      <c r="A106" s="7"/>
      <c r="B106" s="7"/>
      <c r="C106" s="180" t="s">
        <v>2333</v>
      </c>
      <c r="D106" s="191">
        <f>COUNTIFS('RAW Govt'!C:C, "BARMM", 'RAW Govt'!K:K,"Level 1",'RAW Govt'!D:D,"Lanao del Sur")</f>
        <v>0</v>
      </c>
      <c r="E106" s="191">
        <f>COUNTIFS('RAW Govt'!C:C, "BARMM", 'RAW Govt'!K:K,"Level 2",'RAW Govt'!D:D,"Lanao del Sur")</f>
        <v>0</v>
      </c>
      <c r="F106" s="191">
        <f>COUNTIFS('RAW Govt'!C:C, "BARMM", 'RAW Govt'!K:K,"Level 3",'RAW Govt'!D:D,"Lanao del Sur")</f>
        <v>0</v>
      </c>
      <c r="G106" s="182">
        <f t="shared" si="154"/>
        <v>0</v>
      </c>
      <c r="H106" s="181">
        <f>COUNTIFS(Private!C:C, "BARMM", Private!K:K,"Level 1",Private!D:D,"Lanao del Sur")</f>
        <v>6</v>
      </c>
      <c r="I106" s="181">
        <f>SUMIFS(Private!L:L,Private!C:C, "BARMM", Private!K:K,"Level 2",Private!D:D,"Lanao del Sur")</f>
        <v>0</v>
      </c>
      <c r="J106" s="181">
        <f>SUMIFS(Private!L:L,Private!C:C, "BARMM", Private!K:K,"Level 3",Private!D:D,"Lanao del Sur")</f>
        <v>0</v>
      </c>
      <c r="K106" s="183">
        <f t="shared" si="155"/>
        <v>6</v>
      </c>
      <c r="L106" s="181">
        <f t="shared" ref="L106:N106" si="156">SUM(D106,H106)</f>
        <v>6</v>
      </c>
      <c r="M106" s="181">
        <f t="shared" si="156"/>
        <v>0</v>
      </c>
      <c r="N106" s="181">
        <f t="shared" si="156"/>
        <v>0</v>
      </c>
      <c r="O106" s="184">
        <f t="shared" si="157"/>
        <v>6</v>
      </c>
    </row>
    <row r="107">
      <c r="A107" s="7"/>
      <c r="B107" s="7"/>
      <c r="C107" s="180" t="s">
        <v>2274</v>
      </c>
      <c r="D107" s="191">
        <f>COUNTIFS('RAW Govt'!C:C, "BARMM", 'RAW Govt'!K:K,"Level 1",'RAW Govt'!D:D,"Sulu")</f>
        <v>0</v>
      </c>
      <c r="E107" s="191">
        <f>COUNTIFS('RAW Govt'!C:C, "BARMM", 'RAW Govt'!K:K,"Level 2",'RAW Govt'!D:D,"Sulu")</f>
        <v>0</v>
      </c>
      <c r="F107" s="191">
        <f>COUNTIFS('RAW Govt'!C:C, "BARMM", 'RAW Govt'!K:K,"Level 3",'RAW Govt'!D:D,"Sulu")</f>
        <v>0</v>
      </c>
      <c r="G107" s="182">
        <f t="shared" si="154"/>
        <v>0</v>
      </c>
      <c r="H107" s="181">
        <f>COUNTIFS(Private!C:C, "BARMM", Private!K:K,"Level 1",Private!D:D,"Sulu")</f>
        <v>0</v>
      </c>
      <c r="I107" s="181">
        <f>SUMIFS(Private!L:L,Private!C:C, "BARMM", Private!K:K,"Level 2",Private!D:D,"Sulu")</f>
        <v>0</v>
      </c>
      <c r="J107" s="181">
        <f>SUMIFS(Private!L:L,Private!C:C, "BARMM", Private!K:K,"Level 3",Private!D:D,"Sulu")</f>
        <v>0</v>
      </c>
      <c r="K107" s="183">
        <f t="shared" si="155"/>
        <v>0</v>
      </c>
      <c r="L107" s="181">
        <f t="shared" ref="L107:N107" si="158">SUM(D107,H107)</f>
        <v>0</v>
      </c>
      <c r="M107" s="181">
        <f t="shared" si="158"/>
        <v>0</v>
      </c>
      <c r="N107" s="181">
        <f t="shared" si="158"/>
        <v>0</v>
      </c>
      <c r="O107" s="184">
        <f t="shared" si="157"/>
        <v>0</v>
      </c>
    </row>
    <row r="108">
      <c r="A108" s="7"/>
      <c r="B108" s="7"/>
      <c r="C108" s="180" t="s">
        <v>8849</v>
      </c>
      <c r="D108" s="191">
        <f>COUNTIFS('RAW Govt'!C:C, "BARMM", 'RAW Govt'!K:K,"Level 1",'RAW Govt'!D:D,"Tawi-Tawi")</f>
        <v>0</v>
      </c>
      <c r="E108" s="191">
        <f>COUNTIFS('RAW Govt'!C:C, "BARMM", 'RAW Govt'!K:K,"Level 2",'RAW Govt'!D:D,"Tawi-Tawi")</f>
        <v>0</v>
      </c>
      <c r="F108" s="191">
        <f>COUNTIFS('RAW Govt'!C:C, "BARMM", 'RAW Govt'!K:K,"Level 3",'RAW Govt'!D:D,"Tawi-Tawi")</f>
        <v>0</v>
      </c>
      <c r="G108" s="182">
        <f t="shared" si="154"/>
        <v>0</v>
      </c>
      <c r="H108" s="181">
        <f>COUNTIFS(Private!C:C, "BARMM", Private!K:K,"Level 1",Private!D:D,"Tawi-Tawi")</f>
        <v>0</v>
      </c>
      <c r="I108" s="181">
        <f>SUMIFS(Private!L:L,Private!C:C, "BARMM", Private!K:K,"Level 2",Private!D:D,"Tawi-Tawi")</f>
        <v>0</v>
      </c>
      <c r="J108" s="181">
        <f>SUMIFS(Private!L:L,Private!C:C, "BARMM", Private!K:K,"Level 3",Private!D:D,"Tawi-Tawi")</f>
        <v>0</v>
      </c>
      <c r="K108" s="183">
        <f t="shared" si="155"/>
        <v>0</v>
      </c>
      <c r="L108" s="181">
        <f t="shared" ref="L108:N108" si="159">SUM(D108,H108)</f>
        <v>0</v>
      </c>
      <c r="M108" s="181">
        <f t="shared" si="159"/>
        <v>0</v>
      </c>
      <c r="N108" s="181">
        <f t="shared" si="159"/>
        <v>0</v>
      </c>
      <c r="O108" s="184">
        <f t="shared" si="157"/>
        <v>0</v>
      </c>
    </row>
    <row r="109">
      <c r="A109" s="20"/>
      <c r="B109" s="20"/>
      <c r="C109" s="180" t="s">
        <v>2538</v>
      </c>
      <c r="D109" s="191">
        <f>COUNTIFS('RAW Govt'!C:C, "BARMM", 'RAW Govt'!K:K,"Level 1",'RAW Govt'!D:D,"Maguindanao")</f>
        <v>0</v>
      </c>
      <c r="E109" s="191">
        <f>COUNTIFS('RAW Govt'!C:C, "BARMM", 'RAW Govt'!K:K,"Level 2",'RAW Govt'!D:D,"Maguindanao")</f>
        <v>0</v>
      </c>
      <c r="F109" s="191">
        <f>COUNTIFS('RAW Govt'!C:C, "BARMM", 'RAW Govt'!K:K,"Level 3",'RAW Govt'!D:D,"Maguindanao")</f>
        <v>0</v>
      </c>
      <c r="G109" s="182">
        <f t="shared" si="154"/>
        <v>0</v>
      </c>
      <c r="H109" s="181">
        <f>COUNTIFS(Private!C:C, "BARMM", Private!K:K,"Level 1",Private!D:D,"Maguindanao")</f>
        <v>3</v>
      </c>
      <c r="I109" s="181">
        <f>SUMIFS(Private!L:L,Private!C:C, "BARMM", Private!K:K,"Level 2",Private!D:D,"Maguindanao")</f>
        <v>0</v>
      </c>
      <c r="J109" s="181">
        <f>SUMIFS(Private!L:L,Private!C:C, "BARMM", Private!K:K,"Level 3",Private!D:D,"Maguindanao")</f>
        <v>0</v>
      </c>
      <c r="K109" s="183">
        <f t="shared" si="155"/>
        <v>3</v>
      </c>
      <c r="L109" s="181">
        <f t="shared" ref="L109:N109" si="160">SUM(D109,H109)</f>
        <v>3</v>
      </c>
      <c r="M109" s="181">
        <f t="shared" si="160"/>
        <v>0</v>
      </c>
      <c r="N109" s="181">
        <f t="shared" si="160"/>
        <v>0</v>
      </c>
      <c r="O109" s="184">
        <f t="shared" si="157"/>
        <v>3</v>
      </c>
    </row>
    <row r="110">
      <c r="A110" s="185" t="s">
        <v>7</v>
      </c>
      <c r="B110" s="4"/>
      <c r="C110" s="5"/>
      <c r="D110" s="176">
        <f t="shared" ref="D110:O110" si="161">sum(D105:D109)</f>
        <v>0</v>
      </c>
      <c r="E110" s="176">
        <f t="shared" si="161"/>
        <v>0</v>
      </c>
      <c r="F110" s="176">
        <f t="shared" si="161"/>
        <v>0</v>
      </c>
      <c r="G110" s="176">
        <f t="shared" si="161"/>
        <v>0</v>
      </c>
      <c r="H110" s="186">
        <f t="shared" si="161"/>
        <v>9</v>
      </c>
      <c r="I110" s="186">
        <f t="shared" si="161"/>
        <v>0</v>
      </c>
      <c r="J110" s="186">
        <f t="shared" si="161"/>
        <v>0</v>
      </c>
      <c r="K110" s="186">
        <f t="shared" si="161"/>
        <v>9</v>
      </c>
      <c r="L110" s="211">
        <f t="shared" si="161"/>
        <v>9</v>
      </c>
      <c r="M110" s="211">
        <f t="shared" si="161"/>
        <v>0</v>
      </c>
      <c r="N110" s="211">
        <f t="shared" si="161"/>
        <v>0</v>
      </c>
      <c r="O110" s="211">
        <f t="shared" si="161"/>
        <v>9</v>
      </c>
    </row>
    <row r="111">
      <c r="A111" s="212" t="s">
        <v>1504</v>
      </c>
      <c r="B111" s="5"/>
      <c r="C111" s="284"/>
      <c r="D111" s="202">
        <f t="shared" ref="D111:F111" si="162">sum(D110,D104,D97,D92,D85,D79,D72,D66,D59,D54,D47,D40,D34,D28,D20,D14,D9)</f>
        <v>0</v>
      </c>
      <c r="E111" s="202">
        <f t="shared" si="162"/>
        <v>0</v>
      </c>
      <c r="F111" s="202">
        <f t="shared" si="162"/>
        <v>0</v>
      </c>
      <c r="G111" s="202">
        <f>sum(D111:F111)</f>
        <v>0</v>
      </c>
      <c r="H111" s="204">
        <f t="shared" ref="H111:J111" si="163">sum(H110,H104,H97,H92,H85,H79,H72,H66,H59,H54,H47,H40,H34,H28,H20,H14,H9)</f>
        <v>411</v>
      </c>
      <c r="I111" s="204">
        <f t="shared" si="163"/>
        <v>296</v>
      </c>
      <c r="J111" s="204">
        <f t="shared" si="163"/>
        <v>26</v>
      </c>
      <c r="K111" s="204">
        <f>SUM(H111:J111)</f>
        <v>733</v>
      </c>
      <c r="L111" s="206">
        <f t="shared" ref="L111:O111" si="164">sum(L110,L104,L97,L92,L85,L79,L72,L66,L59,L54,L47,L40,L34,L28,L20,L14,L9)</f>
        <v>408</v>
      </c>
      <c r="M111" s="206">
        <f t="shared" si="164"/>
        <v>296</v>
      </c>
      <c r="N111" s="206">
        <f t="shared" si="164"/>
        <v>26</v>
      </c>
      <c r="O111" s="206" t="str">
        <f t="shared" si="164"/>
        <v>#N/A</v>
      </c>
    </row>
  </sheetData>
  <mergeCells count="62">
    <mergeCell ref="A60:A65"/>
    <mergeCell ref="B60:B65"/>
    <mergeCell ref="A66:C66"/>
    <mergeCell ref="A67:A71"/>
    <mergeCell ref="B67:B71"/>
    <mergeCell ref="A72:C72"/>
    <mergeCell ref="A73:A78"/>
    <mergeCell ref="A98:A103"/>
    <mergeCell ref="B98:B103"/>
    <mergeCell ref="A104:C104"/>
    <mergeCell ref="A105:A109"/>
    <mergeCell ref="B105:B109"/>
    <mergeCell ref="A110:C110"/>
    <mergeCell ref="A111:B111"/>
    <mergeCell ref="B73:B78"/>
    <mergeCell ref="A79:C79"/>
    <mergeCell ref="A80:A84"/>
    <mergeCell ref="B80:B84"/>
    <mergeCell ref="A85:C85"/>
    <mergeCell ref="B86:B91"/>
    <mergeCell ref="A92:C92"/>
    <mergeCell ref="H2:J3"/>
    <mergeCell ref="L2:N3"/>
    <mergeCell ref="B1:B4"/>
    <mergeCell ref="C1:C4"/>
    <mergeCell ref="D1:O1"/>
    <mergeCell ref="D2:F3"/>
    <mergeCell ref="G2:G4"/>
    <mergeCell ref="K2:K4"/>
    <mergeCell ref="O2:O4"/>
    <mergeCell ref="A1:A4"/>
    <mergeCell ref="A5:A8"/>
    <mergeCell ref="B5:B8"/>
    <mergeCell ref="A9:C9"/>
    <mergeCell ref="A10:A13"/>
    <mergeCell ref="B10:B13"/>
    <mergeCell ref="A14:C14"/>
    <mergeCell ref="A15:A19"/>
    <mergeCell ref="B15:B19"/>
    <mergeCell ref="A20:C20"/>
    <mergeCell ref="A21:A27"/>
    <mergeCell ref="B21:B27"/>
    <mergeCell ref="A28:C28"/>
    <mergeCell ref="A29:A33"/>
    <mergeCell ref="B29:B33"/>
    <mergeCell ref="A34:C34"/>
    <mergeCell ref="A35:A39"/>
    <mergeCell ref="B35:B39"/>
    <mergeCell ref="A40:C40"/>
    <mergeCell ref="B41:B46"/>
    <mergeCell ref="A47:C47"/>
    <mergeCell ref="A41:A46"/>
    <mergeCell ref="A48:A53"/>
    <mergeCell ref="B48:B53"/>
    <mergeCell ref="A54:C54"/>
    <mergeCell ref="A55:A58"/>
    <mergeCell ref="B55:B58"/>
    <mergeCell ref="A59:C59"/>
    <mergeCell ref="A86:A91"/>
    <mergeCell ref="A93:A96"/>
    <mergeCell ref="B93:B96"/>
    <mergeCell ref="A97:C97"/>
  </mergeCells>
  <printOptions/>
  <pageMargins bottom="0.75" footer="0.0" header="0.0" left="0.7" right="0.7" top="0.75"/>
  <pageSetup paperSize="9" orientation="landscape"/>
  <headerFooter>
    <oddHeader>&amp;LNumber of Regulated Hospitals as of Dec. 31, 2022</oddHeader>
  </headerFooter>
  <colBreaks count="2" manualBreakCount="2">
    <brk man="1"/>
    <brk id="15" man="1"/>
  </col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25"/>
    <col customWidth="1" min="2" max="2" width="30.13"/>
    <col customWidth="1" hidden="1" min="3" max="3" width="16.63"/>
    <col customWidth="1" min="4" max="14" width="16.0"/>
  </cols>
  <sheetData>
    <row r="1" ht="39.75" customHeight="1">
      <c r="A1" s="218" t="s">
        <v>15</v>
      </c>
      <c r="B1" s="220" t="s">
        <v>1</v>
      </c>
      <c r="C1" s="222"/>
      <c r="D1" s="224" t="s">
        <v>10076</v>
      </c>
      <c r="E1" s="4"/>
      <c r="F1" s="4"/>
      <c r="G1" s="4"/>
      <c r="H1" s="4"/>
      <c r="I1" s="4"/>
      <c r="J1" s="4"/>
      <c r="K1" s="4"/>
      <c r="L1" s="4"/>
      <c r="M1" s="4"/>
      <c r="N1" s="5"/>
    </row>
    <row r="2">
      <c r="A2" s="7"/>
      <c r="B2" s="7"/>
      <c r="C2" s="225"/>
      <c r="D2" s="226"/>
      <c r="E2" s="9"/>
      <c r="F2" s="9"/>
      <c r="G2" s="9"/>
      <c r="H2" s="9"/>
      <c r="I2" s="9"/>
      <c r="J2" s="9"/>
      <c r="K2" s="9"/>
      <c r="L2" s="9"/>
      <c r="M2" s="10"/>
      <c r="N2" s="228" t="s">
        <v>2623</v>
      </c>
    </row>
    <row r="3" ht="6.75" customHeight="1">
      <c r="A3" s="7"/>
      <c r="B3" s="7"/>
      <c r="C3" s="230"/>
      <c r="D3" s="17"/>
      <c r="E3" s="18"/>
      <c r="F3" s="18"/>
      <c r="G3" s="18"/>
      <c r="H3" s="18"/>
      <c r="I3" s="18"/>
      <c r="J3" s="18"/>
      <c r="K3" s="18"/>
      <c r="L3" s="18"/>
      <c r="M3" s="19"/>
      <c r="N3" s="7"/>
    </row>
    <row r="4" ht="27.75" customHeight="1">
      <c r="A4" s="20"/>
      <c r="B4" s="20"/>
      <c r="C4" s="231" t="s">
        <v>15</v>
      </c>
      <c r="D4" s="213" t="s">
        <v>10090</v>
      </c>
      <c r="E4" s="213" t="s">
        <v>155</v>
      </c>
      <c r="F4" s="213" t="s">
        <v>10092</v>
      </c>
      <c r="G4" s="213" t="s">
        <v>7917</v>
      </c>
      <c r="H4" s="213" t="s">
        <v>2305</v>
      </c>
      <c r="I4" s="213" t="s">
        <v>3077</v>
      </c>
      <c r="J4" s="213" t="s">
        <v>8045</v>
      </c>
      <c r="K4" s="213" t="s">
        <v>8103</v>
      </c>
      <c r="L4" s="234" t="s">
        <v>2638</v>
      </c>
      <c r="M4" s="213" t="s">
        <v>5872</v>
      </c>
      <c r="N4" s="20"/>
    </row>
    <row r="5" ht="30.0" customHeight="1">
      <c r="A5" s="235" t="s">
        <v>11</v>
      </c>
      <c r="B5" s="235" t="s">
        <v>12</v>
      </c>
      <c r="C5" s="236" t="s">
        <v>11</v>
      </c>
      <c r="D5" s="237"/>
      <c r="E5" s="237"/>
      <c r="F5" s="237"/>
      <c r="G5" s="237"/>
      <c r="H5" s="238"/>
      <c r="I5" s="238"/>
      <c r="J5" s="238"/>
      <c r="K5" s="238"/>
      <c r="L5" s="238"/>
      <c r="M5" s="238"/>
      <c r="N5" s="203">
        <f t="shared" ref="N5:N22" si="1">sum(D5:M5)</f>
        <v>0</v>
      </c>
    </row>
    <row r="6" ht="30.0" customHeight="1">
      <c r="A6" s="235" t="s">
        <v>52</v>
      </c>
      <c r="B6" s="235" t="s">
        <v>89</v>
      </c>
      <c r="C6" s="236" t="s">
        <v>52</v>
      </c>
      <c r="D6" s="237"/>
      <c r="E6" s="237"/>
      <c r="F6" s="237"/>
      <c r="G6" s="237"/>
      <c r="H6" s="238"/>
      <c r="I6" s="238"/>
      <c r="J6" s="238"/>
      <c r="K6" s="238"/>
      <c r="L6" s="238"/>
      <c r="M6" s="238"/>
      <c r="N6" s="203">
        <f t="shared" si="1"/>
        <v>0</v>
      </c>
    </row>
    <row r="7" ht="30.0" customHeight="1">
      <c r="A7" s="235" t="s">
        <v>188</v>
      </c>
      <c r="B7" s="235" t="s">
        <v>189</v>
      </c>
      <c r="C7" s="236" t="s">
        <v>188</v>
      </c>
      <c r="D7" s="237"/>
      <c r="E7" s="237"/>
      <c r="F7" s="237"/>
      <c r="G7" s="237"/>
      <c r="H7" s="238"/>
      <c r="I7" s="238"/>
      <c r="J7" s="238"/>
      <c r="K7" s="238"/>
      <c r="L7" s="238"/>
      <c r="M7" s="238"/>
      <c r="N7" s="203">
        <f t="shared" si="1"/>
        <v>0</v>
      </c>
    </row>
    <row r="8" ht="30.0" customHeight="1">
      <c r="A8" s="235" t="s">
        <v>265</v>
      </c>
      <c r="B8" s="235" t="s">
        <v>268</v>
      </c>
      <c r="C8" s="236" t="s">
        <v>265</v>
      </c>
      <c r="D8" s="237"/>
      <c r="E8" s="237"/>
      <c r="F8" s="237"/>
      <c r="G8" s="237"/>
      <c r="H8" s="238"/>
      <c r="I8" s="238"/>
      <c r="J8" s="238"/>
      <c r="K8" s="238"/>
      <c r="L8" s="238"/>
      <c r="M8" s="238"/>
      <c r="N8" s="203">
        <f t="shared" si="1"/>
        <v>0</v>
      </c>
    </row>
    <row r="9" ht="30.0" customHeight="1">
      <c r="A9" s="235" t="s">
        <v>351</v>
      </c>
      <c r="B9" s="235" t="s">
        <v>353</v>
      </c>
      <c r="C9" s="236" t="s">
        <v>351</v>
      </c>
      <c r="D9" s="237"/>
      <c r="E9" s="237"/>
      <c r="F9" s="237"/>
      <c r="G9" s="237"/>
      <c r="H9" s="238"/>
      <c r="I9" s="238"/>
      <c r="J9" s="238"/>
      <c r="K9" s="238"/>
      <c r="L9" s="238"/>
      <c r="M9" s="238"/>
      <c r="N9" s="203">
        <f t="shared" si="1"/>
        <v>0</v>
      </c>
    </row>
    <row r="10" ht="30.0" customHeight="1">
      <c r="A10" s="235" t="s">
        <v>422</v>
      </c>
      <c r="B10" s="235" t="s">
        <v>423</v>
      </c>
      <c r="C10" s="236" t="s">
        <v>422</v>
      </c>
      <c r="D10" s="237"/>
      <c r="E10" s="237"/>
      <c r="F10" s="237"/>
      <c r="G10" s="237"/>
      <c r="H10" s="238"/>
      <c r="I10" s="238"/>
      <c r="J10" s="238"/>
      <c r="K10" s="238"/>
      <c r="L10" s="238"/>
      <c r="M10" s="238"/>
      <c r="N10" s="203">
        <f t="shared" si="1"/>
        <v>0</v>
      </c>
    </row>
    <row r="11" ht="30.0" customHeight="1">
      <c r="A11" s="235" t="s">
        <v>509</v>
      </c>
      <c r="B11" s="235" t="s">
        <v>511</v>
      </c>
      <c r="C11" s="236" t="s">
        <v>509</v>
      </c>
      <c r="D11" s="237"/>
      <c r="E11" s="237"/>
      <c r="F11" s="237"/>
      <c r="G11" s="237"/>
      <c r="H11" s="238"/>
      <c r="I11" s="238"/>
      <c r="J11" s="238"/>
      <c r="K11" s="238"/>
      <c r="L11" s="238"/>
      <c r="M11" s="238"/>
      <c r="N11" s="203">
        <f t="shared" si="1"/>
        <v>0</v>
      </c>
    </row>
    <row r="12" ht="30.0" customHeight="1">
      <c r="A12" s="235" t="s">
        <v>581</v>
      </c>
      <c r="B12" s="235" t="s">
        <v>587</v>
      </c>
      <c r="C12" s="236" t="s">
        <v>581</v>
      </c>
      <c r="D12" s="237"/>
      <c r="E12" s="237"/>
      <c r="F12" s="237"/>
      <c r="G12" s="237"/>
      <c r="H12" s="238"/>
      <c r="I12" s="238"/>
      <c r="J12" s="238"/>
      <c r="K12" s="238"/>
      <c r="L12" s="238"/>
      <c r="M12" s="238"/>
      <c r="N12" s="203">
        <f t="shared" si="1"/>
        <v>0</v>
      </c>
    </row>
    <row r="13" ht="30.0" customHeight="1">
      <c r="A13" s="235" t="s">
        <v>682</v>
      </c>
      <c r="B13" s="235" t="s">
        <v>684</v>
      </c>
      <c r="C13" s="236" t="s">
        <v>682</v>
      </c>
      <c r="D13" s="237"/>
      <c r="E13" s="237"/>
      <c r="F13" s="237"/>
      <c r="G13" s="237"/>
      <c r="H13" s="238"/>
      <c r="I13" s="238"/>
      <c r="J13" s="238"/>
      <c r="K13" s="238"/>
      <c r="L13" s="238"/>
      <c r="M13" s="238"/>
      <c r="N13" s="203">
        <f t="shared" si="1"/>
        <v>0</v>
      </c>
    </row>
    <row r="14" ht="30.0" customHeight="1">
      <c r="A14" s="235" t="s">
        <v>764</v>
      </c>
      <c r="B14" s="235" t="s">
        <v>765</v>
      </c>
      <c r="C14" s="236" t="s">
        <v>764</v>
      </c>
      <c r="D14" s="237"/>
      <c r="E14" s="237"/>
      <c r="F14" s="237"/>
      <c r="G14" s="237"/>
      <c r="H14" s="238"/>
      <c r="I14" s="238"/>
      <c r="J14" s="238"/>
      <c r="K14" s="238"/>
      <c r="L14" s="238"/>
      <c r="M14" s="238"/>
      <c r="N14" s="203">
        <f t="shared" si="1"/>
        <v>0</v>
      </c>
    </row>
    <row r="15" ht="30.0" customHeight="1">
      <c r="A15" s="235" t="s">
        <v>808</v>
      </c>
      <c r="B15" s="235" t="s">
        <v>809</v>
      </c>
      <c r="C15" s="236" t="s">
        <v>808</v>
      </c>
      <c r="D15" s="237"/>
      <c r="E15" s="237"/>
      <c r="F15" s="237"/>
      <c r="G15" s="237"/>
      <c r="H15" s="238"/>
      <c r="I15" s="238"/>
      <c r="J15" s="238"/>
      <c r="K15" s="238"/>
      <c r="L15" s="238"/>
      <c r="M15" s="238"/>
      <c r="N15" s="203">
        <f t="shared" si="1"/>
        <v>0</v>
      </c>
    </row>
    <row r="16" ht="30.0" customHeight="1">
      <c r="A16" s="235" t="s">
        <v>887</v>
      </c>
      <c r="B16" s="235" t="s">
        <v>890</v>
      </c>
      <c r="C16" s="236" t="s">
        <v>887</v>
      </c>
      <c r="D16" s="237"/>
      <c r="E16" s="237"/>
      <c r="F16" s="237"/>
      <c r="G16" s="237"/>
      <c r="H16" s="238"/>
      <c r="I16" s="238"/>
      <c r="J16" s="238"/>
      <c r="K16" s="238"/>
      <c r="L16" s="238"/>
      <c r="M16" s="238"/>
      <c r="N16" s="203">
        <f t="shared" si="1"/>
        <v>0</v>
      </c>
    </row>
    <row r="17" ht="30.0" customHeight="1">
      <c r="A17" s="235" t="s">
        <v>949</v>
      </c>
      <c r="B17" s="235" t="s">
        <v>3998</v>
      </c>
      <c r="C17" s="236" t="s">
        <v>949</v>
      </c>
      <c r="D17" s="237"/>
      <c r="E17" s="237"/>
      <c r="F17" s="237"/>
      <c r="G17" s="237"/>
      <c r="H17" s="238"/>
      <c r="I17" s="238"/>
      <c r="J17" s="238"/>
      <c r="K17" s="238"/>
      <c r="L17" s="238"/>
      <c r="M17" s="238"/>
      <c r="N17" s="203">
        <f t="shared" si="1"/>
        <v>0</v>
      </c>
    </row>
    <row r="18" ht="30.0" customHeight="1">
      <c r="A18" s="235" t="s">
        <v>1026</v>
      </c>
      <c r="B18" s="235" t="s">
        <v>1028</v>
      </c>
      <c r="C18" s="236" t="s">
        <v>1026</v>
      </c>
      <c r="D18" s="237"/>
      <c r="E18" s="237"/>
      <c r="F18" s="237"/>
      <c r="G18" s="237"/>
      <c r="H18" s="238"/>
      <c r="I18" s="238"/>
      <c r="J18" s="238"/>
      <c r="K18" s="238"/>
      <c r="L18" s="238"/>
      <c r="M18" s="238"/>
      <c r="N18" s="203">
        <f t="shared" si="1"/>
        <v>0</v>
      </c>
    </row>
    <row r="19" ht="30.0" customHeight="1">
      <c r="A19" s="235" t="s">
        <v>1098</v>
      </c>
      <c r="B19" s="235" t="s">
        <v>1099</v>
      </c>
      <c r="C19" s="236" t="s">
        <v>1098</v>
      </c>
      <c r="D19" s="237"/>
      <c r="E19" s="237"/>
      <c r="F19" s="237"/>
      <c r="G19" s="237"/>
      <c r="H19" s="238"/>
      <c r="I19" s="238"/>
      <c r="J19" s="238"/>
      <c r="K19" s="238"/>
      <c r="L19" s="238"/>
      <c r="M19" s="238"/>
      <c r="N19" s="203">
        <f t="shared" si="1"/>
        <v>0</v>
      </c>
    </row>
    <row r="20" ht="30.0" customHeight="1">
      <c r="A20" s="235" t="s">
        <v>1323</v>
      </c>
      <c r="B20" s="235" t="s">
        <v>4380</v>
      </c>
      <c r="C20" s="236" t="s">
        <v>1323</v>
      </c>
      <c r="D20" s="237"/>
      <c r="E20" s="237"/>
      <c r="F20" s="237"/>
      <c r="G20" s="237"/>
      <c r="H20" s="238"/>
      <c r="I20" s="238"/>
      <c r="J20" s="238"/>
      <c r="K20" s="238"/>
      <c r="L20" s="238"/>
      <c r="M20" s="238"/>
      <c r="N20" s="203">
        <f t="shared" si="1"/>
        <v>0</v>
      </c>
    </row>
    <row r="21" ht="30.0" customHeight="1">
      <c r="A21" s="235" t="s">
        <v>1418</v>
      </c>
      <c r="B21" s="235" t="s">
        <v>1420</v>
      </c>
      <c r="C21" s="236" t="s">
        <v>1418</v>
      </c>
      <c r="D21" s="237"/>
      <c r="E21" s="237"/>
      <c r="F21" s="237"/>
      <c r="G21" s="237"/>
      <c r="H21" s="238"/>
      <c r="I21" s="238"/>
      <c r="J21" s="238"/>
      <c r="K21" s="238"/>
      <c r="L21" s="238"/>
      <c r="M21" s="238"/>
      <c r="N21" s="203">
        <f t="shared" si="1"/>
        <v>0</v>
      </c>
    </row>
    <row r="22" ht="35.25" customHeight="1">
      <c r="A22" s="240" t="s">
        <v>1504</v>
      </c>
      <c r="B22" s="5"/>
      <c r="C22" s="241"/>
      <c r="D22" s="241">
        <f t="shared" ref="D22:F22" si="2">sum(D5:D21)</f>
        <v>0</v>
      </c>
      <c r="E22" s="241">
        <f t="shared" si="2"/>
        <v>0</v>
      </c>
      <c r="F22" s="241">
        <f t="shared" si="2"/>
        <v>0</v>
      </c>
      <c r="G22" s="241">
        <f>SUM(G2:G21)</f>
        <v>0</v>
      </c>
      <c r="H22" s="241">
        <f t="shared" ref="H22:M22" si="3">sum(H5:H21)</f>
        <v>0</v>
      </c>
      <c r="I22" s="241">
        <f t="shared" si="3"/>
        <v>0</v>
      </c>
      <c r="J22" s="241">
        <f t="shared" si="3"/>
        <v>0</v>
      </c>
      <c r="K22" s="241">
        <f t="shared" si="3"/>
        <v>0</v>
      </c>
      <c r="L22" s="241">
        <f t="shared" si="3"/>
        <v>0</v>
      </c>
      <c r="M22" s="241">
        <f t="shared" si="3"/>
        <v>0</v>
      </c>
      <c r="N22" s="242">
        <f t="shared" si="1"/>
        <v>0</v>
      </c>
    </row>
    <row r="23" ht="15.75" customHeight="1">
      <c r="A23" s="243"/>
      <c r="B23" s="243"/>
    </row>
    <row r="24" ht="15.75" customHeight="1">
      <c r="A24" s="243"/>
      <c r="B24" s="243"/>
    </row>
    <row r="25" ht="15.75" customHeight="1">
      <c r="A25" s="243"/>
      <c r="B25" s="243"/>
    </row>
    <row r="26" ht="15.75" customHeight="1">
      <c r="A26" s="243"/>
      <c r="B26" s="243"/>
    </row>
    <row r="27" ht="15.75" customHeight="1">
      <c r="A27" s="243"/>
      <c r="B27" s="243"/>
    </row>
    <row r="28" ht="15.75" customHeight="1">
      <c r="A28" s="243"/>
      <c r="B28" s="243"/>
    </row>
    <row r="29" ht="15.75" customHeight="1">
      <c r="A29" s="243"/>
      <c r="B29" s="243"/>
      <c r="D29" s="243"/>
    </row>
    <row r="30" ht="15.75" customHeight="1">
      <c r="A30" s="243"/>
      <c r="B30" s="243"/>
    </row>
    <row r="31" ht="15.75" customHeight="1">
      <c r="A31" s="243"/>
      <c r="B31" s="243"/>
    </row>
    <row r="32" ht="15.75" customHeight="1">
      <c r="A32" s="243"/>
      <c r="B32" s="243"/>
    </row>
    <row r="33" ht="15.75" customHeight="1">
      <c r="A33" s="243"/>
      <c r="B33" s="243"/>
    </row>
    <row r="34" ht="15.75" customHeight="1">
      <c r="A34" s="243"/>
      <c r="B34" s="243"/>
    </row>
    <row r="35" ht="15.75" customHeight="1">
      <c r="A35" s="243"/>
      <c r="B35" s="243"/>
    </row>
    <row r="36" ht="15.75" customHeight="1">
      <c r="A36" s="243"/>
      <c r="B36" s="243"/>
    </row>
    <row r="37" ht="15.75" customHeight="1">
      <c r="A37" s="243"/>
      <c r="B37" s="243"/>
    </row>
    <row r="38" ht="15.75" customHeight="1">
      <c r="A38" s="243"/>
      <c r="B38" s="243"/>
    </row>
    <row r="39" ht="15.75" customHeight="1">
      <c r="A39" s="243"/>
      <c r="B39" s="243"/>
    </row>
    <row r="40" ht="15.75" customHeight="1">
      <c r="A40" s="243"/>
      <c r="B40" s="243"/>
    </row>
    <row r="41" ht="15.75" customHeight="1">
      <c r="A41" s="243"/>
      <c r="B41" s="243"/>
    </row>
    <row r="42" ht="15.75" customHeight="1">
      <c r="A42" s="243"/>
      <c r="B42" s="243"/>
    </row>
    <row r="43" ht="15.75" customHeight="1">
      <c r="A43" s="243"/>
      <c r="B43" s="243"/>
    </row>
    <row r="44" ht="15.75" customHeight="1">
      <c r="A44" s="243"/>
      <c r="B44" s="243"/>
    </row>
    <row r="45" ht="15.75" customHeight="1">
      <c r="A45" s="243"/>
      <c r="B45" s="243"/>
    </row>
    <row r="46" ht="15.75" customHeight="1">
      <c r="A46" s="243"/>
      <c r="B46" s="243"/>
    </row>
    <row r="47" ht="15.75" customHeight="1">
      <c r="A47" s="243"/>
      <c r="B47" s="243"/>
    </row>
    <row r="48" ht="15.75" customHeight="1">
      <c r="A48" s="243"/>
      <c r="B48" s="243"/>
    </row>
    <row r="49" ht="15.75" customHeight="1">
      <c r="A49" s="243"/>
      <c r="B49" s="243"/>
    </row>
    <row r="50" ht="15.75" customHeight="1">
      <c r="A50" s="243"/>
      <c r="B50" s="243"/>
    </row>
    <row r="51" ht="15.75" customHeight="1">
      <c r="A51" s="243"/>
      <c r="B51" s="243"/>
    </row>
    <row r="52" ht="15.75" customHeight="1">
      <c r="A52" s="243"/>
      <c r="B52" s="243"/>
    </row>
    <row r="53" ht="15.75" customHeight="1">
      <c r="A53" s="243"/>
      <c r="B53" s="243"/>
    </row>
    <row r="54" ht="15.75" customHeight="1">
      <c r="A54" s="243"/>
      <c r="B54" s="243"/>
    </row>
    <row r="55" ht="15.75" customHeight="1">
      <c r="A55" s="243"/>
      <c r="B55" s="243"/>
    </row>
    <row r="56" ht="15.75" customHeight="1">
      <c r="A56" s="243"/>
      <c r="B56" s="243"/>
    </row>
    <row r="57" ht="15.75" customHeight="1">
      <c r="A57" s="243"/>
      <c r="B57" s="243"/>
    </row>
    <row r="58" ht="15.75" customHeight="1">
      <c r="A58" s="243"/>
      <c r="B58" s="243"/>
    </row>
    <row r="59" ht="15.75" customHeight="1">
      <c r="A59" s="243"/>
      <c r="B59" s="243"/>
    </row>
    <row r="60" ht="15.75" customHeight="1">
      <c r="A60" s="243"/>
      <c r="B60" s="243"/>
    </row>
    <row r="61" ht="15.75" customHeight="1">
      <c r="A61" s="243"/>
      <c r="B61" s="243"/>
    </row>
    <row r="62" ht="15.75" customHeight="1">
      <c r="A62" s="243"/>
      <c r="B62" s="243"/>
    </row>
    <row r="63" ht="15.75" customHeight="1">
      <c r="A63" s="243"/>
      <c r="B63" s="243"/>
    </row>
    <row r="64" ht="15.75" customHeight="1">
      <c r="A64" s="243"/>
      <c r="B64" s="243"/>
    </row>
    <row r="65" ht="15.75" customHeight="1">
      <c r="A65" s="243"/>
      <c r="B65" s="243"/>
    </row>
    <row r="66" ht="15.75" customHeight="1">
      <c r="A66" s="243"/>
      <c r="B66" s="243"/>
    </row>
    <row r="67" ht="15.75" customHeight="1">
      <c r="A67" s="243"/>
      <c r="B67" s="243"/>
    </row>
    <row r="68" ht="15.75" customHeight="1">
      <c r="A68" s="243"/>
      <c r="B68" s="243"/>
    </row>
    <row r="69" ht="15.75" customHeight="1">
      <c r="A69" s="243"/>
      <c r="B69" s="243"/>
    </row>
    <row r="70" ht="15.75" customHeight="1">
      <c r="A70" s="243"/>
      <c r="B70" s="243"/>
    </row>
    <row r="71" ht="15.75" customHeight="1">
      <c r="A71" s="243"/>
      <c r="B71" s="243"/>
    </row>
    <row r="72" ht="15.75" customHeight="1">
      <c r="A72" s="243"/>
      <c r="B72" s="243"/>
    </row>
    <row r="73" ht="15.75" customHeight="1">
      <c r="A73" s="243"/>
      <c r="B73" s="243"/>
    </row>
    <row r="74" ht="15.75" customHeight="1">
      <c r="A74" s="243"/>
      <c r="B74" s="243"/>
    </row>
    <row r="75" ht="15.75" customHeight="1">
      <c r="A75" s="243"/>
      <c r="B75" s="243"/>
    </row>
    <row r="76" ht="15.75" customHeight="1">
      <c r="A76" s="243"/>
      <c r="B76" s="243"/>
    </row>
    <row r="77" ht="15.75" customHeight="1">
      <c r="A77" s="243"/>
      <c r="B77" s="243"/>
    </row>
    <row r="78" ht="15.75" customHeight="1">
      <c r="A78" s="243"/>
      <c r="B78" s="243"/>
    </row>
    <row r="79" ht="15.75" customHeight="1">
      <c r="A79" s="243"/>
      <c r="B79" s="243"/>
    </row>
    <row r="80" ht="15.75" customHeight="1">
      <c r="A80" s="243"/>
      <c r="B80" s="243"/>
    </row>
    <row r="81" ht="15.75" customHeight="1">
      <c r="A81" s="243"/>
      <c r="B81" s="243"/>
    </row>
    <row r="82" ht="15.75" customHeight="1">
      <c r="A82" s="243"/>
      <c r="B82" s="243"/>
    </row>
    <row r="83" ht="15.75" customHeight="1">
      <c r="A83" s="243"/>
      <c r="B83" s="243"/>
    </row>
    <row r="84" ht="15.75" customHeight="1">
      <c r="A84" s="243"/>
      <c r="B84" s="243"/>
    </row>
    <row r="85" ht="15.75" customHeight="1">
      <c r="A85" s="243"/>
      <c r="B85" s="243"/>
    </row>
    <row r="86" ht="15.75" customHeight="1">
      <c r="A86" s="243"/>
      <c r="B86" s="243"/>
    </row>
    <row r="87" ht="15.75" customHeight="1">
      <c r="A87" s="243"/>
      <c r="B87" s="243"/>
    </row>
    <row r="88" ht="15.75" customHeight="1">
      <c r="A88" s="243"/>
      <c r="B88" s="243"/>
    </row>
    <row r="89" ht="15.75" customHeight="1">
      <c r="A89" s="243"/>
      <c r="B89" s="243"/>
    </row>
    <row r="90" ht="15.75" customHeight="1">
      <c r="A90" s="243"/>
      <c r="B90" s="243"/>
    </row>
    <row r="91" ht="15.75" customHeight="1">
      <c r="A91" s="243"/>
      <c r="B91" s="243"/>
    </row>
    <row r="92" ht="15.75" customHeight="1">
      <c r="A92" s="243"/>
      <c r="B92" s="243"/>
    </row>
    <row r="93" ht="15.75" customHeight="1">
      <c r="A93" s="243"/>
      <c r="B93" s="243"/>
    </row>
    <row r="94" ht="15.75" customHeight="1">
      <c r="A94" s="243"/>
      <c r="B94" s="243"/>
    </row>
    <row r="95" ht="15.75" customHeight="1">
      <c r="A95" s="243"/>
      <c r="B95" s="243"/>
    </row>
    <row r="96" ht="15.75" customHeight="1">
      <c r="A96" s="243"/>
      <c r="B96" s="243"/>
    </row>
    <row r="97" ht="15.75" customHeight="1">
      <c r="A97" s="243"/>
      <c r="B97" s="243"/>
    </row>
    <row r="98" ht="15.75" customHeight="1">
      <c r="A98" s="243"/>
      <c r="B98" s="243"/>
    </row>
    <row r="99" ht="15.75" customHeight="1">
      <c r="A99" s="243"/>
      <c r="B99" s="243"/>
    </row>
    <row r="100" ht="15.75" customHeight="1">
      <c r="A100" s="243"/>
      <c r="B100" s="243"/>
    </row>
    <row r="101" ht="15.75" customHeight="1">
      <c r="A101" s="243"/>
      <c r="B101" s="243"/>
    </row>
    <row r="102" ht="15.75" customHeight="1">
      <c r="A102" s="243"/>
      <c r="B102" s="243"/>
    </row>
    <row r="103" ht="15.75" customHeight="1">
      <c r="A103" s="243"/>
      <c r="B103" s="243"/>
    </row>
    <row r="104" ht="15.75" customHeight="1">
      <c r="A104" s="243"/>
      <c r="B104" s="243"/>
    </row>
    <row r="105" ht="15.75" customHeight="1">
      <c r="A105" s="243"/>
      <c r="B105" s="243"/>
    </row>
    <row r="106" ht="15.75" customHeight="1">
      <c r="A106" s="243"/>
      <c r="B106" s="243"/>
    </row>
    <row r="107" ht="15.75" customHeight="1">
      <c r="A107" s="243"/>
      <c r="B107" s="243"/>
    </row>
    <row r="108" ht="15.75" customHeight="1">
      <c r="A108" s="243"/>
      <c r="B108" s="243"/>
    </row>
    <row r="109" ht="15.75" customHeight="1">
      <c r="A109" s="243"/>
      <c r="B109" s="243"/>
    </row>
    <row r="110" ht="15.75" customHeight="1">
      <c r="A110" s="243"/>
      <c r="B110" s="243"/>
    </row>
    <row r="111" ht="15.75" customHeight="1">
      <c r="A111" s="243"/>
      <c r="B111" s="243"/>
    </row>
    <row r="112" ht="15.75" customHeight="1">
      <c r="A112" s="243"/>
      <c r="B112" s="243"/>
    </row>
    <row r="113" ht="15.75" customHeight="1">
      <c r="A113" s="243"/>
      <c r="B113" s="243"/>
    </row>
    <row r="114" ht="15.75" customHeight="1">
      <c r="A114" s="243"/>
      <c r="B114" s="243"/>
    </row>
    <row r="115" ht="15.75" customHeight="1">
      <c r="A115" s="243"/>
      <c r="B115" s="243"/>
    </row>
    <row r="116" ht="15.75" customHeight="1">
      <c r="A116" s="243"/>
      <c r="B116" s="243"/>
    </row>
    <row r="117" ht="15.75" customHeight="1">
      <c r="A117" s="243"/>
      <c r="B117" s="243"/>
    </row>
    <row r="118" ht="15.75" customHeight="1">
      <c r="A118" s="243"/>
      <c r="B118" s="243"/>
    </row>
    <row r="119" ht="15.75" customHeight="1">
      <c r="A119" s="243"/>
      <c r="B119" s="243"/>
    </row>
    <row r="120" ht="15.75" customHeight="1">
      <c r="A120" s="243"/>
      <c r="B120" s="243"/>
    </row>
    <row r="121" ht="15.75" customHeight="1">
      <c r="A121" s="243"/>
      <c r="B121" s="243"/>
    </row>
    <row r="122" ht="15.75" customHeight="1">
      <c r="A122" s="243"/>
      <c r="B122" s="243"/>
    </row>
    <row r="123" ht="15.75" customHeight="1">
      <c r="A123" s="243"/>
      <c r="B123" s="243"/>
    </row>
    <row r="124" ht="15.75" customHeight="1">
      <c r="A124" s="243"/>
      <c r="B124" s="243"/>
    </row>
    <row r="125" ht="15.75" customHeight="1">
      <c r="A125" s="243"/>
      <c r="B125" s="243"/>
    </row>
    <row r="126" ht="15.75" customHeight="1">
      <c r="A126" s="243"/>
      <c r="B126" s="243"/>
    </row>
    <row r="127" ht="15.75" customHeight="1">
      <c r="A127" s="243"/>
      <c r="B127" s="243"/>
    </row>
    <row r="128" ht="15.75" customHeight="1">
      <c r="A128" s="243"/>
      <c r="B128" s="243"/>
    </row>
    <row r="129" ht="15.75" customHeight="1">
      <c r="A129" s="243"/>
      <c r="B129" s="243"/>
    </row>
    <row r="130" ht="15.75" customHeight="1">
      <c r="A130" s="243"/>
      <c r="B130" s="243"/>
    </row>
    <row r="131" ht="15.75" customHeight="1">
      <c r="A131" s="243"/>
      <c r="B131" s="243"/>
    </row>
    <row r="132" ht="15.75" customHeight="1">
      <c r="A132" s="243"/>
      <c r="B132" s="243"/>
    </row>
    <row r="133" ht="15.75" customHeight="1">
      <c r="A133" s="243"/>
      <c r="B133" s="243"/>
    </row>
    <row r="134" ht="15.75" customHeight="1">
      <c r="A134" s="243"/>
      <c r="B134" s="243"/>
    </row>
    <row r="135" ht="15.75" customHeight="1">
      <c r="A135" s="243"/>
      <c r="B135" s="243"/>
    </row>
    <row r="136" ht="15.75" customHeight="1">
      <c r="A136" s="243"/>
      <c r="B136" s="243"/>
    </row>
    <row r="137" ht="15.75" customHeight="1">
      <c r="A137" s="243"/>
      <c r="B137" s="243"/>
    </row>
    <row r="138" ht="15.75" customHeight="1">
      <c r="A138" s="243"/>
      <c r="B138" s="243"/>
    </row>
    <row r="139" ht="15.75" customHeight="1">
      <c r="A139" s="243"/>
      <c r="B139" s="243"/>
    </row>
    <row r="140" ht="15.75" customHeight="1">
      <c r="A140" s="243"/>
      <c r="B140" s="243"/>
    </row>
    <row r="141" ht="15.75" customHeight="1">
      <c r="A141" s="243"/>
      <c r="B141" s="243"/>
    </row>
    <row r="142" ht="15.75" customHeight="1">
      <c r="A142" s="243"/>
      <c r="B142" s="243"/>
    </row>
    <row r="143" ht="15.75" customHeight="1">
      <c r="A143" s="243"/>
      <c r="B143" s="243"/>
    </row>
    <row r="144" ht="15.75" customHeight="1">
      <c r="A144" s="243"/>
      <c r="B144" s="243"/>
    </row>
    <row r="145" ht="15.75" customHeight="1">
      <c r="A145" s="243"/>
      <c r="B145" s="243"/>
    </row>
    <row r="146" ht="15.75" customHeight="1">
      <c r="A146" s="243"/>
      <c r="B146" s="243"/>
    </row>
    <row r="147" ht="15.75" customHeight="1">
      <c r="A147" s="243"/>
      <c r="B147" s="243"/>
    </row>
    <row r="148" ht="15.75" customHeight="1">
      <c r="A148" s="243"/>
      <c r="B148" s="243"/>
    </row>
    <row r="149" ht="15.75" customHeight="1">
      <c r="A149" s="243"/>
      <c r="B149" s="243"/>
    </row>
    <row r="150" ht="15.75" customHeight="1">
      <c r="A150" s="243"/>
      <c r="B150" s="243"/>
    </row>
    <row r="151" ht="15.75" customHeight="1">
      <c r="A151" s="243"/>
      <c r="B151" s="243"/>
    </row>
    <row r="152" ht="15.75" customHeight="1">
      <c r="A152" s="243"/>
      <c r="B152" s="243"/>
    </row>
    <row r="153" ht="15.75" customHeight="1">
      <c r="A153" s="243"/>
      <c r="B153" s="243"/>
    </row>
    <row r="154" ht="15.75" customHeight="1">
      <c r="A154" s="243"/>
      <c r="B154" s="243"/>
    </row>
    <row r="155" ht="15.75" customHeight="1">
      <c r="A155" s="243"/>
      <c r="B155" s="243"/>
    </row>
    <row r="156" ht="15.75" customHeight="1">
      <c r="A156" s="243"/>
      <c r="B156" s="243"/>
    </row>
    <row r="157" ht="15.75" customHeight="1">
      <c r="A157" s="243"/>
      <c r="B157" s="243"/>
    </row>
    <row r="158" ht="15.75" customHeight="1">
      <c r="A158" s="243"/>
      <c r="B158" s="243"/>
    </row>
    <row r="159" ht="15.75" customHeight="1">
      <c r="A159" s="243"/>
      <c r="B159" s="243"/>
    </row>
    <row r="160" ht="15.75" customHeight="1">
      <c r="A160" s="243"/>
      <c r="B160" s="243"/>
    </row>
    <row r="161" ht="15.75" customHeight="1">
      <c r="A161" s="243"/>
      <c r="B161" s="243"/>
    </row>
    <row r="162" ht="15.75" customHeight="1">
      <c r="A162" s="243"/>
      <c r="B162" s="243"/>
    </row>
    <row r="163" ht="15.75" customHeight="1">
      <c r="A163" s="243"/>
      <c r="B163" s="243"/>
    </row>
    <row r="164" ht="15.75" customHeight="1">
      <c r="A164" s="243"/>
      <c r="B164" s="243"/>
    </row>
    <row r="165" ht="15.75" customHeight="1">
      <c r="A165" s="243"/>
      <c r="B165" s="243"/>
    </row>
    <row r="166" ht="15.75" customHeight="1">
      <c r="A166" s="243"/>
      <c r="B166" s="243"/>
    </row>
    <row r="167" ht="15.75" customHeight="1">
      <c r="A167" s="243"/>
      <c r="B167" s="243"/>
    </row>
    <row r="168" ht="15.75" customHeight="1">
      <c r="A168" s="243"/>
      <c r="B168" s="243"/>
    </row>
    <row r="169" ht="15.75" customHeight="1">
      <c r="A169" s="243"/>
      <c r="B169" s="243"/>
    </row>
    <row r="170" ht="15.75" customHeight="1">
      <c r="A170" s="243"/>
      <c r="B170" s="243"/>
    </row>
    <row r="171" ht="15.75" customHeight="1">
      <c r="A171" s="243"/>
      <c r="B171" s="243"/>
    </row>
    <row r="172" ht="15.75" customHeight="1">
      <c r="A172" s="243"/>
      <c r="B172" s="243"/>
    </row>
    <row r="173" ht="15.75" customHeight="1">
      <c r="A173" s="243"/>
      <c r="B173" s="243"/>
    </row>
    <row r="174" ht="15.75" customHeight="1">
      <c r="A174" s="243"/>
      <c r="B174" s="243"/>
    </row>
    <row r="175" ht="15.75" customHeight="1">
      <c r="A175" s="243"/>
      <c r="B175" s="243"/>
    </row>
    <row r="176" ht="15.75" customHeight="1">
      <c r="A176" s="243"/>
      <c r="B176" s="243"/>
    </row>
    <row r="177" ht="15.75" customHeight="1">
      <c r="A177" s="243"/>
      <c r="B177" s="243"/>
    </row>
    <row r="178" ht="15.75" customHeight="1">
      <c r="A178" s="243"/>
      <c r="B178" s="243"/>
    </row>
    <row r="179" ht="15.75" customHeight="1">
      <c r="A179" s="243"/>
      <c r="B179" s="243"/>
    </row>
    <row r="180" ht="15.75" customHeight="1">
      <c r="A180" s="243"/>
      <c r="B180" s="243"/>
    </row>
    <row r="181" ht="15.75" customHeight="1">
      <c r="A181" s="243"/>
      <c r="B181" s="243"/>
    </row>
    <row r="182" ht="15.75" customHeight="1">
      <c r="A182" s="243"/>
      <c r="B182" s="243"/>
    </row>
    <row r="183" ht="15.75" customHeight="1">
      <c r="A183" s="243"/>
      <c r="B183" s="243"/>
    </row>
    <row r="184" ht="15.75" customHeight="1">
      <c r="A184" s="243"/>
      <c r="B184" s="243"/>
    </row>
    <row r="185" ht="15.75" customHeight="1">
      <c r="A185" s="243"/>
      <c r="B185" s="243"/>
    </row>
    <row r="186" ht="15.75" customHeight="1">
      <c r="A186" s="243"/>
      <c r="B186" s="243"/>
    </row>
    <row r="187" ht="15.75" customHeight="1">
      <c r="A187" s="243"/>
      <c r="B187" s="243"/>
    </row>
    <row r="188" ht="15.75" customHeight="1">
      <c r="A188" s="243"/>
      <c r="B188" s="243"/>
    </row>
    <row r="189" ht="15.75" customHeight="1">
      <c r="A189" s="243"/>
      <c r="B189" s="243"/>
    </row>
    <row r="190" ht="15.75" customHeight="1">
      <c r="A190" s="243"/>
      <c r="B190" s="243"/>
    </row>
    <row r="191" ht="15.75" customHeight="1">
      <c r="A191" s="243"/>
      <c r="B191" s="243"/>
    </row>
    <row r="192" ht="15.75" customHeight="1">
      <c r="A192" s="243"/>
      <c r="B192" s="243"/>
    </row>
    <row r="193" ht="15.75" customHeight="1">
      <c r="A193" s="243"/>
      <c r="B193" s="243"/>
    </row>
    <row r="194" ht="15.75" customHeight="1">
      <c r="A194" s="243"/>
      <c r="B194" s="243"/>
    </row>
    <row r="195" ht="15.75" customHeight="1">
      <c r="A195" s="243"/>
      <c r="B195" s="243"/>
    </row>
    <row r="196" ht="15.75" customHeight="1">
      <c r="A196" s="243"/>
      <c r="B196" s="243"/>
    </row>
    <row r="197" ht="15.75" customHeight="1">
      <c r="A197" s="243"/>
      <c r="B197" s="243"/>
    </row>
    <row r="198" ht="15.75" customHeight="1">
      <c r="A198" s="243"/>
      <c r="B198" s="243"/>
    </row>
    <row r="199" ht="15.75" customHeight="1">
      <c r="A199" s="243"/>
      <c r="B199" s="243"/>
    </row>
    <row r="200" ht="15.75" customHeight="1">
      <c r="A200" s="243"/>
      <c r="B200" s="243"/>
    </row>
    <row r="201" ht="15.75" customHeight="1">
      <c r="A201" s="243"/>
      <c r="B201" s="243"/>
    </row>
    <row r="202" ht="15.75" customHeight="1">
      <c r="A202" s="243"/>
      <c r="B202" s="243"/>
    </row>
    <row r="203" ht="15.75" customHeight="1">
      <c r="A203" s="243"/>
      <c r="B203" s="243"/>
    </row>
    <row r="204" ht="15.75" customHeight="1">
      <c r="A204" s="243"/>
      <c r="B204" s="243"/>
    </row>
    <row r="205" ht="15.75" customHeight="1">
      <c r="A205" s="243"/>
      <c r="B205" s="243"/>
    </row>
    <row r="206" ht="15.75" customHeight="1">
      <c r="A206" s="243"/>
      <c r="B206" s="243"/>
    </row>
    <row r="207" ht="15.75" customHeight="1">
      <c r="A207" s="243"/>
      <c r="B207" s="243"/>
    </row>
    <row r="208" ht="15.75" customHeight="1">
      <c r="A208" s="243"/>
      <c r="B208" s="243"/>
    </row>
    <row r="209" ht="15.75" customHeight="1">
      <c r="A209" s="243"/>
      <c r="B209" s="243"/>
    </row>
    <row r="210" ht="15.75" customHeight="1">
      <c r="A210" s="243"/>
      <c r="B210" s="243"/>
    </row>
    <row r="211" ht="15.75" customHeight="1">
      <c r="A211" s="243"/>
      <c r="B211" s="243"/>
    </row>
    <row r="212" ht="15.75" customHeight="1">
      <c r="A212" s="243"/>
      <c r="B212" s="243"/>
    </row>
    <row r="213" ht="15.75" customHeight="1">
      <c r="A213" s="243"/>
      <c r="B213" s="243"/>
    </row>
    <row r="214" ht="15.75" customHeight="1">
      <c r="A214" s="243"/>
      <c r="B214" s="243"/>
    </row>
    <row r="215" ht="15.75" customHeight="1">
      <c r="A215" s="243"/>
      <c r="B215" s="243"/>
    </row>
    <row r="216" ht="15.75" customHeight="1">
      <c r="A216" s="243"/>
      <c r="B216" s="243"/>
    </row>
    <row r="217" ht="15.75" customHeight="1">
      <c r="A217" s="243"/>
      <c r="B217" s="243"/>
    </row>
    <row r="218" ht="15.75" customHeight="1">
      <c r="A218" s="243"/>
      <c r="B218" s="243"/>
    </row>
    <row r="219" ht="15.75" customHeight="1">
      <c r="A219" s="243"/>
      <c r="B219" s="243"/>
    </row>
    <row r="220" ht="15.75" customHeight="1">
      <c r="A220" s="243"/>
      <c r="B220" s="243"/>
    </row>
    <row r="221" ht="15.75" customHeight="1">
      <c r="A221" s="243"/>
      <c r="B221" s="243"/>
    </row>
    <row r="222" ht="15.75" customHeight="1">
      <c r="A222" s="243"/>
      <c r="B222" s="243"/>
    </row>
    <row r="223" ht="15.75" customHeight="1">
      <c r="A223" s="243"/>
      <c r="B223" s="243"/>
    </row>
    <row r="224" ht="15.75" customHeight="1">
      <c r="A224" s="243"/>
      <c r="B224" s="243"/>
    </row>
    <row r="225" ht="15.75" customHeight="1">
      <c r="A225" s="243"/>
      <c r="B225" s="243"/>
    </row>
    <row r="226" ht="15.75" customHeight="1">
      <c r="A226" s="243"/>
      <c r="B226" s="243"/>
    </row>
    <row r="227" ht="15.75" customHeight="1">
      <c r="A227" s="243"/>
      <c r="B227" s="243"/>
    </row>
    <row r="228" ht="15.75" customHeight="1">
      <c r="A228" s="243"/>
      <c r="B228" s="243"/>
    </row>
    <row r="229" ht="15.75" customHeight="1">
      <c r="A229" s="243"/>
      <c r="B229" s="243"/>
    </row>
    <row r="230" ht="15.75" customHeight="1">
      <c r="A230" s="243"/>
      <c r="B230" s="243"/>
    </row>
    <row r="231" ht="15.75" customHeight="1">
      <c r="A231" s="243"/>
      <c r="B231" s="243"/>
    </row>
    <row r="232" ht="15.75" customHeight="1">
      <c r="A232" s="243"/>
      <c r="B232" s="243"/>
    </row>
    <row r="233" ht="15.75" customHeight="1">
      <c r="A233" s="243"/>
      <c r="B233" s="243"/>
    </row>
    <row r="234" ht="15.75" customHeight="1">
      <c r="A234" s="243"/>
      <c r="B234" s="243"/>
    </row>
    <row r="235" ht="15.75" customHeight="1">
      <c r="A235" s="243"/>
      <c r="B235" s="243"/>
    </row>
    <row r="236" ht="15.75" customHeight="1">
      <c r="A236" s="243"/>
      <c r="B236" s="243"/>
    </row>
    <row r="237" ht="15.75" customHeight="1">
      <c r="A237" s="243"/>
      <c r="B237" s="243"/>
    </row>
    <row r="238" ht="15.75" customHeight="1">
      <c r="A238" s="243"/>
      <c r="B238" s="243"/>
    </row>
    <row r="239" ht="15.75" customHeight="1">
      <c r="A239" s="243"/>
      <c r="B239" s="243"/>
    </row>
    <row r="240" ht="15.75" customHeight="1">
      <c r="A240" s="243"/>
      <c r="B240" s="243"/>
    </row>
    <row r="241" ht="15.75" customHeight="1">
      <c r="A241" s="243"/>
      <c r="B241" s="243"/>
    </row>
    <row r="242" ht="15.75" customHeight="1">
      <c r="A242" s="243"/>
      <c r="B242" s="243"/>
    </row>
    <row r="243" ht="15.75" customHeight="1">
      <c r="A243" s="243"/>
      <c r="B243" s="243"/>
    </row>
    <row r="244" ht="15.75" customHeight="1">
      <c r="A244" s="243"/>
      <c r="B244" s="243"/>
    </row>
    <row r="245" ht="15.75" customHeight="1">
      <c r="A245" s="243"/>
      <c r="B245" s="243"/>
    </row>
    <row r="246" ht="15.75" customHeight="1">
      <c r="A246" s="243"/>
      <c r="B246" s="243"/>
    </row>
    <row r="247" ht="15.75" customHeight="1">
      <c r="A247" s="243"/>
      <c r="B247" s="243"/>
    </row>
    <row r="248" ht="15.75" customHeight="1">
      <c r="A248" s="243"/>
      <c r="B248" s="243"/>
    </row>
    <row r="249" ht="15.75" customHeight="1">
      <c r="A249" s="243"/>
      <c r="B249" s="243"/>
    </row>
    <row r="250" ht="15.75" customHeight="1">
      <c r="A250" s="243"/>
      <c r="B250" s="243"/>
    </row>
    <row r="251" ht="15.75" customHeight="1">
      <c r="A251" s="243"/>
      <c r="B251" s="243"/>
    </row>
    <row r="252" ht="15.75" customHeight="1">
      <c r="A252" s="243"/>
      <c r="B252" s="243"/>
    </row>
    <row r="253" ht="15.75" customHeight="1">
      <c r="A253" s="243"/>
      <c r="B253" s="243"/>
    </row>
    <row r="254" ht="15.75" customHeight="1">
      <c r="A254" s="243"/>
      <c r="B254" s="243"/>
    </row>
    <row r="255" ht="15.75" customHeight="1">
      <c r="A255" s="243"/>
      <c r="B255" s="243"/>
    </row>
    <row r="256" ht="15.75" customHeight="1">
      <c r="A256" s="243"/>
      <c r="B256" s="243"/>
    </row>
    <row r="257" ht="15.75" customHeight="1">
      <c r="A257" s="243"/>
      <c r="B257" s="243"/>
    </row>
    <row r="258" ht="15.75" customHeight="1">
      <c r="A258" s="243"/>
      <c r="B258" s="243"/>
    </row>
    <row r="259" ht="15.75" customHeight="1">
      <c r="A259" s="243"/>
      <c r="B259" s="243"/>
    </row>
    <row r="260" ht="15.75" customHeight="1">
      <c r="A260" s="243"/>
      <c r="B260" s="243"/>
    </row>
    <row r="261" ht="15.75" customHeight="1">
      <c r="A261" s="243"/>
      <c r="B261" s="243"/>
    </row>
    <row r="262" ht="15.75" customHeight="1">
      <c r="A262" s="243"/>
      <c r="B262" s="243"/>
    </row>
    <row r="263" ht="15.75" customHeight="1">
      <c r="A263" s="243"/>
      <c r="B263" s="243"/>
    </row>
    <row r="264" ht="15.75" customHeight="1">
      <c r="A264" s="243"/>
      <c r="B264" s="243"/>
    </row>
    <row r="265" ht="15.75" customHeight="1">
      <c r="A265" s="243"/>
      <c r="B265" s="243"/>
    </row>
    <row r="266" ht="15.75" customHeight="1">
      <c r="A266" s="243"/>
      <c r="B266" s="243"/>
    </row>
    <row r="267" ht="15.75" customHeight="1">
      <c r="A267" s="243"/>
      <c r="B267" s="243"/>
    </row>
    <row r="268" ht="15.75" customHeight="1">
      <c r="A268" s="243"/>
      <c r="B268" s="243"/>
    </row>
    <row r="269" ht="15.75" customHeight="1">
      <c r="A269" s="243"/>
      <c r="B269" s="243"/>
    </row>
    <row r="270" ht="15.75" customHeight="1">
      <c r="A270" s="243"/>
      <c r="B270" s="243"/>
    </row>
    <row r="271" ht="15.75" customHeight="1">
      <c r="A271" s="243"/>
      <c r="B271" s="243"/>
    </row>
    <row r="272" ht="15.75" customHeight="1">
      <c r="A272" s="243"/>
      <c r="B272" s="243"/>
    </row>
    <row r="273" ht="15.75" customHeight="1">
      <c r="A273" s="243"/>
      <c r="B273" s="243"/>
    </row>
    <row r="274" ht="15.75" customHeight="1">
      <c r="A274" s="243"/>
      <c r="B274" s="243"/>
    </row>
    <row r="275" ht="15.75" customHeight="1">
      <c r="A275" s="243"/>
      <c r="B275" s="243"/>
    </row>
    <row r="276" ht="15.75" customHeight="1">
      <c r="A276" s="243"/>
      <c r="B276" s="243"/>
    </row>
    <row r="277" ht="15.75" customHeight="1">
      <c r="A277" s="243"/>
      <c r="B277" s="243"/>
    </row>
    <row r="278" ht="15.75" customHeight="1">
      <c r="A278" s="243"/>
      <c r="B278" s="243"/>
    </row>
    <row r="279" ht="15.75" customHeight="1">
      <c r="A279" s="243"/>
      <c r="B279" s="243"/>
    </row>
    <row r="280" ht="15.75" customHeight="1">
      <c r="A280" s="243"/>
      <c r="B280" s="243"/>
    </row>
    <row r="281" ht="15.75" customHeight="1">
      <c r="A281" s="243"/>
      <c r="B281" s="243"/>
    </row>
    <row r="282" ht="15.75" customHeight="1">
      <c r="A282" s="243"/>
      <c r="B282" s="243"/>
    </row>
    <row r="283" ht="15.75" customHeight="1">
      <c r="A283" s="243"/>
      <c r="B283" s="243"/>
    </row>
    <row r="284" ht="15.75" customHeight="1">
      <c r="A284" s="243"/>
      <c r="B284" s="243"/>
    </row>
    <row r="285" ht="15.75" customHeight="1">
      <c r="A285" s="243"/>
      <c r="B285" s="243"/>
    </row>
    <row r="286" ht="15.75" customHeight="1">
      <c r="A286" s="243"/>
      <c r="B286" s="243"/>
    </row>
    <row r="287" ht="15.75" customHeight="1">
      <c r="A287" s="243"/>
      <c r="B287" s="243"/>
    </row>
    <row r="288" ht="15.75" customHeight="1">
      <c r="A288" s="243"/>
      <c r="B288" s="243"/>
    </row>
    <row r="289" ht="15.75" customHeight="1">
      <c r="A289" s="243"/>
      <c r="B289" s="243"/>
    </row>
    <row r="290" ht="15.75" customHeight="1">
      <c r="A290" s="243"/>
      <c r="B290" s="243"/>
    </row>
    <row r="291" ht="15.75" customHeight="1">
      <c r="A291" s="243"/>
      <c r="B291" s="243"/>
    </row>
    <row r="292" ht="15.75" customHeight="1">
      <c r="A292" s="243"/>
      <c r="B292" s="243"/>
    </row>
    <row r="293" ht="15.75" customHeight="1">
      <c r="A293" s="243"/>
      <c r="B293" s="243"/>
    </row>
    <row r="294" ht="15.75" customHeight="1">
      <c r="A294" s="243"/>
      <c r="B294" s="243"/>
    </row>
    <row r="295" ht="15.75" customHeight="1">
      <c r="A295" s="243"/>
      <c r="B295" s="243"/>
    </row>
    <row r="296" ht="15.75" customHeight="1">
      <c r="A296" s="243"/>
      <c r="B296" s="243"/>
    </row>
    <row r="297" ht="15.75" customHeight="1">
      <c r="A297" s="243"/>
      <c r="B297" s="243"/>
    </row>
    <row r="298" ht="15.75" customHeight="1">
      <c r="A298" s="243"/>
      <c r="B298" s="243"/>
    </row>
    <row r="299" ht="15.75" customHeight="1">
      <c r="A299" s="243"/>
      <c r="B299" s="243"/>
    </row>
    <row r="300" ht="15.75" customHeight="1">
      <c r="A300" s="243"/>
      <c r="B300" s="243"/>
    </row>
    <row r="301" ht="15.75" customHeight="1">
      <c r="A301" s="243"/>
      <c r="B301" s="243"/>
    </row>
    <row r="302" ht="15.75" customHeight="1">
      <c r="A302" s="243"/>
      <c r="B302" s="243"/>
    </row>
    <row r="303" ht="15.75" customHeight="1">
      <c r="A303" s="243"/>
      <c r="B303" s="243"/>
    </row>
    <row r="304" ht="15.75" customHeight="1">
      <c r="A304" s="243"/>
      <c r="B304" s="243"/>
    </row>
    <row r="305" ht="15.75" customHeight="1">
      <c r="A305" s="243"/>
      <c r="B305" s="243"/>
    </row>
    <row r="306" ht="15.75" customHeight="1">
      <c r="A306" s="243"/>
      <c r="B306" s="243"/>
    </row>
    <row r="307" ht="15.75" customHeight="1">
      <c r="A307" s="243"/>
      <c r="B307" s="243"/>
    </row>
    <row r="308" ht="15.75" customHeight="1">
      <c r="A308" s="243"/>
      <c r="B308" s="243"/>
    </row>
    <row r="309" ht="15.75" customHeight="1">
      <c r="A309" s="243"/>
      <c r="B309" s="243"/>
    </row>
    <row r="310" ht="15.75" customHeight="1">
      <c r="A310" s="243"/>
      <c r="B310" s="243"/>
    </row>
    <row r="311" ht="15.75" customHeight="1">
      <c r="A311" s="243"/>
      <c r="B311" s="243"/>
    </row>
    <row r="312" ht="15.75" customHeight="1">
      <c r="A312" s="243"/>
      <c r="B312" s="243"/>
    </row>
    <row r="313" ht="15.75" customHeight="1">
      <c r="A313" s="243"/>
      <c r="B313" s="243"/>
    </row>
    <row r="314" ht="15.75" customHeight="1">
      <c r="A314" s="243"/>
      <c r="B314" s="243"/>
    </row>
    <row r="315" ht="15.75" customHeight="1">
      <c r="A315" s="243"/>
      <c r="B315" s="243"/>
    </row>
    <row r="316" ht="15.75" customHeight="1">
      <c r="A316" s="243"/>
      <c r="B316" s="243"/>
    </row>
    <row r="317" ht="15.75" customHeight="1">
      <c r="A317" s="243"/>
      <c r="B317" s="243"/>
    </row>
    <row r="318" ht="15.75" customHeight="1">
      <c r="A318" s="243"/>
      <c r="B318" s="243"/>
    </row>
    <row r="319" ht="15.75" customHeight="1">
      <c r="A319" s="243"/>
      <c r="B319" s="243"/>
    </row>
    <row r="320" ht="15.75" customHeight="1">
      <c r="A320" s="243"/>
      <c r="B320" s="243"/>
    </row>
    <row r="321" ht="15.75" customHeight="1">
      <c r="A321" s="243"/>
      <c r="B321" s="243"/>
    </row>
    <row r="322" ht="15.75" customHeight="1">
      <c r="A322" s="243"/>
      <c r="B322" s="243"/>
    </row>
    <row r="323" ht="15.75" customHeight="1">
      <c r="A323" s="243"/>
      <c r="B323" s="243"/>
    </row>
    <row r="324" ht="15.75" customHeight="1">
      <c r="A324" s="243"/>
      <c r="B324" s="243"/>
    </row>
    <row r="325" ht="15.75" customHeight="1">
      <c r="A325" s="243"/>
      <c r="B325" s="243"/>
    </row>
    <row r="326" ht="15.75" customHeight="1">
      <c r="A326" s="243"/>
      <c r="B326" s="243"/>
    </row>
    <row r="327" ht="15.75" customHeight="1">
      <c r="A327" s="243"/>
      <c r="B327" s="243"/>
    </row>
    <row r="328" ht="15.75" customHeight="1">
      <c r="A328" s="243"/>
      <c r="B328" s="243"/>
    </row>
    <row r="329" ht="15.75" customHeight="1">
      <c r="A329" s="243"/>
      <c r="B329" s="243"/>
    </row>
    <row r="330" ht="15.75" customHeight="1">
      <c r="A330" s="243"/>
      <c r="B330" s="243"/>
    </row>
    <row r="331" ht="15.75" customHeight="1">
      <c r="A331" s="243"/>
      <c r="B331" s="243"/>
    </row>
    <row r="332" ht="15.75" customHeight="1">
      <c r="A332" s="243"/>
      <c r="B332" s="243"/>
    </row>
    <row r="333" ht="15.75" customHeight="1">
      <c r="A333" s="243"/>
      <c r="B333" s="243"/>
    </row>
    <row r="334" ht="15.75" customHeight="1">
      <c r="A334" s="243"/>
      <c r="B334" s="243"/>
    </row>
    <row r="335" ht="15.75" customHeight="1">
      <c r="A335" s="243"/>
      <c r="B335" s="243"/>
    </row>
    <row r="336" ht="15.75" customHeight="1">
      <c r="A336" s="243"/>
      <c r="B336" s="243"/>
    </row>
    <row r="337" ht="15.75" customHeight="1">
      <c r="A337" s="243"/>
      <c r="B337" s="243"/>
    </row>
    <row r="338" ht="15.75" customHeight="1">
      <c r="A338" s="243"/>
      <c r="B338" s="243"/>
    </row>
    <row r="339" ht="15.75" customHeight="1">
      <c r="A339" s="243"/>
      <c r="B339" s="243"/>
    </row>
    <row r="340" ht="15.75" customHeight="1">
      <c r="A340" s="243"/>
      <c r="B340" s="243"/>
    </row>
    <row r="341" ht="15.75" customHeight="1">
      <c r="A341" s="243"/>
      <c r="B341" s="243"/>
    </row>
    <row r="342" ht="15.75" customHeight="1">
      <c r="A342" s="243"/>
      <c r="B342" s="243"/>
    </row>
    <row r="343" ht="15.75" customHeight="1">
      <c r="A343" s="243"/>
      <c r="B343" s="243"/>
    </row>
    <row r="344" ht="15.75" customHeight="1">
      <c r="A344" s="243"/>
      <c r="B344" s="243"/>
    </row>
    <row r="345" ht="15.75" customHeight="1">
      <c r="A345" s="243"/>
      <c r="B345" s="243"/>
    </row>
    <row r="346" ht="15.75" customHeight="1">
      <c r="A346" s="243"/>
      <c r="B346" s="243"/>
    </row>
    <row r="347" ht="15.75" customHeight="1">
      <c r="A347" s="243"/>
      <c r="B347" s="243"/>
    </row>
    <row r="348" ht="15.75" customHeight="1">
      <c r="A348" s="243"/>
      <c r="B348" s="243"/>
    </row>
    <row r="349" ht="15.75" customHeight="1">
      <c r="A349" s="243"/>
      <c r="B349" s="243"/>
    </row>
    <row r="350" ht="15.75" customHeight="1">
      <c r="A350" s="243"/>
      <c r="B350" s="243"/>
    </row>
    <row r="351" ht="15.75" customHeight="1">
      <c r="A351" s="243"/>
      <c r="B351" s="243"/>
    </row>
    <row r="352" ht="15.75" customHeight="1">
      <c r="A352" s="243"/>
      <c r="B352" s="243"/>
    </row>
    <row r="353" ht="15.75" customHeight="1">
      <c r="A353" s="243"/>
      <c r="B353" s="243"/>
    </row>
    <row r="354" ht="15.75" customHeight="1">
      <c r="A354" s="243"/>
      <c r="B354" s="243"/>
    </row>
    <row r="355" ht="15.75" customHeight="1">
      <c r="A355" s="243"/>
      <c r="B355" s="243"/>
    </row>
    <row r="356" ht="15.75" customHeight="1">
      <c r="A356" s="243"/>
      <c r="B356" s="243"/>
    </row>
    <row r="357" ht="15.75" customHeight="1">
      <c r="A357" s="243"/>
      <c r="B357" s="243"/>
    </row>
    <row r="358" ht="15.75" customHeight="1">
      <c r="A358" s="243"/>
      <c r="B358" s="243"/>
    </row>
    <row r="359" ht="15.75" customHeight="1">
      <c r="A359" s="243"/>
      <c r="B359" s="243"/>
    </row>
    <row r="360" ht="15.75" customHeight="1">
      <c r="A360" s="243"/>
      <c r="B360" s="243"/>
    </row>
    <row r="361" ht="15.75" customHeight="1">
      <c r="A361" s="243"/>
      <c r="B361" s="243"/>
    </row>
    <row r="362" ht="15.75" customHeight="1">
      <c r="A362" s="243"/>
      <c r="B362" s="243"/>
    </row>
    <row r="363" ht="15.75" customHeight="1">
      <c r="A363" s="243"/>
      <c r="B363" s="243"/>
    </row>
    <row r="364" ht="15.75" customHeight="1">
      <c r="A364" s="243"/>
      <c r="B364" s="243"/>
    </row>
    <row r="365" ht="15.75" customHeight="1">
      <c r="A365" s="243"/>
      <c r="B365" s="243"/>
    </row>
    <row r="366" ht="15.75" customHeight="1">
      <c r="A366" s="243"/>
      <c r="B366" s="243"/>
    </row>
    <row r="367" ht="15.75" customHeight="1">
      <c r="A367" s="243"/>
      <c r="B367" s="243"/>
    </row>
    <row r="368" ht="15.75" customHeight="1">
      <c r="A368" s="243"/>
      <c r="B368" s="243"/>
    </row>
    <row r="369" ht="15.75" customHeight="1">
      <c r="A369" s="243"/>
      <c r="B369" s="243"/>
    </row>
    <row r="370" ht="15.75" customHeight="1">
      <c r="A370" s="243"/>
      <c r="B370" s="243"/>
    </row>
    <row r="371" ht="15.75" customHeight="1">
      <c r="A371" s="243"/>
      <c r="B371" s="243"/>
    </row>
    <row r="372" ht="15.75" customHeight="1">
      <c r="A372" s="243"/>
      <c r="B372" s="243"/>
    </row>
    <row r="373" ht="15.75" customHeight="1">
      <c r="A373" s="243"/>
      <c r="B373" s="243"/>
    </row>
    <row r="374" ht="15.75" customHeight="1">
      <c r="A374" s="243"/>
      <c r="B374" s="243"/>
    </row>
    <row r="375" ht="15.75" customHeight="1">
      <c r="A375" s="243"/>
      <c r="B375" s="243"/>
    </row>
    <row r="376" ht="15.75" customHeight="1">
      <c r="A376" s="243"/>
      <c r="B376" s="243"/>
    </row>
    <row r="377" ht="15.75" customHeight="1">
      <c r="A377" s="243"/>
      <c r="B377" s="243"/>
    </row>
    <row r="378" ht="15.75" customHeight="1">
      <c r="A378" s="243"/>
      <c r="B378" s="243"/>
    </row>
    <row r="379" ht="15.75" customHeight="1">
      <c r="A379" s="243"/>
      <c r="B379" s="243"/>
    </row>
    <row r="380" ht="15.75" customHeight="1">
      <c r="A380" s="243"/>
      <c r="B380" s="243"/>
    </row>
    <row r="381" ht="15.75" customHeight="1">
      <c r="A381" s="243"/>
      <c r="B381" s="243"/>
    </row>
    <row r="382" ht="15.75" customHeight="1">
      <c r="A382" s="243"/>
      <c r="B382" s="243"/>
    </row>
    <row r="383" ht="15.75" customHeight="1">
      <c r="A383" s="243"/>
      <c r="B383" s="243"/>
    </row>
    <row r="384" ht="15.75" customHeight="1">
      <c r="A384" s="243"/>
      <c r="B384" s="243"/>
    </row>
    <row r="385" ht="15.75" customHeight="1">
      <c r="A385" s="243"/>
      <c r="B385" s="243"/>
    </row>
    <row r="386" ht="15.75" customHeight="1">
      <c r="A386" s="243"/>
      <c r="B386" s="243"/>
    </row>
    <row r="387" ht="15.75" customHeight="1">
      <c r="A387" s="243"/>
      <c r="B387" s="243"/>
    </row>
    <row r="388" ht="15.75" customHeight="1">
      <c r="A388" s="243"/>
      <c r="B388" s="243"/>
    </row>
    <row r="389" ht="15.75" customHeight="1">
      <c r="A389" s="243"/>
      <c r="B389" s="243"/>
    </row>
    <row r="390" ht="15.75" customHeight="1">
      <c r="A390" s="243"/>
      <c r="B390" s="243"/>
    </row>
    <row r="391" ht="15.75" customHeight="1">
      <c r="A391" s="243"/>
      <c r="B391" s="243"/>
    </row>
    <row r="392" ht="15.75" customHeight="1">
      <c r="A392" s="243"/>
      <c r="B392" s="243"/>
    </row>
    <row r="393" ht="15.75" customHeight="1">
      <c r="A393" s="243"/>
      <c r="B393" s="243"/>
    </row>
    <row r="394" ht="15.75" customHeight="1">
      <c r="A394" s="243"/>
      <c r="B394" s="243"/>
    </row>
    <row r="395" ht="15.75" customHeight="1">
      <c r="A395" s="243"/>
      <c r="B395" s="243"/>
    </row>
    <row r="396" ht="15.75" customHeight="1">
      <c r="A396" s="243"/>
      <c r="B396" s="243"/>
    </row>
    <row r="397" ht="15.75" customHeight="1">
      <c r="A397" s="243"/>
      <c r="B397" s="243"/>
    </row>
    <row r="398" ht="15.75" customHeight="1">
      <c r="A398" s="243"/>
      <c r="B398" s="243"/>
    </row>
    <row r="399" ht="15.75" customHeight="1">
      <c r="A399" s="243"/>
      <c r="B399" s="243"/>
    </row>
    <row r="400" ht="15.75" customHeight="1">
      <c r="A400" s="243"/>
      <c r="B400" s="243"/>
    </row>
    <row r="401" ht="15.75" customHeight="1">
      <c r="A401" s="243"/>
      <c r="B401" s="243"/>
    </row>
    <row r="402" ht="15.75" customHeight="1">
      <c r="A402" s="243"/>
      <c r="B402" s="243"/>
    </row>
    <row r="403" ht="15.75" customHeight="1">
      <c r="A403" s="243"/>
      <c r="B403" s="243"/>
    </row>
    <row r="404" ht="15.75" customHeight="1">
      <c r="A404" s="243"/>
      <c r="B404" s="243"/>
    </row>
    <row r="405" ht="15.75" customHeight="1">
      <c r="A405" s="243"/>
      <c r="B405" s="243"/>
    </row>
    <row r="406" ht="15.75" customHeight="1">
      <c r="A406" s="243"/>
      <c r="B406" s="243"/>
    </row>
    <row r="407" ht="15.75" customHeight="1">
      <c r="A407" s="243"/>
      <c r="B407" s="243"/>
    </row>
    <row r="408" ht="15.75" customHeight="1">
      <c r="A408" s="243"/>
      <c r="B408" s="243"/>
    </row>
    <row r="409" ht="15.75" customHeight="1">
      <c r="A409" s="243"/>
      <c r="B409" s="243"/>
    </row>
    <row r="410" ht="15.75" customHeight="1">
      <c r="A410" s="243"/>
      <c r="B410" s="243"/>
    </row>
    <row r="411" ht="15.75" customHeight="1">
      <c r="A411" s="243"/>
      <c r="B411" s="243"/>
    </row>
    <row r="412" ht="15.75" customHeight="1">
      <c r="A412" s="243"/>
      <c r="B412" s="243"/>
    </row>
    <row r="413" ht="15.75" customHeight="1">
      <c r="A413" s="243"/>
      <c r="B413" s="243"/>
    </row>
    <row r="414" ht="15.75" customHeight="1">
      <c r="A414" s="243"/>
      <c r="B414" s="243"/>
    </row>
    <row r="415" ht="15.75" customHeight="1">
      <c r="A415" s="243"/>
      <c r="B415" s="243"/>
    </row>
    <row r="416" ht="15.75" customHeight="1">
      <c r="A416" s="243"/>
      <c r="B416" s="243"/>
    </row>
    <row r="417" ht="15.75" customHeight="1">
      <c r="A417" s="243"/>
      <c r="B417" s="243"/>
    </row>
    <row r="418" ht="15.75" customHeight="1">
      <c r="A418" s="243"/>
      <c r="B418" s="243"/>
    </row>
    <row r="419" ht="15.75" customHeight="1">
      <c r="A419" s="243"/>
      <c r="B419" s="243"/>
    </row>
    <row r="420" ht="15.75" customHeight="1">
      <c r="A420" s="243"/>
      <c r="B420" s="243"/>
    </row>
    <row r="421" ht="15.75" customHeight="1">
      <c r="A421" s="243"/>
      <c r="B421" s="243"/>
    </row>
    <row r="422" ht="15.75" customHeight="1">
      <c r="A422" s="243"/>
      <c r="B422" s="243"/>
    </row>
    <row r="423" ht="15.75" customHeight="1">
      <c r="A423" s="243"/>
      <c r="B423" s="243"/>
    </row>
    <row r="424" ht="15.75" customHeight="1">
      <c r="A424" s="243"/>
      <c r="B424" s="243"/>
    </row>
    <row r="425" ht="15.75" customHeight="1">
      <c r="A425" s="243"/>
      <c r="B425" s="243"/>
    </row>
    <row r="426" ht="15.75" customHeight="1">
      <c r="A426" s="243"/>
      <c r="B426" s="243"/>
    </row>
    <row r="427" ht="15.75" customHeight="1">
      <c r="A427" s="243"/>
      <c r="B427" s="243"/>
    </row>
    <row r="428" ht="15.75" customHeight="1">
      <c r="A428" s="243"/>
      <c r="B428" s="243"/>
    </row>
    <row r="429" ht="15.75" customHeight="1">
      <c r="A429" s="243"/>
      <c r="B429" s="243"/>
    </row>
    <row r="430" ht="15.75" customHeight="1">
      <c r="A430" s="243"/>
      <c r="B430" s="243"/>
    </row>
    <row r="431" ht="15.75" customHeight="1">
      <c r="A431" s="243"/>
      <c r="B431" s="243"/>
    </row>
    <row r="432" ht="15.75" customHeight="1">
      <c r="A432" s="243"/>
      <c r="B432" s="243"/>
    </row>
    <row r="433" ht="15.75" customHeight="1">
      <c r="A433" s="243"/>
      <c r="B433" s="243"/>
    </row>
    <row r="434" ht="15.75" customHeight="1">
      <c r="A434" s="243"/>
      <c r="B434" s="243"/>
    </row>
    <row r="435" ht="15.75" customHeight="1">
      <c r="A435" s="243"/>
      <c r="B435" s="243"/>
    </row>
    <row r="436" ht="15.75" customHeight="1">
      <c r="A436" s="243"/>
      <c r="B436" s="243"/>
    </row>
    <row r="437" ht="15.75" customHeight="1">
      <c r="A437" s="243"/>
      <c r="B437" s="243"/>
    </row>
    <row r="438" ht="15.75" customHeight="1">
      <c r="A438" s="243"/>
      <c r="B438" s="243"/>
    </row>
    <row r="439" ht="15.75" customHeight="1">
      <c r="A439" s="243"/>
      <c r="B439" s="243"/>
    </row>
    <row r="440" ht="15.75" customHeight="1">
      <c r="A440" s="243"/>
      <c r="B440" s="243"/>
    </row>
    <row r="441" ht="15.75" customHeight="1">
      <c r="A441" s="243"/>
      <c r="B441" s="243"/>
    </row>
    <row r="442" ht="15.75" customHeight="1">
      <c r="A442" s="243"/>
      <c r="B442" s="243"/>
    </row>
    <row r="443" ht="15.75" customHeight="1">
      <c r="A443" s="243"/>
      <c r="B443" s="243"/>
    </row>
    <row r="444" ht="15.75" customHeight="1">
      <c r="A444" s="243"/>
      <c r="B444" s="243"/>
    </row>
    <row r="445" ht="15.75" customHeight="1">
      <c r="A445" s="243"/>
      <c r="B445" s="243"/>
    </row>
    <row r="446" ht="15.75" customHeight="1">
      <c r="A446" s="243"/>
      <c r="B446" s="243"/>
    </row>
    <row r="447" ht="15.75" customHeight="1">
      <c r="A447" s="243"/>
      <c r="B447" s="243"/>
    </row>
    <row r="448" ht="15.75" customHeight="1">
      <c r="A448" s="243"/>
      <c r="B448" s="243"/>
    </row>
    <row r="449" ht="15.75" customHeight="1">
      <c r="A449" s="243"/>
      <c r="B449" s="243"/>
    </row>
    <row r="450" ht="15.75" customHeight="1">
      <c r="A450" s="243"/>
      <c r="B450" s="243"/>
    </row>
    <row r="451" ht="15.75" customHeight="1">
      <c r="A451" s="243"/>
      <c r="B451" s="243"/>
    </row>
    <row r="452" ht="15.75" customHeight="1">
      <c r="A452" s="243"/>
      <c r="B452" s="243"/>
    </row>
    <row r="453" ht="15.75" customHeight="1">
      <c r="A453" s="243"/>
      <c r="B453" s="243"/>
    </row>
    <row r="454" ht="15.75" customHeight="1">
      <c r="A454" s="243"/>
      <c r="B454" s="243"/>
    </row>
    <row r="455" ht="15.75" customHeight="1">
      <c r="A455" s="243"/>
      <c r="B455" s="243"/>
    </row>
    <row r="456" ht="15.75" customHeight="1">
      <c r="A456" s="243"/>
      <c r="B456" s="243"/>
    </row>
    <row r="457" ht="15.75" customHeight="1">
      <c r="A457" s="243"/>
      <c r="B457" s="243"/>
    </row>
    <row r="458" ht="15.75" customHeight="1">
      <c r="A458" s="243"/>
      <c r="B458" s="243"/>
    </row>
    <row r="459" ht="15.75" customHeight="1">
      <c r="A459" s="243"/>
      <c r="B459" s="243"/>
    </row>
    <row r="460" ht="15.75" customHeight="1">
      <c r="A460" s="243"/>
      <c r="B460" s="243"/>
    </row>
    <row r="461" ht="15.75" customHeight="1">
      <c r="A461" s="243"/>
      <c r="B461" s="243"/>
    </row>
    <row r="462" ht="15.75" customHeight="1">
      <c r="A462" s="243"/>
      <c r="B462" s="243"/>
    </row>
    <row r="463" ht="15.75" customHeight="1">
      <c r="A463" s="243"/>
      <c r="B463" s="243"/>
    </row>
    <row r="464" ht="15.75" customHeight="1">
      <c r="A464" s="243"/>
      <c r="B464" s="243"/>
    </row>
    <row r="465" ht="15.75" customHeight="1">
      <c r="A465" s="243"/>
      <c r="B465" s="243"/>
    </row>
    <row r="466" ht="15.75" customHeight="1">
      <c r="A466" s="243"/>
      <c r="B466" s="243"/>
    </row>
    <row r="467" ht="15.75" customHeight="1">
      <c r="A467" s="243"/>
      <c r="B467" s="243"/>
    </row>
    <row r="468" ht="15.75" customHeight="1">
      <c r="A468" s="243"/>
      <c r="B468" s="243"/>
    </row>
    <row r="469" ht="15.75" customHeight="1">
      <c r="A469" s="243"/>
      <c r="B469" s="243"/>
    </row>
    <row r="470" ht="15.75" customHeight="1">
      <c r="A470" s="243"/>
      <c r="B470" s="243"/>
    </row>
    <row r="471" ht="15.75" customHeight="1">
      <c r="A471" s="243"/>
      <c r="B471" s="243"/>
    </row>
    <row r="472" ht="15.75" customHeight="1">
      <c r="A472" s="243"/>
      <c r="B472" s="243"/>
    </row>
    <row r="473" ht="15.75" customHeight="1">
      <c r="A473" s="243"/>
      <c r="B473" s="243"/>
    </row>
    <row r="474" ht="15.75" customHeight="1">
      <c r="A474" s="243"/>
      <c r="B474" s="243"/>
    </row>
    <row r="475" ht="15.75" customHeight="1">
      <c r="A475" s="243"/>
      <c r="B475" s="243"/>
    </row>
    <row r="476" ht="15.75" customHeight="1">
      <c r="A476" s="243"/>
      <c r="B476" s="243"/>
    </row>
    <row r="477" ht="15.75" customHeight="1">
      <c r="A477" s="243"/>
      <c r="B477" s="243"/>
    </row>
    <row r="478" ht="15.75" customHeight="1">
      <c r="A478" s="243"/>
      <c r="B478" s="243"/>
    </row>
    <row r="479" ht="15.75" customHeight="1">
      <c r="A479" s="243"/>
      <c r="B479" s="243"/>
    </row>
    <row r="480" ht="15.75" customHeight="1">
      <c r="A480" s="243"/>
      <c r="B480" s="243"/>
    </row>
    <row r="481" ht="15.75" customHeight="1">
      <c r="A481" s="243"/>
      <c r="B481" s="243"/>
    </row>
    <row r="482" ht="15.75" customHeight="1">
      <c r="A482" s="243"/>
      <c r="B482" s="243"/>
    </row>
    <row r="483" ht="15.75" customHeight="1">
      <c r="A483" s="243"/>
      <c r="B483" s="243"/>
    </row>
    <row r="484" ht="15.75" customHeight="1">
      <c r="A484" s="243"/>
      <c r="B484" s="243"/>
    </row>
    <row r="485" ht="15.75" customHeight="1">
      <c r="A485" s="243"/>
      <c r="B485" s="243"/>
    </row>
    <row r="486" ht="15.75" customHeight="1">
      <c r="A486" s="243"/>
      <c r="B486" s="243"/>
    </row>
    <row r="487" ht="15.75" customHeight="1">
      <c r="A487" s="243"/>
      <c r="B487" s="243"/>
    </row>
    <row r="488" ht="15.75" customHeight="1">
      <c r="A488" s="243"/>
      <c r="B488" s="243"/>
    </row>
    <row r="489" ht="15.75" customHeight="1">
      <c r="A489" s="243"/>
      <c r="B489" s="243"/>
    </row>
    <row r="490" ht="15.75" customHeight="1">
      <c r="A490" s="243"/>
      <c r="B490" s="243"/>
    </row>
    <row r="491" ht="15.75" customHeight="1">
      <c r="A491" s="243"/>
      <c r="B491" s="243"/>
    </row>
    <row r="492" ht="15.75" customHeight="1">
      <c r="A492" s="243"/>
      <c r="B492" s="243"/>
    </row>
    <row r="493" ht="15.75" customHeight="1">
      <c r="A493" s="243"/>
      <c r="B493" s="243"/>
    </row>
    <row r="494" ht="15.75" customHeight="1">
      <c r="A494" s="243"/>
      <c r="B494" s="243"/>
    </row>
    <row r="495" ht="15.75" customHeight="1">
      <c r="A495" s="243"/>
      <c r="B495" s="243"/>
    </row>
    <row r="496" ht="15.75" customHeight="1">
      <c r="A496" s="243"/>
      <c r="B496" s="243"/>
    </row>
    <row r="497" ht="15.75" customHeight="1">
      <c r="A497" s="243"/>
      <c r="B497" s="243"/>
    </row>
    <row r="498" ht="15.75" customHeight="1">
      <c r="A498" s="243"/>
      <c r="B498" s="243"/>
    </row>
    <row r="499" ht="15.75" customHeight="1">
      <c r="A499" s="243"/>
      <c r="B499" s="243"/>
    </row>
    <row r="500" ht="15.75" customHeight="1">
      <c r="A500" s="243"/>
      <c r="B500" s="243"/>
    </row>
    <row r="501" ht="15.75" customHeight="1">
      <c r="A501" s="243"/>
      <c r="B501" s="243"/>
    </row>
    <row r="502" ht="15.75" customHeight="1">
      <c r="A502" s="243"/>
      <c r="B502" s="243"/>
    </row>
    <row r="503" ht="15.75" customHeight="1">
      <c r="A503" s="243"/>
      <c r="B503" s="243"/>
    </row>
    <row r="504" ht="15.75" customHeight="1">
      <c r="A504" s="243"/>
      <c r="B504" s="243"/>
    </row>
    <row r="505" ht="15.75" customHeight="1">
      <c r="A505" s="243"/>
      <c r="B505" s="243"/>
    </row>
    <row r="506" ht="15.75" customHeight="1">
      <c r="A506" s="243"/>
      <c r="B506" s="243"/>
    </row>
    <row r="507" ht="15.75" customHeight="1">
      <c r="A507" s="243"/>
      <c r="B507" s="243"/>
    </row>
    <row r="508" ht="15.75" customHeight="1">
      <c r="A508" s="243"/>
      <c r="B508" s="243"/>
    </row>
    <row r="509" ht="15.75" customHeight="1">
      <c r="A509" s="243"/>
      <c r="B509" s="243"/>
    </row>
    <row r="510" ht="15.75" customHeight="1">
      <c r="A510" s="243"/>
      <c r="B510" s="243"/>
    </row>
    <row r="511" ht="15.75" customHeight="1">
      <c r="A511" s="243"/>
      <c r="B511" s="243"/>
    </row>
    <row r="512" ht="15.75" customHeight="1">
      <c r="A512" s="243"/>
      <c r="B512" s="243"/>
    </row>
    <row r="513" ht="15.75" customHeight="1">
      <c r="A513" s="243"/>
      <c r="B513" s="243"/>
    </row>
    <row r="514" ht="15.75" customHeight="1">
      <c r="A514" s="243"/>
      <c r="B514" s="243"/>
    </row>
    <row r="515" ht="15.75" customHeight="1">
      <c r="A515" s="243"/>
      <c r="B515" s="243"/>
    </row>
    <row r="516" ht="15.75" customHeight="1">
      <c r="A516" s="243"/>
      <c r="B516" s="243"/>
    </row>
    <row r="517" ht="15.75" customHeight="1">
      <c r="A517" s="243"/>
      <c r="B517" s="243"/>
    </row>
    <row r="518" ht="15.75" customHeight="1">
      <c r="A518" s="243"/>
      <c r="B518" s="243"/>
    </row>
    <row r="519" ht="15.75" customHeight="1">
      <c r="A519" s="243"/>
      <c r="B519" s="243"/>
    </row>
    <row r="520" ht="15.75" customHeight="1">
      <c r="A520" s="243"/>
      <c r="B520" s="243"/>
    </row>
    <row r="521" ht="15.75" customHeight="1">
      <c r="A521" s="243"/>
      <c r="B521" s="243"/>
    </row>
    <row r="522" ht="15.75" customHeight="1">
      <c r="A522" s="243"/>
      <c r="B522" s="243"/>
    </row>
    <row r="523" ht="15.75" customHeight="1">
      <c r="A523" s="243"/>
      <c r="B523" s="243"/>
    </row>
    <row r="524" ht="15.75" customHeight="1">
      <c r="A524" s="243"/>
      <c r="B524" s="243"/>
    </row>
    <row r="525" ht="15.75" customHeight="1">
      <c r="A525" s="243"/>
      <c r="B525" s="243"/>
    </row>
    <row r="526" ht="15.75" customHeight="1">
      <c r="A526" s="243"/>
      <c r="B526" s="243"/>
    </row>
    <row r="527" ht="15.75" customHeight="1">
      <c r="A527" s="243"/>
      <c r="B527" s="243"/>
    </row>
    <row r="528" ht="15.75" customHeight="1">
      <c r="A528" s="243"/>
      <c r="B528" s="243"/>
    </row>
    <row r="529" ht="15.75" customHeight="1">
      <c r="A529" s="243"/>
      <c r="B529" s="243"/>
    </row>
    <row r="530" ht="15.75" customHeight="1">
      <c r="A530" s="243"/>
      <c r="B530" s="243"/>
    </row>
    <row r="531" ht="15.75" customHeight="1">
      <c r="A531" s="243"/>
      <c r="B531" s="243"/>
    </row>
    <row r="532" ht="15.75" customHeight="1">
      <c r="A532" s="243"/>
      <c r="B532" s="243"/>
    </row>
    <row r="533" ht="15.75" customHeight="1">
      <c r="A533" s="243"/>
      <c r="B533" s="243"/>
    </row>
    <row r="534" ht="15.75" customHeight="1">
      <c r="A534" s="243"/>
      <c r="B534" s="243"/>
    </row>
    <row r="535" ht="15.75" customHeight="1">
      <c r="A535" s="243"/>
      <c r="B535" s="243"/>
    </row>
    <row r="536" ht="15.75" customHeight="1">
      <c r="A536" s="243"/>
      <c r="B536" s="243"/>
    </row>
    <row r="537" ht="15.75" customHeight="1">
      <c r="A537" s="243"/>
      <c r="B537" s="243"/>
    </row>
    <row r="538" ht="15.75" customHeight="1">
      <c r="A538" s="243"/>
      <c r="B538" s="243"/>
    </row>
    <row r="539" ht="15.75" customHeight="1">
      <c r="A539" s="243"/>
      <c r="B539" s="243"/>
    </row>
    <row r="540" ht="15.75" customHeight="1">
      <c r="A540" s="243"/>
      <c r="B540" s="243"/>
    </row>
    <row r="541" ht="15.75" customHeight="1">
      <c r="A541" s="243"/>
      <c r="B541" s="243"/>
    </row>
    <row r="542" ht="15.75" customHeight="1">
      <c r="A542" s="243"/>
      <c r="B542" s="243"/>
    </row>
    <row r="543" ht="15.75" customHeight="1">
      <c r="A543" s="243"/>
      <c r="B543" s="243"/>
    </row>
    <row r="544" ht="15.75" customHeight="1">
      <c r="A544" s="243"/>
      <c r="B544" s="243"/>
    </row>
    <row r="545" ht="15.75" customHeight="1">
      <c r="A545" s="243"/>
      <c r="B545" s="243"/>
    </row>
    <row r="546" ht="15.75" customHeight="1">
      <c r="A546" s="243"/>
      <c r="B546" s="243"/>
    </row>
    <row r="547" ht="15.75" customHeight="1">
      <c r="A547" s="243"/>
      <c r="B547" s="243"/>
    </row>
    <row r="548" ht="15.75" customHeight="1">
      <c r="A548" s="243"/>
      <c r="B548" s="243"/>
    </row>
    <row r="549" ht="15.75" customHeight="1">
      <c r="A549" s="243"/>
      <c r="B549" s="243"/>
    </row>
    <row r="550" ht="15.75" customHeight="1">
      <c r="A550" s="243"/>
      <c r="B550" s="243"/>
    </row>
    <row r="551" ht="15.75" customHeight="1">
      <c r="A551" s="243"/>
      <c r="B551" s="243"/>
    </row>
    <row r="552" ht="15.75" customHeight="1">
      <c r="A552" s="243"/>
      <c r="B552" s="243"/>
    </row>
    <row r="553" ht="15.75" customHeight="1">
      <c r="A553" s="243"/>
      <c r="B553" s="243"/>
    </row>
    <row r="554" ht="15.75" customHeight="1">
      <c r="A554" s="243"/>
      <c r="B554" s="243"/>
    </row>
    <row r="555" ht="15.75" customHeight="1">
      <c r="A555" s="243"/>
      <c r="B555" s="243"/>
    </row>
    <row r="556" ht="15.75" customHeight="1">
      <c r="A556" s="243"/>
      <c r="B556" s="243"/>
    </row>
    <row r="557" ht="15.75" customHeight="1">
      <c r="A557" s="243"/>
      <c r="B557" s="243"/>
    </row>
    <row r="558" ht="15.75" customHeight="1">
      <c r="A558" s="243"/>
      <c r="B558" s="243"/>
    </row>
    <row r="559" ht="15.75" customHeight="1">
      <c r="A559" s="243"/>
      <c r="B559" s="243"/>
    </row>
    <row r="560" ht="15.75" customHeight="1">
      <c r="A560" s="243"/>
      <c r="B560" s="243"/>
    </row>
    <row r="561" ht="15.75" customHeight="1">
      <c r="A561" s="243"/>
      <c r="B561" s="243"/>
    </row>
    <row r="562" ht="15.75" customHeight="1">
      <c r="A562" s="243"/>
      <c r="B562" s="243"/>
    </row>
    <row r="563" ht="15.75" customHeight="1">
      <c r="A563" s="243"/>
      <c r="B563" s="243"/>
    </row>
    <row r="564" ht="15.75" customHeight="1">
      <c r="A564" s="243"/>
      <c r="B564" s="243"/>
    </row>
    <row r="565" ht="15.75" customHeight="1">
      <c r="A565" s="243"/>
      <c r="B565" s="243"/>
    </row>
    <row r="566" ht="15.75" customHeight="1">
      <c r="A566" s="243"/>
      <c r="B566" s="243"/>
    </row>
    <row r="567" ht="15.75" customHeight="1">
      <c r="A567" s="243"/>
      <c r="B567" s="243"/>
    </row>
    <row r="568" ht="15.75" customHeight="1">
      <c r="A568" s="243"/>
      <c r="B568" s="243"/>
    </row>
    <row r="569" ht="15.75" customHeight="1">
      <c r="A569" s="243"/>
      <c r="B569" s="243"/>
    </row>
    <row r="570" ht="15.75" customHeight="1">
      <c r="A570" s="243"/>
      <c r="B570" s="243"/>
    </row>
    <row r="571" ht="15.75" customHeight="1">
      <c r="A571" s="243"/>
      <c r="B571" s="243"/>
    </row>
    <row r="572" ht="15.75" customHeight="1">
      <c r="A572" s="243"/>
      <c r="B572" s="243"/>
    </row>
    <row r="573" ht="15.75" customHeight="1">
      <c r="A573" s="243"/>
      <c r="B573" s="243"/>
    </row>
    <row r="574" ht="15.75" customHeight="1">
      <c r="A574" s="243"/>
      <c r="B574" s="243"/>
    </row>
    <row r="575" ht="15.75" customHeight="1">
      <c r="A575" s="243"/>
      <c r="B575" s="243"/>
    </row>
    <row r="576" ht="15.75" customHeight="1">
      <c r="A576" s="243"/>
      <c r="B576" s="243"/>
    </row>
    <row r="577" ht="15.75" customHeight="1">
      <c r="A577" s="243"/>
      <c r="B577" s="243"/>
    </row>
    <row r="578" ht="15.75" customHeight="1">
      <c r="A578" s="243"/>
      <c r="B578" s="243"/>
    </row>
    <row r="579" ht="15.75" customHeight="1">
      <c r="A579" s="243"/>
      <c r="B579" s="243"/>
    </row>
    <row r="580" ht="15.75" customHeight="1">
      <c r="A580" s="243"/>
      <c r="B580" s="243"/>
    </row>
    <row r="581" ht="15.75" customHeight="1">
      <c r="A581" s="243"/>
      <c r="B581" s="243"/>
    </row>
    <row r="582" ht="15.75" customHeight="1">
      <c r="A582" s="243"/>
      <c r="B582" s="243"/>
    </row>
    <row r="583" ht="15.75" customHeight="1">
      <c r="A583" s="243"/>
      <c r="B583" s="243"/>
    </row>
    <row r="584" ht="15.75" customHeight="1">
      <c r="A584" s="243"/>
      <c r="B584" s="243"/>
    </row>
    <row r="585" ht="15.75" customHeight="1">
      <c r="A585" s="243"/>
      <c r="B585" s="243"/>
    </row>
    <row r="586" ht="15.75" customHeight="1">
      <c r="A586" s="243"/>
      <c r="B586" s="243"/>
    </row>
    <row r="587" ht="15.75" customHeight="1">
      <c r="A587" s="243"/>
      <c r="B587" s="243"/>
    </row>
    <row r="588" ht="15.75" customHeight="1">
      <c r="A588" s="243"/>
      <c r="B588" s="243"/>
    </row>
    <row r="589" ht="15.75" customHeight="1">
      <c r="A589" s="243"/>
      <c r="B589" s="243"/>
    </row>
    <row r="590" ht="15.75" customHeight="1">
      <c r="A590" s="243"/>
      <c r="B590" s="243"/>
    </row>
    <row r="591" ht="15.75" customHeight="1">
      <c r="A591" s="243"/>
      <c r="B591" s="243"/>
    </row>
    <row r="592" ht="15.75" customHeight="1">
      <c r="A592" s="243"/>
      <c r="B592" s="243"/>
    </row>
    <row r="593" ht="15.75" customHeight="1">
      <c r="A593" s="243"/>
      <c r="B593" s="243"/>
    </row>
    <row r="594" ht="15.75" customHeight="1">
      <c r="A594" s="243"/>
      <c r="B594" s="243"/>
    </row>
    <row r="595" ht="15.75" customHeight="1">
      <c r="A595" s="243"/>
      <c r="B595" s="243"/>
    </row>
    <row r="596" ht="15.75" customHeight="1">
      <c r="A596" s="243"/>
      <c r="B596" s="243"/>
    </row>
    <row r="597" ht="15.75" customHeight="1">
      <c r="A597" s="243"/>
      <c r="B597" s="243"/>
    </row>
    <row r="598" ht="15.75" customHeight="1">
      <c r="A598" s="243"/>
      <c r="B598" s="243"/>
    </row>
    <row r="599" ht="15.75" customHeight="1">
      <c r="A599" s="243"/>
      <c r="B599" s="243"/>
    </row>
    <row r="600" ht="15.75" customHeight="1">
      <c r="A600" s="243"/>
      <c r="B600" s="243"/>
    </row>
    <row r="601" ht="15.75" customHeight="1">
      <c r="A601" s="243"/>
      <c r="B601" s="243"/>
    </row>
    <row r="602" ht="15.75" customHeight="1">
      <c r="A602" s="243"/>
      <c r="B602" s="243"/>
    </row>
    <row r="603" ht="15.75" customHeight="1">
      <c r="A603" s="243"/>
      <c r="B603" s="243"/>
    </row>
    <row r="604" ht="15.75" customHeight="1">
      <c r="A604" s="243"/>
      <c r="B604" s="243"/>
    </row>
    <row r="605" ht="15.75" customHeight="1">
      <c r="A605" s="243"/>
      <c r="B605" s="243"/>
    </row>
    <row r="606" ht="15.75" customHeight="1">
      <c r="A606" s="243"/>
      <c r="B606" s="243"/>
    </row>
    <row r="607" ht="15.75" customHeight="1">
      <c r="A607" s="243"/>
      <c r="B607" s="243"/>
    </row>
    <row r="608" ht="15.75" customHeight="1">
      <c r="A608" s="243"/>
      <c r="B608" s="243"/>
    </row>
    <row r="609" ht="15.75" customHeight="1">
      <c r="A609" s="243"/>
      <c r="B609" s="243"/>
    </row>
    <row r="610" ht="15.75" customHeight="1">
      <c r="A610" s="243"/>
      <c r="B610" s="243"/>
    </row>
    <row r="611" ht="15.75" customHeight="1">
      <c r="A611" s="243"/>
      <c r="B611" s="243"/>
    </row>
    <row r="612" ht="15.75" customHeight="1">
      <c r="A612" s="243"/>
      <c r="B612" s="243"/>
    </row>
    <row r="613" ht="15.75" customHeight="1">
      <c r="A613" s="243"/>
      <c r="B613" s="243"/>
    </row>
    <row r="614" ht="15.75" customHeight="1">
      <c r="A614" s="243"/>
      <c r="B614" s="243"/>
    </row>
    <row r="615" ht="15.75" customHeight="1">
      <c r="A615" s="243"/>
      <c r="B615" s="243"/>
    </row>
    <row r="616" ht="15.75" customHeight="1">
      <c r="A616" s="243"/>
      <c r="B616" s="243"/>
    </row>
    <row r="617" ht="15.75" customHeight="1">
      <c r="A617" s="243"/>
      <c r="B617" s="243"/>
    </row>
    <row r="618" ht="15.75" customHeight="1">
      <c r="A618" s="243"/>
      <c r="B618" s="243"/>
    </row>
    <row r="619" ht="15.75" customHeight="1">
      <c r="A619" s="243"/>
      <c r="B619" s="243"/>
    </row>
    <row r="620" ht="15.75" customHeight="1">
      <c r="A620" s="243"/>
      <c r="B620" s="243"/>
    </row>
    <row r="621" ht="15.75" customHeight="1">
      <c r="A621" s="243"/>
      <c r="B621" s="243"/>
    </row>
    <row r="622" ht="15.75" customHeight="1">
      <c r="A622" s="243"/>
      <c r="B622" s="243"/>
    </row>
    <row r="623" ht="15.75" customHeight="1">
      <c r="A623" s="243"/>
      <c r="B623" s="243"/>
    </row>
    <row r="624" ht="15.75" customHeight="1">
      <c r="A624" s="243"/>
      <c r="B624" s="243"/>
    </row>
    <row r="625" ht="15.75" customHeight="1">
      <c r="A625" s="243"/>
      <c r="B625" s="243"/>
    </row>
    <row r="626" ht="15.75" customHeight="1">
      <c r="A626" s="243"/>
      <c r="B626" s="243"/>
    </row>
    <row r="627" ht="15.75" customHeight="1">
      <c r="A627" s="243"/>
      <c r="B627" s="243"/>
    </row>
    <row r="628" ht="15.75" customHeight="1">
      <c r="A628" s="243"/>
      <c r="B628" s="243"/>
    </row>
    <row r="629" ht="15.75" customHeight="1">
      <c r="A629" s="243"/>
      <c r="B629" s="243"/>
    </row>
    <row r="630" ht="15.75" customHeight="1">
      <c r="A630" s="243"/>
      <c r="B630" s="243"/>
    </row>
    <row r="631" ht="15.75" customHeight="1">
      <c r="A631" s="243"/>
      <c r="B631" s="243"/>
    </row>
    <row r="632" ht="15.75" customHeight="1">
      <c r="A632" s="243"/>
      <c r="B632" s="243"/>
    </row>
    <row r="633" ht="15.75" customHeight="1">
      <c r="A633" s="243"/>
      <c r="B633" s="243"/>
    </row>
    <row r="634" ht="15.75" customHeight="1">
      <c r="A634" s="243"/>
      <c r="B634" s="243"/>
    </row>
    <row r="635" ht="15.75" customHeight="1">
      <c r="A635" s="243"/>
      <c r="B635" s="243"/>
    </row>
    <row r="636" ht="15.75" customHeight="1">
      <c r="A636" s="243"/>
      <c r="B636" s="243"/>
    </row>
    <row r="637" ht="15.75" customHeight="1">
      <c r="A637" s="243"/>
      <c r="B637" s="243"/>
    </row>
    <row r="638" ht="15.75" customHeight="1">
      <c r="A638" s="243"/>
      <c r="B638" s="243"/>
    </row>
    <row r="639" ht="15.75" customHeight="1">
      <c r="A639" s="243"/>
      <c r="B639" s="243"/>
    </row>
    <row r="640" ht="15.75" customHeight="1">
      <c r="A640" s="243"/>
      <c r="B640" s="243"/>
    </row>
    <row r="641" ht="15.75" customHeight="1">
      <c r="A641" s="243"/>
      <c r="B641" s="243"/>
    </row>
    <row r="642" ht="15.75" customHeight="1">
      <c r="A642" s="243"/>
      <c r="B642" s="243"/>
    </row>
    <row r="643" ht="15.75" customHeight="1">
      <c r="A643" s="243"/>
      <c r="B643" s="243"/>
    </row>
    <row r="644" ht="15.75" customHeight="1">
      <c r="A644" s="243"/>
      <c r="B644" s="243"/>
    </row>
    <row r="645" ht="15.75" customHeight="1">
      <c r="A645" s="243"/>
      <c r="B645" s="243"/>
    </row>
    <row r="646" ht="15.75" customHeight="1">
      <c r="A646" s="243"/>
      <c r="B646" s="243"/>
    </row>
    <row r="647" ht="15.75" customHeight="1">
      <c r="A647" s="243"/>
      <c r="B647" s="243"/>
    </row>
    <row r="648" ht="15.75" customHeight="1">
      <c r="A648" s="243"/>
      <c r="B648" s="243"/>
    </row>
    <row r="649" ht="15.75" customHeight="1">
      <c r="A649" s="243"/>
      <c r="B649" s="243"/>
    </row>
    <row r="650" ht="15.75" customHeight="1">
      <c r="A650" s="243"/>
      <c r="B650" s="243"/>
    </row>
    <row r="651" ht="15.75" customHeight="1">
      <c r="A651" s="243"/>
      <c r="B651" s="243"/>
    </row>
    <row r="652" ht="15.75" customHeight="1">
      <c r="A652" s="243"/>
      <c r="B652" s="243"/>
    </row>
    <row r="653" ht="15.75" customHeight="1">
      <c r="A653" s="243"/>
      <c r="B653" s="243"/>
    </row>
    <row r="654" ht="15.75" customHeight="1">
      <c r="A654" s="243"/>
      <c r="B654" s="243"/>
    </row>
    <row r="655" ht="15.75" customHeight="1">
      <c r="A655" s="243"/>
      <c r="B655" s="243"/>
    </row>
    <row r="656" ht="15.75" customHeight="1">
      <c r="A656" s="243"/>
      <c r="B656" s="243"/>
    </row>
    <row r="657" ht="15.75" customHeight="1">
      <c r="A657" s="243"/>
      <c r="B657" s="243"/>
    </row>
    <row r="658" ht="15.75" customHeight="1">
      <c r="A658" s="243"/>
      <c r="B658" s="243"/>
    </row>
    <row r="659" ht="15.75" customHeight="1">
      <c r="A659" s="243"/>
      <c r="B659" s="243"/>
    </row>
    <row r="660" ht="15.75" customHeight="1">
      <c r="A660" s="243"/>
      <c r="B660" s="243"/>
    </row>
    <row r="661" ht="15.75" customHeight="1">
      <c r="A661" s="243"/>
      <c r="B661" s="243"/>
    </row>
    <row r="662" ht="15.75" customHeight="1">
      <c r="A662" s="243"/>
      <c r="B662" s="243"/>
    </row>
    <row r="663" ht="15.75" customHeight="1">
      <c r="A663" s="243"/>
      <c r="B663" s="243"/>
    </row>
    <row r="664" ht="15.75" customHeight="1">
      <c r="A664" s="243"/>
      <c r="B664" s="243"/>
    </row>
    <row r="665" ht="15.75" customHeight="1">
      <c r="A665" s="243"/>
      <c r="B665" s="243"/>
    </row>
    <row r="666" ht="15.75" customHeight="1">
      <c r="A666" s="243"/>
      <c r="B666" s="243"/>
    </row>
    <row r="667" ht="15.75" customHeight="1">
      <c r="A667" s="243"/>
      <c r="B667" s="243"/>
    </row>
    <row r="668" ht="15.75" customHeight="1">
      <c r="A668" s="243"/>
      <c r="B668" s="243"/>
    </row>
    <row r="669" ht="15.75" customHeight="1">
      <c r="A669" s="243"/>
      <c r="B669" s="243"/>
    </row>
    <row r="670" ht="15.75" customHeight="1">
      <c r="A670" s="243"/>
      <c r="B670" s="243"/>
    </row>
    <row r="671" ht="15.75" customHeight="1">
      <c r="A671" s="243"/>
      <c r="B671" s="243"/>
    </row>
    <row r="672" ht="15.75" customHeight="1">
      <c r="A672" s="243"/>
      <c r="B672" s="243"/>
    </row>
    <row r="673" ht="15.75" customHeight="1">
      <c r="A673" s="243"/>
      <c r="B673" s="243"/>
    </row>
    <row r="674" ht="15.75" customHeight="1">
      <c r="A674" s="243"/>
      <c r="B674" s="243"/>
    </row>
    <row r="675" ht="15.75" customHeight="1">
      <c r="A675" s="243"/>
      <c r="B675" s="243"/>
    </row>
    <row r="676" ht="15.75" customHeight="1">
      <c r="A676" s="243"/>
      <c r="B676" s="243"/>
    </row>
    <row r="677" ht="15.75" customHeight="1">
      <c r="A677" s="243"/>
      <c r="B677" s="243"/>
    </row>
    <row r="678" ht="15.75" customHeight="1">
      <c r="A678" s="243"/>
      <c r="B678" s="243"/>
    </row>
    <row r="679" ht="15.75" customHeight="1">
      <c r="A679" s="243"/>
      <c r="B679" s="243"/>
    </row>
    <row r="680" ht="15.75" customHeight="1">
      <c r="A680" s="243"/>
      <c r="B680" s="243"/>
    </row>
    <row r="681" ht="15.75" customHeight="1">
      <c r="A681" s="243"/>
      <c r="B681" s="243"/>
    </row>
    <row r="682" ht="15.75" customHeight="1">
      <c r="A682" s="243"/>
      <c r="B682" s="243"/>
    </row>
    <row r="683" ht="15.75" customHeight="1">
      <c r="A683" s="243"/>
      <c r="B683" s="243"/>
    </row>
    <row r="684" ht="15.75" customHeight="1">
      <c r="A684" s="243"/>
      <c r="B684" s="243"/>
    </row>
    <row r="685" ht="15.75" customHeight="1">
      <c r="A685" s="243"/>
      <c r="B685" s="243"/>
    </row>
    <row r="686" ht="15.75" customHeight="1">
      <c r="A686" s="243"/>
      <c r="B686" s="243"/>
    </row>
    <row r="687" ht="15.75" customHeight="1">
      <c r="A687" s="243"/>
      <c r="B687" s="243"/>
    </row>
    <row r="688" ht="15.75" customHeight="1">
      <c r="A688" s="243"/>
      <c r="B688" s="243"/>
    </row>
    <row r="689" ht="15.75" customHeight="1">
      <c r="A689" s="243"/>
      <c r="B689" s="243"/>
    </row>
    <row r="690" ht="15.75" customHeight="1">
      <c r="A690" s="243"/>
      <c r="B690" s="243"/>
    </row>
    <row r="691" ht="15.75" customHeight="1">
      <c r="A691" s="243"/>
      <c r="B691" s="243"/>
    </row>
    <row r="692" ht="15.75" customHeight="1">
      <c r="A692" s="243"/>
      <c r="B692" s="243"/>
    </row>
    <row r="693" ht="15.75" customHeight="1">
      <c r="A693" s="243"/>
      <c r="B693" s="243"/>
    </row>
    <row r="694" ht="15.75" customHeight="1">
      <c r="A694" s="243"/>
      <c r="B694" s="243"/>
    </row>
    <row r="695" ht="15.75" customHeight="1">
      <c r="A695" s="243"/>
      <c r="B695" s="243"/>
    </row>
    <row r="696" ht="15.75" customHeight="1">
      <c r="A696" s="243"/>
      <c r="B696" s="243"/>
    </row>
    <row r="697" ht="15.75" customHeight="1">
      <c r="A697" s="243"/>
      <c r="B697" s="243"/>
    </row>
    <row r="698" ht="15.75" customHeight="1">
      <c r="A698" s="243"/>
      <c r="B698" s="243"/>
    </row>
    <row r="699" ht="15.75" customHeight="1">
      <c r="A699" s="243"/>
      <c r="B699" s="243"/>
    </row>
    <row r="700" ht="15.75" customHeight="1">
      <c r="A700" s="243"/>
      <c r="B700" s="243"/>
    </row>
    <row r="701" ht="15.75" customHeight="1">
      <c r="A701" s="243"/>
      <c r="B701" s="243"/>
    </row>
    <row r="702" ht="15.75" customHeight="1">
      <c r="A702" s="243"/>
      <c r="B702" s="243"/>
    </row>
    <row r="703" ht="15.75" customHeight="1">
      <c r="A703" s="243"/>
      <c r="B703" s="243"/>
    </row>
    <row r="704" ht="15.75" customHeight="1">
      <c r="A704" s="243"/>
      <c r="B704" s="243"/>
    </row>
    <row r="705" ht="15.75" customHeight="1">
      <c r="A705" s="243"/>
      <c r="B705" s="243"/>
    </row>
    <row r="706" ht="15.75" customHeight="1">
      <c r="A706" s="243"/>
      <c r="B706" s="243"/>
    </row>
    <row r="707" ht="15.75" customHeight="1">
      <c r="A707" s="243"/>
      <c r="B707" s="243"/>
    </row>
    <row r="708" ht="15.75" customHeight="1">
      <c r="A708" s="243"/>
      <c r="B708" s="243"/>
    </row>
    <row r="709" ht="15.75" customHeight="1">
      <c r="A709" s="243"/>
      <c r="B709" s="243"/>
    </row>
    <row r="710" ht="15.75" customHeight="1">
      <c r="A710" s="243"/>
      <c r="B710" s="243"/>
    </row>
    <row r="711" ht="15.75" customHeight="1">
      <c r="A711" s="243"/>
      <c r="B711" s="243"/>
    </row>
    <row r="712" ht="15.75" customHeight="1">
      <c r="A712" s="243"/>
      <c r="B712" s="243"/>
    </row>
    <row r="713" ht="15.75" customHeight="1">
      <c r="A713" s="243"/>
      <c r="B713" s="243"/>
    </row>
    <row r="714" ht="15.75" customHeight="1">
      <c r="A714" s="243"/>
      <c r="B714" s="243"/>
    </row>
    <row r="715" ht="15.75" customHeight="1">
      <c r="A715" s="243"/>
      <c r="B715" s="243"/>
    </row>
    <row r="716" ht="15.75" customHeight="1">
      <c r="A716" s="243"/>
      <c r="B716" s="243"/>
    </row>
    <row r="717" ht="15.75" customHeight="1">
      <c r="A717" s="243"/>
      <c r="B717" s="243"/>
    </row>
    <row r="718" ht="15.75" customHeight="1">
      <c r="A718" s="243"/>
      <c r="B718" s="243"/>
    </row>
    <row r="719" ht="15.75" customHeight="1">
      <c r="A719" s="243"/>
      <c r="B719" s="243"/>
    </row>
    <row r="720" ht="15.75" customHeight="1">
      <c r="A720" s="243"/>
      <c r="B720" s="243"/>
    </row>
    <row r="721" ht="15.75" customHeight="1">
      <c r="A721" s="243"/>
      <c r="B721" s="243"/>
    </row>
    <row r="722" ht="15.75" customHeight="1">
      <c r="A722" s="243"/>
      <c r="B722" s="243"/>
    </row>
    <row r="723" ht="15.75" customHeight="1">
      <c r="A723" s="243"/>
      <c r="B723" s="243"/>
    </row>
    <row r="724" ht="15.75" customHeight="1">
      <c r="A724" s="243"/>
      <c r="B724" s="243"/>
    </row>
    <row r="725" ht="15.75" customHeight="1">
      <c r="A725" s="243"/>
      <c r="B725" s="243"/>
    </row>
    <row r="726" ht="15.75" customHeight="1">
      <c r="A726" s="243"/>
      <c r="B726" s="243"/>
    </row>
    <row r="727" ht="15.75" customHeight="1">
      <c r="A727" s="243"/>
      <c r="B727" s="243"/>
    </row>
    <row r="728" ht="15.75" customHeight="1">
      <c r="A728" s="243"/>
      <c r="B728" s="243"/>
    </row>
    <row r="729" ht="15.75" customHeight="1">
      <c r="A729" s="243"/>
      <c r="B729" s="243"/>
    </row>
    <row r="730" ht="15.75" customHeight="1">
      <c r="A730" s="243"/>
      <c r="B730" s="243"/>
    </row>
    <row r="731" ht="15.75" customHeight="1">
      <c r="A731" s="243"/>
      <c r="B731" s="243"/>
    </row>
    <row r="732" ht="15.75" customHeight="1">
      <c r="A732" s="243"/>
      <c r="B732" s="243"/>
    </row>
    <row r="733" ht="15.75" customHeight="1">
      <c r="A733" s="243"/>
      <c r="B733" s="243"/>
    </row>
    <row r="734" ht="15.75" customHeight="1">
      <c r="A734" s="243"/>
      <c r="B734" s="243"/>
    </row>
    <row r="735" ht="15.75" customHeight="1">
      <c r="A735" s="243"/>
      <c r="B735" s="243"/>
    </row>
    <row r="736" ht="15.75" customHeight="1">
      <c r="A736" s="243"/>
      <c r="B736" s="243"/>
    </row>
    <row r="737" ht="15.75" customHeight="1">
      <c r="A737" s="243"/>
      <c r="B737" s="243"/>
    </row>
    <row r="738" ht="15.75" customHeight="1">
      <c r="A738" s="243"/>
      <c r="B738" s="243"/>
    </row>
    <row r="739" ht="15.75" customHeight="1">
      <c r="A739" s="243"/>
      <c r="B739" s="243"/>
    </row>
    <row r="740" ht="15.75" customHeight="1">
      <c r="A740" s="243"/>
      <c r="B740" s="243"/>
    </row>
    <row r="741" ht="15.75" customHeight="1">
      <c r="A741" s="243"/>
      <c r="B741" s="243"/>
    </row>
    <row r="742" ht="15.75" customHeight="1">
      <c r="A742" s="243"/>
      <c r="B742" s="243"/>
    </row>
    <row r="743" ht="15.75" customHeight="1">
      <c r="A743" s="243"/>
      <c r="B743" s="243"/>
    </row>
    <row r="744" ht="15.75" customHeight="1">
      <c r="A744" s="243"/>
      <c r="B744" s="243"/>
    </row>
    <row r="745" ht="15.75" customHeight="1">
      <c r="A745" s="243"/>
      <c r="B745" s="243"/>
    </row>
    <row r="746" ht="15.75" customHeight="1">
      <c r="A746" s="243"/>
      <c r="B746" s="243"/>
    </row>
    <row r="747" ht="15.75" customHeight="1">
      <c r="A747" s="243"/>
      <c r="B747" s="243"/>
    </row>
    <row r="748" ht="15.75" customHeight="1">
      <c r="A748" s="243"/>
      <c r="B748" s="243"/>
    </row>
    <row r="749" ht="15.75" customHeight="1">
      <c r="A749" s="243"/>
      <c r="B749" s="243"/>
    </row>
    <row r="750" ht="15.75" customHeight="1">
      <c r="A750" s="243"/>
      <c r="B750" s="243"/>
    </row>
    <row r="751" ht="15.75" customHeight="1">
      <c r="A751" s="243"/>
      <c r="B751" s="243"/>
    </row>
    <row r="752" ht="15.75" customHeight="1">
      <c r="A752" s="243"/>
      <c r="B752" s="243"/>
    </row>
    <row r="753" ht="15.75" customHeight="1">
      <c r="A753" s="243"/>
      <c r="B753" s="243"/>
    </row>
    <row r="754" ht="15.75" customHeight="1">
      <c r="A754" s="243"/>
      <c r="B754" s="243"/>
    </row>
    <row r="755" ht="15.75" customHeight="1">
      <c r="A755" s="243"/>
      <c r="B755" s="243"/>
    </row>
    <row r="756" ht="15.75" customHeight="1">
      <c r="A756" s="243"/>
      <c r="B756" s="243"/>
    </row>
    <row r="757" ht="15.75" customHeight="1">
      <c r="A757" s="243"/>
      <c r="B757" s="243"/>
    </row>
    <row r="758" ht="15.75" customHeight="1">
      <c r="A758" s="243"/>
      <c r="B758" s="243"/>
    </row>
    <row r="759" ht="15.75" customHeight="1">
      <c r="A759" s="243"/>
      <c r="B759" s="243"/>
    </row>
    <row r="760" ht="15.75" customHeight="1">
      <c r="A760" s="243"/>
      <c r="B760" s="243"/>
    </row>
    <row r="761" ht="15.75" customHeight="1">
      <c r="A761" s="243"/>
      <c r="B761" s="243"/>
    </row>
    <row r="762" ht="15.75" customHeight="1">
      <c r="A762" s="243"/>
      <c r="B762" s="243"/>
    </row>
    <row r="763" ht="15.75" customHeight="1">
      <c r="A763" s="243"/>
      <c r="B763" s="243"/>
    </row>
    <row r="764" ht="15.75" customHeight="1">
      <c r="A764" s="243"/>
      <c r="B764" s="243"/>
    </row>
    <row r="765" ht="15.75" customHeight="1">
      <c r="A765" s="243"/>
      <c r="B765" s="243"/>
    </row>
    <row r="766" ht="15.75" customHeight="1">
      <c r="A766" s="243"/>
      <c r="B766" s="243"/>
    </row>
    <row r="767" ht="15.75" customHeight="1">
      <c r="A767" s="243"/>
      <c r="B767" s="243"/>
    </row>
    <row r="768" ht="15.75" customHeight="1">
      <c r="A768" s="243"/>
      <c r="B768" s="243"/>
    </row>
    <row r="769" ht="15.75" customHeight="1">
      <c r="A769" s="243"/>
      <c r="B769" s="243"/>
    </row>
    <row r="770" ht="15.75" customHeight="1">
      <c r="A770" s="243"/>
      <c r="B770" s="243"/>
    </row>
    <row r="771" ht="15.75" customHeight="1">
      <c r="A771" s="243"/>
      <c r="B771" s="243"/>
    </row>
    <row r="772" ht="15.75" customHeight="1">
      <c r="A772" s="243"/>
      <c r="B772" s="243"/>
    </row>
    <row r="773" ht="15.75" customHeight="1">
      <c r="A773" s="243"/>
      <c r="B773" s="243"/>
    </row>
    <row r="774" ht="15.75" customHeight="1">
      <c r="A774" s="243"/>
      <c r="B774" s="243"/>
    </row>
    <row r="775" ht="15.75" customHeight="1">
      <c r="A775" s="243"/>
      <c r="B775" s="243"/>
    </row>
    <row r="776" ht="15.75" customHeight="1">
      <c r="A776" s="243"/>
      <c r="B776" s="243"/>
    </row>
    <row r="777" ht="15.75" customHeight="1">
      <c r="A777" s="243"/>
      <c r="B777" s="243"/>
    </row>
    <row r="778" ht="15.75" customHeight="1">
      <c r="A778" s="243"/>
      <c r="B778" s="243"/>
    </row>
    <row r="779" ht="15.75" customHeight="1">
      <c r="A779" s="243"/>
      <c r="B779" s="243"/>
    </row>
    <row r="780" ht="15.75" customHeight="1">
      <c r="A780" s="243"/>
      <c r="B780" s="243"/>
    </row>
    <row r="781" ht="15.75" customHeight="1">
      <c r="A781" s="243"/>
      <c r="B781" s="243"/>
    </row>
    <row r="782" ht="15.75" customHeight="1">
      <c r="A782" s="243"/>
      <c r="B782" s="243"/>
    </row>
    <row r="783" ht="15.75" customHeight="1">
      <c r="A783" s="243"/>
      <c r="B783" s="243"/>
    </row>
    <row r="784" ht="15.75" customHeight="1">
      <c r="A784" s="243"/>
      <c r="B784" s="243"/>
    </row>
    <row r="785" ht="15.75" customHeight="1">
      <c r="A785" s="243"/>
      <c r="B785" s="243"/>
    </row>
    <row r="786" ht="15.75" customHeight="1">
      <c r="A786" s="243"/>
      <c r="B786" s="243"/>
    </row>
    <row r="787" ht="15.75" customHeight="1">
      <c r="A787" s="243"/>
      <c r="B787" s="243"/>
    </row>
    <row r="788" ht="15.75" customHeight="1">
      <c r="A788" s="243"/>
      <c r="B788" s="243"/>
    </row>
    <row r="789" ht="15.75" customHeight="1">
      <c r="A789" s="243"/>
      <c r="B789" s="243"/>
    </row>
    <row r="790" ht="15.75" customHeight="1">
      <c r="A790" s="243"/>
      <c r="B790" s="243"/>
    </row>
    <row r="791" ht="15.75" customHeight="1">
      <c r="A791" s="243"/>
      <c r="B791" s="243"/>
    </row>
    <row r="792" ht="15.75" customHeight="1">
      <c r="A792" s="243"/>
      <c r="B792" s="243"/>
    </row>
    <row r="793" ht="15.75" customHeight="1">
      <c r="A793" s="243"/>
      <c r="B793" s="243"/>
    </row>
    <row r="794" ht="15.75" customHeight="1">
      <c r="A794" s="243"/>
      <c r="B794" s="243"/>
    </row>
    <row r="795" ht="15.75" customHeight="1">
      <c r="A795" s="243"/>
      <c r="B795" s="243"/>
    </row>
    <row r="796" ht="15.75" customHeight="1">
      <c r="A796" s="243"/>
      <c r="B796" s="243"/>
    </row>
    <row r="797" ht="15.75" customHeight="1">
      <c r="A797" s="243"/>
      <c r="B797" s="243"/>
    </row>
    <row r="798" ht="15.75" customHeight="1">
      <c r="A798" s="243"/>
      <c r="B798" s="243"/>
    </row>
    <row r="799" ht="15.75" customHeight="1">
      <c r="A799" s="243"/>
      <c r="B799" s="243"/>
    </row>
    <row r="800" ht="15.75" customHeight="1">
      <c r="A800" s="243"/>
      <c r="B800" s="243"/>
    </row>
    <row r="801" ht="15.75" customHeight="1">
      <c r="A801" s="243"/>
      <c r="B801" s="243"/>
    </row>
    <row r="802" ht="15.75" customHeight="1">
      <c r="A802" s="243"/>
      <c r="B802" s="243"/>
    </row>
    <row r="803" ht="15.75" customHeight="1">
      <c r="A803" s="243"/>
      <c r="B803" s="243"/>
    </row>
    <row r="804" ht="15.75" customHeight="1">
      <c r="A804" s="243"/>
      <c r="B804" s="243"/>
    </row>
    <row r="805" ht="15.75" customHeight="1">
      <c r="A805" s="243"/>
      <c r="B805" s="243"/>
    </row>
    <row r="806" ht="15.75" customHeight="1">
      <c r="A806" s="243"/>
      <c r="B806" s="243"/>
    </row>
    <row r="807" ht="15.75" customHeight="1">
      <c r="A807" s="243"/>
      <c r="B807" s="243"/>
    </row>
    <row r="808" ht="15.75" customHeight="1">
      <c r="A808" s="243"/>
      <c r="B808" s="243"/>
    </row>
    <row r="809" ht="15.75" customHeight="1">
      <c r="A809" s="243"/>
      <c r="B809" s="243"/>
    </row>
    <row r="810" ht="15.75" customHeight="1">
      <c r="A810" s="243"/>
      <c r="B810" s="243"/>
    </row>
    <row r="811" ht="15.75" customHeight="1">
      <c r="A811" s="243"/>
      <c r="B811" s="243"/>
    </row>
    <row r="812" ht="15.75" customHeight="1">
      <c r="A812" s="243"/>
      <c r="B812" s="243"/>
    </row>
    <row r="813" ht="15.75" customHeight="1">
      <c r="A813" s="243"/>
      <c r="B813" s="243"/>
    </row>
    <row r="814" ht="15.75" customHeight="1">
      <c r="A814" s="243"/>
      <c r="B814" s="243"/>
    </row>
    <row r="815" ht="15.75" customHeight="1">
      <c r="A815" s="243"/>
      <c r="B815" s="243"/>
    </row>
    <row r="816" ht="15.75" customHeight="1">
      <c r="A816" s="243"/>
      <c r="B816" s="243"/>
    </row>
    <row r="817" ht="15.75" customHeight="1">
      <c r="A817" s="243"/>
      <c r="B817" s="243"/>
    </row>
    <row r="818" ht="15.75" customHeight="1">
      <c r="A818" s="243"/>
      <c r="B818" s="243"/>
    </row>
    <row r="819" ht="15.75" customHeight="1">
      <c r="A819" s="243"/>
      <c r="B819" s="243"/>
    </row>
    <row r="820" ht="15.75" customHeight="1">
      <c r="A820" s="243"/>
      <c r="B820" s="243"/>
    </row>
    <row r="821" ht="15.75" customHeight="1">
      <c r="A821" s="243"/>
      <c r="B821" s="243"/>
    </row>
    <row r="822" ht="15.75" customHeight="1">
      <c r="A822" s="243"/>
      <c r="B822" s="243"/>
    </row>
    <row r="823" ht="15.75" customHeight="1">
      <c r="A823" s="243"/>
      <c r="B823" s="243"/>
    </row>
    <row r="824" ht="15.75" customHeight="1">
      <c r="A824" s="243"/>
      <c r="B824" s="243"/>
    </row>
    <row r="825" ht="15.75" customHeight="1">
      <c r="A825" s="243"/>
      <c r="B825" s="243"/>
    </row>
    <row r="826" ht="15.75" customHeight="1">
      <c r="A826" s="243"/>
      <c r="B826" s="243"/>
    </row>
    <row r="827" ht="15.75" customHeight="1">
      <c r="A827" s="243"/>
      <c r="B827" s="243"/>
    </row>
    <row r="828" ht="15.75" customHeight="1">
      <c r="A828" s="243"/>
      <c r="B828" s="243"/>
    </row>
    <row r="829" ht="15.75" customHeight="1">
      <c r="A829" s="243"/>
      <c r="B829" s="243"/>
    </row>
    <row r="830" ht="15.75" customHeight="1">
      <c r="A830" s="243"/>
      <c r="B830" s="243"/>
    </row>
    <row r="831" ht="15.75" customHeight="1">
      <c r="A831" s="243"/>
      <c r="B831" s="243"/>
    </row>
    <row r="832" ht="15.75" customHeight="1">
      <c r="A832" s="243"/>
      <c r="B832" s="243"/>
    </row>
    <row r="833" ht="15.75" customHeight="1">
      <c r="A833" s="243"/>
      <c r="B833" s="243"/>
    </row>
    <row r="834" ht="15.75" customHeight="1">
      <c r="A834" s="243"/>
      <c r="B834" s="243"/>
    </row>
    <row r="835" ht="15.75" customHeight="1">
      <c r="A835" s="243"/>
      <c r="B835" s="243"/>
    </row>
    <row r="836" ht="15.75" customHeight="1">
      <c r="A836" s="243"/>
      <c r="B836" s="243"/>
    </row>
    <row r="837" ht="15.75" customHeight="1">
      <c r="A837" s="243"/>
      <c r="B837" s="243"/>
    </row>
    <row r="838" ht="15.75" customHeight="1">
      <c r="A838" s="243"/>
      <c r="B838" s="243"/>
    </row>
    <row r="839" ht="15.75" customHeight="1">
      <c r="A839" s="243"/>
      <c r="B839" s="243"/>
    </row>
    <row r="840" ht="15.75" customHeight="1">
      <c r="A840" s="243"/>
      <c r="B840" s="243"/>
    </row>
    <row r="841" ht="15.75" customHeight="1">
      <c r="A841" s="243"/>
      <c r="B841" s="243"/>
    </row>
    <row r="842" ht="15.75" customHeight="1">
      <c r="A842" s="243"/>
      <c r="B842" s="243"/>
    </row>
    <row r="843" ht="15.75" customHeight="1">
      <c r="A843" s="243"/>
      <c r="B843" s="243"/>
    </row>
    <row r="844" ht="15.75" customHeight="1">
      <c r="A844" s="243"/>
      <c r="B844" s="243"/>
    </row>
    <row r="845" ht="15.75" customHeight="1">
      <c r="A845" s="243"/>
      <c r="B845" s="243"/>
    </row>
    <row r="846" ht="15.75" customHeight="1">
      <c r="A846" s="243"/>
      <c r="B846" s="243"/>
    </row>
    <row r="847" ht="15.75" customHeight="1">
      <c r="A847" s="243"/>
      <c r="B847" s="243"/>
    </row>
    <row r="848" ht="15.75" customHeight="1">
      <c r="A848" s="243"/>
      <c r="B848" s="243"/>
    </row>
    <row r="849" ht="15.75" customHeight="1">
      <c r="A849" s="243"/>
      <c r="B849" s="243"/>
    </row>
    <row r="850" ht="15.75" customHeight="1">
      <c r="A850" s="243"/>
      <c r="B850" s="243"/>
    </row>
    <row r="851" ht="15.75" customHeight="1">
      <c r="A851" s="243"/>
      <c r="B851" s="243"/>
    </row>
    <row r="852" ht="15.75" customHeight="1">
      <c r="A852" s="243"/>
      <c r="B852" s="243"/>
    </row>
    <row r="853" ht="15.75" customHeight="1">
      <c r="A853" s="243"/>
      <c r="B853" s="243"/>
    </row>
    <row r="854" ht="15.75" customHeight="1">
      <c r="A854" s="243"/>
      <c r="B854" s="243"/>
    </row>
    <row r="855" ht="15.75" customHeight="1">
      <c r="A855" s="243"/>
      <c r="B855" s="243"/>
    </row>
    <row r="856" ht="15.75" customHeight="1">
      <c r="A856" s="243"/>
      <c r="B856" s="243"/>
    </row>
    <row r="857" ht="15.75" customHeight="1">
      <c r="A857" s="243"/>
      <c r="B857" s="243"/>
    </row>
    <row r="858" ht="15.75" customHeight="1">
      <c r="A858" s="243"/>
      <c r="B858" s="243"/>
    </row>
    <row r="859" ht="15.75" customHeight="1">
      <c r="A859" s="243"/>
      <c r="B859" s="243"/>
    </row>
    <row r="860" ht="15.75" customHeight="1">
      <c r="A860" s="243"/>
      <c r="B860" s="243"/>
    </row>
    <row r="861" ht="15.75" customHeight="1">
      <c r="A861" s="243"/>
      <c r="B861" s="243"/>
    </row>
    <row r="862" ht="15.75" customHeight="1">
      <c r="A862" s="243"/>
      <c r="B862" s="243"/>
    </row>
    <row r="863" ht="15.75" customHeight="1">
      <c r="A863" s="243"/>
      <c r="B863" s="243"/>
    </row>
    <row r="864" ht="15.75" customHeight="1">
      <c r="A864" s="243"/>
      <c r="B864" s="243"/>
    </row>
    <row r="865" ht="15.75" customHeight="1">
      <c r="A865" s="243"/>
      <c r="B865" s="243"/>
    </row>
    <row r="866" ht="15.75" customHeight="1">
      <c r="A866" s="243"/>
      <c r="B866" s="243"/>
    </row>
    <row r="867" ht="15.75" customHeight="1">
      <c r="A867" s="243"/>
      <c r="B867" s="243"/>
    </row>
    <row r="868" ht="15.75" customHeight="1">
      <c r="A868" s="243"/>
      <c r="B868" s="243"/>
    </row>
    <row r="869" ht="15.75" customHeight="1">
      <c r="A869" s="243"/>
      <c r="B869" s="243"/>
    </row>
    <row r="870" ht="15.75" customHeight="1">
      <c r="A870" s="243"/>
      <c r="B870" s="243"/>
    </row>
    <row r="871" ht="15.75" customHeight="1">
      <c r="A871" s="243"/>
      <c r="B871" s="243"/>
    </row>
    <row r="872" ht="15.75" customHeight="1">
      <c r="A872" s="243"/>
      <c r="B872" s="243"/>
    </row>
    <row r="873" ht="15.75" customHeight="1">
      <c r="A873" s="243"/>
      <c r="B873" s="243"/>
    </row>
    <row r="874" ht="15.75" customHeight="1">
      <c r="A874" s="243"/>
      <c r="B874" s="243"/>
    </row>
    <row r="875" ht="15.75" customHeight="1">
      <c r="A875" s="243"/>
      <c r="B875" s="243"/>
    </row>
    <row r="876" ht="15.75" customHeight="1">
      <c r="A876" s="243"/>
      <c r="B876" s="243"/>
    </row>
    <row r="877" ht="15.75" customHeight="1">
      <c r="A877" s="243"/>
      <c r="B877" s="243"/>
    </row>
    <row r="878" ht="15.75" customHeight="1">
      <c r="A878" s="243"/>
      <c r="B878" s="243"/>
    </row>
    <row r="879" ht="15.75" customHeight="1">
      <c r="A879" s="243"/>
      <c r="B879" s="243"/>
    </row>
    <row r="880" ht="15.75" customHeight="1">
      <c r="A880" s="243"/>
      <c r="B880" s="243"/>
    </row>
    <row r="881" ht="15.75" customHeight="1">
      <c r="A881" s="243"/>
      <c r="B881" s="243"/>
    </row>
    <row r="882" ht="15.75" customHeight="1">
      <c r="A882" s="243"/>
      <c r="B882" s="243"/>
    </row>
    <row r="883" ht="15.75" customHeight="1">
      <c r="A883" s="243"/>
      <c r="B883" s="243"/>
    </row>
    <row r="884" ht="15.75" customHeight="1">
      <c r="A884" s="243"/>
      <c r="B884" s="243"/>
    </row>
    <row r="885" ht="15.75" customHeight="1">
      <c r="A885" s="243"/>
      <c r="B885" s="243"/>
    </row>
    <row r="886" ht="15.75" customHeight="1">
      <c r="A886" s="243"/>
      <c r="B886" s="243"/>
    </row>
    <row r="887" ht="15.75" customHeight="1">
      <c r="A887" s="243"/>
      <c r="B887" s="243"/>
    </row>
    <row r="888" ht="15.75" customHeight="1">
      <c r="A888" s="243"/>
      <c r="B888" s="243"/>
    </row>
    <row r="889" ht="15.75" customHeight="1">
      <c r="A889" s="243"/>
      <c r="B889" s="243"/>
    </row>
    <row r="890" ht="15.75" customHeight="1">
      <c r="A890" s="243"/>
      <c r="B890" s="243"/>
    </row>
    <row r="891" ht="15.75" customHeight="1">
      <c r="A891" s="243"/>
      <c r="B891" s="243"/>
    </row>
    <row r="892" ht="15.75" customHeight="1">
      <c r="A892" s="243"/>
      <c r="B892" s="243"/>
    </row>
    <row r="893" ht="15.75" customHeight="1">
      <c r="A893" s="243"/>
      <c r="B893" s="243"/>
    </row>
    <row r="894" ht="15.75" customHeight="1">
      <c r="A894" s="243"/>
      <c r="B894" s="243"/>
    </row>
    <row r="895" ht="15.75" customHeight="1">
      <c r="A895" s="243"/>
      <c r="B895" s="243"/>
    </row>
    <row r="896" ht="15.75" customHeight="1">
      <c r="A896" s="243"/>
      <c r="B896" s="243"/>
    </row>
    <row r="897" ht="15.75" customHeight="1">
      <c r="A897" s="243"/>
      <c r="B897" s="243"/>
    </row>
    <row r="898" ht="15.75" customHeight="1">
      <c r="A898" s="243"/>
      <c r="B898" s="243"/>
    </row>
    <row r="899" ht="15.75" customHeight="1">
      <c r="A899" s="243"/>
      <c r="B899" s="243"/>
    </row>
    <row r="900" ht="15.75" customHeight="1">
      <c r="A900" s="243"/>
      <c r="B900" s="243"/>
    </row>
    <row r="901" ht="15.75" customHeight="1">
      <c r="A901" s="243"/>
      <c r="B901" s="243"/>
    </row>
    <row r="902" ht="15.75" customHeight="1">
      <c r="A902" s="243"/>
      <c r="B902" s="243"/>
    </row>
    <row r="903" ht="15.75" customHeight="1">
      <c r="A903" s="243"/>
      <c r="B903" s="243"/>
    </row>
    <row r="904" ht="15.75" customHeight="1">
      <c r="A904" s="243"/>
      <c r="B904" s="243"/>
    </row>
    <row r="905" ht="15.75" customHeight="1">
      <c r="A905" s="243"/>
      <c r="B905" s="243"/>
    </row>
    <row r="906" ht="15.75" customHeight="1">
      <c r="A906" s="243"/>
      <c r="B906" s="243"/>
    </row>
    <row r="907" ht="15.75" customHeight="1">
      <c r="A907" s="243"/>
      <c r="B907" s="243"/>
    </row>
    <row r="908" ht="15.75" customHeight="1">
      <c r="A908" s="243"/>
      <c r="B908" s="243"/>
    </row>
    <row r="909" ht="15.75" customHeight="1">
      <c r="A909" s="243"/>
      <c r="B909" s="243"/>
    </row>
    <row r="910" ht="15.75" customHeight="1">
      <c r="A910" s="243"/>
      <c r="B910" s="243"/>
    </row>
    <row r="911" ht="15.75" customHeight="1">
      <c r="A911" s="243"/>
      <c r="B911" s="243"/>
    </row>
    <row r="912" ht="15.75" customHeight="1">
      <c r="A912" s="243"/>
      <c r="B912" s="243"/>
    </row>
    <row r="913" ht="15.75" customHeight="1">
      <c r="A913" s="243"/>
      <c r="B913" s="243"/>
    </row>
    <row r="914" ht="15.75" customHeight="1">
      <c r="A914" s="243"/>
      <c r="B914" s="243"/>
    </row>
    <row r="915" ht="15.75" customHeight="1">
      <c r="A915" s="243"/>
      <c r="B915" s="243"/>
    </row>
    <row r="916" ht="15.75" customHeight="1">
      <c r="A916" s="243"/>
      <c r="B916" s="243"/>
    </row>
    <row r="917" ht="15.75" customHeight="1">
      <c r="A917" s="243"/>
      <c r="B917" s="243"/>
    </row>
    <row r="918" ht="15.75" customHeight="1">
      <c r="A918" s="243"/>
      <c r="B918" s="243"/>
    </row>
    <row r="919" ht="15.75" customHeight="1">
      <c r="A919" s="243"/>
      <c r="B919" s="243"/>
    </row>
    <row r="920" ht="15.75" customHeight="1">
      <c r="A920" s="243"/>
      <c r="B920" s="243"/>
    </row>
    <row r="921" ht="15.75" customHeight="1">
      <c r="A921" s="243"/>
      <c r="B921" s="243"/>
    </row>
    <row r="922" ht="15.75" customHeight="1">
      <c r="A922" s="243"/>
      <c r="B922" s="243"/>
    </row>
    <row r="923" ht="15.75" customHeight="1">
      <c r="A923" s="243"/>
      <c r="B923" s="243"/>
    </row>
    <row r="924" ht="15.75" customHeight="1">
      <c r="A924" s="243"/>
      <c r="B924" s="243"/>
    </row>
    <row r="925" ht="15.75" customHeight="1">
      <c r="A925" s="243"/>
      <c r="B925" s="243"/>
    </row>
    <row r="926" ht="15.75" customHeight="1">
      <c r="A926" s="243"/>
      <c r="B926" s="243"/>
    </row>
    <row r="927" ht="15.75" customHeight="1">
      <c r="A927" s="243"/>
      <c r="B927" s="243"/>
    </row>
    <row r="928" ht="15.75" customHeight="1">
      <c r="A928" s="243"/>
      <c r="B928" s="243"/>
    </row>
    <row r="929" ht="15.75" customHeight="1">
      <c r="A929" s="243"/>
      <c r="B929" s="243"/>
    </row>
    <row r="930" ht="15.75" customHeight="1">
      <c r="A930" s="243"/>
      <c r="B930" s="243"/>
    </row>
    <row r="931" ht="15.75" customHeight="1">
      <c r="A931" s="243"/>
      <c r="B931" s="243"/>
    </row>
    <row r="932" ht="15.75" customHeight="1">
      <c r="A932" s="243"/>
      <c r="B932" s="243"/>
    </row>
    <row r="933" ht="15.75" customHeight="1">
      <c r="A933" s="243"/>
      <c r="B933" s="243"/>
    </row>
    <row r="934" ht="15.75" customHeight="1">
      <c r="A934" s="243"/>
      <c r="B934" s="243"/>
    </row>
    <row r="935" ht="15.75" customHeight="1">
      <c r="A935" s="243"/>
      <c r="B935" s="243"/>
    </row>
    <row r="936" ht="15.75" customHeight="1">
      <c r="A936" s="243"/>
      <c r="B936" s="243"/>
    </row>
    <row r="937" ht="15.75" customHeight="1">
      <c r="A937" s="243"/>
      <c r="B937" s="243"/>
    </row>
    <row r="938" ht="15.75" customHeight="1">
      <c r="A938" s="243"/>
      <c r="B938" s="243"/>
    </row>
    <row r="939" ht="15.75" customHeight="1">
      <c r="A939" s="243"/>
      <c r="B939" s="243"/>
    </row>
    <row r="940" ht="15.75" customHeight="1">
      <c r="A940" s="243"/>
      <c r="B940" s="243"/>
    </row>
    <row r="941" ht="15.75" customHeight="1">
      <c r="A941" s="243"/>
      <c r="B941" s="243"/>
    </row>
    <row r="942" ht="15.75" customHeight="1">
      <c r="A942" s="243"/>
      <c r="B942" s="243"/>
    </row>
    <row r="943" ht="15.75" customHeight="1">
      <c r="A943" s="243"/>
      <c r="B943" s="243"/>
    </row>
    <row r="944" ht="15.75" customHeight="1">
      <c r="A944" s="243"/>
      <c r="B944" s="243"/>
    </row>
    <row r="945" ht="15.75" customHeight="1">
      <c r="A945" s="243"/>
      <c r="B945" s="243"/>
    </row>
    <row r="946" ht="15.75" customHeight="1">
      <c r="A946" s="243"/>
      <c r="B946" s="243"/>
    </row>
    <row r="947" ht="15.75" customHeight="1">
      <c r="A947" s="243"/>
      <c r="B947" s="243"/>
    </row>
    <row r="948" ht="15.75" customHeight="1">
      <c r="A948" s="243"/>
      <c r="B948" s="243"/>
    </row>
    <row r="949" ht="15.75" customHeight="1">
      <c r="A949" s="243"/>
      <c r="B949" s="243"/>
    </row>
    <row r="950" ht="15.75" customHeight="1">
      <c r="A950" s="243"/>
      <c r="B950" s="243"/>
    </row>
    <row r="951" ht="15.75" customHeight="1">
      <c r="A951" s="243"/>
      <c r="B951" s="243"/>
    </row>
    <row r="952" ht="15.75" customHeight="1">
      <c r="A952" s="243"/>
      <c r="B952" s="243"/>
    </row>
    <row r="953" ht="15.75" customHeight="1">
      <c r="A953" s="243"/>
      <c r="B953" s="243"/>
    </row>
    <row r="954" ht="15.75" customHeight="1">
      <c r="A954" s="243"/>
      <c r="B954" s="243"/>
    </row>
    <row r="955" ht="15.75" customHeight="1">
      <c r="A955" s="243"/>
      <c r="B955" s="243"/>
    </row>
    <row r="956" ht="15.75" customHeight="1">
      <c r="A956" s="243"/>
      <c r="B956" s="243"/>
    </row>
    <row r="957" ht="15.75" customHeight="1">
      <c r="A957" s="243"/>
      <c r="B957" s="243"/>
    </row>
    <row r="958" ht="15.75" customHeight="1">
      <c r="A958" s="243"/>
      <c r="B958" s="243"/>
    </row>
    <row r="959" ht="15.75" customHeight="1">
      <c r="A959" s="243"/>
      <c r="B959" s="243"/>
    </row>
    <row r="960" ht="15.75" customHeight="1">
      <c r="A960" s="243"/>
      <c r="B960" s="243"/>
    </row>
    <row r="961" ht="15.75" customHeight="1">
      <c r="A961" s="243"/>
      <c r="B961" s="243"/>
    </row>
    <row r="962" ht="15.75" customHeight="1">
      <c r="A962" s="243"/>
      <c r="B962" s="243"/>
    </row>
    <row r="963" ht="15.75" customHeight="1">
      <c r="A963" s="243"/>
      <c r="B963" s="243"/>
    </row>
    <row r="964" ht="15.75" customHeight="1">
      <c r="A964" s="243"/>
      <c r="B964" s="243"/>
    </row>
    <row r="965" ht="15.75" customHeight="1">
      <c r="A965" s="243"/>
      <c r="B965" s="243"/>
    </row>
    <row r="966" ht="15.75" customHeight="1">
      <c r="A966" s="243"/>
      <c r="B966" s="243"/>
    </row>
    <row r="967" ht="15.75" customHeight="1">
      <c r="A967" s="243"/>
      <c r="B967" s="243"/>
    </row>
    <row r="968" ht="15.75" customHeight="1">
      <c r="A968" s="243"/>
      <c r="B968" s="243"/>
    </row>
    <row r="969" ht="15.75" customHeight="1">
      <c r="A969" s="243"/>
      <c r="B969" s="243"/>
    </row>
    <row r="970" ht="15.75" customHeight="1">
      <c r="A970" s="243"/>
      <c r="B970" s="243"/>
    </row>
    <row r="971" ht="15.75" customHeight="1">
      <c r="A971" s="243"/>
      <c r="B971" s="243"/>
    </row>
    <row r="972" ht="15.75" customHeight="1">
      <c r="A972" s="243"/>
      <c r="B972" s="243"/>
    </row>
    <row r="973" ht="15.75" customHeight="1">
      <c r="A973" s="243"/>
      <c r="B973" s="243"/>
    </row>
    <row r="974" ht="15.75" customHeight="1">
      <c r="A974" s="243"/>
      <c r="B974" s="243"/>
    </row>
    <row r="975" ht="15.75" customHeight="1">
      <c r="A975" s="243"/>
      <c r="B975" s="243"/>
    </row>
    <row r="976" ht="15.75" customHeight="1">
      <c r="A976" s="243"/>
      <c r="B976" s="243"/>
    </row>
    <row r="977" ht="15.75" customHeight="1">
      <c r="A977" s="243"/>
      <c r="B977" s="243"/>
    </row>
    <row r="978" ht="15.75" customHeight="1">
      <c r="A978" s="243"/>
      <c r="B978" s="243"/>
    </row>
    <row r="979" ht="15.75" customHeight="1">
      <c r="A979" s="243"/>
      <c r="B979" s="243"/>
    </row>
    <row r="980" ht="15.75" customHeight="1">
      <c r="A980" s="243"/>
      <c r="B980" s="243"/>
    </row>
    <row r="981" ht="15.75" customHeight="1">
      <c r="A981" s="243"/>
      <c r="B981" s="243"/>
    </row>
    <row r="982" ht="15.75" customHeight="1">
      <c r="A982" s="243"/>
      <c r="B982" s="243"/>
    </row>
    <row r="983" ht="15.75" customHeight="1">
      <c r="A983" s="243"/>
      <c r="B983" s="243"/>
    </row>
    <row r="984" ht="15.75" customHeight="1">
      <c r="A984" s="243"/>
      <c r="B984" s="243"/>
    </row>
    <row r="985" ht="15.75" customHeight="1">
      <c r="A985" s="243"/>
      <c r="B985" s="243"/>
    </row>
    <row r="986" ht="15.75" customHeight="1">
      <c r="A986" s="243"/>
      <c r="B986" s="243"/>
    </row>
    <row r="987" ht="15.75" customHeight="1">
      <c r="A987" s="243"/>
      <c r="B987" s="243"/>
    </row>
    <row r="988" ht="15.75" customHeight="1">
      <c r="A988" s="243"/>
      <c r="B988" s="243"/>
    </row>
    <row r="989" ht="15.75" customHeight="1">
      <c r="A989" s="243"/>
      <c r="B989" s="243"/>
    </row>
    <row r="990" ht="15.75" customHeight="1">
      <c r="A990" s="243"/>
      <c r="B990" s="243"/>
    </row>
    <row r="991" ht="15.75" customHeight="1">
      <c r="A991" s="243"/>
      <c r="B991" s="243"/>
    </row>
    <row r="992" ht="15.75" customHeight="1">
      <c r="A992" s="243"/>
      <c r="B992" s="243"/>
    </row>
    <row r="993" ht="15.75" customHeight="1">
      <c r="A993" s="243"/>
      <c r="B993" s="243"/>
    </row>
    <row r="994" ht="15.75" customHeight="1">
      <c r="A994" s="243"/>
      <c r="B994" s="243"/>
    </row>
    <row r="995" ht="15.75" customHeight="1">
      <c r="A995" s="243"/>
      <c r="B995" s="243"/>
    </row>
    <row r="996" ht="15.75" customHeight="1">
      <c r="A996" s="243"/>
      <c r="B996" s="243"/>
    </row>
    <row r="997" ht="15.75" customHeight="1">
      <c r="A997" s="243"/>
      <c r="B997" s="243"/>
    </row>
    <row r="998" ht="15.75" customHeight="1">
      <c r="A998" s="243"/>
      <c r="B998" s="243"/>
    </row>
    <row r="999" ht="15.75" customHeight="1">
      <c r="A999" s="243"/>
      <c r="B999" s="243"/>
    </row>
    <row r="1000" ht="15.75" customHeight="1">
      <c r="A1000" s="243"/>
      <c r="B1000" s="243"/>
    </row>
  </sheetData>
  <mergeCells count="6">
    <mergeCell ref="A1:A4"/>
    <mergeCell ref="B1:B4"/>
    <mergeCell ref="D1:N1"/>
    <mergeCell ref="D2:M3"/>
    <mergeCell ref="N2:N4"/>
    <mergeCell ref="A22:B22"/>
  </mergeCells>
  <printOptions/>
  <pageMargins bottom="0.75" footer="0.0" header="0.0" left="0.7" right="0.7" top="0.75"/>
  <pageSetup paperSize="9" orientation="landscape"/>
  <colBreaks count="2" manualBreakCount="2">
    <brk man="1"/>
    <brk id="14"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27.63"/>
  </cols>
  <sheetData>
    <row r="1">
      <c r="A1" s="245" t="s">
        <v>3532</v>
      </c>
      <c r="B1" s="245" t="s">
        <v>3532</v>
      </c>
    </row>
    <row r="2">
      <c r="A2" s="245" t="s">
        <v>2519</v>
      </c>
      <c r="B2" s="245" t="s">
        <v>2519</v>
      </c>
    </row>
    <row r="3">
      <c r="A3" s="245" t="s">
        <v>2118</v>
      </c>
      <c r="B3" s="245" t="s">
        <v>2118</v>
      </c>
    </row>
    <row r="4">
      <c r="A4" s="245" t="s">
        <v>4345</v>
      </c>
      <c r="B4" s="245" t="s">
        <v>4345</v>
      </c>
    </row>
    <row r="5">
      <c r="A5" s="245" t="s">
        <v>3582</v>
      </c>
      <c r="B5" s="245" t="s">
        <v>3582</v>
      </c>
    </row>
    <row r="6">
      <c r="A6" s="245" t="s">
        <v>3620</v>
      </c>
      <c r="B6" s="245" t="s">
        <v>3620</v>
      </c>
    </row>
    <row r="7">
      <c r="A7" s="245" t="s">
        <v>3716</v>
      </c>
      <c r="B7" s="245" t="s">
        <v>3716</v>
      </c>
    </row>
    <row r="8">
      <c r="A8" s="245" t="s">
        <v>3794</v>
      </c>
      <c r="B8" s="245" t="s">
        <v>3794</v>
      </c>
    </row>
    <row r="9">
      <c r="A9" s="245" t="s">
        <v>3739</v>
      </c>
      <c r="B9" s="245" t="s">
        <v>3739</v>
      </c>
    </row>
    <row r="10">
      <c r="A10" s="245" t="s">
        <v>10723</v>
      </c>
      <c r="B10" s="245" t="s">
        <v>10723</v>
      </c>
    </row>
    <row r="11">
      <c r="A11" s="245" t="s">
        <v>1900</v>
      </c>
      <c r="B11" s="245" t="s">
        <v>1900</v>
      </c>
    </row>
    <row r="12">
      <c r="A12" s="245" t="s">
        <v>1974</v>
      </c>
      <c r="B12" s="245" t="s">
        <v>1974</v>
      </c>
    </row>
    <row r="13">
      <c r="A13" s="245" t="s">
        <v>1917</v>
      </c>
      <c r="B13" s="245" t="s">
        <v>1917</v>
      </c>
    </row>
    <row r="14">
      <c r="A14" s="245" t="s">
        <v>2253</v>
      </c>
      <c r="B14" s="245" t="s">
        <v>2253</v>
      </c>
    </row>
    <row r="15">
      <c r="A15" s="245" t="s">
        <v>2279</v>
      </c>
      <c r="B15" s="245" t="s">
        <v>2279</v>
      </c>
    </row>
    <row r="16">
      <c r="A16" s="245" t="s">
        <v>3058</v>
      </c>
      <c r="B16" s="245" t="s">
        <v>3058</v>
      </c>
    </row>
    <row r="17">
      <c r="A17" s="245" t="s">
        <v>3349</v>
      </c>
      <c r="B17" s="245" t="s">
        <v>3349</v>
      </c>
    </row>
    <row r="18">
      <c r="A18" s="245" t="s">
        <v>4131</v>
      </c>
      <c r="B18" s="245" t="s">
        <v>4131</v>
      </c>
    </row>
    <row r="19">
      <c r="A19" s="245" t="s">
        <v>2139</v>
      </c>
      <c r="B19" s="245" t="s">
        <v>2139</v>
      </c>
    </row>
    <row r="20">
      <c r="A20" s="245" t="s">
        <v>4205</v>
      </c>
      <c r="B20" s="245" t="s">
        <v>4205</v>
      </c>
    </row>
    <row r="21">
      <c r="A21" s="245" t="s">
        <v>1935</v>
      </c>
      <c r="B21" s="245" t="s">
        <v>1935</v>
      </c>
    </row>
    <row r="22">
      <c r="A22" s="245" t="s">
        <v>2470</v>
      </c>
      <c r="B22" s="245" t="s">
        <v>2470</v>
      </c>
    </row>
    <row r="23">
      <c r="A23" s="245" t="s">
        <v>3642</v>
      </c>
      <c r="B23" s="245" t="s">
        <v>3642</v>
      </c>
    </row>
    <row r="24">
      <c r="A24" s="245" t="s">
        <v>3364</v>
      </c>
      <c r="B24" s="245" t="s">
        <v>3364</v>
      </c>
    </row>
    <row r="25">
      <c r="A25" s="245" t="s">
        <v>3194</v>
      </c>
      <c r="B25" s="245" t="s">
        <v>3194</v>
      </c>
    </row>
    <row r="26">
      <c r="A26" s="245" t="s">
        <v>10736</v>
      </c>
      <c r="B26" s="245" t="s">
        <v>10736</v>
      </c>
    </row>
    <row r="27">
      <c r="A27" s="245" t="s">
        <v>3460</v>
      </c>
      <c r="B27" s="245" t="s">
        <v>3460</v>
      </c>
    </row>
    <row r="28">
      <c r="A28" s="245" t="s">
        <v>2999</v>
      </c>
      <c r="B28" s="245" t="s">
        <v>2999</v>
      </c>
    </row>
    <row r="29">
      <c r="A29" s="245" t="s">
        <v>2930</v>
      </c>
      <c r="B29" s="245" t="s">
        <v>2930</v>
      </c>
    </row>
    <row r="30">
      <c r="A30" s="245" t="s">
        <v>2304</v>
      </c>
      <c r="B30" s="245" t="s">
        <v>2304</v>
      </c>
    </row>
    <row r="31">
      <c r="A31" s="245" t="s">
        <v>3768</v>
      </c>
      <c r="B31" s="245" t="s">
        <v>3768</v>
      </c>
    </row>
    <row r="32">
      <c r="A32" s="245" t="s">
        <v>3171</v>
      </c>
      <c r="B32" s="245" t="s">
        <v>3171</v>
      </c>
    </row>
    <row r="33">
      <c r="A33" s="245" t="s">
        <v>3861</v>
      </c>
      <c r="B33" s="245" t="s">
        <v>3861</v>
      </c>
    </row>
    <row r="34">
      <c r="A34" s="245" t="s">
        <v>4176</v>
      </c>
      <c r="B34" s="245" t="s">
        <v>4176</v>
      </c>
    </row>
    <row r="35">
      <c r="A35" s="245" t="s">
        <v>3080</v>
      </c>
      <c r="B35" s="245" t="s">
        <v>3080</v>
      </c>
    </row>
    <row r="36">
      <c r="A36" s="245" t="s">
        <v>2543</v>
      </c>
      <c r="B36" s="245" t="s">
        <v>2543</v>
      </c>
    </row>
    <row r="37">
      <c r="A37" s="245" t="s">
        <v>3993</v>
      </c>
      <c r="B37" s="245" t="s">
        <v>3993</v>
      </c>
    </row>
    <row r="38">
      <c r="A38" s="245" t="s">
        <v>2443</v>
      </c>
      <c r="B38" s="245" t="s">
        <v>2443</v>
      </c>
    </row>
    <row r="39">
      <c r="A39" s="245" t="s">
        <v>3403</v>
      </c>
      <c r="B39" s="245" t="s">
        <v>3403</v>
      </c>
    </row>
    <row r="40">
      <c r="A40" s="245" t="s">
        <v>3095</v>
      </c>
      <c r="B40" s="245" t="s">
        <v>3095</v>
      </c>
    </row>
    <row r="41">
      <c r="A41" s="245" t="s">
        <v>3439</v>
      </c>
      <c r="B41" s="245" t="s">
        <v>3439</v>
      </c>
    </row>
    <row r="42">
      <c r="A42" s="245" t="s">
        <v>3826</v>
      </c>
      <c r="B42" s="245" t="s">
        <v>3826</v>
      </c>
    </row>
    <row r="43">
      <c r="A43" s="245" t="s">
        <v>4162</v>
      </c>
      <c r="B43" s="245" t="s">
        <v>4162</v>
      </c>
    </row>
    <row r="44">
      <c r="A44" s="245" t="s">
        <v>3257</v>
      </c>
      <c r="B44" s="245" t="s">
        <v>3257</v>
      </c>
    </row>
    <row r="45">
      <c r="A45" s="245" t="s">
        <v>1955</v>
      </c>
      <c r="B45" s="245" t="s">
        <v>1955</v>
      </c>
    </row>
    <row r="46">
      <c r="A46" s="245" t="s">
        <v>10751</v>
      </c>
      <c r="B46" s="245" t="s">
        <v>10751</v>
      </c>
    </row>
    <row r="47">
      <c r="A47" s="245" t="s">
        <v>3112</v>
      </c>
      <c r="B47" s="245" t="s">
        <v>3112</v>
      </c>
    </row>
    <row r="48">
      <c r="A48" s="245" t="s">
        <v>2948</v>
      </c>
      <c r="B48" s="245" t="s">
        <v>2948</v>
      </c>
    </row>
    <row r="49">
      <c r="A49" s="245" t="s">
        <v>4084</v>
      </c>
      <c r="B49" s="245" t="s">
        <v>4084</v>
      </c>
    </row>
    <row r="50">
      <c r="A50" s="245" t="s">
        <v>3845</v>
      </c>
      <c r="B50" s="245" t="s">
        <v>3845</v>
      </c>
    </row>
    <row r="51">
      <c r="A51" s="245" t="s">
        <v>4238</v>
      </c>
      <c r="B51" s="245" t="s">
        <v>4238</v>
      </c>
    </row>
    <row r="52">
      <c r="A52" s="245" t="s">
        <v>1993</v>
      </c>
      <c r="B52" s="245" t="s">
        <v>1993</v>
      </c>
    </row>
    <row r="53">
      <c r="A53" s="245" t="s">
        <v>2565</v>
      </c>
      <c r="B53" s="245" t="s">
        <v>2565</v>
      </c>
    </row>
    <row r="54">
      <c r="A54" s="245" t="s">
        <v>2587</v>
      </c>
      <c r="B54" s="245" t="s">
        <v>2587</v>
      </c>
    </row>
    <row r="55">
      <c r="A55" s="245" t="s">
        <v>2166</v>
      </c>
      <c r="B55" s="245" t="s">
        <v>2166</v>
      </c>
    </row>
    <row r="56">
      <c r="A56" s="245" t="s">
        <v>2968</v>
      </c>
      <c r="B56" s="245" t="s">
        <v>2968</v>
      </c>
    </row>
    <row r="57">
      <c r="A57" s="245" t="s">
        <v>2780</v>
      </c>
      <c r="B57" s="245" t="s">
        <v>2780</v>
      </c>
    </row>
    <row r="58">
      <c r="A58" s="245" t="s">
        <v>2608</v>
      </c>
      <c r="B58" s="245" t="s">
        <v>2608</v>
      </c>
    </row>
    <row r="59">
      <c r="A59" s="245" t="s">
        <v>2802</v>
      </c>
      <c r="B59" s="245" t="s">
        <v>2802</v>
      </c>
    </row>
    <row r="60">
      <c r="A60" s="245" t="s">
        <v>2494</v>
      </c>
      <c r="B60" s="245" t="s">
        <v>2494</v>
      </c>
    </row>
    <row r="61">
      <c r="A61" s="245" t="s">
        <v>3215</v>
      </c>
      <c r="B61" s="245" t="s">
        <v>3215</v>
      </c>
    </row>
    <row r="62">
      <c r="A62" s="245" t="s">
        <v>2211</v>
      </c>
      <c r="B62" s="245" t="s">
        <v>2211</v>
      </c>
    </row>
    <row r="63">
      <c r="A63" s="246" t="s">
        <v>2987</v>
      </c>
      <c r="B63" s="246" t="s">
        <v>2987</v>
      </c>
    </row>
    <row r="64">
      <c r="A64" s="245" t="s">
        <v>3228</v>
      </c>
      <c r="B64" s="245" t="s">
        <v>3228</v>
      </c>
    </row>
    <row r="65">
      <c r="A65" s="245" t="s">
        <v>2845</v>
      </c>
      <c r="B65" s="245" t="s">
        <v>2845</v>
      </c>
    </row>
    <row r="66">
      <c r="A66" s="245" t="s">
        <v>4015</v>
      </c>
      <c r="B66" s="245" t="s">
        <v>4015</v>
      </c>
    </row>
    <row r="67">
      <c r="A67" s="245" t="s">
        <v>2328</v>
      </c>
      <c r="B67" s="245" t="s">
        <v>2328</v>
      </c>
    </row>
    <row r="68">
      <c r="A68" s="245" t="s">
        <v>2040</v>
      </c>
      <c r="B68" s="245" t="s">
        <v>2040</v>
      </c>
    </row>
    <row r="69">
      <c r="A69" s="245" t="s">
        <v>2862</v>
      </c>
      <c r="B69" s="245" t="s">
        <v>2862</v>
      </c>
    </row>
    <row r="70">
      <c r="A70" s="245" t="s">
        <v>3277</v>
      </c>
      <c r="B70" s="245" t="s">
        <v>3277</v>
      </c>
    </row>
    <row r="71">
      <c r="A71" s="245" t="s">
        <v>3292</v>
      </c>
      <c r="B71" s="245" t="s">
        <v>3292</v>
      </c>
    </row>
    <row r="72">
      <c r="A72" s="245" t="s">
        <v>3381</v>
      </c>
      <c r="B72" s="245" t="s">
        <v>3381</v>
      </c>
    </row>
    <row r="73">
      <c r="A73" s="245" t="s">
        <v>3481</v>
      </c>
      <c r="B73" s="245" t="s">
        <v>3481</v>
      </c>
    </row>
    <row r="74">
      <c r="A74" s="245" t="s">
        <v>3422</v>
      </c>
      <c r="B74" s="245" t="s">
        <v>3422</v>
      </c>
    </row>
    <row r="75">
      <c r="A75" s="245" t="s">
        <v>2635</v>
      </c>
      <c r="B75" s="245" t="s">
        <v>2635</v>
      </c>
    </row>
    <row r="76">
      <c r="A76" s="245" t="s">
        <v>2014</v>
      </c>
      <c r="B76" s="245" t="s">
        <v>2014</v>
      </c>
    </row>
    <row r="77">
      <c r="A77" s="245" t="s">
        <v>3018</v>
      </c>
      <c r="B77" s="245" t="s">
        <v>3018</v>
      </c>
    </row>
    <row r="78">
      <c r="A78" s="245" t="s">
        <v>4030</v>
      </c>
      <c r="B78" s="245" t="s">
        <v>4030</v>
      </c>
    </row>
    <row r="79">
      <c r="A79" s="245" t="s">
        <v>3662</v>
      </c>
      <c r="B79" s="245" t="s">
        <v>3662</v>
      </c>
    </row>
    <row r="80">
      <c r="A80" s="245" t="s">
        <v>3962</v>
      </c>
      <c r="B80" s="245" t="s">
        <v>3962</v>
      </c>
    </row>
    <row r="81">
      <c r="A81" s="245" t="s">
        <v>3875</v>
      </c>
      <c r="B81" s="245" t="s">
        <v>3875</v>
      </c>
    </row>
    <row r="82">
      <c r="A82" s="245" t="s">
        <v>3779</v>
      </c>
      <c r="B82" s="245" t="s">
        <v>3779</v>
      </c>
    </row>
    <row r="83">
      <c r="A83" s="245" t="s">
        <v>1852</v>
      </c>
      <c r="B83" s="245" t="s">
        <v>1852</v>
      </c>
    </row>
    <row r="84">
      <c r="A84" s="245" t="s">
        <v>3311</v>
      </c>
      <c r="B84" s="245" t="s">
        <v>3311</v>
      </c>
    </row>
    <row r="85">
      <c r="A85" s="245" t="s">
        <v>3682</v>
      </c>
      <c r="B85" s="245" t="s">
        <v>3682</v>
      </c>
    </row>
    <row r="86">
      <c r="A86" s="245" t="s">
        <v>3039</v>
      </c>
      <c r="B86" s="245" t="s">
        <v>3039</v>
      </c>
    </row>
    <row r="87">
      <c r="A87" s="245" t="s">
        <v>4246</v>
      </c>
      <c r="B87" s="245" t="s">
        <v>4246</v>
      </c>
    </row>
    <row r="88">
      <c r="A88" s="245" t="s">
        <v>4190</v>
      </c>
      <c r="B88" s="245" t="s">
        <v>4190</v>
      </c>
    </row>
    <row r="89">
      <c r="A89" s="245" t="s">
        <v>10784</v>
      </c>
      <c r="B89" s="245" t="s">
        <v>10784</v>
      </c>
    </row>
    <row r="90">
      <c r="A90" s="245" t="s">
        <v>2688</v>
      </c>
      <c r="B90" s="245" t="s">
        <v>2688</v>
      </c>
    </row>
    <row r="91">
      <c r="A91" s="245" t="s">
        <v>10786</v>
      </c>
      <c r="B91" s="245" t="s">
        <v>10786</v>
      </c>
    </row>
    <row r="92">
      <c r="A92" s="245" t="s">
        <v>2237</v>
      </c>
      <c r="B92" s="245" t="s">
        <v>2237</v>
      </c>
    </row>
    <row r="93">
      <c r="A93" s="245" t="s">
        <v>2711</v>
      </c>
      <c r="B93" s="245" t="s">
        <v>2711</v>
      </c>
    </row>
    <row r="94">
      <c r="A94" s="245" t="s">
        <v>3515</v>
      </c>
      <c r="B94" s="245" t="s">
        <v>3515</v>
      </c>
    </row>
    <row r="95">
      <c r="A95" s="245" t="s">
        <v>10789</v>
      </c>
      <c r="B95" s="245" t="s">
        <v>10789</v>
      </c>
    </row>
    <row r="96">
      <c r="A96" s="245" t="s">
        <v>4097</v>
      </c>
      <c r="B96" s="245" t="s">
        <v>4097</v>
      </c>
    </row>
    <row r="97">
      <c r="A97" s="245" t="s">
        <v>4048</v>
      </c>
      <c r="B97" s="245" t="s">
        <v>4048</v>
      </c>
    </row>
    <row r="98">
      <c r="A98" s="245" t="s">
        <v>3130</v>
      </c>
      <c r="B98" s="245" t="s">
        <v>3130</v>
      </c>
    </row>
    <row r="99">
      <c r="A99" s="245" t="s">
        <v>2906</v>
      </c>
      <c r="B99" s="245" t="s">
        <v>2906</v>
      </c>
    </row>
    <row r="100">
      <c r="A100" s="245" t="s">
        <v>2737</v>
      </c>
      <c r="B100" s="245" t="s">
        <v>2737</v>
      </c>
    </row>
    <row r="101">
      <c r="A101" s="245" t="s">
        <v>2756</v>
      </c>
      <c r="B101" s="245" t="s">
        <v>2756</v>
      </c>
    </row>
    <row r="102">
      <c r="A102" s="245" t="s">
        <v>4114</v>
      </c>
      <c r="B102" s="245" t="s">
        <v>4114</v>
      </c>
    </row>
    <row r="103">
      <c r="A103" s="245" t="s">
        <v>3147</v>
      </c>
      <c r="B103" s="245" t="s">
        <v>3147</v>
      </c>
    </row>
    <row r="104">
      <c r="A104" s="245" t="s">
        <v>2389</v>
      </c>
      <c r="B104" s="245" t="s">
        <v>2389</v>
      </c>
    </row>
    <row r="105">
      <c r="A105" s="245" t="s">
        <v>3496</v>
      </c>
      <c r="B105" s="245" t="s">
        <v>3496</v>
      </c>
    </row>
    <row r="106">
      <c r="A106" s="245" t="s">
        <v>10797</v>
      </c>
      <c r="B106" s="245" t="s">
        <v>10797</v>
      </c>
    </row>
    <row r="107">
      <c r="A107" s="245" t="s">
        <v>3980</v>
      </c>
      <c r="B107" s="245" t="s">
        <v>3980</v>
      </c>
    </row>
    <row r="108">
      <c r="A108" s="245" t="s">
        <v>10798</v>
      </c>
      <c r="B108" s="245" t="s">
        <v>10798</v>
      </c>
    </row>
    <row r="109">
      <c r="A109" s="245" t="s">
        <v>2357</v>
      </c>
      <c r="B109" s="245" t="s">
        <v>2357</v>
      </c>
    </row>
    <row r="110">
      <c r="A110" s="245" t="s">
        <v>3914</v>
      </c>
      <c r="B110" s="245" t="s">
        <v>3914</v>
      </c>
    </row>
    <row r="111">
      <c r="A111" s="245" t="s">
        <v>4282</v>
      </c>
      <c r="B111" s="245" t="s">
        <v>4282</v>
      </c>
    </row>
    <row r="112">
      <c r="A112" s="245" t="s">
        <v>2417</v>
      </c>
      <c r="B112" s="245" t="s">
        <v>2417</v>
      </c>
    </row>
    <row r="113">
      <c r="A113" s="245" t="s">
        <v>3240</v>
      </c>
      <c r="B113" s="245" t="s">
        <v>3240</v>
      </c>
    </row>
    <row r="114">
      <c r="A114" s="245" t="s">
        <v>4255</v>
      </c>
      <c r="B114" s="245" t="s">
        <v>4255</v>
      </c>
    </row>
    <row r="115">
      <c r="A115" s="245" t="s">
        <v>4264</v>
      </c>
      <c r="B115" s="245" t="s">
        <v>4264</v>
      </c>
    </row>
    <row r="116">
      <c r="A116" s="245" t="s">
        <v>2882</v>
      </c>
      <c r="B116" s="245" t="s">
        <v>2882</v>
      </c>
    </row>
    <row r="117">
      <c r="A117" s="245" t="s">
        <v>3929</v>
      </c>
      <c r="B117" s="245" t="s">
        <v>3929</v>
      </c>
    </row>
    <row r="118">
      <c r="A118" s="245" t="s">
        <v>3946</v>
      </c>
      <c r="B118" s="245" t="s">
        <v>3946</v>
      </c>
    </row>
    <row r="119">
      <c r="A119" s="245" t="s">
        <v>10803</v>
      </c>
      <c r="B119" s="245" t="s">
        <v>10803</v>
      </c>
    </row>
    <row r="120">
      <c r="A120" s="245" t="s">
        <v>4306</v>
      </c>
      <c r="B120" s="245" t="s">
        <v>4306</v>
      </c>
    </row>
    <row r="121">
      <c r="A121" s="245" t="s">
        <v>2091</v>
      </c>
      <c r="B121" s="245" t="s">
        <v>2091</v>
      </c>
    </row>
    <row r="122">
      <c r="A122" s="245" t="s">
        <v>4067</v>
      </c>
      <c r="B122" s="245" t="s">
        <v>4067</v>
      </c>
    </row>
    <row r="123">
      <c r="A123" s="245" t="s">
        <v>3327</v>
      </c>
      <c r="B123" s="245" t="s">
        <v>3327</v>
      </c>
    </row>
    <row r="124">
      <c r="A124" s="245" t="s">
        <v>4324</v>
      </c>
      <c r="B124" s="245" t="s">
        <v>4324</v>
      </c>
    </row>
    <row r="125">
      <c r="A125" s="247" t="s">
        <v>3532</v>
      </c>
      <c r="B125" s="247" t="s">
        <v>3532</v>
      </c>
    </row>
    <row r="126">
      <c r="A126" s="247" t="s">
        <v>2519</v>
      </c>
      <c r="B126" s="247" t="s">
        <v>2519</v>
      </c>
    </row>
    <row r="127">
      <c r="A127" s="247" t="s">
        <v>2118</v>
      </c>
      <c r="B127" s="247" t="s">
        <v>2118</v>
      </c>
    </row>
    <row r="128">
      <c r="A128" s="247" t="s">
        <v>4345</v>
      </c>
      <c r="B128" s="247" t="s">
        <v>4345</v>
      </c>
    </row>
    <row r="129">
      <c r="A129" s="247" t="s">
        <v>3582</v>
      </c>
      <c r="B129" s="247" t="s">
        <v>3582</v>
      </c>
    </row>
    <row r="130">
      <c r="A130" s="247" t="s">
        <v>3620</v>
      </c>
      <c r="B130" s="247" t="s">
        <v>3620</v>
      </c>
    </row>
    <row r="131">
      <c r="A131" s="247" t="s">
        <v>3716</v>
      </c>
      <c r="B131" s="247" t="s">
        <v>3716</v>
      </c>
    </row>
    <row r="132">
      <c r="A132" s="247" t="s">
        <v>3794</v>
      </c>
      <c r="B132" s="247" t="s">
        <v>3794</v>
      </c>
    </row>
    <row r="133">
      <c r="A133" s="247" t="s">
        <v>3739</v>
      </c>
      <c r="B133" s="247" t="s">
        <v>3739</v>
      </c>
    </row>
    <row r="134">
      <c r="A134" s="247" t="s">
        <v>1900</v>
      </c>
      <c r="B134" s="247" t="s">
        <v>1900</v>
      </c>
    </row>
    <row r="135">
      <c r="A135" s="247" t="s">
        <v>1974</v>
      </c>
      <c r="B135" s="247" t="s">
        <v>1974</v>
      </c>
    </row>
    <row r="136">
      <c r="A136" s="247" t="s">
        <v>1917</v>
      </c>
      <c r="B136" s="247" t="s">
        <v>1917</v>
      </c>
    </row>
    <row r="137">
      <c r="A137" s="247" t="s">
        <v>2253</v>
      </c>
      <c r="B137" s="247" t="s">
        <v>2253</v>
      </c>
    </row>
    <row r="138">
      <c r="A138" s="247" t="s">
        <v>2279</v>
      </c>
      <c r="B138" s="247" t="s">
        <v>2279</v>
      </c>
    </row>
    <row r="139">
      <c r="A139" s="247" t="s">
        <v>3058</v>
      </c>
      <c r="B139" s="247" t="s">
        <v>3058</v>
      </c>
    </row>
    <row r="140">
      <c r="A140" s="247" t="s">
        <v>3349</v>
      </c>
      <c r="B140" s="247" t="s">
        <v>3349</v>
      </c>
    </row>
    <row r="141">
      <c r="A141" s="247" t="s">
        <v>4131</v>
      </c>
      <c r="B141" s="247" t="s">
        <v>4131</v>
      </c>
    </row>
    <row r="142">
      <c r="A142" s="247" t="s">
        <v>2139</v>
      </c>
      <c r="B142" s="247" t="s">
        <v>2139</v>
      </c>
    </row>
    <row r="143">
      <c r="A143" s="247" t="s">
        <v>4205</v>
      </c>
      <c r="B143" s="247" t="s">
        <v>4205</v>
      </c>
    </row>
    <row r="144">
      <c r="A144" s="247" t="s">
        <v>1935</v>
      </c>
      <c r="B144" s="247" t="s">
        <v>1935</v>
      </c>
    </row>
    <row r="145">
      <c r="A145" s="247" t="s">
        <v>2470</v>
      </c>
      <c r="B145" s="247" t="s">
        <v>2470</v>
      </c>
    </row>
    <row r="146">
      <c r="A146" s="247" t="s">
        <v>3642</v>
      </c>
      <c r="B146" s="247" t="s">
        <v>3642</v>
      </c>
    </row>
    <row r="147">
      <c r="A147" s="247" t="s">
        <v>3364</v>
      </c>
      <c r="B147" s="247" t="s">
        <v>3364</v>
      </c>
    </row>
    <row r="148">
      <c r="A148" s="247" t="s">
        <v>3194</v>
      </c>
      <c r="B148" s="247" t="s">
        <v>3194</v>
      </c>
    </row>
    <row r="149">
      <c r="A149" s="247" t="s">
        <v>10736</v>
      </c>
      <c r="B149" s="247" t="s">
        <v>10736</v>
      </c>
    </row>
    <row r="150">
      <c r="A150" s="247" t="s">
        <v>3460</v>
      </c>
      <c r="B150" s="247" t="s">
        <v>3460</v>
      </c>
    </row>
    <row r="151">
      <c r="A151" s="247" t="s">
        <v>2999</v>
      </c>
      <c r="B151" s="247" t="s">
        <v>2999</v>
      </c>
    </row>
    <row r="152">
      <c r="A152" s="247" t="s">
        <v>2930</v>
      </c>
      <c r="B152" s="247" t="s">
        <v>2930</v>
      </c>
    </row>
    <row r="153">
      <c r="A153" s="247" t="s">
        <v>2304</v>
      </c>
      <c r="B153" s="247" t="s">
        <v>2304</v>
      </c>
    </row>
    <row r="154">
      <c r="A154" s="247" t="s">
        <v>3768</v>
      </c>
      <c r="B154" s="247" t="s">
        <v>3768</v>
      </c>
    </row>
    <row r="155">
      <c r="A155" s="247" t="s">
        <v>3171</v>
      </c>
      <c r="B155" s="247" t="s">
        <v>3171</v>
      </c>
    </row>
    <row r="156">
      <c r="A156" s="247" t="s">
        <v>3861</v>
      </c>
      <c r="B156" s="247" t="s">
        <v>3861</v>
      </c>
    </row>
    <row r="157">
      <c r="A157" s="247" t="s">
        <v>4176</v>
      </c>
      <c r="B157" s="247" t="s">
        <v>4176</v>
      </c>
    </row>
    <row r="158">
      <c r="A158" s="247" t="s">
        <v>3080</v>
      </c>
      <c r="B158" s="247" t="s">
        <v>3080</v>
      </c>
    </row>
    <row r="159">
      <c r="A159" s="247" t="s">
        <v>2543</v>
      </c>
      <c r="B159" s="247" t="s">
        <v>2543</v>
      </c>
    </row>
    <row r="160">
      <c r="A160" s="247" t="s">
        <v>3993</v>
      </c>
      <c r="B160" s="247" t="s">
        <v>3993</v>
      </c>
    </row>
    <row r="161">
      <c r="A161" s="247" t="s">
        <v>2443</v>
      </c>
      <c r="B161" s="247" t="s">
        <v>2443</v>
      </c>
    </row>
    <row r="162">
      <c r="A162" s="247" t="s">
        <v>3403</v>
      </c>
      <c r="B162" s="247" t="s">
        <v>3403</v>
      </c>
    </row>
    <row r="163">
      <c r="A163" s="247" t="s">
        <v>3095</v>
      </c>
      <c r="B163" s="247" t="s">
        <v>3095</v>
      </c>
    </row>
    <row r="164">
      <c r="A164" s="247" t="s">
        <v>3439</v>
      </c>
      <c r="B164" s="247" t="s">
        <v>3439</v>
      </c>
    </row>
    <row r="165">
      <c r="A165" s="247" t="s">
        <v>3826</v>
      </c>
      <c r="B165" s="247" t="s">
        <v>3826</v>
      </c>
    </row>
    <row r="166">
      <c r="A166" s="247" t="s">
        <v>4162</v>
      </c>
      <c r="B166" s="247" t="s">
        <v>4162</v>
      </c>
    </row>
    <row r="167">
      <c r="A167" s="247" t="s">
        <v>3257</v>
      </c>
      <c r="B167" s="247" t="s">
        <v>3257</v>
      </c>
    </row>
    <row r="168">
      <c r="A168" s="247" t="s">
        <v>1955</v>
      </c>
      <c r="B168" s="247" t="s">
        <v>1955</v>
      </c>
    </row>
    <row r="169">
      <c r="A169" s="247" t="s">
        <v>10751</v>
      </c>
      <c r="B169" s="247" t="s">
        <v>10751</v>
      </c>
    </row>
    <row r="170">
      <c r="A170" s="247" t="s">
        <v>3112</v>
      </c>
      <c r="B170" s="247" t="s">
        <v>3112</v>
      </c>
    </row>
    <row r="171">
      <c r="A171" s="247" t="s">
        <v>2948</v>
      </c>
      <c r="B171" s="247" t="s">
        <v>2948</v>
      </c>
    </row>
    <row r="172">
      <c r="A172" s="247" t="s">
        <v>4084</v>
      </c>
      <c r="B172" s="247" t="s">
        <v>4084</v>
      </c>
    </row>
    <row r="173">
      <c r="A173" s="247" t="s">
        <v>3845</v>
      </c>
      <c r="B173" s="247" t="s">
        <v>3845</v>
      </c>
    </row>
    <row r="174">
      <c r="A174" s="247" t="s">
        <v>4238</v>
      </c>
      <c r="B174" s="247" t="s">
        <v>4238</v>
      </c>
    </row>
    <row r="175">
      <c r="A175" s="247" t="s">
        <v>1993</v>
      </c>
      <c r="B175" s="247" t="s">
        <v>1993</v>
      </c>
    </row>
    <row r="176">
      <c r="A176" s="247" t="s">
        <v>2565</v>
      </c>
      <c r="B176" s="247" t="s">
        <v>2565</v>
      </c>
    </row>
    <row r="177">
      <c r="A177" s="247" t="s">
        <v>2587</v>
      </c>
      <c r="B177" s="247" t="s">
        <v>2587</v>
      </c>
    </row>
    <row r="178">
      <c r="A178" s="247" t="s">
        <v>2166</v>
      </c>
      <c r="B178" s="247" t="s">
        <v>2166</v>
      </c>
    </row>
    <row r="179">
      <c r="A179" s="247" t="s">
        <v>2968</v>
      </c>
      <c r="B179" s="247" t="s">
        <v>2968</v>
      </c>
    </row>
    <row r="180">
      <c r="A180" s="247" t="s">
        <v>2780</v>
      </c>
      <c r="B180" s="247" t="s">
        <v>2780</v>
      </c>
    </row>
    <row r="181">
      <c r="A181" s="247" t="s">
        <v>2608</v>
      </c>
      <c r="B181" s="247" t="s">
        <v>2608</v>
      </c>
    </row>
    <row r="182">
      <c r="A182" s="247" t="s">
        <v>2802</v>
      </c>
      <c r="B182" s="247" t="s">
        <v>2802</v>
      </c>
    </row>
    <row r="183">
      <c r="A183" s="247" t="s">
        <v>2494</v>
      </c>
      <c r="B183" s="247" t="s">
        <v>2494</v>
      </c>
    </row>
    <row r="184">
      <c r="A184" s="247" t="s">
        <v>3215</v>
      </c>
      <c r="B184" s="247" t="s">
        <v>3215</v>
      </c>
    </row>
    <row r="185">
      <c r="A185" s="247" t="s">
        <v>2211</v>
      </c>
      <c r="B185" s="247" t="s">
        <v>2211</v>
      </c>
    </row>
    <row r="186">
      <c r="A186" s="248" t="s">
        <v>2987</v>
      </c>
      <c r="B186" s="248" t="s">
        <v>2987</v>
      </c>
    </row>
    <row r="187">
      <c r="A187" s="247" t="s">
        <v>3228</v>
      </c>
      <c r="B187" s="247" t="s">
        <v>3228</v>
      </c>
    </row>
    <row r="188">
      <c r="A188" s="247" t="s">
        <v>2845</v>
      </c>
      <c r="B188" s="247" t="s">
        <v>2845</v>
      </c>
    </row>
    <row r="189">
      <c r="A189" s="247" t="s">
        <v>4015</v>
      </c>
      <c r="B189" s="247" t="s">
        <v>4015</v>
      </c>
    </row>
    <row r="190">
      <c r="A190" s="247" t="s">
        <v>2328</v>
      </c>
      <c r="B190" s="247" t="s">
        <v>2328</v>
      </c>
    </row>
    <row r="191">
      <c r="A191" s="247" t="s">
        <v>2040</v>
      </c>
      <c r="B191" s="247" t="s">
        <v>2040</v>
      </c>
    </row>
    <row r="192">
      <c r="A192" s="247" t="s">
        <v>2862</v>
      </c>
      <c r="B192" s="247" t="s">
        <v>2862</v>
      </c>
    </row>
    <row r="193">
      <c r="A193" s="247" t="s">
        <v>3277</v>
      </c>
      <c r="B193" s="247" t="s">
        <v>3277</v>
      </c>
    </row>
    <row r="194">
      <c r="A194" s="247" t="s">
        <v>3292</v>
      </c>
      <c r="B194" s="247" t="s">
        <v>3292</v>
      </c>
    </row>
    <row r="195">
      <c r="A195" s="247" t="s">
        <v>3381</v>
      </c>
      <c r="B195" s="247" t="s">
        <v>3381</v>
      </c>
    </row>
    <row r="196">
      <c r="A196" s="247" t="s">
        <v>3481</v>
      </c>
      <c r="B196" s="247" t="s">
        <v>3481</v>
      </c>
    </row>
    <row r="197">
      <c r="A197" s="247" t="s">
        <v>3422</v>
      </c>
      <c r="B197" s="247" t="s">
        <v>3422</v>
      </c>
    </row>
    <row r="198">
      <c r="A198" s="247" t="s">
        <v>2635</v>
      </c>
      <c r="B198" s="247" t="s">
        <v>2635</v>
      </c>
    </row>
    <row r="199">
      <c r="A199" s="247" t="s">
        <v>2635</v>
      </c>
      <c r="B199" s="247" t="s">
        <v>2635</v>
      </c>
    </row>
    <row r="200">
      <c r="A200" s="247" t="s">
        <v>2014</v>
      </c>
      <c r="B200" s="247" t="s">
        <v>2014</v>
      </c>
    </row>
    <row r="201">
      <c r="A201" s="247" t="s">
        <v>3018</v>
      </c>
      <c r="B201" s="247" t="s">
        <v>3018</v>
      </c>
    </row>
    <row r="202">
      <c r="A202" s="247" t="s">
        <v>4030</v>
      </c>
      <c r="B202" s="247" t="s">
        <v>4030</v>
      </c>
    </row>
    <row r="203">
      <c r="A203" s="247" t="s">
        <v>3662</v>
      </c>
      <c r="B203" s="247" t="s">
        <v>3662</v>
      </c>
    </row>
    <row r="204">
      <c r="A204" s="247" t="s">
        <v>3962</v>
      </c>
      <c r="B204" s="247" t="s">
        <v>3962</v>
      </c>
    </row>
    <row r="205">
      <c r="A205" s="247" t="s">
        <v>3875</v>
      </c>
      <c r="B205" s="247" t="s">
        <v>3875</v>
      </c>
    </row>
    <row r="206">
      <c r="A206" s="247" t="s">
        <v>3779</v>
      </c>
      <c r="B206" s="247" t="s">
        <v>3779</v>
      </c>
    </row>
    <row r="207">
      <c r="A207" s="247" t="s">
        <v>1852</v>
      </c>
      <c r="B207" s="247" t="s">
        <v>1852</v>
      </c>
    </row>
    <row r="208">
      <c r="A208" s="247" t="s">
        <v>1852</v>
      </c>
      <c r="B208" s="247" t="s">
        <v>1852</v>
      </c>
    </row>
    <row r="209">
      <c r="A209" s="247" t="s">
        <v>3311</v>
      </c>
      <c r="B209" s="247" t="s">
        <v>3311</v>
      </c>
    </row>
    <row r="210">
      <c r="A210" s="247" t="s">
        <v>3682</v>
      </c>
      <c r="B210" s="247" t="s">
        <v>3682</v>
      </c>
    </row>
    <row r="211">
      <c r="A211" s="247" t="s">
        <v>3039</v>
      </c>
      <c r="B211" s="247" t="s">
        <v>3039</v>
      </c>
    </row>
    <row r="212">
      <c r="A212" s="247" t="s">
        <v>4246</v>
      </c>
      <c r="B212" s="247" t="s">
        <v>4246</v>
      </c>
    </row>
    <row r="213">
      <c r="A213" s="247" t="s">
        <v>4190</v>
      </c>
      <c r="B213" s="247" t="s">
        <v>4190</v>
      </c>
    </row>
    <row r="214">
      <c r="A214" s="247" t="s">
        <v>10784</v>
      </c>
      <c r="B214" s="247" t="s">
        <v>10784</v>
      </c>
    </row>
    <row r="215">
      <c r="A215" s="247" t="s">
        <v>2688</v>
      </c>
      <c r="B215" s="247" t="s">
        <v>2688</v>
      </c>
    </row>
    <row r="216">
      <c r="A216" s="247" t="s">
        <v>10786</v>
      </c>
      <c r="B216" s="247" t="s">
        <v>10786</v>
      </c>
    </row>
    <row r="217">
      <c r="A217" s="247" t="s">
        <v>2237</v>
      </c>
      <c r="B217" s="247" t="s">
        <v>2237</v>
      </c>
    </row>
    <row r="218">
      <c r="A218" s="247" t="s">
        <v>2711</v>
      </c>
      <c r="B218" s="247" t="s">
        <v>2711</v>
      </c>
    </row>
    <row r="219">
      <c r="A219" s="247" t="s">
        <v>3515</v>
      </c>
      <c r="B219" s="247" t="s">
        <v>3515</v>
      </c>
    </row>
    <row r="220">
      <c r="A220" s="247" t="s">
        <v>10789</v>
      </c>
      <c r="B220" s="247" t="s">
        <v>10789</v>
      </c>
    </row>
    <row r="221">
      <c r="A221" s="247" t="s">
        <v>4097</v>
      </c>
      <c r="B221" s="247" t="s">
        <v>4097</v>
      </c>
    </row>
    <row r="222">
      <c r="A222" s="247" t="s">
        <v>4048</v>
      </c>
      <c r="B222" s="247" t="s">
        <v>4048</v>
      </c>
    </row>
    <row r="223">
      <c r="A223" s="247" t="s">
        <v>3130</v>
      </c>
      <c r="B223" s="247" t="s">
        <v>3130</v>
      </c>
    </row>
    <row r="224">
      <c r="A224" s="247" t="s">
        <v>2906</v>
      </c>
      <c r="B224" s="247" t="s">
        <v>2906</v>
      </c>
    </row>
    <row r="225">
      <c r="A225" s="247" t="s">
        <v>2737</v>
      </c>
      <c r="B225" s="247" t="s">
        <v>2737</v>
      </c>
    </row>
    <row r="226">
      <c r="A226" s="247" t="s">
        <v>2756</v>
      </c>
      <c r="B226" s="247" t="s">
        <v>2756</v>
      </c>
    </row>
    <row r="227">
      <c r="A227" s="247" t="s">
        <v>4114</v>
      </c>
      <c r="B227" s="247" t="s">
        <v>4114</v>
      </c>
    </row>
    <row r="228">
      <c r="A228" s="247" t="s">
        <v>3147</v>
      </c>
      <c r="B228" s="247" t="s">
        <v>3147</v>
      </c>
    </row>
    <row r="229">
      <c r="A229" s="247" t="s">
        <v>2389</v>
      </c>
      <c r="B229" s="247" t="s">
        <v>2389</v>
      </c>
    </row>
    <row r="230">
      <c r="A230" s="247" t="s">
        <v>3496</v>
      </c>
      <c r="B230" s="247" t="s">
        <v>3496</v>
      </c>
    </row>
    <row r="231">
      <c r="A231" s="247" t="s">
        <v>10797</v>
      </c>
      <c r="B231" s="247" t="s">
        <v>10797</v>
      </c>
    </row>
    <row r="232">
      <c r="A232" s="247" t="s">
        <v>3980</v>
      </c>
      <c r="B232" s="247" t="s">
        <v>3980</v>
      </c>
    </row>
    <row r="233">
      <c r="A233" s="247" t="s">
        <v>10798</v>
      </c>
      <c r="B233" s="247" t="s">
        <v>10798</v>
      </c>
    </row>
    <row r="234">
      <c r="A234" s="247" t="s">
        <v>2357</v>
      </c>
      <c r="B234" s="247" t="s">
        <v>2357</v>
      </c>
    </row>
    <row r="235">
      <c r="A235" s="247" t="s">
        <v>3914</v>
      </c>
      <c r="B235" s="247" t="s">
        <v>3914</v>
      </c>
    </row>
    <row r="236">
      <c r="A236" s="247" t="s">
        <v>4282</v>
      </c>
      <c r="B236" s="247" t="s">
        <v>4282</v>
      </c>
    </row>
    <row r="237">
      <c r="A237" s="247" t="s">
        <v>2417</v>
      </c>
      <c r="B237" s="247" t="s">
        <v>2417</v>
      </c>
    </row>
    <row r="238">
      <c r="A238" s="247" t="s">
        <v>3240</v>
      </c>
      <c r="B238" s="247" t="s">
        <v>3240</v>
      </c>
    </row>
    <row r="239">
      <c r="A239" s="247" t="s">
        <v>4255</v>
      </c>
      <c r="B239" s="247" t="s">
        <v>4255</v>
      </c>
    </row>
    <row r="240">
      <c r="A240" s="247" t="s">
        <v>4264</v>
      </c>
      <c r="B240" s="247" t="s">
        <v>4264</v>
      </c>
    </row>
    <row r="241">
      <c r="A241" s="247" t="s">
        <v>2882</v>
      </c>
      <c r="B241" s="247" t="s">
        <v>2882</v>
      </c>
    </row>
    <row r="242">
      <c r="A242" s="247" t="s">
        <v>3929</v>
      </c>
      <c r="B242" s="247" t="s">
        <v>3929</v>
      </c>
    </row>
    <row r="243">
      <c r="A243" s="247" t="s">
        <v>3946</v>
      </c>
      <c r="B243" s="247" t="s">
        <v>3946</v>
      </c>
    </row>
    <row r="244">
      <c r="A244" s="247" t="s">
        <v>10803</v>
      </c>
      <c r="B244" s="247" t="s">
        <v>10803</v>
      </c>
    </row>
    <row r="245">
      <c r="A245" s="247" t="s">
        <v>4306</v>
      </c>
      <c r="B245" s="247" t="s">
        <v>4306</v>
      </c>
    </row>
    <row r="246">
      <c r="A246" s="247" t="s">
        <v>2091</v>
      </c>
      <c r="B246" s="247" t="s">
        <v>2091</v>
      </c>
    </row>
    <row r="247">
      <c r="A247" s="247" t="s">
        <v>4067</v>
      </c>
      <c r="B247" s="247" t="s">
        <v>4067</v>
      </c>
    </row>
    <row r="248">
      <c r="A248" s="247" t="s">
        <v>3327</v>
      </c>
      <c r="B248" s="247" t="s">
        <v>3327</v>
      </c>
    </row>
    <row r="249">
      <c r="A249" s="247" t="s">
        <v>4324</v>
      </c>
      <c r="B249" s="247" t="s">
        <v>4324</v>
      </c>
    </row>
  </sheetData>
  <conditionalFormatting sqref="A56:B57">
    <cfRule type="expression" dxfId="3" priority="1">
      <formula>countif(A:A, A56) &gt;1</formula>
    </cfRule>
  </conditionalFormatting>
  <conditionalFormatting sqref="A54:B55">
    <cfRule type="expression" dxfId="3" priority="2">
      <formula>countif(A:A, A54) &gt;1</formula>
    </cfRule>
  </conditionalFormatting>
  <conditionalFormatting sqref="A53:B53">
    <cfRule type="expression" dxfId="3" priority="3">
      <formula>countif(A:A, A53) &gt;1</formula>
    </cfRule>
  </conditionalFormatting>
  <conditionalFormatting sqref="A52:B52">
    <cfRule type="expression" dxfId="3" priority="4">
      <formula>countif(A:A, A52) &gt;1</formula>
    </cfRule>
  </conditionalFormatting>
  <conditionalFormatting sqref="A51:B51">
    <cfRule type="expression" dxfId="3" priority="5">
      <formula>countif(A:A, A51) &gt;1</formula>
    </cfRule>
  </conditionalFormatting>
  <conditionalFormatting sqref="A50:B50">
    <cfRule type="expression" dxfId="3" priority="6">
      <formula>countif(A:A, A50) &gt;1</formula>
    </cfRule>
  </conditionalFormatting>
  <conditionalFormatting sqref="A49:B49">
    <cfRule type="expression" dxfId="3" priority="7">
      <formula>countif(A:A, A49) &gt;1</formula>
    </cfRule>
  </conditionalFormatting>
  <conditionalFormatting sqref="A48:B48">
    <cfRule type="expression" dxfId="3" priority="8">
      <formula>countif(A:A, A48) &gt;1</formula>
    </cfRule>
  </conditionalFormatting>
  <conditionalFormatting sqref="A47:B47">
    <cfRule type="expression" dxfId="3" priority="9">
      <formula>countif(A:A, A47) &gt;1</formula>
    </cfRule>
  </conditionalFormatting>
  <conditionalFormatting sqref="A46:B46">
    <cfRule type="expression" dxfId="3" priority="10">
      <formula>countif(A:A, A46) &gt;1</formula>
    </cfRule>
  </conditionalFormatting>
  <conditionalFormatting sqref="A45:B45">
    <cfRule type="expression" dxfId="3" priority="11">
      <formula>countif(A:A, A45) &gt;1</formula>
    </cfRule>
  </conditionalFormatting>
  <conditionalFormatting sqref="A44:B44">
    <cfRule type="expression" dxfId="3" priority="12">
      <formula>countif(A:A, A44) &gt;1</formula>
    </cfRule>
  </conditionalFormatting>
  <conditionalFormatting sqref="A43:B43">
    <cfRule type="expression" dxfId="3" priority="13">
      <formula>countif(A:A, A43) &gt;1</formula>
    </cfRule>
  </conditionalFormatting>
  <conditionalFormatting sqref="A41:B42">
    <cfRule type="expression" dxfId="3" priority="14">
      <formula>countif(A:A, A41) &gt;1</formula>
    </cfRule>
  </conditionalFormatting>
  <conditionalFormatting sqref="A40:B40">
    <cfRule type="expression" dxfId="3" priority="15">
      <formula>countif(A:A, A40) &gt;1</formula>
    </cfRule>
  </conditionalFormatting>
  <conditionalFormatting sqref="A39:B39">
    <cfRule type="expression" dxfId="3" priority="16">
      <formula>countif(A:A, A39) &gt;1</formula>
    </cfRule>
  </conditionalFormatting>
  <conditionalFormatting sqref="A37:B38">
    <cfRule type="expression" dxfId="3" priority="17">
      <formula>countif(A:A, A37) &gt;1</formula>
    </cfRule>
  </conditionalFormatting>
  <conditionalFormatting sqref="A36:B36">
    <cfRule type="expression" dxfId="3" priority="18">
      <formula>countif(A:A, A36) &gt;1</formula>
    </cfRule>
  </conditionalFormatting>
  <conditionalFormatting sqref="A35:B35">
    <cfRule type="expression" dxfId="3" priority="19">
      <formula>countif(A:A, A35) &gt;1</formula>
    </cfRule>
  </conditionalFormatting>
  <conditionalFormatting sqref="A34:B34">
    <cfRule type="expression" dxfId="3" priority="20">
      <formula>countif(A:A, A34) &gt;1</formula>
    </cfRule>
  </conditionalFormatting>
  <conditionalFormatting sqref="A33:B33">
    <cfRule type="expression" dxfId="3" priority="21">
      <formula>countif(A:A, A33) &gt;1</formula>
    </cfRule>
  </conditionalFormatting>
  <conditionalFormatting sqref="A32:B32">
    <cfRule type="expression" dxfId="3" priority="22">
      <formula>countif(A:A, A32) &gt;1</formula>
    </cfRule>
  </conditionalFormatting>
  <conditionalFormatting sqref="A31:B31">
    <cfRule type="expression" dxfId="3" priority="23">
      <formula>countif(A:A, A31) &gt;1</formula>
    </cfRule>
  </conditionalFormatting>
  <conditionalFormatting sqref="A30:B30">
    <cfRule type="expression" dxfId="3" priority="24">
      <formula>countif(A:A, A30) &gt;1</formula>
    </cfRule>
  </conditionalFormatting>
  <conditionalFormatting sqref="A29:B29">
    <cfRule type="expression" dxfId="3" priority="25">
      <formula>countif(A:A, A29) &gt;1</formula>
    </cfRule>
  </conditionalFormatting>
  <conditionalFormatting sqref="A28:B28">
    <cfRule type="expression" dxfId="3" priority="26">
      <formula>countif(A:A, A28) &gt;1</formula>
    </cfRule>
  </conditionalFormatting>
  <conditionalFormatting sqref="A27:B27">
    <cfRule type="expression" dxfId="3" priority="27">
      <formula>countif(A:A, A27) &gt;1</formula>
    </cfRule>
  </conditionalFormatting>
  <conditionalFormatting sqref="A26:B26">
    <cfRule type="expression" dxfId="3" priority="28">
      <formula>countif(A:A, A26) &gt;1</formula>
    </cfRule>
  </conditionalFormatting>
  <conditionalFormatting sqref="A24:B25">
    <cfRule type="expression" dxfId="3" priority="29">
      <formula>countif(A:A, A24) &gt;1</formula>
    </cfRule>
  </conditionalFormatting>
  <conditionalFormatting sqref="A23:B23">
    <cfRule type="expression" dxfId="3" priority="30">
      <formula>countif(A:A, A23) &gt;1</formula>
    </cfRule>
  </conditionalFormatting>
  <conditionalFormatting sqref="A22:B22">
    <cfRule type="expression" dxfId="3" priority="31">
      <formula>countif(A:A, A22) &gt;1</formula>
    </cfRule>
  </conditionalFormatting>
  <conditionalFormatting sqref="A21:B21">
    <cfRule type="expression" dxfId="3" priority="32">
      <formula>countif(A:A, A21) &gt;1</formula>
    </cfRule>
  </conditionalFormatting>
  <conditionalFormatting sqref="A20:B20">
    <cfRule type="expression" dxfId="3" priority="33">
      <formula>countif(A:A, A20) &gt;1</formula>
    </cfRule>
  </conditionalFormatting>
  <conditionalFormatting sqref="A19:B19">
    <cfRule type="expression" dxfId="3" priority="34">
      <formula>countif(A:A, A19) &gt;1</formula>
    </cfRule>
  </conditionalFormatting>
  <conditionalFormatting sqref="A18:B18">
    <cfRule type="expression" dxfId="3" priority="35">
      <formula>countif(A:A, A18) &gt;1</formula>
    </cfRule>
  </conditionalFormatting>
  <conditionalFormatting sqref="A16:B17">
    <cfRule type="expression" dxfId="3" priority="36">
      <formula>countif(A:A, A16) &gt;1</formula>
    </cfRule>
  </conditionalFormatting>
  <conditionalFormatting sqref="A13:B15">
    <cfRule type="expression" dxfId="3" priority="37">
      <formula>countif(A:A, A13) &gt;1</formula>
    </cfRule>
  </conditionalFormatting>
  <conditionalFormatting sqref="A12:B12">
    <cfRule type="expression" dxfId="3" priority="38">
      <formula>countif(A:A, A12) &gt;1</formula>
    </cfRule>
  </conditionalFormatting>
  <conditionalFormatting sqref="A11:B11">
    <cfRule type="expression" dxfId="3" priority="39">
      <formula>countif(A:A, A11) &gt;1</formula>
    </cfRule>
  </conditionalFormatting>
  <conditionalFormatting sqref="A10:B10">
    <cfRule type="expression" dxfId="3" priority="40">
      <formula>countif(A:A, A10) &gt;1</formula>
    </cfRule>
  </conditionalFormatting>
  <conditionalFormatting sqref="A9:B9">
    <cfRule type="expression" dxfId="3" priority="41">
      <formula>countif(A:A, A9) &gt;1</formula>
    </cfRule>
  </conditionalFormatting>
  <conditionalFormatting sqref="A7:B8">
    <cfRule type="expression" dxfId="3" priority="42">
      <formula>countif(A:A, A7) &gt;1</formula>
    </cfRule>
  </conditionalFormatting>
  <conditionalFormatting sqref="A5:B6">
    <cfRule type="expression" dxfId="3" priority="43">
      <formula>countif(A:A, A5) &gt;1</formula>
    </cfRule>
  </conditionalFormatting>
  <conditionalFormatting sqref="A4:B4">
    <cfRule type="expression" dxfId="3" priority="44">
      <formula>countif(A:A, A4) &gt;1</formula>
    </cfRule>
  </conditionalFormatting>
  <conditionalFormatting sqref="A3:B3">
    <cfRule type="expression" dxfId="3" priority="45">
      <formula>countif(A:A, A3) &gt;1</formula>
    </cfRule>
  </conditionalFormatting>
  <conditionalFormatting sqref="A2:B2">
    <cfRule type="expression" dxfId="3" priority="46">
      <formula>countif(A:A, A2) &gt;1</formula>
    </cfRule>
  </conditionalFormatting>
  <conditionalFormatting sqref="A1:B1">
    <cfRule type="expression" dxfId="4" priority="47">
      <formula>countif(A:A, A1) &gt;1</formula>
    </cfRule>
  </conditionalFormatting>
  <dataValidations>
    <dataValidation type="list" allowBlank="1" showErrorMessage="1" sqref="A3:B3 A10:B13 A19:B19 A21:B21 A45:B45 A52:B52 A55:B55 A68:B68 A76:B76 A83:B83 A92:B92 A119:B119 A121:B121">
      <formula1>#REF!</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63"/>
    <col customWidth="1" min="2" max="2" width="27.5"/>
    <col customWidth="1" min="3" max="3" width="17.13"/>
    <col customWidth="1" min="4" max="4" width="31.38"/>
    <col customWidth="1" min="5" max="6" width="12.63"/>
    <col customWidth="1" min="8" max="8" width="35.38"/>
    <col customWidth="1" min="9" max="9" width="18.13"/>
    <col customWidth="1" min="10" max="10" width="22.0"/>
    <col customWidth="1" min="11" max="11" width="22.13"/>
    <col customWidth="1" min="12" max="12" width="20.63"/>
    <col customWidth="1" min="13" max="13" width="20.0"/>
    <col customWidth="1" min="14" max="14" width="33.25"/>
    <col customWidth="1" min="17" max="17" width="26.63"/>
    <col customWidth="1" min="18" max="18" width="19.38"/>
  </cols>
  <sheetData>
    <row r="1" ht="15.75" customHeight="1">
      <c r="A1" s="249" t="s">
        <v>15</v>
      </c>
      <c r="B1" s="250" t="s">
        <v>1</v>
      </c>
      <c r="C1" s="251" t="s">
        <v>1250</v>
      </c>
      <c r="D1" s="252" t="s">
        <v>11033</v>
      </c>
      <c r="E1" s="253"/>
      <c r="F1" s="253"/>
      <c r="G1" s="253"/>
      <c r="H1" s="253"/>
      <c r="I1" s="253"/>
      <c r="J1" s="253"/>
      <c r="K1" s="253"/>
      <c r="L1" s="253"/>
      <c r="M1" s="253"/>
      <c r="N1" s="253"/>
      <c r="O1" s="253"/>
      <c r="P1" s="253"/>
      <c r="Q1" s="253"/>
      <c r="R1" s="253"/>
    </row>
    <row r="2" ht="15.75" customHeight="1">
      <c r="A2" s="7"/>
      <c r="B2" s="124"/>
      <c r="E2" s="253"/>
      <c r="F2" s="253"/>
      <c r="G2" s="253"/>
      <c r="H2" s="253"/>
      <c r="I2" s="253"/>
      <c r="J2" s="253"/>
      <c r="K2" s="253"/>
      <c r="L2" s="253"/>
      <c r="M2" s="253"/>
      <c r="N2" s="253"/>
      <c r="O2" s="253"/>
      <c r="P2" s="253"/>
      <c r="Q2" s="253"/>
      <c r="R2" s="253"/>
    </row>
    <row r="3" ht="15.75" customHeight="1">
      <c r="A3" s="7"/>
      <c r="B3" s="124"/>
      <c r="E3" s="254"/>
      <c r="F3" s="254"/>
      <c r="G3" s="254"/>
      <c r="H3" s="254"/>
      <c r="I3" s="254"/>
      <c r="J3" s="254"/>
      <c r="K3" s="254" t="s">
        <v>11042</v>
      </c>
      <c r="L3" s="254" t="s">
        <v>11043</v>
      </c>
      <c r="M3" s="254" t="s">
        <v>11044</v>
      </c>
      <c r="N3" s="254" t="s">
        <v>11045</v>
      </c>
      <c r="O3" s="254" t="s">
        <v>11046</v>
      </c>
      <c r="P3" s="254" t="s">
        <v>11047</v>
      </c>
      <c r="Q3" s="254" t="s">
        <v>11048</v>
      </c>
      <c r="R3" s="254" t="s">
        <v>11049</v>
      </c>
      <c r="S3" s="255"/>
      <c r="T3" s="255"/>
      <c r="U3" s="255"/>
      <c r="V3" s="255"/>
      <c r="W3" s="255"/>
      <c r="X3" s="255"/>
      <c r="Y3" s="255"/>
      <c r="Z3" s="255"/>
    </row>
    <row r="4" ht="15.75" customHeight="1">
      <c r="A4" s="20"/>
      <c r="B4" s="19"/>
      <c r="E4" s="253"/>
      <c r="F4" s="253"/>
      <c r="G4" s="253"/>
      <c r="H4" s="254" t="s">
        <v>11054</v>
      </c>
      <c r="I4" s="253"/>
      <c r="J4" s="254" t="s">
        <v>11056</v>
      </c>
      <c r="K4" s="254" t="s">
        <v>11057</v>
      </c>
      <c r="L4" s="253" t="s">
        <v>65</v>
      </c>
      <c r="M4" s="253" t="s">
        <v>74</v>
      </c>
      <c r="N4" s="256" t="s">
        <v>7659</v>
      </c>
      <c r="O4" s="253" t="s">
        <v>11059</v>
      </c>
      <c r="P4" s="257" t="s">
        <v>11061</v>
      </c>
      <c r="Q4" s="258" t="s">
        <v>11064</v>
      </c>
      <c r="R4" s="253" t="s">
        <v>11065</v>
      </c>
    </row>
    <row r="5" ht="15.75" customHeight="1">
      <c r="A5" s="259" t="s">
        <v>11</v>
      </c>
      <c r="B5" s="260" t="s">
        <v>12</v>
      </c>
      <c r="C5" s="261" t="s">
        <v>8583</v>
      </c>
      <c r="D5" s="262" t="s">
        <v>4096</v>
      </c>
      <c r="E5" s="253" t="s">
        <v>64</v>
      </c>
      <c r="F5" s="253" t="s">
        <v>62</v>
      </c>
      <c r="G5" s="253" t="s">
        <v>63</v>
      </c>
      <c r="H5" s="263" t="s">
        <v>11072</v>
      </c>
      <c r="I5" s="253" t="s">
        <v>11074</v>
      </c>
      <c r="J5" s="253" t="s">
        <v>66</v>
      </c>
      <c r="K5" s="253" t="s">
        <v>3770</v>
      </c>
      <c r="L5" s="253" t="s">
        <v>155</v>
      </c>
      <c r="M5" s="253" t="s">
        <v>93</v>
      </c>
      <c r="N5" s="256" t="s">
        <v>6751</v>
      </c>
      <c r="O5" s="253" t="s">
        <v>79</v>
      </c>
      <c r="P5" s="257" t="s">
        <v>11075</v>
      </c>
      <c r="Q5" s="258" t="s">
        <v>11076</v>
      </c>
      <c r="R5" s="253" t="s">
        <v>11077</v>
      </c>
    </row>
    <row r="6" ht="15.75" customHeight="1">
      <c r="A6" s="259" t="s">
        <v>52</v>
      </c>
      <c r="B6" s="260" t="s">
        <v>89</v>
      </c>
      <c r="C6" s="261" t="s">
        <v>7082</v>
      </c>
      <c r="D6" s="262" t="s">
        <v>11079</v>
      </c>
      <c r="E6" s="253" t="s">
        <v>59</v>
      </c>
      <c r="F6" s="253" t="s">
        <v>663</v>
      </c>
      <c r="G6" s="253" t="s">
        <v>111</v>
      </c>
      <c r="H6" s="263" t="s">
        <v>28</v>
      </c>
      <c r="I6" s="253" t="s">
        <v>11081</v>
      </c>
      <c r="J6" s="253" t="s">
        <v>5219</v>
      </c>
      <c r="K6" s="253" t="s">
        <v>74</v>
      </c>
      <c r="L6" s="253" t="s">
        <v>3406</v>
      </c>
      <c r="M6" s="253" t="s">
        <v>8104</v>
      </c>
      <c r="N6" s="98" t="s">
        <v>533</v>
      </c>
      <c r="O6" s="253"/>
      <c r="P6" s="253"/>
      <c r="Q6" s="253"/>
      <c r="R6" s="253" t="s">
        <v>11085</v>
      </c>
    </row>
    <row r="7" ht="15.75" customHeight="1">
      <c r="A7" s="259" t="s">
        <v>188</v>
      </c>
      <c r="B7" s="260" t="s">
        <v>189</v>
      </c>
      <c r="C7" s="261" t="s">
        <v>7127</v>
      </c>
      <c r="D7" s="262" t="s">
        <v>11086</v>
      </c>
      <c r="E7" s="253"/>
      <c r="F7" s="253"/>
      <c r="G7" s="253" t="s">
        <v>68</v>
      </c>
      <c r="H7" s="263" t="s">
        <v>2234</v>
      </c>
      <c r="I7" s="253"/>
      <c r="J7" s="253" t="s">
        <v>1469</v>
      </c>
      <c r="K7" s="253" t="s">
        <v>93</v>
      </c>
      <c r="L7" s="253" t="s">
        <v>7917</v>
      </c>
      <c r="M7" s="253" t="s">
        <v>61</v>
      </c>
      <c r="N7" s="253" t="s">
        <v>61</v>
      </c>
      <c r="O7" s="253"/>
      <c r="P7" s="253"/>
      <c r="Q7" s="253"/>
      <c r="R7" s="253"/>
    </row>
    <row r="8" ht="15.75" customHeight="1">
      <c r="A8" s="259" t="s">
        <v>265</v>
      </c>
      <c r="B8" s="260" t="s">
        <v>268</v>
      </c>
      <c r="C8" s="261" t="s">
        <v>4618</v>
      </c>
      <c r="D8" s="262" t="s">
        <v>888</v>
      </c>
      <c r="E8" s="253"/>
      <c r="F8" s="253"/>
      <c r="G8" s="253"/>
      <c r="H8" s="263" t="s">
        <v>6393</v>
      </c>
      <c r="I8" s="253"/>
      <c r="J8" s="253" t="s">
        <v>221</v>
      </c>
      <c r="K8" s="253" t="s">
        <v>11092</v>
      </c>
      <c r="L8" s="253" t="s">
        <v>2305</v>
      </c>
      <c r="M8" s="253"/>
      <c r="N8" s="253"/>
      <c r="O8" s="253"/>
      <c r="P8" s="253"/>
      <c r="Q8" s="253"/>
      <c r="R8" s="253"/>
    </row>
    <row r="9" ht="15.75" customHeight="1">
      <c r="A9" s="259" t="s">
        <v>351</v>
      </c>
      <c r="B9" s="260" t="s">
        <v>353</v>
      </c>
      <c r="C9" s="261" t="s">
        <v>1167</v>
      </c>
      <c r="D9" s="262" t="s">
        <v>5545</v>
      </c>
      <c r="E9" s="253"/>
      <c r="F9" s="253"/>
      <c r="G9" s="253"/>
      <c r="H9" s="263" t="s">
        <v>734</v>
      </c>
      <c r="I9" s="253"/>
      <c r="J9" s="253" t="s">
        <v>71</v>
      </c>
      <c r="K9" s="253"/>
      <c r="L9" s="253" t="s">
        <v>3077</v>
      </c>
      <c r="M9" s="253"/>
      <c r="O9" s="253"/>
      <c r="P9" s="253"/>
      <c r="Q9" s="253"/>
      <c r="R9" s="253"/>
    </row>
    <row r="10" ht="15.75" customHeight="1">
      <c r="A10" s="259" t="s">
        <v>422</v>
      </c>
      <c r="B10" s="260" t="s">
        <v>423</v>
      </c>
      <c r="C10" s="261" t="s">
        <v>3829</v>
      </c>
      <c r="D10" s="262" t="s">
        <v>11097</v>
      </c>
      <c r="E10" s="253"/>
      <c r="F10" s="253"/>
      <c r="G10" s="253"/>
      <c r="H10" s="263" t="s">
        <v>11099</v>
      </c>
      <c r="I10" s="253"/>
      <c r="J10" s="253" t="s">
        <v>11101</v>
      </c>
      <c r="K10" s="254" t="s">
        <v>11102</v>
      </c>
      <c r="L10" s="253" t="s">
        <v>8045</v>
      </c>
      <c r="M10" s="253"/>
      <c r="N10" s="253"/>
      <c r="O10" s="253"/>
      <c r="P10" s="253"/>
      <c r="Q10" s="253"/>
      <c r="R10" s="253"/>
    </row>
    <row r="11" ht="15.75" customHeight="1">
      <c r="A11" s="259" t="s">
        <v>509</v>
      </c>
      <c r="B11" s="260" t="s">
        <v>511</v>
      </c>
      <c r="C11" s="261" t="s">
        <v>4660</v>
      </c>
      <c r="D11" s="262" t="s">
        <v>11104</v>
      </c>
      <c r="E11" s="253"/>
      <c r="F11" s="253"/>
      <c r="G11" s="253"/>
      <c r="H11" s="263" t="s">
        <v>221</v>
      </c>
      <c r="I11" s="253"/>
      <c r="J11" s="253"/>
      <c r="K11" s="253" t="s">
        <v>11105</v>
      </c>
      <c r="L11" s="253" t="s">
        <v>8103</v>
      </c>
      <c r="M11" s="253"/>
      <c r="N11" s="253"/>
      <c r="O11" s="253"/>
      <c r="P11" s="253"/>
      <c r="Q11" s="253"/>
      <c r="R11" s="253"/>
    </row>
    <row r="12" ht="15.75" customHeight="1">
      <c r="A12" s="259" t="s">
        <v>581</v>
      </c>
      <c r="B12" s="260" t="s">
        <v>587</v>
      </c>
      <c r="C12" s="261" t="s">
        <v>3672</v>
      </c>
      <c r="D12" s="262" t="s">
        <v>11106</v>
      </c>
      <c r="E12" s="253"/>
      <c r="F12" s="253"/>
      <c r="G12" s="253"/>
      <c r="H12" s="263" t="s">
        <v>10081</v>
      </c>
      <c r="I12" s="253"/>
      <c r="J12" s="253"/>
      <c r="K12" s="253" t="s">
        <v>11108</v>
      </c>
      <c r="L12" s="253" t="s">
        <v>5872</v>
      </c>
      <c r="M12" s="253"/>
      <c r="N12" s="253"/>
      <c r="O12" s="253"/>
      <c r="P12" s="253"/>
      <c r="Q12" s="253"/>
      <c r="R12" s="253"/>
    </row>
    <row r="13" ht="15.75" customHeight="1">
      <c r="A13" s="259" t="s">
        <v>682</v>
      </c>
      <c r="B13" s="260" t="s">
        <v>684</v>
      </c>
      <c r="C13" s="261" t="s">
        <v>1776</v>
      </c>
      <c r="D13" s="262" t="s">
        <v>11110</v>
      </c>
      <c r="E13" s="253"/>
      <c r="F13" s="253"/>
      <c r="G13" s="253"/>
      <c r="H13" s="263" t="s">
        <v>11112</v>
      </c>
      <c r="I13" s="253"/>
      <c r="J13" s="253"/>
      <c r="K13" s="253"/>
      <c r="L13" s="256" t="s">
        <v>2638</v>
      </c>
      <c r="M13" s="253"/>
      <c r="N13" s="253"/>
      <c r="O13" s="253"/>
      <c r="P13" s="253"/>
      <c r="Q13" s="253"/>
      <c r="R13" s="253"/>
    </row>
    <row r="14" ht="15.75" customHeight="1">
      <c r="A14" s="259" t="s">
        <v>764</v>
      </c>
      <c r="B14" s="260" t="s">
        <v>765</v>
      </c>
      <c r="C14" s="261" t="s">
        <v>2197</v>
      </c>
      <c r="D14" s="262" t="s">
        <v>11115</v>
      </c>
      <c r="E14" s="253"/>
      <c r="F14" s="253"/>
      <c r="G14" s="253"/>
      <c r="H14" s="263" t="s">
        <v>11116</v>
      </c>
      <c r="I14" s="253"/>
      <c r="J14" s="253"/>
      <c r="K14" s="253"/>
      <c r="L14" s="253" t="s">
        <v>61</v>
      </c>
      <c r="M14" s="253"/>
      <c r="N14" s="253"/>
      <c r="O14" s="253"/>
      <c r="P14" s="253"/>
      <c r="Q14" s="253"/>
      <c r="R14" s="253"/>
    </row>
    <row r="15" ht="15.75" customHeight="1">
      <c r="A15" s="259" t="s">
        <v>808</v>
      </c>
      <c r="B15" s="260" t="s">
        <v>809</v>
      </c>
      <c r="C15" s="261" t="s">
        <v>579</v>
      </c>
      <c r="D15" s="262" t="s">
        <v>336</v>
      </c>
      <c r="E15" s="253"/>
      <c r="F15" s="253"/>
      <c r="G15" s="253"/>
      <c r="H15" s="263" t="s">
        <v>11120</v>
      </c>
      <c r="I15" s="253"/>
      <c r="J15" s="253"/>
      <c r="K15" s="254" t="s">
        <v>11121</v>
      </c>
      <c r="L15" s="253"/>
      <c r="M15" s="253"/>
      <c r="N15" s="253"/>
      <c r="O15" s="253"/>
      <c r="P15" s="253"/>
      <c r="Q15" s="253"/>
      <c r="R15" s="253"/>
    </row>
    <row r="16" ht="15.75" customHeight="1">
      <c r="A16" s="259" t="s">
        <v>887</v>
      </c>
      <c r="B16" s="260" t="s">
        <v>890</v>
      </c>
      <c r="C16" s="261" t="s">
        <v>316</v>
      </c>
      <c r="D16" s="262" t="s">
        <v>11122</v>
      </c>
      <c r="E16" s="253"/>
      <c r="F16" s="253"/>
      <c r="G16" s="253"/>
      <c r="H16" s="263" t="s">
        <v>9799</v>
      </c>
      <c r="I16" s="253"/>
      <c r="J16" s="253"/>
      <c r="K16" s="253" t="s">
        <v>11124</v>
      </c>
      <c r="L16" s="253"/>
      <c r="M16" s="253"/>
      <c r="N16" s="253"/>
      <c r="O16" s="253"/>
      <c r="P16" s="253"/>
      <c r="Q16" s="253"/>
      <c r="R16" s="253"/>
    </row>
    <row r="17" ht="15.75" customHeight="1">
      <c r="A17" s="259" t="s">
        <v>949</v>
      </c>
      <c r="B17" s="260" t="s">
        <v>3998</v>
      </c>
      <c r="C17" s="261" t="s">
        <v>935</v>
      </c>
      <c r="D17" s="262" t="s">
        <v>11126</v>
      </c>
      <c r="E17" s="253"/>
      <c r="F17" s="253"/>
      <c r="G17" s="253"/>
      <c r="H17" s="263" t="s">
        <v>5219</v>
      </c>
      <c r="I17" s="253"/>
      <c r="J17" s="253"/>
      <c r="K17" s="253" t="s">
        <v>11129</v>
      </c>
      <c r="L17" s="253"/>
      <c r="M17" s="253"/>
      <c r="N17" s="253"/>
      <c r="O17" s="253"/>
      <c r="P17" s="253"/>
      <c r="Q17" s="253"/>
      <c r="R17" s="253"/>
    </row>
    <row r="18" ht="15.75" customHeight="1">
      <c r="A18" s="259" t="s">
        <v>1026</v>
      </c>
      <c r="B18" s="260" t="s">
        <v>1028</v>
      </c>
      <c r="C18" s="261" t="s">
        <v>3761</v>
      </c>
      <c r="D18" s="262" t="s">
        <v>11132</v>
      </c>
      <c r="E18" s="253"/>
      <c r="F18" s="253"/>
      <c r="G18" s="253"/>
      <c r="H18" s="263" t="s">
        <v>11133</v>
      </c>
      <c r="I18" s="253"/>
      <c r="J18" s="253"/>
      <c r="K18" s="253" t="s">
        <v>11134</v>
      </c>
      <c r="L18" s="253"/>
      <c r="M18" s="253"/>
      <c r="N18" s="253"/>
      <c r="O18" s="253"/>
      <c r="P18" s="253"/>
      <c r="Q18" s="253"/>
      <c r="R18" s="253"/>
    </row>
    <row r="19" ht="15.75" customHeight="1">
      <c r="A19" s="259" t="s">
        <v>1098</v>
      </c>
      <c r="B19" s="260" t="s">
        <v>1099</v>
      </c>
      <c r="C19" s="261" t="s">
        <v>5485</v>
      </c>
      <c r="D19" s="262" t="s">
        <v>11137</v>
      </c>
      <c r="E19" s="253"/>
      <c r="F19" s="253"/>
      <c r="G19" s="253"/>
      <c r="H19" s="263" t="s">
        <v>11138</v>
      </c>
      <c r="I19" s="253"/>
      <c r="J19" s="253"/>
      <c r="K19" s="253" t="s">
        <v>11139</v>
      </c>
      <c r="L19" s="253"/>
      <c r="M19" s="253"/>
      <c r="N19" s="253"/>
      <c r="O19" s="253"/>
      <c r="P19" s="253"/>
      <c r="Q19" s="253"/>
      <c r="R19" s="253"/>
    </row>
    <row r="20" ht="15.75" customHeight="1">
      <c r="A20" s="259" t="s">
        <v>1323</v>
      </c>
      <c r="B20" s="260" t="s">
        <v>4380</v>
      </c>
      <c r="C20" s="261" t="s">
        <v>1408</v>
      </c>
      <c r="D20" s="262" t="s">
        <v>11140</v>
      </c>
      <c r="E20" s="253"/>
      <c r="F20" s="253"/>
      <c r="G20" s="253"/>
      <c r="H20" s="263" t="s">
        <v>11142</v>
      </c>
      <c r="I20" s="253"/>
      <c r="J20" s="253"/>
      <c r="K20" s="253" t="s">
        <v>11143</v>
      </c>
      <c r="L20" s="253"/>
      <c r="M20" s="253"/>
      <c r="N20" s="253"/>
      <c r="O20" s="253"/>
      <c r="P20" s="253"/>
      <c r="Q20" s="253"/>
      <c r="R20" s="253"/>
    </row>
    <row r="21" ht="15.75" customHeight="1">
      <c r="A21" s="259" t="s">
        <v>1418</v>
      </c>
      <c r="B21" s="260" t="s">
        <v>1420</v>
      </c>
      <c r="C21" s="261" t="s">
        <v>6115</v>
      </c>
      <c r="D21" s="262" t="s">
        <v>11145</v>
      </c>
      <c r="E21" s="253"/>
      <c r="F21" s="253"/>
      <c r="G21" s="253"/>
      <c r="H21" s="263" t="s">
        <v>11147</v>
      </c>
      <c r="I21" s="253"/>
      <c r="J21" s="253"/>
      <c r="K21" s="253"/>
      <c r="L21" s="253"/>
      <c r="M21" s="253"/>
      <c r="N21" s="253"/>
      <c r="O21" s="253"/>
      <c r="P21" s="253"/>
      <c r="Q21" s="253"/>
      <c r="R21" s="253"/>
    </row>
    <row r="22" ht="15.75" customHeight="1">
      <c r="A22" s="253"/>
      <c r="B22" s="253"/>
      <c r="C22" s="264" t="s">
        <v>6907</v>
      </c>
      <c r="D22" s="265" t="s">
        <v>1404</v>
      </c>
      <c r="E22" s="253"/>
      <c r="F22" s="253"/>
      <c r="G22" s="253"/>
      <c r="H22" s="263"/>
      <c r="I22" s="253"/>
      <c r="J22" s="253"/>
      <c r="K22" s="253"/>
      <c r="L22" s="253"/>
      <c r="M22" s="253"/>
      <c r="N22" s="253"/>
      <c r="O22" s="253"/>
      <c r="P22" s="253"/>
      <c r="Q22" s="253"/>
      <c r="R22" s="253"/>
    </row>
    <row r="23" ht="15.75" customHeight="1">
      <c r="A23" s="253"/>
      <c r="B23" s="253"/>
      <c r="C23" s="261" t="s">
        <v>709</v>
      </c>
      <c r="D23" s="262" t="s">
        <v>9902</v>
      </c>
      <c r="E23" s="253"/>
      <c r="F23" s="253"/>
      <c r="G23" s="253"/>
      <c r="H23" s="263" t="s">
        <v>6775</v>
      </c>
      <c r="I23" s="253"/>
      <c r="J23" s="253"/>
      <c r="K23" s="253"/>
      <c r="L23" s="253"/>
      <c r="M23" s="253"/>
      <c r="N23" s="253"/>
      <c r="O23" s="253"/>
      <c r="P23" s="253"/>
      <c r="Q23" s="253"/>
      <c r="R23" s="253"/>
    </row>
    <row r="24" ht="15.75" customHeight="1">
      <c r="A24" s="253"/>
      <c r="B24" s="253"/>
      <c r="C24" s="261" t="s">
        <v>11155</v>
      </c>
      <c r="D24" s="262" t="s">
        <v>3590</v>
      </c>
      <c r="E24" s="253"/>
      <c r="F24" s="253"/>
      <c r="G24" s="253"/>
      <c r="H24" s="263" t="s">
        <v>8882</v>
      </c>
      <c r="I24" s="253"/>
      <c r="J24" s="253"/>
      <c r="K24" s="253"/>
      <c r="L24" s="253"/>
      <c r="M24" s="253"/>
      <c r="N24" s="253"/>
      <c r="O24" s="253"/>
      <c r="P24" s="253"/>
      <c r="Q24" s="253"/>
      <c r="R24" s="253"/>
    </row>
    <row r="25" ht="15.75" customHeight="1">
      <c r="A25" s="253"/>
      <c r="B25" s="253"/>
      <c r="C25" s="261" t="s">
        <v>366</v>
      </c>
      <c r="D25" s="262" t="s">
        <v>6877</v>
      </c>
      <c r="E25" s="253"/>
      <c r="F25" s="253"/>
      <c r="G25" s="253"/>
      <c r="H25" s="263" t="s">
        <v>11159</v>
      </c>
      <c r="I25" s="253"/>
      <c r="J25" s="253"/>
      <c r="K25" s="253"/>
      <c r="L25" s="253"/>
      <c r="M25" s="253"/>
      <c r="N25" s="253"/>
      <c r="O25" s="253"/>
      <c r="P25" s="253"/>
      <c r="Q25" s="253"/>
      <c r="R25" s="253"/>
    </row>
    <row r="26" ht="15.75" customHeight="1">
      <c r="A26" s="253"/>
      <c r="B26" s="253"/>
      <c r="C26" s="261" t="s">
        <v>4339</v>
      </c>
      <c r="D26" s="262" t="s">
        <v>11161</v>
      </c>
      <c r="E26" s="253"/>
      <c r="F26" s="253"/>
      <c r="G26" s="253"/>
      <c r="H26" s="263"/>
      <c r="I26" s="253"/>
      <c r="J26" s="253"/>
      <c r="K26" s="253"/>
      <c r="L26" s="253"/>
      <c r="M26" s="253"/>
      <c r="N26" s="253"/>
      <c r="O26" s="253"/>
      <c r="P26" s="253"/>
      <c r="Q26" s="253"/>
      <c r="R26" s="253"/>
    </row>
    <row r="27" ht="15.75" customHeight="1">
      <c r="A27" s="253"/>
      <c r="B27" s="253"/>
      <c r="C27" s="261" t="s">
        <v>1209</v>
      </c>
      <c r="D27" s="262" t="s">
        <v>11165</v>
      </c>
      <c r="E27" s="253"/>
      <c r="F27" s="253"/>
      <c r="G27" s="253"/>
      <c r="H27" s="253"/>
      <c r="I27" s="253"/>
      <c r="J27" s="253"/>
      <c r="K27" s="253"/>
      <c r="L27" s="253"/>
      <c r="M27" s="253"/>
      <c r="N27" s="253"/>
      <c r="O27" s="253"/>
      <c r="P27" s="253"/>
      <c r="Q27" s="253"/>
      <c r="R27" s="253"/>
    </row>
    <row r="28" ht="15.75" customHeight="1">
      <c r="A28" s="253"/>
      <c r="B28" s="253"/>
      <c r="C28" s="261" t="s">
        <v>2310</v>
      </c>
      <c r="D28" s="262" t="s">
        <v>418</v>
      </c>
      <c r="E28" s="253"/>
      <c r="F28" s="253"/>
      <c r="G28" s="253"/>
      <c r="H28" s="253"/>
      <c r="I28" s="253"/>
      <c r="J28" s="253"/>
      <c r="K28" s="253"/>
      <c r="L28" s="253"/>
      <c r="M28" s="253"/>
      <c r="N28" s="253"/>
      <c r="O28" s="253"/>
      <c r="P28" s="253"/>
      <c r="Q28" s="253"/>
      <c r="R28" s="253"/>
    </row>
    <row r="29" ht="15.75" customHeight="1">
      <c r="A29" s="253"/>
      <c r="B29" s="253"/>
      <c r="C29" s="261" t="s">
        <v>4717</v>
      </c>
      <c r="D29" s="262" t="s">
        <v>11168</v>
      </c>
      <c r="E29" s="253"/>
      <c r="F29" s="253"/>
      <c r="G29" s="253"/>
      <c r="H29" s="253"/>
      <c r="I29" s="253"/>
      <c r="J29" s="253"/>
      <c r="K29" s="253"/>
      <c r="L29" s="253"/>
      <c r="M29" s="253"/>
      <c r="N29" s="253"/>
      <c r="O29" s="253"/>
      <c r="P29" s="253"/>
      <c r="Q29" s="253"/>
      <c r="R29" s="253"/>
    </row>
    <row r="30" ht="15.75" customHeight="1">
      <c r="A30" s="253"/>
      <c r="B30" s="253"/>
      <c r="C30" s="261" t="s">
        <v>4417</v>
      </c>
      <c r="D30" s="262" t="s">
        <v>11172</v>
      </c>
      <c r="E30" s="253"/>
      <c r="F30" s="253"/>
      <c r="G30" s="253"/>
      <c r="H30" s="253"/>
      <c r="I30" s="253"/>
      <c r="J30" s="253"/>
      <c r="K30" s="253"/>
      <c r="L30" s="253"/>
      <c r="M30" s="253"/>
      <c r="N30" s="253"/>
      <c r="O30" s="253"/>
      <c r="P30" s="253"/>
      <c r="Q30" s="253"/>
      <c r="R30" s="253"/>
    </row>
    <row r="31" ht="15.75" customHeight="1">
      <c r="A31" s="253"/>
      <c r="B31" s="253"/>
      <c r="C31" s="261" t="s">
        <v>994</v>
      </c>
      <c r="D31" s="262" t="s">
        <v>11174</v>
      </c>
      <c r="E31" s="253"/>
      <c r="F31" s="253"/>
      <c r="G31" s="253"/>
      <c r="H31" s="253"/>
      <c r="I31" s="253"/>
      <c r="J31" s="253"/>
      <c r="K31" s="253"/>
      <c r="L31" s="253"/>
      <c r="M31" s="253"/>
      <c r="N31" s="253"/>
      <c r="O31" s="253"/>
      <c r="P31" s="253"/>
      <c r="Q31" s="253"/>
      <c r="R31" s="253"/>
    </row>
    <row r="32" ht="15.75" customHeight="1">
      <c r="A32" s="253"/>
      <c r="B32" s="253"/>
      <c r="C32" s="261" t="s">
        <v>1498</v>
      </c>
      <c r="D32" s="262" t="s">
        <v>11176</v>
      </c>
      <c r="E32" s="253"/>
      <c r="F32" s="253"/>
      <c r="G32" s="253"/>
      <c r="H32" s="253"/>
      <c r="I32" s="253"/>
      <c r="J32" s="253"/>
      <c r="K32" s="253"/>
      <c r="L32" s="253"/>
      <c r="M32" s="253"/>
      <c r="N32" s="253"/>
      <c r="O32" s="253"/>
      <c r="P32" s="253"/>
      <c r="Q32" s="253"/>
      <c r="R32" s="253"/>
    </row>
    <row r="33" ht="15.75" customHeight="1">
      <c r="A33" s="253"/>
      <c r="B33" s="253"/>
      <c r="C33" s="261" t="s">
        <v>6709</v>
      </c>
      <c r="D33" s="262" t="s">
        <v>11178</v>
      </c>
      <c r="E33" s="253"/>
      <c r="F33" s="253"/>
      <c r="G33" s="253"/>
      <c r="H33" s="253"/>
      <c r="I33" s="253"/>
      <c r="J33" s="253"/>
      <c r="K33" s="253"/>
      <c r="L33" s="253"/>
      <c r="M33" s="253"/>
      <c r="N33" s="253"/>
      <c r="O33" s="253"/>
      <c r="P33" s="253"/>
      <c r="Q33" s="253"/>
      <c r="R33" s="253"/>
    </row>
    <row r="34" ht="15.75" customHeight="1">
      <c r="A34" s="253"/>
      <c r="B34" s="253"/>
      <c r="C34" s="261" t="s">
        <v>207</v>
      </c>
      <c r="D34" s="262" t="s">
        <v>11181</v>
      </c>
      <c r="E34" s="253"/>
      <c r="F34" s="253"/>
      <c r="G34" s="253"/>
      <c r="H34" s="253"/>
      <c r="I34" s="253"/>
      <c r="J34" s="253"/>
      <c r="K34" s="253"/>
      <c r="L34" s="253"/>
      <c r="M34" s="253"/>
      <c r="N34" s="253"/>
      <c r="O34" s="253"/>
      <c r="P34" s="253"/>
      <c r="Q34" s="253"/>
      <c r="R34" s="253"/>
    </row>
    <row r="35" ht="15.75" customHeight="1">
      <c r="A35" s="253"/>
      <c r="B35" s="253"/>
      <c r="C35" s="261" t="s">
        <v>1169</v>
      </c>
      <c r="D35" s="262" t="s">
        <v>11183</v>
      </c>
      <c r="E35" s="253"/>
      <c r="F35" s="253"/>
      <c r="G35" s="253"/>
      <c r="H35" s="253"/>
      <c r="I35" s="253"/>
      <c r="J35" s="253"/>
      <c r="K35" s="253"/>
      <c r="L35" s="253"/>
      <c r="M35" s="253"/>
      <c r="N35" s="253"/>
      <c r="O35" s="253"/>
      <c r="P35" s="253"/>
      <c r="Q35" s="253"/>
      <c r="R35" s="253"/>
    </row>
    <row r="36" ht="15.75" customHeight="1">
      <c r="A36" s="253"/>
      <c r="B36" s="253"/>
      <c r="C36" s="261" t="s">
        <v>3246</v>
      </c>
      <c r="D36" s="262" t="s">
        <v>6710</v>
      </c>
      <c r="E36" s="253"/>
      <c r="F36" s="253"/>
      <c r="G36" s="253"/>
      <c r="H36" s="253"/>
      <c r="I36" s="253"/>
      <c r="J36" s="253"/>
      <c r="K36" s="253"/>
      <c r="L36" s="253"/>
      <c r="M36" s="253"/>
      <c r="N36" s="253"/>
      <c r="O36" s="253"/>
      <c r="P36" s="253"/>
      <c r="Q36" s="253"/>
      <c r="R36" s="253"/>
    </row>
    <row r="37" ht="15.75" customHeight="1">
      <c r="A37" s="253"/>
      <c r="B37" s="253"/>
      <c r="C37" s="261" t="s">
        <v>6487</v>
      </c>
      <c r="D37" s="262" t="s">
        <v>4943</v>
      </c>
      <c r="E37" s="253"/>
      <c r="F37" s="253"/>
      <c r="G37" s="253"/>
      <c r="H37" s="253"/>
      <c r="I37" s="253"/>
      <c r="J37" s="253"/>
      <c r="K37" s="253"/>
      <c r="L37" s="253"/>
      <c r="M37" s="253"/>
      <c r="N37" s="253"/>
      <c r="O37" s="253"/>
      <c r="P37" s="253"/>
      <c r="Q37" s="253"/>
      <c r="R37" s="253"/>
    </row>
    <row r="38" ht="15.75" customHeight="1">
      <c r="A38" s="253"/>
      <c r="B38" s="253"/>
      <c r="C38" s="261" t="s">
        <v>2420</v>
      </c>
      <c r="D38" s="262" t="s">
        <v>11185</v>
      </c>
      <c r="E38" s="253"/>
      <c r="F38" s="253"/>
      <c r="G38" s="253"/>
      <c r="H38" s="253"/>
      <c r="I38" s="253"/>
      <c r="J38" s="253"/>
      <c r="K38" s="253"/>
      <c r="L38" s="253"/>
      <c r="M38" s="253"/>
      <c r="N38" s="253"/>
      <c r="O38" s="253"/>
      <c r="P38" s="253"/>
      <c r="Q38" s="253"/>
      <c r="R38" s="253"/>
    </row>
    <row r="39" ht="15.75" customHeight="1">
      <c r="A39" s="253"/>
      <c r="B39" s="253"/>
      <c r="C39" s="261" t="s">
        <v>2457</v>
      </c>
      <c r="D39" s="262" t="s">
        <v>8709</v>
      </c>
      <c r="E39" s="253"/>
      <c r="F39" s="253"/>
      <c r="G39" s="253"/>
      <c r="H39" s="253"/>
      <c r="I39" s="253"/>
      <c r="J39" s="253"/>
      <c r="K39" s="253"/>
      <c r="L39" s="253"/>
      <c r="M39" s="253"/>
      <c r="N39" s="253"/>
      <c r="O39" s="253"/>
      <c r="P39" s="253"/>
      <c r="Q39" s="253"/>
      <c r="R39" s="253"/>
    </row>
    <row r="40" ht="15.75" customHeight="1">
      <c r="A40" s="253"/>
      <c r="B40" s="253"/>
      <c r="C40" s="261" t="s">
        <v>2497</v>
      </c>
      <c r="D40" s="262" t="s">
        <v>11186</v>
      </c>
      <c r="E40" s="253"/>
      <c r="F40" s="253"/>
      <c r="G40" s="253"/>
      <c r="H40" s="253"/>
      <c r="I40" s="253"/>
      <c r="J40" s="253"/>
      <c r="K40" s="253"/>
      <c r="L40" s="253"/>
      <c r="M40" s="253"/>
      <c r="N40" s="253"/>
      <c r="O40" s="253"/>
      <c r="P40" s="253"/>
      <c r="Q40" s="253"/>
      <c r="R40" s="253"/>
    </row>
    <row r="41" ht="15.75" customHeight="1">
      <c r="A41" s="253"/>
      <c r="B41" s="253"/>
      <c r="C41" s="261" t="s">
        <v>6691</v>
      </c>
      <c r="D41" s="262" t="s">
        <v>1173</v>
      </c>
      <c r="E41" s="253"/>
      <c r="F41" s="253"/>
      <c r="G41" s="253"/>
      <c r="H41" s="253"/>
      <c r="I41" s="253"/>
      <c r="J41" s="253"/>
      <c r="K41" s="253"/>
      <c r="L41" s="253"/>
      <c r="M41" s="253"/>
      <c r="N41" s="253"/>
      <c r="O41" s="253"/>
      <c r="P41" s="253"/>
      <c r="Q41" s="253"/>
      <c r="R41" s="253"/>
    </row>
    <row r="42" ht="15.75" customHeight="1">
      <c r="A42" s="253"/>
      <c r="B42" s="253"/>
      <c r="C42" s="261" t="s">
        <v>11187</v>
      </c>
      <c r="D42" s="262" t="s">
        <v>11188</v>
      </c>
      <c r="E42" s="253"/>
      <c r="F42" s="253"/>
      <c r="G42" s="253"/>
      <c r="H42" s="253"/>
      <c r="I42" s="253"/>
      <c r="J42" s="253"/>
      <c r="K42" s="253"/>
      <c r="L42" s="253"/>
      <c r="M42" s="253"/>
      <c r="N42" s="253"/>
      <c r="O42" s="253"/>
      <c r="P42" s="253"/>
      <c r="Q42" s="253"/>
      <c r="R42" s="253"/>
    </row>
    <row r="43" ht="15.75" customHeight="1">
      <c r="A43" s="253"/>
      <c r="B43" s="253"/>
      <c r="C43" s="261" t="s">
        <v>5506</v>
      </c>
      <c r="D43" s="262" t="s">
        <v>4815</v>
      </c>
      <c r="E43" s="253"/>
      <c r="F43" s="253"/>
      <c r="G43" s="253"/>
      <c r="H43" s="253"/>
      <c r="I43" s="253"/>
      <c r="J43" s="253"/>
      <c r="K43" s="253"/>
      <c r="L43" s="253"/>
      <c r="M43" s="253"/>
      <c r="N43" s="253"/>
      <c r="O43" s="253"/>
      <c r="P43" s="253"/>
      <c r="Q43" s="253"/>
      <c r="R43" s="253"/>
    </row>
    <row r="44" ht="15.75" customHeight="1">
      <c r="A44" s="253"/>
      <c r="B44" s="253"/>
      <c r="C44" s="261" t="s">
        <v>6724</v>
      </c>
      <c r="D44" s="262" t="s">
        <v>11191</v>
      </c>
      <c r="E44" s="253"/>
      <c r="F44" s="253"/>
      <c r="G44" s="253"/>
      <c r="H44" s="253"/>
      <c r="I44" s="253"/>
      <c r="J44" s="253"/>
      <c r="K44" s="253"/>
      <c r="L44" s="253"/>
      <c r="M44" s="253"/>
      <c r="N44" s="253"/>
      <c r="O44" s="253"/>
      <c r="P44" s="253"/>
      <c r="Q44" s="253"/>
      <c r="R44" s="253"/>
    </row>
    <row r="45" ht="15.75" customHeight="1">
      <c r="A45" s="253"/>
      <c r="B45" s="253"/>
      <c r="C45" s="261" t="s">
        <v>11193</v>
      </c>
      <c r="D45" s="262" t="s">
        <v>11194</v>
      </c>
      <c r="E45" s="253"/>
      <c r="F45" s="253"/>
      <c r="G45" s="253"/>
      <c r="H45" s="253"/>
      <c r="I45" s="253"/>
      <c r="J45" s="253"/>
      <c r="K45" s="253"/>
      <c r="L45" s="253"/>
      <c r="M45" s="253"/>
      <c r="N45" s="253"/>
      <c r="O45" s="253"/>
      <c r="P45" s="253"/>
      <c r="Q45" s="253"/>
      <c r="R45" s="253"/>
    </row>
    <row r="46" ht="15.75" customHeight="1">
      <c r="A46" s="253"/>
      <c r="B46" s="253"/>
      <c r="C46" s="261" t="s">
        <v>4794</v>
      </c>
      <c r="D46" s="262" t="s">
        <v>5686</v>
      </c>
      <c r="E46" s="253"/>
      <c r="F46" s="253"/>
      <c r="G46" s="253"/>
      <c r="H46" s="253"/>
      <c r="I46" s="253"/>
      <c r="J46" s="253"/>
      <c r="K46" s="253"/>
      <c r="L46" s="253"/>
      <c r="M46" s="253"/>
      <c r="N46" s="253"/>
      <c r="O46" s="253"/>
      <c r="P46" s="253"/>
      <c r="Q46" s="253"/>
      <c r="R46" s="253"/>
    </row>
    <row r="47" ht="15.75" customHeight="1">
      <c r="A47" s="253"/>
      <c r="B47" s="253"/>
      <c r="C47" s="261" t="s">
        <v>8707</v>
      </c>
      <c r="D47" s="262" t="s">
        <v>11198</v>
      </c>
      <c r="E47" s="253"/>
      <c r="F47" s="253"/>
      <c r="G47" s="253"/>
      <c r="H47" s="253"/>
      <c r="I47" s="253"/>
      <c r="J47" s="253"/>
      <c r="K47" s="253"/>
      <c r="L47" s="253"/>
      <c r="M47" s="253"/>
      <c r="N47" s="253"/>
      <c r="O47" s="253"/>
      <c r="P47" s="253"/>
      <c r="Q47" s="253"/>
      <c r="R47" s="253"/>
    </row>
    <row r="48" ht="15.75" customHeight="1">
      <c r="A48" s="253"/>
      <c r="B48" s="253"/>
      <c r="C48" s="261" t="s">
        <v>53</v>
      </c>
      <c r="D48" s="262" t="s">
        <v>11200</v>
      </c>
      <c r="E48" s="253"/>
      <c r="F48" s="253"/>
      <c r="G48" s="253"/>
      <c r="H48" s="253"/>
      <c r="I48" s="253"/>
      <c r="J48" s="253"/>
      <c r="K48" s="253"/>
      <c r="L48" s="253"/>
      <c r="M48" s="253"/>
      <c r="N48" s="253"/>
      <c r="O48" s="253"/>
      <c r="P48" s="253"/>
      <c r="Q48" s="253"/>
      <c r="R48" s="253"/>
    </row>
    <row r="49" ht="15.75" customHeight="1">
      <c r="A49" s="253"/>
      <c r="B49" s="253"/>
      <c r="C49" s="261" t="s">
        <v>109</v>
      </c>
      <c r="D49" s="262" t="s">
        <v>11203</v>
      </c>
      <c r="E49" s="253"/>
      <c r="F49" s="253"/>
      <c r="G49" s="253"/>
      <c r="H49" s="253"/>
      <c r="I49" s="253"/>
      <c r="J49" s="253"/>
      <c r="K49" s="253"/>
      <c r="L49" s="253"/>
      <c r="M49" s="253"/>
      <c r="N49" s="253"/>
      <c r="O49" s="253"/>
      <c r="P49" s="253"/>
      <c r="Q49" s="253"/>
      <c r="R49" s="253"/>
    </row>
    <row r="50" ht="15.75" customHeight="1">
      <c r="A50" s="253"/>
      <c r="B50" s="253"/>
      <c r="C50" s="261" t="s">
        <v>1274</v>
      </c>
      <c r="D50" s="262" t="s">
        <v>11205</v>
      </c>
      <c r="E50" s="253"/>
      <c r="F50" s="253"/>
      <c r="G50" s="253"/>
      <c r="H50" s="253"/>
      <c r="I50" s="253"/>
      <c r="J50" s="253"/>
      <c r="K50" s="253"/>
      <c r="L50" s="253"/>
      <c r="M50" s="253"/>
      <c r="N50" s="253"/>
      <c r="O50" s="253"/>
      <c r="P50" s="253"/>
      <c r="Q50" s="253"/>
      <c r="R50" s="253"/>
    </row>
    <row r="51" ht="15.75" customHeight="1">
      <c r="A51" s="253"/>
      <c r="B51" s="253"/>
      <c r="C51" s="261" t="s">
        <v>485</v>
      </c>
      <c r="D51" s="262" t="s">
        <v>11207</v>
      </c>
      <c r="E51" s="253"/>
      <c r="F51" s="253"/>
      <c r="G51" s="253"/>
      <c r="H51" s="253"/>
      <c r="I51" s="253"/>
      <c r="J51" s="253"/>
      <c r="K51" s="253"/>
      <c r="L51" s="253"/>
      <c r="M51" s="253"/>
      <c r="N51" s="253"/>
      <c r="O51" s="253"/>
      <c r="P51" s="253"/>
      <c r="Q51" s="253"/>
      <c r="R51" s="253"/>
    </row>
    <row r="52" ht="15.75" customHeight="1">
      <c r="A52" s="253"/>
      <c r="B52" s="253"/>
      <c r="C52" s="261" t="s">
        <v>8760</v>
      </c>
      <c r="D52" s="262" t="s">
        <v>11211</v>
      </c>
      <c r="E52" s="253"/>
      <c r="F52" s="253"/>
      <c r="G52" s="253"/>
      <c r="H52" s="253"/>
      <c r="I52" s="253"/>
      <c r="J52" s="253"/>
      <c r="K52" s="253"/>
      <c r="L52" s="253"/>
      <c r="M52" s="253"/>
      <c r="N52" s="253"/>
      <c r="O52" s="253"/>
      <c r="P52" s="253"/>
      <c r="Q52" s="253"/>
      <c r="R52" s="253"/>
    </row>
    <row r="53" ht="15.75" customHeight="1">
      <c r="A53" s="253"/>
      <c r="B53" s="253"/>
      <c r="C53" s="261" t="s">
        <v>11213</v>
      </c>
      <c r="D53" s="262" t="s">
        <v>11214</v>
      </c>
      <c r="E53" s="253"/>
      <c r="F53" s="253"/>
      <c r="G53" s="253"/>
      <c r="H53" s="253"/>
      <c r="I53" s="253"/>
      <c r="J53" s="253"/>
      <c r="K53" s="253"/>
      <c r="L53" s="253"/>
      <c r="M53" s="253"/>
      <c r="N53" s="253"/>
      <c r="O53" s="253"/>
      <c r="P53" s="253"/>
      <c r="Q53" s="253"/>
      <c r="R53" s="253"/>
    </row>
    <row r="54" ht="15.75" customHeight="1">
      <c r="A54" s="253"/>
      <c r="B54" s="253"/>
      <c r="C54" s="261" t="s">
        <v>6954</v>
      </c>
      <c r="D54" s="262" t="s">
        <v>11216</v>
      </c>
      <c r="E54" s="253"/>
      <c r="F54" s="253"/>
      <c r="G54" s="253"/>
      <c r="H54" s="253"/>
      <c r="I54" s="253"/>
      <c r="J54" s="253"/>
      <c r="K54" s="253"/>
      <c r="L54" s="253"/>
      <c r="M54" s="253"/>
      <c r="N54" s="253"/>
      <c r="O54" s="253"/>
      <c r="P54" s="253"/>
      <c r="Q54" s="253"/>
      <c r="R54" s="253"/>
    </row>
    <row r="55" ht="15.75" customHeight="1">
      <c r="A55" s="253"/>
      <c r="B55" s="253"/>
      <c r="C55" s="261" t="s">
        <v>166</v>
      </c>
      <c r="D55" s="262" t="s">
        <v>11218</v>
      </c>
      <c r="E55" s="253"/>
      <c r="F55" s="253"/>
      <c r="G55" s="253"/>
      <c r="H55" s="253"/>
      <c r="I55" s="253"/>
      <c r="J55" s="253"/>
      <c r="K55" s="253"/>
      <c r="L55" s="253"/>
      <c r="M55" s="253"/>
      <c r="N55" s="253"/>
      <c r="O55" s="253"/>
      <c r="P55" s="253"/>
      <c r="Q55" s="253"/>
      <c r="R55" s="253"/>
    </row>
    <row r="56" ht="15.75" customHeight="1">
      <c r="A56" s="253"/>
      <c r="B56" s="253"/>
      <c r="C56" s="261" t="s">
        <v>3306</v>
      </c>
      <c r="D56" s="262" t="s">
        <v>11220</v>
      </c>
      <c r="E56" s="253"/>
      <c r="F56" s="253"/>
      <c r="G56" s="253"/>
      <c r="H56" s="253"/>
      <c r="I56" s="253"/>
      <c r="J56" s="253"/>
      <c r="K56" s="253"/>
      <c r="L56" s="253"/>
      <c r="M56" s="253"/>
      <c r="N56" s="253"/>
      <c r="O56" s="253"/>
      <c r="P56" s="253"/>
      <c r="Q56" s="253"/>
      <c r="R56" s="253"/>
    </row>
    <row r="57" ht="15.75" customHeight="1">
      <c r="A57" s="253"/>
      <c r="B57" s="253"/>
      <c r="C57" s="261" t="s">
        <v>6201</v>
      </c>
      <c r="D57" s="262" t="s">
        <v>8997</v>
      </c>
      <c r="E57" s="253"/>
      <c r="F57" s="253"/>
      <c r="G57" s="253"/>
      <c r="H57" s="253"/>
      <c r="I57" s="253"/>
      <c r="J57" s="253"/>
      <c r="K57" s="253"/>
      <c r="L57" s="253"/>
      <c r="M57" s="253"/>
      <c r="N57" s="253"/>
      <c r="O57" s="253"/>
      <c r="P57" s="253"/>
      <c r="Q57" s="253"/>
      <c r="R57" s="253"/>
    </row>
    <row r="58" ht="15.75" customHeight="1">
      <c r="A58" s="253"/>
      <c r="B58" s="253"/>
      <c r="C58" s="261" t="s">
        <v>2333</v>
      </c>
      <c r="D58" s="262" t="s">
        <v>11224</v>
      </c>
      <c r="E58" s="253"/>
      <c r="F58" s="253"/>
      <c r="G58" s="253"/>
      <c r="H58" s="253"/>
      <c r="I58" s="253"/>
      <c r="J58" s="253"/>
      <c r="K58" s="253"/>
      <c r="L58" s="253"/>
      <c r="M58" s="253"/>
      <c r="N58" s="253"/>
      <c r="O58" s="253"/>
      <c r="P58" s="253"/>
      <c r="Q58" s="253"/>
      <c r="R58" s="253"/>
    </row>
    <row r="59" ht="15.75" customHeight="1">
      <c r="A59" s="253"/>
      <c r="B59" s="253"/>
      <c r="C59" s="261" t="s">
        <v>1766</v>
      </c>
      <c r="D59" s="262" t="s">
        <v>5772</v>
      </c>
      <c r="E59" s="253"/>
      <c r="F59" s="253"/>
      <c r="G59" s="253"/>
      <c r="H59" s="253"/>
      <c r="I59" s="253"/>
      <c r="J59" s="253"/>
      <c r="K59" s="253"/>
      <c r="L59" s="253"/>
      <c r="M59" s="253"/>
      <c r="N59" s="253"/>
      <c r="O59" s="253"/>
      <c r="P59" s="253"/>
      <c r="Q59" s="253"/>
      <c r="R59" s="253"/>
    </row>
    <row r="60" ht="15.75" customHeight="1">
      <c r="A60" s="253"/>
      <c r="B60" s="253"/>
      <c r="C60" s="261" t="s">
        <v>2538</v>
      </c>
      <c r="D60" s="262" t="s">
        <v>11228</v>
      </c>
      <c r="E60" s="253"/>
      <c r="F60" s="253"/>
      <c r="G60" s="253"/>
      <c r="H60" s="253"/>
      <c r="I60" s="253"/>
      <c r="J60" s="253"/>
      <c r="K60" s="253"/>
      <c r="L60" s="253"/>
      <c r="M60" s="253"/>
      <c r="N60" s="253"/>
      <c r="O60" s="253"/>
      <c r="P60" s="253"/>
      <c r="Q60" s="253"/>
      <c r="R60" s="253"/>
    </row>
    <row r="61" ht="15.75" customHeight="1">
      <c r="A61" s="253"/>
      <c r="B61" s="253"/>
      <c r="C61" s="261" t="s">
        <v>9018</v>
      </c>
      <c r="D61" s="262" t="s">
        <v>11229</v>
      </c>
      <c r="E61" s="253"/>
      <c r="F61" s="253"/>
      <c r="G61" s="253"/>
      <c r="H61" s="253"/>
      <c r="I61" s="253"/>
      <c r="J61" s="253"/>
      <c r="K61" s="253"/>
      <c r="L61" s="253"/>
      <c r="M61" s="253"/>
      <c r="N61" s="253"/>
      <c r="O61" s="253"/>
      <c r="P61" s="253"/>
      <c r="Q61" s="253"/>
      <c r="R61" s="253"/>
    </row>
    <row r="62" ht="15.75" customHeight="1">
      <c r="A62" s="253"/>
      <c r="B62" s="253"/>
      <c r="C62" s="261" t="s">
        <v>9100</v>
      </c>
      <c r="D62" s="262" t="s">
        <v>11231</v>
      </c>
      <c r="E62" s="253"/>
      <c r="F62" s="253"/>
      <c r="G62" s="253"/>
      <c r="H62" s="253"/>
      <c r="I62" s="253"/>
      <c r="J62" s="253"/>
      <c r="K62" s="253"/>
      <c r="L62" s="253"/>
      <c r="M62" s="253"/>
      <c r="N62" s="253"/>
      <c r="O62" s="253"/>
      <c r="P62" s="253"/>
      <c r="Q62" s="253"/>
      <c r="R62" s="253"/>
    </row>
    <row r="63" ht="15.75" customHeight="1">
      <c r="A63" s="253"/>
      <c r="B63" s="253"/>
      <c r="C63" s="261" t="s">
        <v>3975</v>
      </c>
      <c r="D63" s="262" t="s">
        <v>2061</v>
      </c>
      <c r="E63" s="253"/>
      <c r="F63" s="253"/>
      <c r="G63" s="253"/>
      <c r="H63" s="253"/>
      <c r="I63" s="253"/>
      <c r="J63" s="253"/>
      <c r="K63" s="253"/>
      <c r="L63" s="253"/>
      <c r="M63" s="253"/>
      <c r="N63" s="253"/>
      <c r="O63" s="253"/>
      <c r="P63" s="253"/>
      <c r="Q63" s="253"/>
      <c r="R63" s="253"/>
    </row>
    <row r="64" ht="15.75" customHeight="1">
      <c r="A64" s="253"/>
      <c r="B64" s="253"/>
      <c r="C64" s="261" t="s">
        <v>4486</v>
      </c>
      <c r="D64" s="262" t="s">
        <v>2299</v>
      </c>
      <c r="E64" s="253"/>
      <c r="F64" s="253"/>
      <c r="G64" s="253"/>
      <c r="H64" s="253"/>
      <c r="I64" s="253"/>
      <c r="J64" s="253"/>
      <c r="K64" s="253"/>
      <c r="L64" s="253"/>
      <c r="M64" s="253"/>
      <c r="N64" s="253"/>
      <c r="O64" s="253"/>
      <c r="P64" s="253"/>
      <c r="Q64" s="253"/>
      <c r="R64" s="253"/>
    </row>
    <row r="65" ht="15.75" customHeight="1">
      <c r="A65" s="253"/>
      <c r="B65" s="253"/>
      <c r="C65" s="261" t="s">
        <v>2707</v>
      </c>
      <c r="D65" s="262" t="s">
        <v>3808</v>
      </c>
      <c r="E65" s="253"/>
      <c r="F65" s="253"/>
      <c r="G65" s="253"/>
      <c r="H65" s="253"/>
      <c r="I65" s="253"/>
      <c r="J65" s="253"/>
      <c r="K65" s="253"/>
      <c r="L65" s="253"/>
      <c r="M65" s="253"/>
      <c r="N65" s="253"/>
      <c r="O65" s="253"/>
      <c r="P65" s="253"/>
      <c r="Q65" s="253"/>
      <c r="R65" s="253"/>
    </row>
    <row r="66" ht="15.75" customHeight="1">
      <c r="A66" s="253"/>
      <c r="B66" s="253"/>
      <c r="C66" s="261" t="s">
        <v>2358</v>
      </c>
      <c r="D66" s="262" t="s">
        <v>11238</v>
      </c>
      <c r="E66" s="253"/>
      <c r="F66" s="253"/>
      <c r="G66" s="253"/>
      <c r="H66" s="253"/>
      <c r="I66" s="253"/>
      <c r="J66" s="253"/>
      <c r="K66" s="253"/>
      <c r="L66" s="253"/>
      <c r="M66" s="253"/>
      <c r="N66" s="253"/>
      <c r="O66" s="253"/>
      <c r="P66" s="253"/>
      <c r="Q66" s="253"/>
      <c r="R66" s="253"/>
    </row>
    <row r="67" ht="15.75" customHeight="1">
      <c r="A67" s="253"/>
      <c r="B67" s="253"/>
      <c r="C67" s="261" t="s">
        <v>2388</v>
      </c>
      <c r="D67" s="262" t="s">
        <v>11241</v>
      </c>
      <c r="E67" s="253"/>
      <c r="F67" s="253"/>
      <c r="G67" s="253"/>
      <c r="H67" s="253"/>
      <c r="I67" s="253"/>
      <c r="J67" s="253"/>
      <c r="K67" s="253"/>
      <c r="L67" s="253"/>
      <c r="M67" s="253"/>
      <c r="N67" s="253"/>
      <c r="O67" s="253"/>
      <c r="P67" s="253"/>
      <c r="Q67" s="253"/>
      <c r="R67" s="253"/>
    </row>
    <row r="68" ht="15.75" customHeight="1">
      <c r="A68" s="253"/>
      <c r="B68" s="253"/>
      <c r="C68" s="261" t="s">
        <v>3804</v>
      </c>
      <c r="D68" s="262" t="s">
        <v>11245</v>
      </c>
      <c r="E68" s="253"/>
      <c r="F68" s="253"/>
      <c r="G68" s="253"/>
      <c r="H68" s="253"/>
      <c r="I68" s="253"/>
      <c r="J68" s="253"/>
      <c r="K68" s="253"/>
      <c r="L68" s="253"/>
      <c r="M68" s="253"/>
      <c r="N68" s="253"/>
      <c r="O68" s="253"/>
      <c r="P68" s="253"/>
      <c r="Q68" s="253"/>
      <c r="R68" s="253"/>
    </row>
    <row r="69" ht="15.75" customHeight="1">
      <c r="A69" s="253"/>
      <c r="B69" s="253"/>
      <c r="C69" s="261" t="s">
        <v>11246</v>
      </c>
      <c r="D69" s="262" t="s">
        <v>9545</v>
      </c>
      <c r="E69" s="253"/>
      <c r="F69" s="253"/>
      <c r="G69" s="253"/>
      <c r="H69" s="253"/>
      <c r="I69" s="253"/>
      <c r="J69" s="253"/>
      <c r="K69" s="253"/>
      <c r="L69" s="253"/>
      <c r="M69" s="253"/>
      <c r="N69" s="253"/>
      <c r="O69" s="253"/>
      <c r="P69" s="253"/>
      <c r="Q69" s="253"/>
      <c r="R69" s="253"/>
    </row>
    <row r="70" ht="15.75" customHeight="1">
      <c r="A70" s="253"/>
      <c r="B70" s="253"/>
      <c r="C70" s="261" t="s">
        <v>3617</v>
      </c>
      <c r="D70" s="262" t="s">
        <v>3829</v>
      </c>
      <c r="E70" s="253"/>
      <c r="F70" s="253"/>
      <c r="G70" s="253"/>
      <c r="H70" s="253"/>
      <c r="I70" s="253"/>
      <c r="J70" s="253"/>
      <c r="K70" s="253"/>
      <c r="L70" s="253"/>
      <c r="M70" s="253"/>
      <c r="N70" s="253"/>
      <c r="O70" s="253"/>
      <c r="P70" s="253"/>
      <c r="Q70" s="253"/>
      <c r="R70" s="253"/>
    </row>
    <row r="71" ht="15.75" customHeight="1">
      <c r="A71" s="253"/>
      <c r="B71" s="253"/>
      <c r="C71" s="261" t="s">
        <v>7998</v>
      </c>
      <c r="D71" s="262" t="s">
        <v>3712</v>
      </c>
      <c r="E71" s="253"/>
      <c r="F71" s="253"/>
      <c r="G71" s="253"/>
      <c r="H71" s="253"/>
      <c r="I71" s="253"/>
      <c r="J71" s="253"/>
      <c r="K71" s="253"/>
      <c r="L71" s="253"/>
      <c r="M71" s="253"/>
      <c r="N71" s="253"/>
      <c r="O71" s="253"/>
      <c r="P71" s="253"/>
      <c r="Q71" s="253"/>
      <c r="R71" s="253"/>
    </row>
    <row r="72" ht="15.75" customHeight="1">
      <c r="A72" s="253"/>
      <c r="B72" s="253"/>
      <c r="C72" s="261" t="s">
        <v>2594</v>
      </c>
      <c r="D72" s="262" t="s">
        <v>905</v>
      </c>
      <c r="E72" s="253"/>
      <c r="F72" s="253"/>
      <c r="G72" s="253"/>
      <c r="H72" s="253"/>
      <c r="I72" s="253"/>
      <c r="J72" s="253"/>
      <c r="K72" s="253"/>
      <c r="L72" s="253"/>
      <c r="M72" s="253"/>
      <c r="N72" s="253"/>
      <c r="O72" s="253"/>
      <c r="P72" s="253"/>
      <c r="Q72" s="253"/>
      <c r="R72" s="253"/>
    </row>
    <row r="73" ht="15.75" customHeight="1">
      <c r="A73" s="253"/>
      <c r="B73" s="253"/>
      <c r="C73" s="261" t="s">
        <v>5685</v>
      </c>
      <c r="D73" s="262" t="s">
        <v>11254</v>
      </c>
      <c r="E73" s="253"/>
      <c r="F73" s="253"/>
      <c r="G73" s="253"/>
      <c r="H73" s="253"/>
      <c r="I73" s="253"/>
      <c r="J73" s="253"/>
      <c r="K73" s="253"/>
      <c r="L73" s="253"/>
      <c r="M73" s="253"/>
      <c r="N73" s="253"/>
      <c r="O73" s="253"/>
      <c r="P73" s="253"/>
      <c r="Q73" s="253"/>
      <c r="R73" s="253"/>
    </row>
    <row r="74" ht="15.75" customHeight="1">
      <c r="A74" s="253"/>
      <c r="B74" s="253"/>
      <c r="C74" s="261" t="s">
        <v>774</v>
      </c>
      <c r="D74" s="262" t="s">
        <v>11255</v>
      </c>
      <c r="E74" s="253"/>
      <c r="F74" s="253"/>
      <c r="G74" s="253"/>
      <c r="H74" s="253"/>
      <c r="I74" s="253"/>
      <c r="J74" s="253"/>
      <c r="K74" s="253"/>
      <c r="L74" s="253"/>
      <c r="M74" s="253"/>
      <c r="N74" s="253"/>
      <c r="O74" s="253"/>
      <c r="P74" s="253"/>
      <c r="Q74" s="253"/>
      <c r="R74" s="253"/>
    </row>
    <row r="75" ht="15.75" customHeight="1">
      <c r="A75" s="253"/>
      <c r="B75" s="253"/>
      <c r="C75" s="261" t="s">
        <v>530</v>
      </c>
      <c r="D75" s="262" t="s">
        <v>2375</v>
      </c>
      <c r="E75" s="253"/>
      <c r="F75" s="253"/>
      <c r="G75" s="253"/>
      <c r="H75" s="253"/>
      <c r="I75" s="253"/>
      <c r="J75" s="253"/>
      <c r="K75" s="253"/>
      <c r="L75" s="253"/>
      <c r="M75" s="253"/>
      <c r="N75" s="253"/>
      <c r="O75" s="253"/>
      <c r="P75" s="253"/>
      <c r="Q75" s="253"/>
      <c r="R75" s="253"/>
    </row>
    <row r="76" ht="15.75" customHeight="1">
      <c r="A76" s="253"/>
      <c r="B76" s="253"/>
      <c r="C76" s="261" t="s">
        <v>3994</v>
      </c>
      <c r="D76" s="262" t="s">
        <v>11259</v>
      </c>
      <c r="E76" s="253"/>
      <c r="F76" s="253"/>
      <c r="G76" s="253"/>
      <c r="H76" s="253"/>
      <c r="I76" s="253"/>
      <c r="J76" s="253"/>
      <c r="K76" s="253"/>
      <c r="L76" s="253"/>
      <c r="M76" s="253"/>
      <c r="N76" s="253"/>
      <c r="O76" s="253"/>
      <c r="P76" s="253"/>
      <c r="Q76" s="253"/>
      <c r="R76" s="253"/>
    </row>
    <row r="77" ht="15.75" customHeight="1">
      <c r="A77" s="253"/>
      <c r="B77" s="253"/>
      <c r="C77" s="261" t="s">
        <v>4042</v>
      </c>
      <c r="D77" s="262" t="s">
        <v>11263</v>
      </c>
      <c r="E77" s="253"/>
      <c r="F77" s="253"/>
      <c r="G77" s="253"/>
      <c r="H77" s="253"/>
      <c r="I77" s="253"/>
      <c r="J77" s="253"/>
      <c r="K77" s="253"/>
      <c r="L77" s="253"/>
      <c r="M77" s="253"/>
      <c r="N77" s="253"/>
      <c r="O77" s="253"/>
      <c r="P77" s="253"/>
      <c r="Q77" s="253"/>
      <c r="R77" s="253"/>
    </row>
    <row r="78" ht="15.75" customHeight="1">
      <c r="A78" s="253"/>
      <c r="B78" s="253"/>
      <c r="C78" s="261" t="s">
        <v>1100</v>
      </c>
      <c r="D78" s="262" t="s">
        <v>11264</v>
      </c>
      <c r="E78" s="253"/>
      <c r="F78" s="253"/>
      <c r="G78" s="253"/>
      <c r="H78" s="253"/>
      <c r="I78" s="253"/>
      <c r="J78" s="253"/>
      <c r="K78" s="253"/>
      <c r="L78" s="253"/>
      <c r="M78" s="253"/>
      <c r="N78" s="253"/>
      <c r="O78" s="253"/>
      <c r="P78" s="253"/>
      <c r="Q78" s="253"/>
      <c r="R78" s="253"/>
    </row>
    <row r="79" ht="15.75" customHeight="1">
      <c r="A79" s="253"/>
      <c r="B79" s="253"/>
      <c r="C79" s="261" t="s">
        <v>881</v>
      </c>
      <c r="D79" s="262" t="s">
        <v>11267</v>
      </c>
      <c r="E79" s="253"/>
      <c r="F79" s="253"/>
      <c r="G79" s="253"/>
      <c r="H79" s="253"/>
      <c r="I79" s="253"/>
      <c r="J79" s="253"/>
      <c r="K79" s="253"/>
      <c r="L79" s="253"/>
      <c r="M79" s="253"/>
      <c r="N79" s="253"/>
      <c r="O79" s="253"/>
      <c r="P79" s="253"/>
      <c r="Q79" s="253"/>
      <c r="R79" s="253"/>
    </row>
    <row r="80" ht="15.75" customHeight="1">
      <c r="A80" s="253"/>
      <c r="B80" s="253"/>
      <c r="C80" s="261" t="s">
        <v>206</v>
      </c>
      <c r="D80" s="262" t="s">
        <v>11270</v>
      </c>
      <c r="E80" s="253"/>
      <c r="F80" s="253"/>
      <c r="G80" s="253"/>
      <c r="H80" s="253"/>
      <c r="I80" s="253"/>
      <c r="J80" s="253"/>
      <c r="K80" s="253"/>
      <c r="L80" s="253"/>
      <c r="M80" s="253"/>
      <c r="N80" s="253"/>
      <c r="O80" s="253"/>
      <c r="P80" s="253"/>
      <c r="Q80" s="253"/>
      <c r="R80" s="253"/>
    </row>
    <row r="81" ht="15.75" customHeight="1">
      <c r="A81" s="253"/>
      <c r="B81" s="253"/>
      <c r="C81" s="261" t="s">
        <v>7003</v>
      </c>
      <c r="D81" s="262" t="s">
        <v>804</v>
      </c>
      <c r="E81" s="253"/>
      <c r="F81" s="253"/>
      <c r="G81" s="253"/>
      <c r="H81" s="253"/>
      <c r="I81" s="253"/>
      <c r="J81" s="253"/>
      <c r="K81" s="253"/>
      <c r="L81" s="253"/>
      <c r="M81" s="253"/>
      <c r="N81" s="253"/>
      <c r="O81" s="253"/>
      <c r="P81" s="253"/>
      <c r="Q81" s="253"/>
      <c r="R81" s="253"/>
    </row>
    <row r="82" ht="15.75" customHeight="1">
      <c r="A82" s="253"/>
      <c r="B82" s="253"/>
      <c r="C82" s="261" t="s">
        <v>11274</v>
      </c>
      <c r="D82" s="262" t="s">
        <v>11275</v>
      </c>
      <c r="E82" s="253"/>
      <c r="F82" s="253"/>
      <c r="G82" s="253"/>
      <c r="H82" s="253"/>
      <c r="I82" s="253"/>
      <c r="J82" s="253"/>
      <c r="K82" s="253"/>
      <c r="L82" s="253"/>
      <c r="M82" s="253"/>
      <c r="N82" s="253"/>
      <c r="O82" s="253"/>
      <c r="P82" s="253"/>
      <c r="Q82" s="253"/>
      <c r="R82" s="253"/>
    </row>
    <row r="83" ht="15.75" customHeight="1">
      <c r="A83" s="253"/>
      <c r="B83" s="253"/>
      <c r="C83" s="261" t="s">
        <v>1054</v>
      </c>
      <c r="D83" s="262" t="s">
        <v>11278</v>
      </c>
      <c r="E83" s="253"/>
      <c r="F83" s="253"/>
      <c r="G83" s="253"/>
      <c r="H83" s="253"/>
      <c r="I83" s="253"/>
      <c r="J83" s="253"/>
      <c r="K83" s="253"/>
      <c r="L83" s="253"/>
      <c r="M83" s="253"/>
      <c r="N83" s="253"/>
      <c r="O83" s="253"/>
      <c r="P83" s="253"/>
      <c r="Q83" s="253"/>
      <c r="R83" s="253"/>
    </row>
    <row r="84" ht="15.75" customHeight="1">
      <c r="A84" s="253"/>
      <c r="B84" s="253"/>
      <c r="C84" s="261" t="s">
        <v>1724</v>
      </c>
      <c r="D84" s="262" t="s">
        <v>11280</v>
      </c>
      <c r="E84" s="253"/>
      <c r="F84" s="253"/>
      <c r="G84" s="253"/>
      <c r="H84" s="253"/>
      <c r="I84" s="253"/>
      <c r="J84" s="253"/>
      <c r="K84" s="253"/>
      <c r="L84" s="253"/>
      <c r="M84" s="253"/>
      <c r="N84" s="253"/>
      <c r="O84" s="253"/>
      <c r="P84" s="253"/>
      <c r="Q84" s="253"/>
      <c r="R84" s="253"/>
    </row>
    <row r="85" ht="15.75" customHeight="1">
      <c r="A85" s="253"/>
      <c r="B85" s="253"/>
      <c r="C85" s="261" t="s">
        <v>3806</v>
      </c>
      <c r="D85" s="262" t="s">
        <v>3602</v>
      </c>
      <c r="E85" s="253"/>
      <c r="F85" s="253"/>
      <c r="G85" s="253"/>
      <c r="H85" s="253"/>
      <c r="I85" s="253"/>
      <c r="J85" s="253"/>
      <c r="K85" s="253"/>
      <c r="L85" s="253"/>
      <c r="M85" s="253"/>
      <c r="N85" s="253"/>
      <c r="O85" s="253"/>
      <c r="P85" s="253"/>
      <c r="Q85" s="253"/>
      <c r="R85" s="253"/>
    </row>
    <row r="86" ht="15.75" customHeight="1">
      <c r="A86" s="253"/>
      <c r="B86" s="253"/>
      <c r="C86" s="261" t="s">
        <v>4206</v>
      </c>
      <c r="D86" s="262" t="s">
        <v>8633</v>
      </c>
      <c r="E86" s="253"/>
      <c r="F86" s="253"/>
      <c r="G86" s="253"/>
      <c r="H86" s="253"/>
      <c r="I86" s="253"/>
      <c r="J86" s="253"/>
      <c r="K86" s="253"/>
      <c r="L86" s="253"/>
      <c r="M86" s="253"/>
      <c r="N86" s="253"/>
      <c r="O86" s="253"/>
      <c r="P86" s="253"/>
      <c r="Q86" s="253"/>
      <c r="R86" s="253"/>
    </row>
    <row r="87" ht="15.75" customHeight="1">
      <c r="A87" s="253"/>
      <c r="B87" s="253"/>
      <c r="C87" s="261" t="s">
        <v>5718</v>
      </c>
      <c r="D87" s="262" t="s">
        <v>1776</v>
      </c>
      <c r="E87" s="253"/>
      <c r="F87" s="253"/>
      <c r="G87" s="253"/>
      <c r="H87" s="253"/>
      <c r="I87" s="253"/>
      <c r="J87" s="253"/>
      <c r="K87" s="253"/>
      <c r="L87" s="253"/>
      <c r="M87" s="253"/>
      <c r="N87" s="253"/>
      <c r="O87" s="253"/>
      <c r="P87" s="253"/>
      <c r="Q87" s="253"/>
      <c r="R87" s="253"/>
    </row>
    <row r="88" ht="15.75" customHeight="1">
      <c r="A88" s="253"/>
      <c r="B88" s="253"/>
      <c r="C88" s="261" t="s">
        <v>6875</v>
      </c>
      <c r="D88" s="262" t="s">
        <v>11288</v>
      </c>
      <c r="E88" s="253"/>
      <c r="F88" s="253"/>
      <c r="G88" s="253"/>
      <c r="H88" s="253"/>
      <c r="I88" s="253"/>
      <c r="J88" s="253"/>
      <c r="K88" s="253"/>
      <c r="L88" s="253"/>
      <c r="M88" s="253"/>
      <c r="N88" s="253"/>
      <c r="O88" s="253"/>
      <c r="P88" s="253"/>
      <c r="Q88" s="253"/>
      <c r="R88" s="253"/>
    </row>
    <row r="89" ht="15.75" customHeight="1">
      <c r="A89" s="253"/>
      <c r="B89" s="253"/>
      <c r="C89" s="261" t="s">
        <v>8022</v>
      </c>
      <c r="D89" s="262" t="s">
        <v>11290</v>
      </c>
      <c r="E89" s="253"/>
      <c r="F89" s="253"/>
      <c r="G89" s="253"/>
      <c r="H89" s="253"/>
      <c r="I89" s="253"/>
      <c r="J89" s="253"/>
      <c r="K89" s="253"/>
      <c r="L89" s="253"/>
      <c r="M89" s="253"/>
      <c r="N89" s="253"/>
      <c r="O89" s="253"/>
      <c r="P89" s="253"/>
      <c r="Q89" s="253"/>
      <c r="R89" s="253"/>
    </row>
    <row r="90" ht="15.75" customHeight="1">
      <c r="A90" s="253"/>
      <c r="B90" s="253"/>
      <c r="C90" s="261" t="s">
        <v>4527</v>
      </c>
      <c r="D90" s="262" t="s">
        <v>11294</v>
      </c>
      <c r="E90" s="253"/>
      <c r="F90" s="253"/>
      <c r="G90" s="253"/>
      <c r="H90" s="253"/>
      <c r="I90" s="253"/>
      <c r="J90" s="253"/>
      <c r="K90" s="253"/>
      <c r="L90" s="253"/>
      <c r="M90" s="253"/>
      <c r="N90" s="253"/>
      <c r="O90" s="253"/>
      <c r="P90" s="253"/>
      <c r="Q90" s="253"/>
      <c r="R90" s="253"/>
    </row>
    <row r="91" ht="15.75" customHeight="1">
      <c r="A91" s="253"/>
      <c r="B91" s="253"/>
      <c r="C91" s="261" t="s">
        <v>2615</v>
      </c>
      <c r="D91" s="262" t="s">
        <v>11295</v>
      </c>
      <c r="E91" s="253"/>
      <c r="F91" s="253"/>
      <c r="G91" s="253"/>
      <c r="H91" s="253"/>
      <c r="I91" s="253"/>
      <c r="J91" s="253"/>
      <c r="K91" s="253"/>
      <c r="L91" s="253"/>
      <c r="M91" s="253"/>
      <c r="N91" s="253"/>
      <c r="O91" s="253"/>
      <c r="P91" s="253"/>
      <c r="Q91" s="253"/>
      <c r="R91" s="253"/>
    </row>
    <row r="92" ht="15.75" customHeight="1">
      <c r="A92" s="253"/>
      <c r="B92" s="253"/>
      <c r="C92" s="261" t="s">
        <v>5770</v>
      </c>
      <c r="D92" s="262" t="s">
        <v>54</v>
      </c>
      <c r="E92" s="253"/>
      <c r="F92" s="253"/>
      <c r="G92" s="253"/>
      <c r="H92" s="253"/>
      <c r="I92" s="253"/>
      <c r="J92" s="253"/>
      <c r="K92" s="253"/>
      <c r="L92" s="253"/>
      <c r="M92" s="253"/>
      <c r="N92" s="253"/>
      <c r="O92" s="253"/>
      <c r="P92" s="253"/>
      <c r="Q92" s="253"/>
      <c r="R92" s="253"/>
    </row>
    <row r="93" ht="15.75" customHeight="1">
      <c r="A93" s="253"/>
      <c r="B93" s="253"/>
      <c r="C93" s="261" t="s">
        <v>2539</v>
      </c>
      <c r="D93" s="262" t="s">
        <v>11297</v>
      </c>
      <c r="E93" s="253"/>
      <c r="F93" s="253"/>
      <c r="G93" s="253"/>
      <c r="H93" s="253"/>
      <c r="I93" s="253"/>
      <c r="J93" s="253"/>
      <c r="K93" s="253"/>
      <c r="L93" s="253"/>
      <c r="M93" s="253"/>
      <c r="N93" s="253"/>
      <c r="O93" s="253"/>
      <c r="P93" s="253"/>
      <c r="Q93" s="253"/>
      <c r="R93" s="253"/>
    </row>
    <row r="94" ht="15.75" customHeight="1">
      <c r="A94" s="253"/>
      <c r="B94" s="253"/>
      <c r="C94" s="261" t="s">
        <v>2274</v>
      </c>
      <c r="D94" s="262" t="s">
        <v>594</v>
      </c>
      <c r="E94" s="253"/>
      <c r="F94" s="253"/>
      <c r="G94" s="253"/>
      <c r="H94" s="253"/>
      <c r="I94" s="253"/>
      <c r="J94" s="253"/>
      <c r="K94" s="253"/>
      <c r="L94" s="253"/>
      <c r="M94" s="253"/>
      <c r="N94" s="253"/>
      <c r="O94" s="253"/>
      <c r="P94" s="253"/>
      <c r="Q94" s="253"/>
      <c r="R94" s="253"/>
    </row>
    <row r="95" ht="15.75" customHeight="1">
      <c r="A95" s="253"/>
      <c r="B95" s="253"/>
      <c r="C95" s="261" t="s">
        <v>2640</v>
      </c>
      <c r="D95" s="265" t="s">
        <v>8900</v>
      </c>
      <c r="E95" s="253"/>
      <c r="F95" s="253"/>
      <c r="G95" s="253"/>
      <c r="H95" s="253"/>
      <c r="I95" s="253"/>
      <c r="J95" s="253"/>
      <c r="K95" s="253"/>
      <c r="L95" s="253"/>
      <c r="M95" s="253"/>
      <c r="N95" s="253"/>
      <c r="O95" s="253"/>
      <c r="P95" s="253"/>
      <c r="Q95" s="253"/>
      <c r="R95" s="253"/>
    </row>
    <row r="96" ht="15.75" customHeight="1">
      <c r="A96" s="253"/>
      <c r="B96" s="253"/>
      <c r="C96" s="261" t="s">
        <v>2681</v>
      </c>
      <c r="D96" s="262" t="s">
        <v>3619</v>
      </c>
      <c r="E96" s="253"/>
      <c r="F96" s="253"/>
      <c r="G96" s="253"/>
      <c r="H96" s="253"/>
      <c r="I96" s="253"/>
      <c r="J96" s="253"/>
      <c r="K96" s="253"/>
      <c r="L96" s="253"/>
      <c r="M96" s="253"/>
      <c r="N96" s="253"/>
      <c r="O96" s="253"/>
      <c r="P96" s="253"/>
      <c r="Q96" s="253"/>
      <c r="R96" s="253"/>
    </row>
    <row r="97" ht="15.75" customHeight="1">
      <c r="A97" s="253"/>
      <c r="B97" s="253"/>
      <c r="C97" s="261" t="s">
        <v>1846</v>
      </c>
      <c r="D97" s="262" t="s">
        <v>11306</v>
      </c>
      <c r="E97" s="253"/>
      <c r="F97" s="253"/>
      <c r="G97" s="253"/>
      <c r="H97" s="253"/>
      <c r="I97" s="253"/>
      <c r="J97" s="253"/>
      <c r="K97" s="253"/>
      <c r="L97" s="253"/>
      <c r="M97" s="253"/>
      <c r="N97" s="253"/>
      <c r="O97" s="253"/>
      <c r="P97" s="253"/>
      <c r="Q97" s="253"/>
      <c r="R97" s="253"/>
    </row>
    <row r="98" ht="15.75" customHeight="1">
      <c r="A98" s="253"/>
      <c r="B98" s="253"/>
      <c r="C98" s="261" t="s">
        <v>2719</v>
      </c>
      <c r="D98" s="262" t="s">
        <v>11309</v>
      </c>
      <c r="E98" s="253"/>
      <c r="F98" s="253"/>
      <c r="G98" s="253"/>
      <c r="H98" s="253"/>
      <c r="I98" s="253"/>
      <c r="J98" s="253"/>
      <c r="K98" s="253"/>
      <c r="L98" s="253"/>
      <c r="M98" s="253"/>
      <c r="N98" s="253"/>
      <c r="O98" s="253"/>
      <c r="P98" s="253"/>
      <c r="Q98" s="253"/>
      <c r="R98" s="253"/>
    </row>
    <row r="99" ht="15.75" customHeight="1">
      <c r="A99" s="253"/>
      <c r="B99" s="253"/>
      <c r="C99" s="261" t="s">
        <v>8849</v>
      </c>
      <c r="D99" s="262" t="s">
        <v>11312</v>
      </c>
      <c r="E99" s="253"/>
      <c r="F99" s="253"/>
      <c r="G99" s="253"/>
      <c r="H99" s="253"/>
      <c r="I99" s="253"/>
      <c r="J99" s="253"/>
      <c r="K99" s="253"/>
      <c r="L99" s="253"/>
      <c r="M99" s="253"/>
      <c r="N99" s="253"/>
      <c r="O99" s="253"/>
      <c r="P99" s="253"/>
      <c r="Q99" s="253"/>
      <c r="R99" s="253"/>
    </row>
    <row r="100" ht="15.75" customHeight="1">
      <c r="A100" s="253"/>
      <c r="B100" s="253"/>
      <c r="C100" s="261" t="s">
        <v>1452</v>
      </c>
      <c r="D100" s="262" t="s">
        <v>996</v>
      </c>
      <c r="E100" s="253"/>
      <c r="F100" s="253"/>
      <c r="G100" s="253"/>
      <c r="H100" s="253"/>
      <c r="I100" s="253"/>
      <c r="J100" s="253"/>
      <c r="K100" s="253"/>
      <c r="L100" s="253"/>
      <c r="M100" s="253"/>
      <c r="N100" s="253"/>
      <c r="O100" s="253"/>
      <c r="P100" s="253"/>
      <c r="Q100" s="253"/>
      <c r="R100" s="253"/>
    </row>
    <row r="101" ht="15.75" customHeight="1">
      <c r="A101" s="253"/>
      <c r="B101" s="253"/>
      <c r="C101" s="261" t="s">
        <v>2864</v>
      </c>
      <c r="D101" s="262" t="s">
        <v>11317</v>
      </c>
      <c r="E101" s="253"/>
      <c r="F101" s="253"/>
      <c r="G101" s="253"/>
      <c r="H101" s="253"/>
      <c r="I101" s="253"/>
      <c r="J101" s="253"/>
      <c r="K101" s="253"/>
      <c r="L101" s="253"/>
      <c r="M101" s="253"/>
      <c r="N101" s="253"/>
      <c r="O101" s="253"/>
      <c r="P101" s="253"/>
      <c r="Q101" s="253"/>
      <c r="R101" s="253"/>
    </row>
    <row r="102" ht="15.75" customHeight="1">
      <c r="A102" s="253"/>
      <c r="B102" s="253"/>
      <c r="C102" s="261" t="s">
        <v>1952</v>
      </c>
      <c r="D102" s="262" t="s">
        <v>11318</v>
      </c>
      <c r="E102" s="253"/>
      <c r="F102" s="253"/>
      <c r="G102" s="253"/>
      <c r="H102" s="253"/>
      <c r="I102" s="253"/>
      <c r="J102" s="253"/>
      <c r="K102" s="253"/>
      <c r="L102" s="253"/>
      <c r="M102" s="253"/>
      <c r="N102" s="253"/>
      <c r="O102" s="253"/>
      <c r="P102" s="253"/>
      <c r="Q102" s="253"/>
      <c r="R102" s="253"/>
    </row>
    <row r="103" ht="15.75" customHeight="1">
      <c r="A103" s="253"/>
      <c r="B103" s="253"/>
      <c r="C103" s="261" t="s">
        <v>2072</v>
      </c>
      <c r="D103" s="262" t="s">
        <v>11321</v>
      </c>
      <c r="E103" s="253"/>
      <c r="F103" s="253"/>
      <c r="G103" s="253"/>
      <c r="H103" s="253"/>
      <c r="I103" s="253"/>
      <c r="J103" s="253"/>
      <c r="K103" s="253"/>
      <c r="L103" s="253"/>
      <c r="M103" s="253"/>
      <c r="N103" s="253"/>
      <c r="O103" s="253"/>
      <c r="P103" s="253"/>
      <c r="Q103" s="253"/>
      <c r="R103" s="253"/>
    </row>
    <row r="104" ht="15.75" customHeight="1">
      <c r="A104" s="253"/>
      <c r="B104" s="253"/>
      <c r="C104" s="261" t="s">
        <v>6094</v>
      </c>
      <c r="D104" s="262" t="s">
        <v>11324</v>
      </c>
      <c r="E104" s="253"/>
      <c r="F104" s="253"/>
      <c r="G104" s="253"/>
      <c r="H104" s="253"/>
      <c r="I104" s="253"/>
      <c r="J104" s="253"/>
      <c r="K104" s="253"/>
      <c r="L104" s="253"/>
      <c r="M104" s="253"/>
      <c r="N104" s="253"/>
      <c r="O104" s="253"/>
      <c r="P104" s="253"/>
      <c r="Q104" s="253"/>
      <c r="R104" s="253"/>
    </row>
    <row r="105" ht="15.75" customHeight="1">
      <c r="A105" s="253"/>
      <c r="B105" s="253"/>
      <c r="C105" s="264"/>
      <c r="D105" s="262" t="s">
        <v>11326</v>
      </c>
      <c r="E105" s="253"/>
      <c r="F105" s="253"/>
      <c r="G105" s="253"/>
      <c r="H105" s="253"/>
      <c r="I105" s="253"/>
      <c r="J105" s="253"/>
      <c r="K105" s="253"/>
      <c r="L105" s="253"/>
      <c r="M105" s="253"/>
      <c r="N105" s="253"/>
      <c r="O105" s="253"/>
      <c r="P105" s="253"/>
      <c r="Q105" s="253"/>
      <c r="R105" s="253"/>
    </row>
    <row r="106" ht="15.75" customHeight="1">
      <c r="A106" s="253"/>
      <c r="B106" s="253"/>
      <c r="C106" s="253"/>
      <c r="D106" s="265" t="s">
        <v>6002</v>
      </c>
      <c r="E106" s="253"/>
      <c r="F106" s="253"/>
      <c r="G106" s="253"/>
      <c r="H106" s="253"/>
      <c r="I106" s="253"/>
      <c r="J106" s="253"/>
      <c r="K106" s="253"/>
      <c r="L106" s="253"/>
      <c r="M106" s="253"/>
      <c r="N106" s="253"/>
      <c r="O106" s="253"/>
      <c r="P106" s="253"/>
      <c r="Q106" s="253"/>
      <c r="R106" s="253"/>
    </row>
    <row r="107" ht="15.75" customHeight="1">
      <c r="A107" s="253"/>
      <c r="B107" s="253"/>
      <c r="C107" s="253"/>
      <c r="D107" s="262" t="s">
        <v>11330</v>
      </c>
      <c r="E107" s="253"/>
      <c r="F107" s="253"/>
      <c r="G107" s="253"/>
      <c r="H107" s="253"/>
      <c r="I107" s="253"/>
      <c r="J107" s="253"/>
      <c r="K107" s="253"/>
      <c r="L107" s="253"/>
      <c r="M107" s="253"/>
      <c r="N107" s="253"/>
      <c r="O107" s="253"/>
      <c r="P107" s="253"/>
      <c r="Q107" s="253"/>
      <c r="R107" s="253"/>
    </row>
    <row r="108" ht="15.75" customHeight="1">
      <c r="A108" s="253"/>
      <c r="B108" s="253"/>
      <c r="C108" s="253"/>
      <c r="D108" s="262" t="s">
        <v>11331</v>
      </c>
      <c r="E108" s="253"/>
      <c r="F108" s="253"/>
      <c r="G108" s="253"/>
      <c r="H108" s="253"/>
      <c r="I108" s="253"/>
      <c r="J108" s="253"/>
      <c r="K108" s="253"/>
      <c r="L108" s="253"/>
      <c r="M108" s="253"/>
      <c r="N108" s="253"/>
      <c r="O108" s="253"/>
      <c r="P108" s="253"/>
      <c r="Q108" s="253"/>
      <c r="R108" s="253"/>
    </row>
    <row r="109" ht="15.75" customHeight="1">
      <c r="A109" s="253"/>
      <c r="B109" s="253"/>
      <c r="C109" s="253"/>
      <c r="D109" s="262" t="s">
        <v>11333</v>
      </c>
      <c r="E109" s="253"/>
      <c r="F109" s="253"/>
      <c r="G109" s="253"/>
      <c r="H109" s="253"/>
      <c r="I109" s="253"/>
      <c r="J109" s="253"/>
      <c r="K109" s="253"/>
      <c r="L109" s="253"/>
      <c r="M109" s="253"/>
      <c r="N109" s="253"/>
      <c r="O109" s="253"/>
      <c r="P109" s="253"/>
      <c r="Q109" s="253"/>
      <c r="R109" s="253"/>
    </row>
    <row r="110" ht="15.75" customHeight="1">
      <c r="A110" s="253"/>
      <c r="B110" s="253"/>
      <c r="C110" s="253"/>
      <c r="D110" s="262" t="s">
        <v>11334</v>
      </c>
      <c r="E110" s="253"/>
      <c r="F110" s="253"/>
      <c r="G110" s="253"/>
      <c r="H110" s="253"/>
      <c r="I110" s="253"/>
      <c r="J110" s="253"/>
      <c r="K110" s="253"/>
      <c r="L110" s="253"/>
      <c r="M110" s="253"/>
      <c r="N110" s="253"/>
      <c r="O110" s="253"/>
      <c r="P110" s="253"/>
      <c r="Q110" s="253"/>
      <c r="R110" s="253"/>
    </row>
    <row r="111" ht="15.75" customHeight="1">
      <c r="A111" s="253"/>
      <c r="B111" s="253"/>
      <c r="C111" s="253"/>
      <c r="D111" s="262" t="s">
        <v>8271</v>
      </c>
      <c r="E111" s="253"/>
      <c r="F111" s="253"/>
      <c r="G111" s="253"/>
      <c r="H111" s="253"/>
      <c r="I111" s="253"/>
      <c r="J111" s="253"/>
      <c r="K111" s="253"/>
      <c r="L111" s="253"/>
      <c r="M111" s="253"/>
      <c r="N111" s="253"/>
      <c r="O111" s="253"/>
      <c r="P111" s="253"/>
      <c r="Q111" s="253"/>
      <c r="R111" s="253"/>
    </row>
    <row r="112" ht="15.75" customHeight="1">
      <c r="A112" s="253"/>
      <c r="B112" s="253"/>
      <c r="C112" s="253"/>
      <c r="D112" s="262" t="s">
        <v>3763</v>
      </c>
      <c r="E112" s="253"/>
      <c r="F112" s="253"/>
      <c r="G112" s="253"/>
      <c r="H112" s="253"/>
      <c r="I112" s="253"/>
      <c r="J112" s="253"/>
      <c r="K112" s="253"/>
      <c r="L112" s="253"/>
      <c r="M112" s="253"/>
      <c r="N112" s="253"/>
      <c r="O112" s="253"/>
      <c r="P112" s="253"/>
      <c r="Q112" s="253"/>
      <c r="R112" s="253"/>
    </row>
    <row r="113" ht="15.75" customHeight="1">
      <c r="A113" s="253"/>
      <c r="B113" s="253"/>
      <c r="C113" s="253"/>
      <c r="D113" s="262" t="s">
        <v>11338</v>
      </c>
      <c r="E113" s="253"/>
      <c r="F113" s="253"/>
      <c r="G113" s="253"/>
      <c r="H113" s="253"/>
      <c r="I113" s="253"/>
      <c r="J113" s="253"/>
      <c r="K113" s="253"/>
      <c r="L113" s="253"/>
      <c r="M113" s="253"/>
      <c r="N113" s="253"/>
      <c r="O113" s="253"/>
      <c r="P113" s="253"/>
      <c r="Q113" s="253"/>
      <c r="R113" s="253"/>
    </row>
    <row r="114" ht="15.75" customHeight="1">
      <c r="A114" s="253"/>
      <c r="B114" s="253"/>
      <c r="C114" s="253"/>
      <c r="D114" s="262" t="s">
        <v>11340</v>
      </c>
      <c r="E114" s="253"/>
      <c r="F114" s="253"/>
      <c r="G114" s="253"/>
      <c r="H114" s="253"/>
      <c r="I114" s="253"/>
      <c r="J114" s="253"/>
      <c r="K114" s="253"/>
      <c r="L114" s="253"/>
      <c r="M114" s="253"/>
      <c r="N114" s="253"/>
      <c r="O114" s="253"/>
      <c r="P114" s="253"/>
      <c r="Q114" s="253"/>
      <c r="R114" s="253"/>
    </row>
    <row r="115" ht="15.75" customHeight="1">
      <c r="A115" s="253"/>
      <c r="B115" s="253"/>
      <c r="C115" s="253"/>
      <c r="D115" s="265" t="s">
        <v>1144</v>
      </c>
      <c r="E115" s="253"/>
      <c r="F115" s="253"/>
      <c r="G115" s="253"/>
      <c r="H115" s="253"/>
      <c r="I115" s="253"/>
      <c r="J115" s="253"/>
      <c r="K115" s="253"/>
      <c r="L115" s="253"/>
      <c r="M115" s="253"/>
      <c r="N115" s="253"/>
      <c r="O115" s="253"/>
      <c r="P115" s="253"/>
      <c r="Q115" s="253"/>
      <c r="R115" s="253"/>
    </row>
    <row r="116" ht="15.75" customHeight="1">
      <c r="A116" s="253"/>
      <c r="B116" s="253"/>
      <c r="C116" s="253"/>
      <c r="D116" s="265" t="s">
        <v>4343</v>
      </c>
      <c r="E116" s="253"/>
      <c r="F116" s="253"/>
      <c r="G116" s="253"/>
      <c r="H116" s="253"/>
      <c r="I116" s="253"/>
      <c r="J116" s="253"/>
      <c r="K116" s="253"/>
      <c r="L116" s="253"/>
      <c r="M116" s="253"/>
      <c r="N116" s="253"/>
      <c r="O116" s="253"/>
      <c r="P116" s="253"/>
      <c r="Q116" s="253"/>
      <c r="R116" s="253"/>
    </row>
    <row r="117" ht="15.75" customHeight="1">
      <c r="A117" s="253"/>
      <c r="B117" s="253"/>
      <c r="C117" s="253"/>
      <c r="D117" s="262" t="s">
        <v>8461</v>
      </c>
      <c r="E117" s="253"/>
      <c r="F117" s="253"/>
      <c r="G117" s="253"/>
      <c r="H117" s="253"/>
      <c r="I117" s="253"/>
      <c r="J117" s="253"/>
      <c r="K117" s="253"/>
      <c r="L117" s="253"/>
      <c r="M117" s="253"/>
      <c r="N117" s="253"/>
      <c r="O117" s="253"/>
      <c r="P117" s="253"/>
      <c r="Q117" s="253"/>
      <c r="R117" s="253"/>
    </row>
    <row r="118" ht="15.75" customHeight="1">
      <c r="A118" s="253"/>
      <c r="B118" s="253"/>
      <c r="C118" s="253"/>
      <c r="D118" s="265" t="s">
        <v>6469</v>
      </c>
      <c r="E118" s="253"/>
      <c r="F118" s="253"/>
      <c r="G118" s="253"/>
      <c r="H118" s="253"/>
      <c r="I118" s="253"/>
      <c r="J118" s="253"/>
      <c r="K118" s="253"/>
      <c r="L118" s="253"/>
      <c r="M118" s="253"/>
      <c r="N118" s="253"/>
      <c r="O118" s="253"/>
      <c r="P118" s="253"/>
      <c r="Q118" s="253"/>
      <c r="R118" s="253"/>
    </row>
    <row r="119" ht="15.75" customHeight="1">
      <c r="A119" s="253"/>
      <c r="B119" s="253"/>
      <c r="C119" s="253"/>
      <c r="D119" s="265" t="s">
        <v>6314</v>
      </c>
      <c r="E119" s="253"/>
      <c r="F119" s="253"/>
      <c r="G119" s="253"/>
      <c r="H119" s="253"/>
      <c r="I119" s="253"/>
      <c r="J119" s="253"/>
      <c r="K119" s="253"/>
      <c r="L119" s="253"/>
      <c r="M119" s="253"/>
      <c r="N119" s="253"/>
      <c r="O119" s="253"/>
      <c r="P119" s="253"/>
      <c r="Q119" s="253"/>
      <c r="R119" s="253"/>
    </row>
    <row r="120" ht="15.75" customHeight="1">
      <c r="A120" s="253"/>
      <c r="B120" s="253"/>
      <c r="C120" s="253"/>
      <c r="D120" s="262" t="s">
        <v>11348</v>
      </c>
      <c r="E120" s="253"/>
      <c r="F120" s="253"/>
      <c r="G120" s="253"/>
      <c r="H120" s="253"/>
      <c r="I120" s="253"/>
      <c r="J120" s="253"/>
      <c r="K120" s="253"/>
      <c r="L120" s="253"/>
      <c r="M120" s="253"/>
      <c r="N120" s="253"/>
      <c r="O120" s="253"/>
      <c r="P120" s="253"/>
      <c r="Q120" s="253"/>
      <c r="R120" s="253"/>
    </row>
    <row r="121" ht="15.75" customHeight="1">
      <c r="A121" s="253"/>
      <c r="B121" s="253"/>
      <c r="C121" s="253"/>
      <c r="D121" s="265" t="s">
        <v>7166</v>
      </c>
      <c r="E121" s="253"/>
      <c r="F121" s="253"/>
      <c r="G121" s="253"/>
      <c r="H121" s="253"/>
      <c r="I121" s="253"/>
      <c r="J121" s="253"/>
      <c r="K121" s="253"/>
      <c r="L121" s="253"/>
      <c r="M121" s="253"/>
      <c r="N121" s="253"/>
      <c r="O121" s="253"/>
      <c r="P121" s="253"/>
      <c r="Q121" s="253"/>
      <c r="R121" s="253"/>
    </row>
    <row r="122" ht="15.75" customHeight="1">
      <c r="A122" s="253"/>
      <c r="B122" s="253"/>
      <c r="C122" s="253"/>
      <c r="D122" s="265" t="s">
        <v>8980</v>
      </c>
      <c r="E122" s="253"/>
      <c r="F122" s="253"/>
      <c r="G122" s="253"/>
      <c r="H122" s="253"/>
      <c r="I122" s="253"/>
      <c r="J122" s="253"/>
      <c r="K122" s="253"/>
      <c r="L122" s="253"/>
      <c r="M122" s="253"/>
      <c r="N122" s="253"/>
      <c r="O122" s="253"/>
      <c r="P122" s="253"/>
      <c r="Q122" s="253"/>
      <c r="R122" s="253"/>
    </row>
    <row r="123" ht="15.75" customHeight="1">
      <c r="A123" s="253"/>
      <c r="B123" s="253"/>
      <c r="C123" s="253"/>
      <c r="D123" s="262" t="s">
        <v>11351</v>
      </c>
      <c r="E123" s="253"/>
      <c r="F123" s="253"/>
      <c r="G123" s="253"/>
      <c r="H123" s="253"/>
      <c r="I123" s="253"/>
      <c r="J123" s="253"/>
      <c r="K123" s="253"/>
      <c r="L123" s="253"/>
      <c r="M123" s="253"/>
      <c r="N123" s="253"/>
      <c r="O123" s="253"/>
      <c r="P123" s="253"/>
      <c r="Q123" s="253"/>
      <c r="R123" s="253"/>
    </row>
    <row r="124" ht="15.75" customHeight="1">
      <c r="A124" s="253"/>
      <c r="B124" s="253"/>
      <c r="C124" s="253"/>
      <c r="D124" s="262" t="s">
        <v>11354</v>
      </c>
      <c r="E124" s="253"/>
      <c r="F124" s="253"/>
      <c r="G124" s="253"/>
      <c r="H124" s="253"/>
      <c r="I124" s="253"/>
      <c r="J124" s="253"/>
      <c r="K124" s="253"/>
      <c r="L124" s="253"/>
      <c r="M124" s="253"/>
      <c r="N124" s="253"/>
      <c r="O124" s="253"/>
      <c r="P124" s="253"/>
      <c r="Q124" s="253"/>
      <c r="R124" s="253"/>
    </row>
    <row r="125" ht="15.75" customHeight="1">
      <c r="A125" s="253"/>
      <c r="B125" s="253"/>
      <c r="C125" s="253"/>
      <c r="D125" s="262" t="s">
        <v>2089</v>
      </c>
      <c r="E125" s="253"/>
      <c r="F125" s="253"/>
      <c r="G125" s="253"/>
      <c r="H125" s="253"/>
      <c r="I125" s="253"/>
      <c r="J125" s="253"/>
      <c r="K125" s="253"/>
      <c r="L125" s="253"/>
      <c r="M125" s="253"/>
      <c r="N125" s="253"/>
      <c r="O125" s="253"/>
      <c r="P125" s="253"/>
      <c r="Q125" s="253"/>
      <c r="R125" s="253"/>
    </row>
    <row r="126" ht="15.75" customHeight="1">
      <c r="A126" s="253"/>
      <c r="B126" s="253"/>
      <c r="C126" s="253"/>
      <c r="D126" s="262" t="s">
        <v>5244</v>
      </c>
      <c r="E126" s="253"/>
      <c r="F126" s="253"/>
      <c r="G126" s="253"/>
      <c r="H126" s="253"/>
      <c r="I126" s="253"/>
      <c r="J126" s="253"/>
      <c r="K126" s="253"/>
      <c r="L126" s="253"/>
      <c r="M126" s="253"/>
      <c r="N126" s="253"/>
      <c r="O126" s="253"/>
      <c r="P126" s="253"/>
      <c r="Q126" s="253"/>
      <c r="R126" s="253"/>
    </row>
    <row r="127" ht="15.75" customHeight="1">
      <c r="A127" s="253"/>
      <c r="B127" s="253"/>
      <c r="C127" s="253"/>
      <c r="D127" s="262" t="s">
        <v>580</v>
      </c>
      <c r="E127" s="253"/>
      <c r="F127" s="253"/>
      <c r="G127" s="253"/>
      <c r="H127" s="253"/>
      <c r="I127" s="253"/>
      <c r="J127" s="253"/>
      <c r="K127" s="253"/>
      <c r="L127" s="253"/>
      <c r="M127" s="253"/>
      <c r="N127" s="253"/>
      <c r="O127" s="253"/>
      <c r="P127" s="253"/>
      <c r="Q127" s="253"/>
      <c r="R127" s="253"/>
    </row>
    <row r="128" ht="15.75" customHeight="1">
      <c r="A128" s="253"/>
      <c r="B128" s="253"/>
      <c r="C128" s="253"/>
      <c r="D128" s="262" t="s">
        <v>11361</v>
      </c>
      <c r="E128" s="253"/>
      <c r="F128" s="253"/>
      <c r="G128" s="253"/>
      <c r="H128" s="253"/>
      <c r="I128" s="253"/>
      <c r="J128" s="253"/>
      <c r="K128" s="253"/>
      <c r="L128" s="253"/>
      <c r="M128" s="253"/>
      <c r="N128" s="253"/>
      <c r="O128" s="253"/>
      <c r="P128" s="253"/>
      <c r="Q128" s="253"/>
      <c r="R128" s="253"/>
    </row>
    <row r="129" ht="15.75" customHeight="1">
      <c r="A129" s="253"/>
      <c r="B129" s="253"/>
      <c r="C129" s="253"/>
      <c r="D129" s="262" t="s">
        <v>11363</v>
      </c>
      <c r="E129" s="253"/>
      <c r="F129" s="253"/>
      <c r="G129" s="253"/>
      <c r="H129" s="253"/>
      <c r="I129" s="253"/>
      <c r="J129" s="253"/>
      <c r="K129" s="253"/>
      <c r="L129" s="253"/>
      <c r="M129" s="253"/>
      <c r="N129" s="253"/>
      <c r="O129" s="253"/>
      <c r="P129" s="253"/>
      <c r="Q129" s="253"/>
      <c r="R129" s="253"/>
    </row>
    <row r="130" ht="15.75" customHeight="1">
      <c r="A130" s="253"/>
      <c r="B130" s="253"/>
      <c r="C130" s="253"/>
      <c r="D130" s="262" t="s">
        <v>639</v>
      </c>
      <c r="E130" s="253"/>
      <c r="F130" s="253"/>
      <c r="G130" s="253"/>
      <c r="H130" s="253"/>
      <c r="I130" s="253"/>
      <c r="J130" s="253"/>
      <c r="K130" s="253"/>
      <c r="L130" s="253"/>
      <c r="M130" s="253"/>
      <c r="N130" s="253"/>
      <c r="O130" s="253"/>
      <c r="P130" s="253"/>
      <c r="Q130" s="253"/>
      <c r="R130" s="253"/>
    </row>
    <row r="131" ht="15.75" customHeight="1">
      <c r="A131" s="253"/>
      <c r="B131" s="253"/>
      <c r="C131" s="253"/>
      <c r="D131" s="262" t="s">
        <v>4834</v>
      </c>
      <c r="E131" s="253"/>
      <c r="F131" s="253"/>
      <c r="G131" s="253"/>
      <c r="H131" s="253"/>
      <c r="I131" s="253"/>
      <c r="J131" s="253"/>
      <c r="K131" s="253"/>
      <c r="L131" s="253"/>
      <c r="M131" s="253"/>
      <c r="N131" s="253"/>
      <c r="O131" s="253"/>
      <c r="P131" s="253"/>
      <c r="Q131" s="253"/>
      <c r="R131" s="253"/>
    </row>
    <row r="132" ht="15.75" customHeight="1">
      <c r="A132" s="253"/>
      <c r="B132" s="253"/>
      <c r="C132" s="253"/>
      <c r="D132" s="262" t="s">
        <v>11370</v>
      </c>
      <c r="E132" s="253"/>
      <c r="F132" s="253"/>
      <c r="G132" s="253"/>
      <c r="H132" s="253"/>
      <c r="I132" s="253"/>
      <c r="J132" s="253"/>
      <c r="K132" s="253"/>
      <c r="L132" s="253"/>
      <c r="M132" s="253"/>
      <c r="N132" s="253"/>
      <c r="O132" s="253"/>
      <c r="P132" s="253"/>
      <c r="Q132" s="253"/>
      <c r="R132" s="253"/>
    </row>
    <row r="133" ht="15.75" customHeight="1">
      <c r="A133" s="253"/>
      <c r="B133" s="253"/>
      <c r="C133" s="253"/>
      <c r="D133" s="262" t="s">
        <v>2967</v>
      </c>
      <c r="E133" s="253"/>
      <c r="F133" s="253"/>
      <c r="G133" s="253"/>
      <c r="H133" s="253"/>
      <c r="I133" s="253"/>
      <c r="J133" s="253"/>
      <c r="K133" s="253"/>
      <c r="L133" s="253"/>
      <c r="M133" s="253"/>
      <c r="N133" s="253"/>
      <c r="O133" s="253"/>
      <c r="P133" s="253"/>
      <c r="Q133" s="253"/>
      <c r="R133" s="253"/>
    </row>
    <row r="134" ht="15.75" customHeight="1">
      <c r="A134" s="253"/>
      <c r="B134" s="253"/>
      <c r="C134" s="253"/>
      <c r="D134" s="262" t="s">
        <v>11372</v>
      </c>
      <c r="E134" s="253"/>
      <c r="F134" s="253"/>
      <c r="G134" s="253"/>
      <c r="H134" s="253"/>
      <c r="I134" s="253"/>
      <c r="J134" s="253"/>
      <c r="K134" s="253"/>
      <c r="L134" s="253"/>
      <c r="M134" s="253"/>
      <c r="N134" s="253"/>
      <c r="O134" s="253"/>
      <c r="P134" s="253"/>
      <c r="Q134" s="253"/>
      <c r="R134" s="253"/>
    </row>
    <row r="135" ht="15.75" customHeight="1">
      <c r="A135" s="253"/>
      <c r="B135" s="253"/>
      <c r="C135" s="253"/>
      <c r="D135" s="262" t="s">
        <v>11376</v>
      </c>
      <c r="E135" s="253"/>
      <c r="F135" s="253"/>
      <c r="G135" s="253"/>
      <c r="H135" s="253"/>
      <c r="I135" s="253"/>
      <c r="J135" s="253"/>
      <c r="K135" s="253"/>
      <c r="L135" s="253"/>
      <c r="M135" s="253"/>
      <c r="N135" s="253"/>
      <c r="O135" s="253"/>
      <c r="P135" s="253"/>
      <c r="Q135" s="253"/>
      <c r="R135" s="253"/>
    </row>
    <row r="136" ht="15.75" customHeight="1">
      <c r="A136" s="253"/>
      <c r="B136" s="253"/>
      <c r="C136" s="253"/>
      <c r="D136" s="262" t="s">
        <v>1777</v>
      </c>
      <c r="E136" s="253"/>
      <c r="F136" s="253"/>
      <c r="G136" s="253"/>
      <c r="H136" s="253"/>
      <c r="I136" s="253"/>
      <c r="J136" s="253"/>
      <c r="K136" s="253"/>
      <c r="L136" s="253"/>
      <c r="M136" s="253"/>
      <c r="N136" s="253"/>
      <c r="O136" s="253"/>
      <c r="P136" s="253"/>
      <c r="Q136" s="253"/>
      <c r="R136" s="253"/>
    </row>
    <row r="137" ht="15.75" customHeight="1">
      <c r="A137" s="253"/>
      <c r="B137" s="253"/>
      <c r="C137" s="253"/>
      <c r="D137" s="262" t="s">
        <v>11379</v>
      </c>
      <c r="E137" s="253"/>
      <c r="F137" s="253"/>
      <c r="G137" s="253"/>
      <c r="H137" s="253"/>
      <c r="I137" s="253"/>
      <c r="J137" s="253"/>
      <c r="K137" s="253"/>
      <c r="L137" s="253"/>
      <c r="M137" s="253"/>
      <c r="N137" s="253"/>
      <c r="O137" s="253"/>
      <c r="P137" s="253"/>
      <c r="Q137" s="253"/>
      <c r="R137" s="253"/>
    </row>
    <row r="138" ht="15.75" customHeight="1">
      <c r="A138" s="253"/>
      <c r="B138" s="253"/>
      <c r="C138" s="253"/>
      <c r="D138" s="262" t="s">
        <v>11380</v>
      </c>
      <c r="E138" s="253"/>
      <c r="F138" s="253"/>
      <c r="G138" s="253"/>
      <c r="H138" s="253"/>
      <c r="I138" s="253"/>
      <c r="J138" s="253"/>
      <c r="K138" s="253"/>
      <c r="L138" s="253"/>
      <c r="M138" s="253"/>
      <c r="N138" s="253"/>
      <c r="O138" s="253"/>
      <c r="P138" s="253"/>
      <c r="Q138" s="253"/>
      <c r="R138" s="253"/>
    </row>
    <row r="139" ht="15.75" customHeight="1">
      <c r="A139" s="253"/>
      <c r="B139" s="253"/>
      <c r="C139" s="253"/>
      <c r="D139" s="262" t="s">
        <v>11382</v>
      </c>
      <c r="E139" s="253"/>
      <c r="F139" s="253"/>
      <c r="G139" s="253"/>
      <c r="H139" s="253"/>
      <c r="I139" s="253"/>
      <c r="J139" s="253"/>
      <c r="K139" s="253"/>
      <c r="L139" s="253"/>
      <c r="M139" s="253"/>
      <c r="N139" s="253"/>
      <c r="O139" s="253"/>
      <c r="P139" s="253"/>
      <c r="Q139" s="253"/>
      <c r="R139" s="253"/>
    </row>
    <row r="140" ht="15.75" customHeight="1">
      <c r="A140" s="253"/>
      <c r="B140" s="253"/>
      <c r="C140" s="253"/>
      <c r="D140" s="262" t="s">
        <v>11385</v>
      </c>
      <c r="E140" s="253"/>
      <c r="F140" s="253"/>
      <c r="G140" s="253"/>
      <c r="H140" s="253"/>
      <c r="I140" s="253"/>
      <c r="J140" s="253"/>
      <c r="K140" s="253"/>
      <c r="L140" s="253"/>
      <c r="M140" s="253"/>
      <c r="N140" s="253"/>
      <c r="O140" s="253"/>
      <c r="P140" s="253"/>
      <c r="Q140" s="253"/>
      <c r="R140" s="253"/>
    </row>
    <row r="141" ht="15.75" customHeight="1">
      <c r="A141" s="253"/>
      <c r="B141" s="253"/>
      <c r="C141" s="253"/>
      <c r="D141" s="262" t="s">
        <v>8904</v>
      </c>
      <c r="E141" s="253"/>
      <c r="F141" s="253"/>
      <c r="G141" s="253"/>
      <c r="H141" s="253"/>
      <c r="I141" s="253"/>
      <c r="J141" s="253"/>
      <c r="K141" s="253"/>
      <c r="L141" s="253"/>
      <c r="M141" s="253"/>
      <c r="N141" s="253"/>
      <c r="O141" s="253"/>
      <c r="P141" s="253"/>
      <c r="Q141" s="253"/>
      <c r="R141" s="253"/>
    </row>
    <row r="142" ht="15.75" customHeight="1">
      <c r="A142" s="253"/>
      <c r="B142" s="253"/>
      <c r="C142" s="253"/>
      <c r="D142" s="262" t="s">
        <v>6332</v>
      </c>
      <c r="E142" s="253"/>
      <c r="F142" s="253"/>
      <c r="G142" s="253"/>
      <c r="H142" s="253"/>
      <c r="I142" s="253"/>
      <c r="J142" s="253"/>
      <c r="K142" s="253"/>
      <c r="L142" s="253"/>
      <c r="M142" s="253"/>
      <c r="N142" s="253"/>
      <c r="O142" s="253"/>
      <c r="P142" s="253"/>
      <c r="Q142" s="253"/>
      <c r="R142" s="253"/>
    </row>
    <row r="143" ht="15.75" customHeight="1">
      <c r="A143" s="253"/>
      <c r="B143" s="253"/>
      <c r="C143" s="253"/>
      <c r="D143" s="262" t="s">
        <v>11390</v>
      </c>
      <c r="E143" s="253"/>
      <c r="F143" s="253"/>
      <c r="G143" s="253"/>
      <c r="H143" s="253"/>
      <c r="I143" s="253"/>
      <c r="J143" s="253"/>
      <c r="K143" s="253"/>
      <c r="L143" s="253"/>
      <c r="M143" s="253"/>
      <c r="N143" s="253"/>
      <c r="O143" s="253"/>
      <c r="P143" s="253"/>
      <c r="Q143" s="253"/>
      <c r="R143" s="253"/>
    </row>
    <row r="144" ht="15.75" customHeight="1">
      <c r="A144" s="253"/>
      <c r="B144" s="253"/>
      <c r="C144" s="253"/>
      <c r="D144" s="262" t="s">
        <v>1882</v>
      </c>
      <c r="E144" s="253"/>
      <c r="F144" s="253"/>
      <c r="G144" s="253"/>
      <c r="H144" s="253"/>
      <c r="I144" s="253"/>
      <c r="J144" s="253"/>
      <c r="K144" s="253"/>
      <c r="L144" s="253"/>
      <c r="M144" s="253"/>
      <c r="N144" s="253"/>
      <c r="O144" s="253"/>
      <c r="P144" s="253"/>
      <c r="Q144" s="253"/>
      <c r="R144" s="253"/>
    </row>
    <row r="145" ht="15.75" customHeight="1">
      <c r="A145" s="253"/>
      <c r="B145" s="253"/>
      <c r="C145" s="253"/>
      <c r="D145" s="262" t="s">
        <v>1272</v>
      </c>
      <c r="E145" s="253"/>
      <c r="F145" s="253"/>
      <c r="G145" s="253"/>
      <c r="H145" s="253"/>
      <c r="I145" s="253"/>
      <c r="J145" s="253"/>
      <c r="K145" s="253"/>
      <c r="L145" s="253"/>
      <c r="M145" s="253"/>
      <c r="N145" s="253"/>
      <c r="O145" s="253"/>
      <c r="P145" s="253"/>
      <c r="Q145" s="253"/>
      <c r="R145" s="253"/>
    </row>
    <row r="146" ht="15.75" customHeight="1">
      <c r="A146" s="253"/>
      <c r="B146" s="253"/>
      <c r="C146" s="253"/>
      <c r="D146" s="262" t="s">
        <v>11396</v>
      </c>
      <c r="E146" s="253"/>
      <c r="F146" s="253"/>
      <c r="G146" s="253"/>
      <c r="H146" s="253"/>
      <c r="I146" s="253"/>
      <c r="J146" s="253"/>
      <c r="K146" s="253"/>
      <c r="L146" s="253"/>
      <c r="M146" s="253"/>
      <c r="N146" s="253"/>
      <c r="O146" s="253"/>
      <c r="P146" s="253"/>
      <c r="Q146" s="253"/>
      <c r="R146" s="253"/>
    </row>
    <row r="147" ht="15.75" customHeight="1">
      <c r="A147" s="253"/>
      <c r="B147" s="253"/>
      <c r="C147" s="253"/>
      <c r="D147" s="262" t="s">
        <v>11398</v>
      </c>
      <c r="E147" s="253"/>
      <c r="F147" s="253"/>
      <c r="G147" s="253"/>
      <c r="H147" s="253"/>
      <c r="I147" s="253"/>
      <c r="J147" s="253"/>
      <c r="K147" s="253"/>
      <c r="L147" s="253"/>
      <c r="M147" s="253"/>
      <c r="N147" s="253"/>
      <c r="O147" s="253"/>
      <c r="P147" s="253"/>
      <c r="Q147" s="253"/>
      <c r="R147" s="253"/>
    </row>
    <row r="148" ht="15.75" customHeight="1">
      <c r="A148" s="253"/>
      <c r="B148" s="253"/>
      <c r="C148" s="253"/>
      <c r="D148" s="262" t="s">
        <v>11401</v>
      </c>
      <c r="E148" s="253"/>
      <c r="F148" s="253"/>
      <c r="G148" s="253"/>
      <c r="H148" s="253"/>
      <c r="I148" s="253"/>
      <c r="J148" s="253"/>
      <c r="K148" s="253"/>
      <c r="L148" s="253"/>
      <c r="M148" s="253"/>
      <c r="N148" s="253"/>
      <c r="O148" s="253"/>
      <c r="P148" s="253"/>
      <c r="Q148" s="253"/>
      <c r="R148" s="253"/>
    </row>
    <row r="149" ht="15.75" customHeight="1">
      <c r="A149" s="253"/>
      <c r="B149" s="253"/>
      <c r="C149" s="253"/>
      <c r="D149" s="262" t="s">
        <v>11402</v>
      </c>
      <c r="E149" s="253"/>
      <c r="F149" s="253"/>
      <c r="G149" s="253"/>
      <c r="H149" s="253"/>
      <c r="I149" s="253"/>
      <c r="J149" s="253"/>
      <c r="K149" s="253"/>
      <c r="L149" s="253"/>
      <c r="M149" s="253"/>
      <c r="N149" s="253"/>
      <c r="O149" s="253"/>
      <c r="P149" s="253"/>
      <c r="Q149" s="253"/>
      <c r="R149" s="253"/>
    </row>
    <row r="150" ht="15.75" customHeight="1">
      <c r="A150" s="253"/>
      <c r="B150" s="253"/>
      <c r="C150" s="253"/>
      <c r="D150" s="262" t="s">
        <v>1638</v>
      </c>
      <c r="E150" s="253"/>
      <c r="F150" s="253"/>
      <c r="G150" s="253"/>
      <c r="H150" s="253"/>
      <c r="I150" s="253"/>
      <c r="J150" s="253"/>
      <c r="K150" s="253"/>
      <c r="L150" s="253"/>
      <c r="M150" s="253"/>
      <c r="N150" s="253"/>
      <c r="O150" s="253"/>
      <c r="P150" s="253"/>
      <c r="Q150" s="253"/>
      <c r="R150" s="253"/>
    </row>
    <row r="151" ht="15.75" customHeight="1">
      <c r="A151" s="253"/>
      <c r="B151" s="253"/>
      <c r="C151" s="253"/>
      <c r="D151" s="262" t="s">
        <v>11408</v>
      </c>
      <c r="E151" s="253"/>
      <c r="F151" s="253"/>
      <c r="G151" s="253"/>
      <c r="H151" s="253"/>
      <c r="I151" s="253"/>
      <c r="J151" s="253"/>
      <c r="K151" s="253"/>
      <c r="L151" s="253"/>
      <c r="M151" s="253"/>
      <c r="N151" s="253"/>
      <c r="O151" s="253"/>
      <c r="P151" s="253"/>
      <c r="Q151" s="253"/>
      <c r="R151" s="253"/>
    </row>
    <row r="152" ht="15.75" customHeight="1">
      <c r="A152" s="253"/>
      <c r="B152" s="253"/>
      <c r="C152" s="253"/>
      <c r="D152" s="262" t="s">
        <v>11409</v>
      </c>
      <c r="E152" s="253"/>
      <c r="F152" s="253"/>
      <c r="G152" s="253"/>
      <c r="H152" s="253"/>
      <c r="I152" s="253"/>
      <c r="J152" s="253"/>
      <c r="K152" s="253"/>
      <c r="L152" s="253"/>
      <c r="M152" s="253"/>
      <c r="N152" s="253"/>
      <c r="O152" s="253"/>
      <c r="P152" s="253"/>
      <c r="Q152" s="253"/>
      <c r="R152" s="253"/>
    </row>
    <row r="153" ht="15.75" customHeight="1">
      <c r="A153" s="253"/>
      <c r="B153" s="253"/>
      <c r="C153" s="253"/>
      <c r="D153" s="262" t="s">
        <v>11410</v>
      </c>
      <c r="E153" s="253"/>
      <c r="F153" s="253"/>
      <c r="G153" s="253"/>
      <c r="H153" s="253"/>
      <c r="I153" s="253"/>
      <c r="J153" s="253"/>
      <c r="K153" s="253"/>
      <c r="L153" s="253"/>
      <c r="M153" s="253"/>
      <c r="N153" s="253"/>
      <c r="O153" s="253"/>
      <c r="P153" s="253"/>
      <c r="Q153" s="253"/>
      <c r="R153" s="253"/>
    </row>
    <row r="154" ht="15.75" customHeight="1">
      <c r="A154" s="253"/>
      <c r="B154" s="253"/>
      <c r="C154" s="253"/>
      <c r="D154" s="262" t="s">
        <v>11412</v>
      </c>
      <c r="E154" s="253"/>
      <c r="F154" s="253"/>
      <c r="G154" s="253"/>
      <c r="H154" s="253"/>
      <c r="I154" s="253"/>
      <c r="J154" s="253"/>
      <c r="K154" s="253"/>
      <c r="L154" s="253"/>
      <c r="M154" s="253"/>
      <c r="N154" s="253"/>
      <c r="O154" s="253"/>
      <c r="P154" s="253"/>
      <c r="Q154" s="253"/>
      <c r="R154" s="253"/>
    </row>
    <row r="155" ht="15.75" customHeight="1">
      <c r="A155" s="253"/>
      <c r="B155" s="253"/>
      <c r="C155" s="253"/>
      <c r="D155" s="262" t="s">
        <v>9736</v>
      </c>
      <c r="E155" s="253"/>
      <c r="F155" s="253"/>
      <c r="G155" s="253"/>
      <c r="H155" s="253"/>
      <c r="I155" s="253"/>
      <c r="J155" s="253"/>
      <c r="K155" s="253"/>
      <c r="L155" s="253"/>
      <c r="M155" s="253"/>
      <c r="N155" s="253"/>
      <c r="O155" s="253"/>
      <c r="P155" s="253"/>
      <c r="Q155" s="253"/>
      <c r="R155" s="253"/>
    </row>
    <row r="156" ht="15.75" customHeight="1">
      <c r="A156" s="253"/>
      <c r="B156" s="253"/>
      <c r="C156" s="253"/>
      <c r="D156" s="262" t="s">
        <v>11414</v>
      </c>
      <c r="E156" s="253"/>
      <c r="F156" s="253"/>
      <c r="G156" s="253"/>
      <c r="H156" s="253"/>
      <c r="I156" s="253"/>
      <c r="J156" s="253"/>
      <c r="K156" s="253"/>
      <c r="L156" s="253"/>
      <c r="M156" s="253"/>
      <c r="N156" s="253"/>
      <c r="O156" s="253"/>
      <c r="P156" s="253"/>
      <c r="Q156" s="253"/>
      <c r="R156" s="253"/>
    </row>
    <row r="157" ht="15.75" customHeight="1">
      <c r="A157" s="253"/>
      <c r="B157" s="253"/>
      <c r="C157" s="253"/>
      <c r="D157" s="262" t="s">
        <v>8584</v>
      </c>
      <c r="E157" s="253"/>
      <c r="F157" s="253"/>
      <c r="G157" s="253"/>
      <c r="H157" s="253"/>
      <c r="I157" s="253"/>
      <c r="J157" s="253"/>
      <c r="K157" s="253"/>
      <c r="L157" s="253"/>
      <c r="M157" s="253"/>
      <c r="N157" s="253"/>
      <c r="O157" s="253"/>
      <c r="P157" s="253"/>
      <c r="Q157" s="253"/>
      <c r="R157" s="253"/>
    </row>
    <row r="158" ht="15.75" customHeight="1">
      <c r="A158" s="253"/>
      <c r="B158" s="253"/>
      <c r="C158" s="253"/>
      <c r="D158" s="262" t="s">
        <v>146</v>
      </c>
      <c r="E158" s="253"/>
      <c r="F158" s="253"/>
      <c r="G158" s="253"/>
      <c r="H158" s="253"/>
      <c r="I158" s="253"/>
      <c r="J158" s="253"/>
      <c r="K158" s="253"/>
      <c r="L158" s="253"/>
      <c r="M158" s="253"/>
      <c r="N158" s="253"/>
      <c r="O158" s="253"/>
      <c r="P158" s="253"/>
      <c r="Q158" s="253"/>
      <c r="R158" s="253"/>
    </row>
    <row r="159" ht="15.75" customHeight="1">
      <c r="A159" s="253"/>
      <c r="B159" s="253"/>
      <c r="C159" s="253"/>
      <c r="D159" s="262" t="s">
        <v>11420</v>
      </c>
      <c r="E159" s="253"/>
      <c r="F159" s="253"/>
      <c r="G159" s="253"/>
      <c r="H159" s="253"/>
      <c r="I159" s="253"/>
      <c r="J159" s="253"/>
      <c r="K159" s="253"/>
      <c r="L159" s="253"/>
      <c r="M159" s="253"/>
      <c r="N159" s="253"/>
      <c r="O159" s="253"/>
      <c r="P159" s="253"/>
      <c r="Q159" s="253"/>
      <c r="R159" s="253"/>
    </row>
    <row r="160" ht="15.75" customHeight="1">
      <c r="A160" s="253"/>
      <c r="B160" s="253"/>
      <c r="C160" s="253"/>
      <c r="D160" s="262" t="s">
        <v>11423</v>
      </c>
      <c r="E160" s="253"/>
      <c r="F160" s="253"/>
      <c r="G160" s="253"/>
      <c r="H160" s="253"/>
      <c r="I160" s="253"/>
      <c r="J160" s="253"/>
      <c r="K160" s="253"/>
      <c r="L160" s="253"/>
      <c r="M160" s="253"/>
      <c r="N160" s="253"/>
      <c r="O160" s="253"/>
      <c r="P160" s="253"/>
      <c r="Q160" s="253"/>
      <c r="R160" s="253"/>
    </row>
    <row r="161" ht="15.75" customHeight="1">
      <c r="A161" s="253"/>
      <c r="B161" s="253"/>
      <c r="C161" s="253"/>
      <c r="D161" s="262" t="s">
        <v>11424</v>
      </c>
      <c r="E161" s="253"/>
      <c r="F161" s="253"/>
      <c r="G161" s="253"/>
      <c r="H161" s="253"/>
      <c r="I161" s="253"/>
      <c r="J161" s="253"/>
      <c r="K161" s="253"/>
      <c r="L161" s="253"/>
      <c r="M161" s="253"/>
      <c r="N161" s="253"/>
      <c r="O161" s="253"/>
      <c r="P161" s="253"/>
      <c r="Q161" s="253"/>
      <c r="R161" s="253"/>
    </row>
    <row r="162" ht="15.75" customHeight="1">
      <c r="A162" s="253"/>
      <c r="B162" s="253"/>
      <c r="C162" s="253"/>
      <c r="D162" s="262" t="s">
        <v>11426</v>
      </c>
      <c r="E162" s="253"/>
      <c r="F162" s="253"/>
      <c r="G162" s="253"/>
      <c r="H162" s="253"/>
      <c r="I162" s="253"/>
      <c r="J162" s="253"/>
      <c r="K162" s="253"/>
      <c r="L162" s="253"/>
      <c r="M162" s="253"/>
      <c r="N162" s="253"/>
      <c r="O162" s="253"/>
      <c r="P162" s="253"/>
      <c r="Q162" s="253"/>
      <c r="R162" s="253"/>
    </row>
    <row r="163" ht="15.75" customHeight="1">
      <c r="A163" s="253"/>
      <c r="B163" s="253"/>
      <c r="C163" s="253"/>
      <c r="D163" s="262" t="s">
        <v>9295</v>
      </c>
      <c r="E163" s="253"/>
      <c r="F163" s="253"/>
      <c r="G163" s="253"/>
      <c r="H163" s="253"/>
      <c r="I163" s="253"/>
      <c r="J163" s="253"/>
      <c r="K163" s="253"/>
      <c r="L163" s="253"/>
      <c r="M163" s="253"/>
      <c r="N163" s="253"/>
      <c r="O163" s="253"/>
      <c r="P163" s="253"/>
      <c r="Q163" s="253"/>
      <c r="R163" s="253"/>
    </row>
    <row r="164" ht="15.75" customHeight="1">
      <c r="A164" s="253"/>
      <c r="B164" s="253"/>
      <c r="C164" s="253"/>
      <c r="D164" s="262" t="s">
        <v>11430</v>
      </c>
      <c r="E164" s="253"/>
      <c r="F164" s="253"/>
      <c r="G164" s="253"/>
      <c r="H164" s="253"/>
      <c r="I164" s="253"/>
      <c r="J164" s="253"/>
      <c r="K164" s="253"/>
      <c r="L164" s="253"/>
      <c r="M164" s="253"/>
      <c r="N164" s="253"/>
      <c r="O164" s="253"/>
      <c r="P164" s="253"/>
      <c r="Q164" s="253"/>
      <c r="R164" s="253"/>
    </row>
    <row r="165" ht="15.75" customHeight="1">
      <c r="A165" s="253"/>
      <c r="B165" s="253"/>
      <c r="C165" s="253"/>
      <c r="D165" s="262" t="s">
        <v>122</v>
      </c>
      <c r="E165" s="253"/>
      <c r="F165" s="253"/>
      <c r="G165" s="253"/>
      <c r="H165" s="253"/>
      <c r="I165" s="253"/>
      <c r="J165" s="253"/>
      <c r="K165" s="253"/>
      <c r="L165" s="253"/>
      <c r="M165" s="253"/>
      <c r="N165" s="253"/>
      <c r="O165" s="253"/>
      <c r="P165" s="253"/>
      <c r="Q165" s="253"/>
      <c r="R165" s="253"/>
    </row>
    <row r="166" ht="15.75" customHeight="1">
      <c r="A166" s="253"/>
      <c r="B166" s="253"/>
      <c r="C166" s="253"/>
      <c r="D166" s="262" t="s">
        <v>5261</v>
      </c>
      <c r="E166" s="253"/>
      <c r="F166" s="253"/>
      <c r="G166" s="253"/>
      <c r="H166" s="253"/>
      <c r="I166" s="253"/>
      <c r="J166" s="253"/>
      <c r="K166" s="253"/>
      <c r="L166" s="253"/>
      <c r="M166" s="253"/>
      <c r="N166" s="253"/>
      <c r="O166" s="253"/>
      <c r="P166" s="253"/>
      <c r="Q166" s="253"/>
      <c r="R166" s="253"/>
    </row>
    <row r="167" ht="15.75" customHeight="1">
      <c r="A167" s="253"/>
      <c r="B167" s="253"/>
      <c r="C167" s="253"/>
      <c r="D167" s="262" t="s">
        <v>11435</v>
      </c>
      <c r="E167" s="253"/>
      <c r="F167" s="253"/>
      <c r="G167" s="253"/>
      <c r="H167" s="253"/>
      <c r="I167" s="253"/>
      <c r="J167" s="253"/>
      <c r="K167" s="253"/>
      <c r="L167" s="253"/>
      <c r="M167" s="253"/>
      <c r="N167" s="253"/>
      <c r="O167" s="253"/>
      <c r="P167" s="253"/>
      <c r="Q167" s="253"/>
      <c r="R167" s="253"/>
    </row>
    <row r="168" ht="15.75" customHeight="1">
      <c r="A168" s="253"/>
      <c r="B168" s="253"/>
      <c r="C168" s="253"/>
      <c r="D168" s="262" t="s">
        <v>11436</v>
      </c>
      <c r="E168" s="253"/>
      <c r="F168" s="253"/>
      <c r="G168" s="253"/>
      <c r="H168" s="253"/>
      <c r="I168" s="253"/>
      <c r="J168" s="253"/>
      <c r="K168" s="253"/>
      <c r="L168" s="253"/>
      <c r="M168" s="253"/>
      <c r="N168" s="253"/>
      <c r="O168" s="253"/>
      <c r="P168" s="253"/>
      <c r="Q168" s="253"/>
      <c r="R168" s="253"/>
    </row>
    <row r="169" ht="15.75" customHeight="1">
      <c r="A169" s="253"/>
      <c r="B169" s="253"/>
      <c r="C169" s="253"/>
      <c r="D169" s="262" t="s">
        <v>11439</v>
      </c>
      <c r="E169" s="253"/>
      <c r="F169" s="253"/>
      <c r="G169" s="253"/>
      <c r="H169" s="253"/>
      <c r="I169" s="253"/>
      <c r="J169" s="253"/>
      <c r="K169" s="253"/>
      <c r="L169" s="253"/>
      <c r="M169" s="253"/>
      <c r="N169" s="253"/>
      <c r="O169" s="253"/>
      <c r="P169" s="253"/>
      <c r="Q169" s="253"/>
      <c r="R169" s="253"/>
    </row>
    <row r="170" ht="15.75" customHeight="1">
      <c r="A170" s="253"/>
      <c r="B170" s="253"/>
      <c r="C170" s="253"/>
      <c r="D170" s="262" t="s">
        <v>11443</v>
      </c>
      <c r="E170" s="253"/>
      <c r="F170" s="253"/>
      <c r="G170" s="253"/>
      <c r="H170" s="253"/>
      <c r="I170" s="253"/>
      <c r="J170" s="253"/>
      <c r="K170" s="253"/>
      <c r="L170" s="253"/>
      <c r="M170" s="253"/>
      <c r="N170" s="253"/>
      <c r="O170" s="253"/>
      <c r="P170" s="253"/>
      <c r="Q170" s="253"/>
      <c r="R170" s="253"/>
    </row>
    <row r="171" ht="15.75" customHeight="1">
      <c r="A171" s="253"/>
      <c r="B171" s="253"/>
      <c r="C171" s="253"/>
      <c r="D171" s="262" t="s">
        <v>11445</v>
      </c>
      <c r="E171" s="253"/>
      <c r="F171" s="253"/>
      <c r="G171" s="253"/>
      <c r="H171" s="253"/>
      <c r="I171" s="253"/>
      <c r="J171" s="253"/>
      <c r="K171" s="253"/>
      <c r="L171" s="253"/>
      <c r="M171" s="253"/>
      <c r="N171" s="253"/>
      <c r="O171" s="253"/>
      <c r="P171" s="253"/>
      <c r="Q171" s="253"/>
      <c r="R171" s="253"/>
    </row>
    <row r="172" ht="15.75" customHeight="1">
      <c r="A172" s="253"/>
      <c r="B172" s="253"/>
      <c r="C172" s="253"/>
      <c r="D172" s="262" t="s">
        <v>11447</v>
      </c>
      <c r="E172" s="253"/>
      <c r="F172" s="253"/>
      <c r="G172" s="253"/>
      <c r="H172" s="253"/>
      <c r="I172" s="253"/>
      <c r="J172" s="253"/>
      <c r="K172" s="253"/>
      <c r="L172" s="253"/>
      <c r="M172" s="253"/>
      <c r="N172" s="253"/>
      <c r="O172" s="253"/>
      <c r="P172" s="253"/>
      <c r="Q172" s="253"/>
      <c r="R172" s="253"/>
    </row>
    <row r="173" ht="15.75" customHeight="1">
      <c r="A173" s="253"/>
      <c r="B173" s="253"/>
      <c r="C173" s="253"/>
      <c r="D173" s="262" t="s">
        <v>11448</v>
      </c>
      <c r="E173" s="253"/>
      <c r="F173" s="253"/>
      <c r="G173" s="253"/>
      <c r="H173" s="253"/>
      <c r="I173" s="253"/>
      <c r="J173" s="253"/>
      <c r="K173" s="253"/>
      <c r="L173" s="253"/>
      <c r="M173" s="253"/>
      <c r="N173" s="253"/>
      <c r="O173" s="253"/>
      <c r="P173" s="253"/>
      <c r="Q173" s="253"/>
      <c r="R173" s="253"/>
    </row>
    <row r="174" ht="15.75" customHeight="1">
      <c r="A174" s="253"/>
      <c r="B174" s="253"/>
      <c r="C174" s="253"/>
      <c r="D174" s="262" t="s">
        <v>10143</v>
      </c>
      <c r="E174" s="253"/>
      <c r="F174" s="253"/>
      <c r="G174" s="253"/>
      <c r="H174" s="253"/>
      <c r="I174" s="253"/>
      <c r="J174" s="253"/>
      <c r="K174" s="253"/>
      <c r="L174" s="253"/>
      <c r="M174" s="253"/>
      <c r="N174" s="253"/>
      <c r="O174" s="253"/>
      <c r="P174" s="253"/>
      <c r="Q174" s="253"/>
      <c r="R174" s="253"/>
    </row>
    <row r="175" ht="15.75" customHeight="1">
      <c r="A175" s="253"/>
      <c r="B175" s="253"/>
      <c r="C175" s="253"/>
      <c r="D175" s="262" t="s">
        <v>1277</v>
      </c>
      <c r="E175" s="253"/>
      <c r="F175" s="253"/>
      <c r="G175" s="253"/>
      <c r="H175" s="253"/>
      <c r="I175" s="253"/>
      <c r="J175" s="253"/>
      <c r="K175" s="253"/>
      <c r="L175" s="253"/>
      <c r="M175" s="253"/>
      <c r="N175" s="253"/>
      <c r="O175" s="253"/>
      <c r="P175" s="253"/>
      <c r="Q175" s="253"/>
      <c r="R175" s="253"/>
    </row>
    <row r="176" ht="15.75" customHeight="1">
      <c r="A176" s="253"/>
      <c r="B176" s="253"/>
      <c r="C176" s="253"/>
      <c r="D176" s="262" t="s">
        <v>4868</v>
      </c>
      <c r="E176" s="253"/>
      <c r="F176" s="253"/>
      <c r="G176" s="253"/>
      <c r="H176" s="253"/>
      <c r="I176" s="253"/>
      <c r="J176" s="253"/>
      <c r="K176" s="253"/>
      <c r="L176" s="253"/>
      <c r="M176" s="253"/>
      <c r="N176" s="253"/>
      <c r="O176" s="253"/>
      <c r="P176" s="253"/>
      <c r="Q176" s="253"/>
      <c r="R176" s="253"/>
    </row>
    <row r="177" ht="15.75" customHeight="1">
      <c r="A177" s="253"/>
      <c r="B177" s="253"/>
      <c r="C177" s="253"/>
      <c r="D177" s="262" t="s">
        <v>6202</v>
      </c>
      <c r="E177" s="253"/>
      <c r="F177" s="253"/>
      <c r="G177" s="253"/>
      <c r="H177" s="253"/>
      <c r="I177" s="253"/>
      <c r="J177" s="253"/>
      <c r="K177" s="253"/>
      <c r="L177" s="253"/>
      <c r="M177" s="253"/>
      <c r="N177" s="253"/>
      <c r="O177" s="253"/>
      <c r="P177" s="253"/>
      <c r="Q177" s="253"/>
      <c r="R177" s="253"/>
    </row>
    <row r="178" ht="15.75" customHeight="1">
      <c r="A178" s="253"/>
      <c r="B178" s="253"/>
      <c r="C178" s="253"/>
      <c r="D178" s="262" t="s">
        <v>11454</v>
      </c>
      <c r="E178" s="253"/>
      <c r="F178" s="253"/>
      <c r="G178" s="253"/>
      <c r="H178" s="253"/>
      <c r="I178" s="253"/>
      <c r="J178" s="253"/>
      <c r="K178" s="253"/>
      <c r="L178" s="253"/>
      <c r="M178" s="253"/>
      <c r="N178" s="253"/>
      <c r="O178" s="253"/>
      <c r="P178" s="253"/>
      <c r="Q178" s="253"/>
      <c r="R178" s="253"/>
    </row>
    <row r="179" ht="15.75" customHeight="1">
      <c r="A179" s="253"/>
      <c r="B179" s="253"/>
      <c r="C179" s="253"/>
      <c r="D179" s="262" t="s">
        <v>11455</v>
      </c>
      <c r="E179" s="253"/>
      <c r="F179" s="253"/>
      <c r="G179" s="253"/>
      <c r="H179" s="253"/>
      <c r="I179" s="253"/>
      <c r="J179" s="253"/>
      <c r="K179" s="253"/>
      <c r="L179" s="253"/>
      <c r="M179" s="253"/>
      <c r="N179" s="253"/>
      <c r="O179" s="253"/>
      <c r="P179" s="253"/>
      <c r="Q179" s="253"/>
      <c r="R179" s="253"/>
    </row>
    <row r="180" ht="15.75" customHeight="1">
      <c r="A180" s="253"/>
      <c r="B180" s="253"/>
      <c r="C180" s="253"/>
      <c r="D180" s="262" t="s">
        <v>317</v>
      </c>
      <c r="E180" s="253"/>
      <c r="F180" s="253"/>
      <c r="G180" s="253"/>
      <c r="H180" s="253"/>
      <c r="I180" s="253"/>
      <c r="J180" s="253"/>
      <c r="K180" s="253"/>
      <c r="L180" s="253"/>
      <c r="M180" s="253"/>
      <c r="N180" s="253"/>
      <c r="O180" s="253"/>
      <c r="P180" s="253"/>
      <c r="Q180" s="253"/>
      <c r="R180" s="253"/>
    </row>
    <row r="181" ht="15.75" customHeight="1">
      <c r="A181" s="253"/>
      <c r="B181" s="253"/>
      <c r="C181" s="253"/>
      <c r="D181" s="262" t="s">
        <v>5719</v>
      </c>
      <c r="E181" s="253"/>
      <c r="F181" s="253"/>
      <c r="G181" s="253"/>
      <c r="H181" s="253"/>
      <c r="I181" s="253"/>
      <c r="J181" s="253"/>
      <c r="K181" s="253"/>
      <c r="L181" s="253"/>
      <c r="M181" s="253"/>
      <c r="N181" s="253"/>
      <c r="O181" s="253"/>
      <c r="P181" s="253"/>
      <c r="Q181" s="253"/>
      <c r="R181" s="253"/>
    </row>
    <row r="182" ht="15.75" customHeight="1">
      <c r="A182" s="253"/>
      <c r="B182" s="253"/>
      <c r="C182" s="253"/>
      <c r="D182" s="262" t="s">
        <v>11456</v>
      </c>
      <c r="E182" s="253"/>
      <c r="F182" s="253"/>
      <c r="G182" s="253"/>
      <c r="H182" s="253"/>
      <c r="I182" s="253"/>
      <c r="J182" s="253"/>
      <c r="K182" s="253"/>
      <c r="L182" s="253"/>
      <c r="M182" s="253"/>
      <c r="N182" s="253"/>
      <c r="O182" s="253"/>
      <c r="P182" s="253"/>
      <c r="Q182" s="253"/>
      <c r="R182" s="253"/>
    </row>
    <row r="183" ht="15.75" customHeight="1">
      <c r="A183" s="253"/>
      <c r="B183" s="253"/>
      <c r="C183" s="253"/>
      <c r="D183" s="262" t="s">
        <v>11457</v>
      </c>
      <c r="E183" s="253"/>
      <c r="F183" s="253"/>
      <c r="G183" s="253"/>
      <c r="H183" s="253"/>
      <c r="I183" s="253"/>
      <c r="J183" s="253"/>
      <c r="K183" s="253"/>
      <c r="L183" s="253"/>
      <c r="M183" s="253"/>
      <c r="N183" s="253"/>
      <c r="O183" s="253"/>
      <c r="P183" s="253"/>
      <c r="Q183" s="253"/>
      <c r="R183" s="253"/>
    </row>
    <row r="184" ht="15.75" customHeight="1">
      <c r="A184" s="253"/>
      <c r="B184" s="253"/>
      <c r="C184" s="253"/>
      <c r="D184" s="262" t="s">
        <v>11458</v>
      </c>
      <c r="E184" s="253"/>
      <c r="F184" s="253"/>
      <c r="G184" s="253"/>
      <c r="H184" s="253"/>
      <c r="I184" s="253"/>
      <c r="J184" s="253"/>
      <c r="K184" s="253"/>
      <c r="L184" s="253"/>
      <c r="M184" s="253"/>
      <c r="N184" s="253"/>
      <c r="O184" s="253"/>
      <c r="P184" s="253"/>
      <c r="Q184" s="253"/>
      <c r="R184" s="253"/>
    </row>
    <row r="185" ht="15.75" customHeight="1">
      <c r="A185" s="253"/>
      <c r="B185" s="253"/>
      <c r="C185" s="253"/>
      <c r="D185" s="262" t="s">
        <v>57</v>
      </c>
      <c r="E185" s="253"/>
      <c r="F185" s="253"/>
      <c r="G185" s="253"/>
      <c r="H185" s="253"/>
      <c r="I185" s="253"/>
      <c r="J185" s="253"/>
      <c r="K185" s="253"/>
      <c r="L185" s="253"/>
      <c r="M185" s="253"/>
      <c r="N185" s="253"/>
      <c r="O185" s="253"/>
      <c r="P185" s="253"/>
      <c r="Q185" s="253"/>
      <c r="R185" s="253"/>
    </row>
    <row r="186" ht="15.75" customHeight="1">
      <c r="A186" s="253"/>
      <c r="B186" s="253"/>
      <c r="C186" s="253"/>
      <c r="D186" s="262" t="s">
        <v>11459</v>
      </c>
      <c r="E186" s="253"/>
      <c r="F186" s="253"/>
      <c r="G186" s="253"/>
      <c r="H186" s="253"/>
      <c r="I186" s="253"/>
      <c r="J186" s="253"/>
      <c r="K186" s="253"/>
      <c r="L186" s="253"/>
      <c r="M186" s="253"/>
      <c r="N186" s="253"/>
      <c r="O186" s="253"/>
      <c r="P186" s="253"/>
      <c r="Q186" s="253"/>
      <c r="R186" s="253"/>
    </row>
    <row r="187" ht="15.75" customHeight="1">
      <c r="A187" s="253"/>
      <c r="B187" s="253"/>
      <c r="C187" s="253"/>
      <c r="D187" s="262" t="s">
        <v>11460</v>
      </c>
      <c r="E187" s="253"/>
      <c r="F187" s="253"/>
      <c r="G187" s="253"/>
      <c r="H187" s="253"/>
      <c r="I187" s="253"/>
      <c r="J187" s="253"/>
      <c r="K187" s="253"/>
      <c r="L187" s="253"/>
      <c r="M187" s="253"/>
      <c r="N187" s="253"/>
      <c r="O187" s="253"/>
      <c r="P187" s="253"/>
      <c r="Q187" s="253"/>
      <c r="R187" s="253"/>
    </row>
    <row r="188" ht="15.75" customHeight="1">
      <c r="A188" s="253"/>
      <c r="B188" s="253"/>
      <c r="C188" s="253"/>
      <c r="D188" s="262" t="s">
        <v>936</v>
      </c>
      <c r="E188" s="253"/>
      <c r="F188" s="253"/>
      <c r="G188" s="253"/>
      <c r="H188" s="253"/>
      <c r="I188" s="253"/>
      <c r="J188" s="253"/>
      <c r="K188" s="253"/>
      <c r="L188" s="253"/>
      <c r="M188" s="253"/>
      <c r="N188" s="253"/>
      <c r="O188" s="253"/>
      <c r="P188" s="253"/>
      <c r="Q188" s="253"/>
      <c r="R188" s="253"/>
    </row>
    <row r="189" ht="15.75" customHeight="1">
      <c r="A189" s="253"/>
      <c r="B189" s="253"/>
      <c r="C189" s="253"/>
      <c r="D189" s="262" t="s">
        <v>4110</v>
      </c>
      <c r="E189" s="253"/>
      <c r="F189" s="253"/>
      <c r="G189" s="253"/>
      <c r="H189" s="253"/>
      <c r="I189" s="253"/>
      <c r="J189" s="253"/>
      <c r="K189" s="253"/>
      <c r="L189" s="253"/>
      <c r="M189" s="253"/>
      <c r="N189" s="253"/>
      <c r="O189" s="253"/>
      <c r="P189" s="253"/>
      <c r="Q189" s="253"/>
      <c r="R189" s="253"/>
    </row>
    <row r="190" ht="15.75" customHeight="1">
      <c r="A190" s="253"/>
      <c r="B190" s="253"/>
      <c r="C190" s="253"/>
      <c r="D190" s="262" t="s">
        <v>11461</v>
      </c>
      <c r="E190" s="253"/>
      <c r="F190" s="253"/>
      <c r="G190" s="253"/>
      <c r="H190" s="253"/>
      <c r="I190" s="253"/>
      <c r="J190" s="253"/>
      <c r="K190" s="253"/>
      <c r="L190" s="253"/>
      <c r="M190" s="253"/>
      <c r="N190" s="253"/>
      <c r="O190" s="253"/>
      <c r="P190" s="253"/>
      <c r="Q190" s="253"/>
      <c r="R190" s="253"/>
    </row>
    <row r="191" ht="15.75" customHeight="1">
      <c r="A191" s="253"/>
      <c r="B191" s="253"/>
      <c r="C191" s="253"/>
      <c r="D191" s="262" t="s">
        <v>11462</v>
      </c>
      <c r="E191" s="253"/>
      <c r="F191" s="253"/>
      <c r="G191" s="253"/>
      <c r="H191" s="253"/>
      <c r="I191" s="253"/>
      <c r="J191" s="253"/>
      <c r="K191" s="253"/>
      <c r="L191" s="253"/>
      <c r="M191" s="253"/>
      <c r="N191" s="253"/>
      <c r="O191" s="253"/>
      <c r="P191" s="253"/>
      <c r="Q191" s="253"/>
      <c r="R191" s="253"/>
    </row>
    <row r="192" ht="15.75" customHeight="1">
      <c r="A192" s="253"/>
      <c r="B192" s="253"/>
      <c r="C192" s="253"/>
      <c r="D192" s="262" t="s">
        <v>3008</v>
      </c>
      <c r="E192" s="253"/>
      <c r="F192" s="253"/>
      <c r="G192" s="253"/>
      <c r="H192" s="253"/>
      <c r="I192" s="253"/>
      <c r="J192" s="253"/>
      <c r="K192" s="253"/>
      <c r="L192" s="253"/>
      <c r="M192" s="253"/>
      <c r="N192" s="253"/>
      <c r="O192" s="253"/>
      <c r="P192" s="253"/>
      <c r="Q192" s="253"/>
      <c r="R192" s="253"/>
    </row>
    <row r="193" ht="15.75" customHeight="1">
      <c r="A193" s="253"/>
      <c r="B193" s="253"/>
      <c r="C193" s="253"/>
      <c r="D193" s="262" t="s">
        <v>11463</v>
      </c>
      <c r="E193" s="253"/>
      <c r="F193" s="253"/>
      <c r="G193" s="253"/>
      <c r="H193" s="253"/>
      <c r="I193" s="253"/>
      <c r="J193" s="253"/>
      <c r="K193" s="253"/>
      <c r="L193" s="253"/>
      <c r="M193" s="253"/>
      <c r="N193" s="253"/>
      <c r="O193" s="253"/>
      <c r="P193" s="253"/>
      <c r="Q193" s="253"/>
      <c r="R193" s="253"/>
    </row>
    <row r="194" ht="15.75" customHeight="1">
      <c r="A194" s="253"/>
      <c r="B194" s="253"/>
      <c r="C194" s="253"/>
      <c r="D194" s="262" t="s">
        <v>3805</v>
      </c>
      <c r="E194" s="253"/>
      <c r="F194" s="253"/>
      <c r="G194" s="253"/>
      <c r="H194" s="253"/>
      <c r="I194" s="253"/>
      <c r="J194" s="253"/>
      <c r="K194" s="253"/>
      <c r="L194" s="253"/>
      <c r="M194" s="253"/>
      <c r="N194" s="253"/>
      <c r="O194" s="253"/>
      <c r="P194" s="253"/>
      <c r="Q194" s="253"/>
      <c r="R194" s="253"/>
    </row>
    <row r="195" ht="15.75" customHeight="1">
      <c r="A195" s="253"/>
      <c r="B195" s="253"/>
      <c r="C195" s="253"/>
      <c r="D195" s="262" t="s">
        <v>11464</v>
      </c>
      <c r="E195" s="253"/>
      <c r="F195" s="253"/>
      <c r="G195" s="253"/>
      <c r="H195" s="253"/>
      <c r="I195" s="253"/>
      <c r="J195" s="253"/>
      <c r="K195" s="253"/>
      <c r="L195" s="253"/>
      <c r="M195" s="253"/>
      <c r="N195" s="253"/>
      <c r="O195" s="253"/>
      <c r="P195" s="253"/>
      <c r="Q195" s="253"/>
      <c r="R195" s="253"/>
    </row>
    <row r="196" ht="15.75" customHeight="1">
      <c r="A196" s="253"/>
      <c r="B196" s="253"/>
      <c r="C196" s="253"/>
      <c r="D196" s="262" t="s">
        <v>11465</v>
      </c>
      <c r="E196" s="253"/>
      <c r="F196" s="253"/>
      <c r="G196" s="253"/>
      <c r="H196" s="253"/>
      <c r="I196" s="253"/>
      <c r="J196" s="253"/>
      <c r="K196" s="253"/>
      <c r="L196" s="253"/>
      <c r="M196" s="253"/>
      <c r="N196" s="253"/>
      <c r="O196" s="253"/>
      <c r="P196" s="253"/>
      <c r="Q196" s="253"/>
      <c r="R196" s="253"/>
    </row>
    <row r="197" ht="15.75" customHeight="1">
      <c r="A197" s="253"/>
      <c r="B197" s="253"/>
      <c r="C197" s="253"/>
      <c r="D197" s="262" t="s">
        <v>3307</v>
      </c>
      <c r="E197" s="253"/>
      <c r="F197" s="253"/>
      <c r="G197" s="253"/>
      <c r="H197" s="253"/>
      <c r="I197" s="253"/>
      <c r="J197" s="253"/>
      <c r="K197" s="253"/>
      <c r="L197" s="253"/>
      <c r="M197" s="253"/>
      <c r="N197" s="253"/>
      <c r="O197" s="253"/>
      <c r="P197" s="253"/>
      <c r="Q197" s="253"/>
      <c r="R197" s="253"/>
    </row>
    <row r="198" ht="15.75" customHeight="1">
      <c r="A198" s="253"/>
      <c r="B198" s="253"/>
      <c r="C198" s="253"/>
      <c r="D198" s="262" t="s">
        <v>11466</v>
      </c>
      <c r="E198" s="253"/>
      <c r="F198" s="253"/>
      <c r="G198" s="253"/>
      <c r="H198" s="253"/>
      <c r="I198" s="253"/>
      <c r="J198" s="253"/>
      <c r="K198" s="253"/>
      <c r="L198" s="253"/>
      <c r="M198" s="253"/>
      <c r="N198" s="253"/>
      <c r="O198" s="253"/>
      <c r="P198" s="253"/>
      <c r="Q198" s="253"/>
      <c r="R198" s="253"/>
    </row>
    <row r="199" ht="15.75" customHeight="1">
      <c r="A199" s="253"/>
      <c r="B199" s="253"/>
      <c r="C199" s="253"/>
      <c r="D199" s="262" t="s">
        <v>448</v>
      </c>
      <c r="E199" s="253"/>
      <c r="F199" s="253"/>
      <c r="G199" s="253"/>
      <c r="H199" s="253"/>
      <c r="I199" s="253"/>
      <c r="J199" s="253"/>
      <c r="K199" s="253"/>
      <c r="L199" s="253"/>
      <c r="M199" s="253"/>
      <c r="N199" s="253"/>
      <c r="O199" s="253"/>
      <c r="P199" s="253"/>
      <c r="Q199" s="253"/>
      <c r="R199" s="253"/>
    </row>
    <row r="200" ht="15.75" customHeight="1">
      <c r="A200" s="253"/>
      <c r="B200" s="253"/>
      <c r="C200" s="253"/>
      <c r="D200" s="262" t="s">
        <v>11467</v>
      </c>
      <c r="E200" s="253"/>
      <c r="F200" s="253"/>
      <c r="G200" s="253"/>
      <c r="H200" s="253"/>
      <c r="I200" s="253"/>
      <c r="J200" s="253"/>
      <c r="K200" s="253"/>
      <c r="L200" s="253"/>
      <c r="M200" s="253"/>
      <c r="N200" s="253"/>
      <c r="O200" s="253"/>
      <c r="P200" s="253"/>
      <c r="Q200" s="253"/>
      <c r="R200" s="253"/>
    </row>
    <row r="201" ht="15.75" customHeight="1">
      <c r="A201" s="253"/>
      <c r="B201" s="253"/>
      <c r="C201" s="253"/>
      <c r="D201" s="262" t="s">
        <v>8476</v>
      </c>
      <c r="E201" s="253"/>
      <c r="F201" s="253"/>
      <c r="G201" s="253"/>
      <c r="H201" s="253"/>
      <c r="I201" s="253"/>
      <c r="J201" s="253"/>
      <c r="K201" s="253"/>
      <c r="L201" s="253"/>
      <c r="M201" s="253"/>
      <c r="N201" s="253"/>
      <c r="O201" s="253"/>
      <c r="P201" s="253"/>
      <c r="Q201" s="253"/>
      <c r="R201" s="253"/>
    </row>
    <row r="202" ht="15.75" customHeight="1">
      <c r="A202" s="253"/>
      <c r="B202" s="253"/>
      <c r="C202" s="253"/>
      <c r="D202" s="262" t="s">
        <v>5562</v>
      </c>
      <c r="E202" s="253"/>
      <c r="F202" s="253"/>
      <c r="G202" s="253"/>
      <c r="H202" s="253"/>
      <c r="I202" s="253"/>
      <c r="J202" s="253"/>
      <c r="K202" s="253"/>
      <c r="L202" s="253"/>
      <c r="M202" s="253"/>
      <c r="N202" s="253"/>
      <c r="O202" s="253"/>
      <c r="P202" s="253"/>
      <c r="Q202" s="253"/>
      <c r="R202" s="253"/>
    </row>
    <row r="203" ht="15.75" customHeight="1">
      <c r="A203" s="253"/>
      <c r="B203" s="253"/>
      <c r="C203" s="253"/>
      <c r="D203" s="262" t="s">
        <v>11468</v>
      </c>
      <c r="E203" s="253"/>
      <c r="F203" s="253"/>
      <c r="G203" s="253"/>
      <c r="H203" s="253"/>
      <c r="I203" s="253"/>
      <c r="J203" s="253"/>
      <c r="K203" s="253"/>
      <c r="L203" s="253"/>
      <c r="M203" s="253"/>
      <c r="N203" s="253"/>
      <c r="O203" s="253"/>
      <c r="P203" s="253"/>
      <c r="Q203" s="253"/>
      <c r="R203" s="253"/>
    </row>
    <row r="204" ht="15.75" customHeight="1">
      <c r="A204" s="253"/>
      <c r="B204" s="253"/>
      <c r="C204" s="253"/>
      <c r="D204" s="262" t="s">
        <v>532</v>
      </c>
      <c r="E204" s="253"/>
      <c r="F204" s="253"/>
      <c r="G204" s="253"/>
      <c r="H204" s="253"/>
      <c r="I204" s="253"/>
      <c r="J204" s="253"/>
      <c r="K204" s="253"/>
      <c r="L204" s="253"/>
      <c r="M204" s="253"/>
      <c r="N204" s="253"/>
      <c r="O204" s="253"/>
      <c r="P204" s="253"/>
      <c r="Q204" s="253"/>
      <c r="R204" s="253"/>
    </row>
    <row r="205" ht="15.75" customHeight="1">
      <c r="A205" s="253"/>
      <c r="B205" s="253"/>
      <c r="C205" s="253"/>
      <c r="D205" s="262" t="s">
        <v>10105</v>
      </c>
      <c r="E205" s="253"/>
      <c r="F205" s="253"/>
      <c r="G205" s="253"/>
      <c r="H205" s="253"/>
      <c r="I205" s="253"/>
      <c r="J205" s="253"/>
      <c r="K205" s="253"/>
      <c r="L205" s="253"/>
      <c r="M205" s="253"/>
      <c r="N205" s="253"/>
      <c r="O205" s="253"/>
      <c r="P205" s="253"/>
      <c r="Q205" s="253"/>
      <c r="R205" s="253"/>
    </row>
    <row r="206" ht="15.75" customHeight="1">
      <c r="A206" s="253"/>
      <c r="B206" s="253"/>
      <c r="C206" s="253"/>
      <c r="D206" s="262" t="s">
        <v>11469</v>
      </c>
      <c r="E206" s="253"/>
      <c r="F206" s="253"/>
      <c r="G206" s="253"/>
      <c r="H206" s="253"/>
      <c r="I206" s="253"/>
      <c r="J206" s="253"/>
      <c r="K206" s="253"/>
      <c r="L206" s="253"/>
      <c r="M206" s="253"/>
      <c r="N206" s="253"/>
      <c r="O206" s="253"/>
      <c r="P206" s="253"/>
      <c r="Q206" s="253"/>
      <c r="R206" s="253"/>
    </row>
    <row r="207" ht="15.75" customHeight="1">
      <c r="A207" s="253"/>
      <c r="B207" s="253"/>
      <c r="C207" s="253"/>
      <c r="D207" s="262" t="s">
        <v>11470</v>
      </c>
      <c r="E207" s="253"/>
      <c r="F207" s="253"/>
      <c r="G207" s="253"/>
      <c r="H207" s="253"/>
      <c r="I207" s="253"/>
      <c r="J207" s="253"/>
      <c r="K207" s="253"/>
      <c r="L207" s="253"/>
      <c r="M207" s="253"/>
      <c r="N207" s="253"/>
      <c r="O207" s="253"/>
      <c r="P207" s="253"/>
      <c r="Q207" s="253"/>
      <c r="R207" s="253"/>
    </row>
    <row r="208" ht="15.75" customHeight="1">
      <c r="A208" s="253"/>
      <c r="B208" s="253"/>
      <c r="C208" s="253"/>
      <c r="D208" s="262" t="s">
        <v>8789</v>
      </c>
      <c r="E208" s="253"/>
      <c r="F208" s="253"/>
      <c r="G208" s="253"/>
      <c r="H208" s="253"/>
      <c r="I208" s="253"/>
      <c r="J208" s="253"/>
      <c r="K208" s="253"/>
      <c r="L208" s="253"/>
      <c r="M208" s="253"/>
      <c r="N208" s="253"/>
      <c r="O208" s="253"/>
      <c r="P208" s="253"/>
      <c r="Q208" s="253"/>
      <c r="R208" s="253"/>
    </row>
    <row r="209" ht="15.75" customHeight="1">
      <c r="A209" s="253"/>
      <c r="B209" s="253"/>
      <c r="C209" s="253"/>
      <c r="D209" s="262" t="s">
        <v>11471</v>
      </c>
      <c r="E209" s="253"/>
      <c r="F209" s="253"/>
      <c r="G209" s="253"/>
      <c r="H209" s="253"/>
      <c r="I209" s="253"/>
      <c r="J209" s="253"/>
      <c r="K209" s="253"/>
      <c r="L209" s="253"/>
      <c r="M209" s="253"/>
      <c r="N209" s="253"/>
      <c r="O209" s="253"/>
      <c r="P209" s="253"/>
      <c r="Q209" s="253"/>
      <c r="R209" s="253"/>
    </row>
    <row r="210" ht="15.75" customHeight="1">
      <c r="A210" s="253"/>
      <c r="B210" s="253"/>
      <c r="C210" s="253"/>
      <c r="D210" s="262" t="s">
        <v>11472</v>
      </c>
      <c r="E210" s="253"/>
      <c r="F210" s="253"/>
      <c r="G210" s="253"/>
      <c r="H210" s="253"/>
      <c r="I210" s="253"/>
      <c r="J210" s="253"/>
      <c r="K210" s="253"/>
      <c r="L210" s="253"/>
      <c r="M210" s="253"/>
      <c r="N210" s="253"/>
      <c r="O210" s="253"/>
      <c r="P210" s="253"/>
      <c r="Q210" s="253"/>
      <c r="R210" s="253"/>
    </row>
    <row r="211" ht="15.75" customHeight="1">
      <c r="A211" s="253"/>
      <c r="B211" s="253"/>
      <c r="C211" s="253"/>
      <c r="D211" s="262" t="s">
        <v>5485</v>
      </c>
      <c r="E211" s="253"/>
      <c r="F211" s="253"/>
      <c r="G211" s="253"/>
      <c r="H211" s="253"/>
      <c r="I211" s="253"/>
      <c r="J211" s="253"/>
      <c r="K211" s="253"/>
      <c r="L211" s="253"/>
      <c r="M211" s="253"/>
      <c r="N211" s="253"/>
      <c r="O211" s="253"/>
      <c r="P211" s="253"/>
      <c r="Q211" s="253"/>
      <c r="R211" s="253"/>
    </row>
    <row r="212" ht="15.75" customHeight="1">
      <c r="A212" s="253"/>
      <c r="B212" s="253"/>
      <c r="C212" s="253"/>
      <c r="D212" s="262" t="s">
        <v>11473</v>
      </c>
      <c r="E212" s="253"/>
      <c r="F212" s="253"/>
      <c r="G212" s="253"/>
      <c r="H212" s="253"/>
      <c r="I212" s="253"/>
      <c r="J212" s="253"/>
      <c r="K212" s="253"/>
      <c r="L212" s="253"/>
      <c r="M212" s="253"/>
      <c r="N212" s="253"/>
      <c r="O212" s="253"/>
      <c r="P212" s="253"/>
      <c r="Q212" s="253"/>
      <c r="R212" s="253"/>
    </row>
    <row r="213" ht="15.75" customHeight="1">
      <c r="A213" s="253"/>
      <c r="B213" s="253"/>
      <c r="C213" s="253"/>
      <c r="D213" s="262" t="s">
        <v>11474</v>
      </c>
      <c r="E213" s="253"/>
      <c r="F213" s="253"/>
      <c r="G213" s="253"/>
      <c r="H213" s="253"/>
      <c r="I213" s="253"/>
      <c r="J213" s="253"/>
      <c r="K213" s="253"/>
      <c r="L213" s="253"/>
      <c r="M213" s="253"/>
      <c r="N213" s="253"/>
      <c r="O213" s="253"/>
      <c r="P213" s="253"/>
      <c r="Q213" s="253"/>
      <c r="R213" s="253"/>
    </row>
    <row r="214" ht="15.75" customHeight="1">
      <c r="A214" s="253"/>
      <c r="B214" s="253"/>
      <c r="C214" s="253"/>
      <c r="D214" s="262" t="s">
        <v>3329</v>
      </c>
      <c r="E214" s="253"/>
      <c r="F214" s="253"/>
      <c r="G214" s="253"/>
      <c r="H214" s="253"/>
      <c r="I214" s="253"/>
      <c r="J214" s="253"/>
      <c r="K214" s="253"/>
      <c r="L214" s="253"/>
      <c r="M214" s="253"/>
      <c r="N214" s="253"/>
      <c r="O214" s="253"/>
      <c r="P214" s="253"/>
      <c r="Q214" s="253"/>
      <c r="R214" s="253"/>
    </row>
    <row r="215" ht="15.75" customHeight="1">
      <c r="A215" s="253"/>
      <c r="B215" s="253"/>
      <c r="C215" s="253"/>
      <c r="D215" s="262" t="s">
        <v>3893</v>
      </c>
      <c r="E215" s="253"/>
      <c r="F215" s="253"/>
      <c r="G215" s="253"/>
      <c r="H215" s="253"/>
      <c r="I215" s="253"/>
      <c r="J215" s="253"/>
      <c r="K215" s="253"/>
      <c r="L215" s="253"/>
      <c r="M215" s="253"/>
      <c r="N215" s="253"/>
      <c r="O215" s="253"/>
      <c r="P215" s="253"/>
      <c r="Q215" s="253"/>
      <c r="R215" s="253"/>
    </row>
    <row r="216" ht="15.75" customHeight="1">
      <c r="A216" s="253"/>
      <c r="B216" s="253"/>
      <c r="C216" s="253"/>
      <c r="D216" s="262" t="s">
        <v>8498</v>
      </c>
      <c r="E216" s="253"/>
      <c r="F216" s="253"/>
      <c r="G216" s="253"/>
      <c r="H216" s="253"/>
      <c r="I216" s="253"/>
      <c r="J216" s="253"/>
      <c r="K216" s="253"/>
      <c r="L216" s="253"/>
      <c r="M216" s="253"/>
      <c r="N216" s="253"/>
      <c r="O216" s="253"/>
      <c r="P216" s="253"/>
      <c r="Q216" s="253"/>
      <c r="R216" s="253"/>
    </row>
    <row r="217" ht="15.75" customHeight="1">
      <c r="A217" s="253"/>
      <c r="B217" s="253"/>
      <c r="C217" s="253"/>
      <c r="D217" s="262" t="s">
        <v>11475</v>
      </c>
      <c r="E217" s="253"/>
      <c r="F217" s="253"/>
      <c r="G217" s="253"/>
      <c r="H217" s="253"/>
      <c r="I217" s="253"/>
      <c r="J217" s="253"/>
      <c r="K217" s="253"/>
      <c r="L217" s="253"/>
      <c r="M217" s="253"/>
      <c r="N217" s="253"/>
      <c r="O217" s="253"/>
      <c r="P217" s="253"/>
      <c r="Q217" s="253"/>
      <c r="R217" s="253"/>
    </row>
    <row r="218" ht="15.75" customHeight="1">
      <c r="A218" s="253"/>
      <c r="B218" s="253"/>
      <c r="C218" s="253"/>
      <c r="D218" s="262" t="s">
        <v>8922</v>
      </c>
      <c r="E218" s="253"/>
      <c r="F218" s="253"/>
      <c r="G218" s="253"/>
      <c r="H218" s="253"/>
      <c r="I218" s="253"/>
      <c r="J218" s="253"/>
      <c r="K218" s="253"/>
      <c r="L218" s="253"/>
      <c r="M218" s="253"/>
      <c r="N218" s="253"/>
      <c r="O218" s="253"/>
      <c r="P218" s="253"/>
      <c r="Q218" s="253"/>
      <c r="R218" s="253"/>
    </row>
    <row r="219" ht="15.75" customHeight="1">
      <c r="A219" s="253"/>
      <c r="B219" s="253"/>
      <c r="C219" s="253"/>
      <c r="D219" s="262" t="s">
        <v>479</v>
      </c>
      <c r="E219" s="253"/>
      <c r="F219" s="253"/>
      <c r="G219" s="253"/>
      <c r="H219" s="253"/>
      <c r="I219" s="253"/>
      <c r="J219" s="253"/>
      <c r="K219" s="253"/>
      <c r="L219" s="253"/>
      <c r="M219" s="253"/>
      <c r="N219" s="253"/>
      <c r="O219" s="253"/>
      <c r="P219" s="253"/>
      <c r="Q219" s="253"/>
      <c r="R219" s="253"/>
    </row>
    <row r="220" ht="15.75" customHeight="1">
      <c r="A220" s="253"/>
      <c r="B220" s="253"/>
      <c r="C220" s="253"/>
      <c r="D220" s="262" t="s">
        <v>2202</v>
      </c>
      <c r="E220" s="253"/>
      <c r="F220" s="253"/>
      <c r="G220" s="253"/>
      <c r="H220" s="253"/>
      <c r="I220" s="253"/>
      <c r="J220" s="253"/>
      <c r="K220" s="253"/>
      <c r="L220" s="253"/>
      <c r="M220" s="253"/>
      <c r="N220" s="253"/>
      <c r="O220" s="253"/>
      <c r="P220" s="253"/>
      <c r="Q220" s="253"/>
      <c r="R220" s="253"/>
    </row>
    <row r="221" ht="15.75" customHeight="1">
      <c r="A221" s="253"/>
      <c r="B221" s="253"/>
      <c r="C221" s="253"/>
      <c r="D221" s="262" t="s">
        <v>11476</v>
      </c>
      <c r="E221" s="253"/>
      <c r="F221" s="253"/>
      <c r="G221" s="253"/>
      <c r="H221" s="253"/>
      <c r="I221" s="253"/>
      <c r="J221" s="253"/>
      <c r="K221" s="253"/>
      <c r="L221" s="253"/>
      <c r="M221" s="253"/>
      <c r="N221" s="253"/>
      <c r="O221" s="253"/>
      <c r="P221" s="253"/>
      <c r="Q221" s="253"/>
      <c r="R221" s="253"/>
    </row>
    <row r="222" ht="15.75" customHeight="1">
      <c r="A222" s="253"/>
      <c r="B222" s="253"/>
      <c r="C222" s="253"/>
      <c r="D222" s="262" t="s">
        <v>7237</v>
      </c>
      <c r="E222" s="253"/>
      <c r="F222" s="253"/>
      <c r="G222" s="253"/>
      <c r="H222" s="253"/>
      <c r="I222" s="253"/>
      <c r="J222" s="253"/>
      <c r="K222" s="253"/>
      <c r="L222" s="253"/>
      <c r="M222" s="253"/>
      <c r="N222" s="253"/>
      <c r="O222" s="253"/>
      <c r="P222" s="253"/>
      <c r="Q222" s="253"/>
      <c r="R222" s="253"/>
    </row>
    <row r="223" ht="15.75" customHeight="1">
      <c r="A223" s="253"/>
      <c r="B223" s="253"/>
      <c r="C223" s="253"/>
      <c r="D223" s="262" t="s">
        <v>3976</v>
      </c>
      <c r="E223" s="253"/>
      <c r="F223" s="253"/>
      <c r="G223" s="253"/>
      <c r="H223" s="253"/>
      <c r="I223" s="253"/>
      <c r="J223" s="253"/>
      <c r="K223" s="253"/>
      <c r="L223" s="253"/>
      <c r="M223" s="253"/>
      <c r="N223" s="253"/>
      <c r="O223" s="253"/>
      <c r="P223" s="253"/>
      <c r="Q223" s="253"/>
      <c r="R223" s="253"/>
    </row>
    <row r="224" ht="15.75" customHeight="1">
      <c r="A224" s="253"/>
      <c r="B224" s="253"/>
      <c r="C224" s="253"/>
      <c r="D224" s="262" t="s">
        <v>11477</v>
      </c>
      <c r="E224" s="253"/>
      <c r="F224" s="253"/>
      <c r="G224" s="253"/>
      <c r="H224" s="253"/>
      <c r="I224" s="253"/>
      <c r="J224" s="253"/>
      <c r="K224" s="253"/>
      <c r="L224" s="253"/>
      <c r="M224" s="253"/>
      <c r="N224" s="253"/>
      <c r="O224" s="253"/>
      <c r="P224" s="253"/>
      <c r="Q224" s="253"/>
      <c r="R224" s="253"/>
    </row>
    <row r="225" ht="15.75" customHeight="1">
      <c r="A225" s="253"/>
      <c r="B225" s="253"/>
      <c r="C225" s="253"/>
      <c r="D225" s="262" t="s">
        <v>710</v>
      </c>
      <c r="E225" s="253"/>
      <c r="F225" s="253"/>
      <c r="G225" s="253"/>
      <c r="H225" s="253"/>
      <c r="I225" s="253"/>
      <c r="J225" s="253"/>
      <c r="K225" s="253"/>
      <c r="L225" s="253"/>
      <c r="M225" s="253"/>
      <c r="N225" s="253"/>
      <c r="O225" s="253"/>
      <c r="P225" s="253"/>
      <c r="Q225" s="253"/>
      <c r="R225" s="253"/>
    </row>
    <row r="226" ht="15.75" customHeight="1">
      <c r="A226" s="253"/>
      <c r="B226" s="253"/>
      <c r="C226" s="253"/>
      <c r="D226" s="262" t="s">
        <v>5277</v>
      </c>
      <c r="E226" s="253"/>
      <c r="F226" s="253"/>
      <c r="G226" s="253"/>
      <c r="H226" s="253"/>
      <c r="I226" s="253"/>
      <c r="J226" s="253"/>
      <c r="K226" s="253"/>
      <c r="L226" s="253"/>
      <c r="M226" s="253"/>
      <c r="N226" s="253"/>
      <c r="O226" s="253"/>
      <c r="P226" s="253"/>
      <c r="Q226" s="253"/>
      <c r="R226" s="253"/>
    </row>
    <row r="227" ht="15.75" customHeight="1">
      <c r="A227" s="253"/>
      <c r="B227" s="253"/>
      <c r="C227" s="253"/>
      <c r="D227" s="262" t="s">
        <v>8665</v>
      </c>
      <c r="E227" s="253"/>
      <c r="F227" s="253"/>
      <c r="G227" s="253"/>
      <c r="H227" s="253"/>
      <c r="I227" s="253"/>
      <c r="J227" s="253"/>
      <c r="K227" s="253"/>
      <c r="L227" s="253"/>
      <c r="M227" s="253"/>
      <c r="N227" s="253"/>
      <c r="O227" s="253"/>
      <c r="P227" s="253"/>
      <c r="Q227" s="253"/>
      <c r="R227" s="253"/>
    </row>
    <row r="228" ht="15.75" customHeight="1">
      <c r="A228" s="253"/>
      <c r="B228" s="253"/>
      <c r="C228" s="253"/>
      <c r="D228" s="262" t="s">
        <v>873</v>
      </c>
      <c r="E228" s="253"/>
      <c r="F228" s="253"/>
      <c r="G228" s="253"/>
      <c r="H228" s="253"/>
      <c r="I228" s="253"/>
      <c r="J228" s="253"/>
      <c r="K228" s="253"/>
      <c r="L228" s="253"/>
      <c r="M228" s="253"/>
      <c r="N228" s="253"/>
      <c r="O228" s="253"/>
      <c r="P228" s="253"/>
      <c r="Q228" s="253"/>
      <c r="R228" s="253"/>
    </row>
    <row r="229" ht="15.75" customHeight="1">
      <c r="A229" s="253"/>
      <c r="B229" s="253"/>
      <c r="C229" s="253"/>
      <c r="D229" s="262" t="s">
        <v>11478</v>
      </c>
      <c r="E229" s="253"/>
      <c r="F229" s="253"/>
      <c r="G229" s="253"/>
      <c r="H229" s="253"/>
      <c r="I229" s="253"/>
      <c r="J229" s="253"/>
      <c r="K229" s="253"/>
      <c r="L229" s="253"/>
      <c r="M229" s="253"/>
      <c r="N229" s="253"/>
      <c r="O229" s="253"/>
      <c r="P229" s="253"/>
      <c r="Q229" s="253"/>
      <c r="R229" s="253"/>
    </row>
    <row r="230" ht="15.75" customHeight="1">
      <c r="A230" s="253"/>
      <c r="B230" s="253"/>
      <c r="C230" s="253"/>
      <c r="D230" s="262" t="s">
        <v>11479</v>
      </c>
      <c r="E230" s="253"/>
      <c r="F230" s="253"/>
      <c r="G230" s="253"/>
      <c r="H230" s="253"/>
      <c r="I230" s="253"/>
      <c r="J230" s="253"/>
      <c r="K230" s="253"/>
      <c r="L230" s="253"/>
      <c r="M230" s="253"/>
      <c r="N230" s="253"/>
      <c r="O230" s="253"/>
      <c r="P230" s="253"/>
      <c r="Q230" s="253"/>
      <c r="R230" s="253"/>
    </row>
    <row r="231" ht="15.75" customHeight="1">
      <c r="A231" s="253"/>
      <c r="B231" s="253"/>
      <c r="C231" s="253"/>
      <c r="D231" s="262" t="s">
        <v>11480</v>
      </c>
      <c r="E231" s="253"/>
      <c r="F231" s="253"/>
      <c r="G231" s="253"/>
      <c r="H231" s="253"/>
      <c r="I231" s="253"/>
      <c r="J231" s="253"/>
      <c r="K231" s="253"/>
      <c r="L231" s="253"/>
      <c r="M231" s="253"/>
      <c r="N231" s="253"/>
      <c r="O231" s="253"/>
      <c r="P231" s="253"/>
      <c r="Q231" s="253"/>
      <c r="R231" s="253"/>
    </row>
    <row r="232" ht="15.75" customHeight="1">
      <c r="A232" s="253"/>
      <c r="B232" s="253"/>
      <c r="C232" s="253"/>
      <c r="D232" s="262" t="s">
        <v>2076</v>
      </c>
      <c r="E232" s="253"/>
      <c r="F232" s="253"/>
      <c r="G232" s="253"/>
      <c r="H232" s="253"/>
      <c r="I232" s="253"/>
      <c r="J232" s="253"/>
      <c r="K232" s="253"/>
      <c r="L232" s="253"/>
      <c r="M232" s="253"/>
      <c r="N232" s="253"/>
      <c r="O232" s="253"/>
      <c r="P232" s="253"/>
      <c r="Q232" s="253"/>
      <c r="R232" s="253"/>
    </row>
    <row r="233" ht="15.75" customHeight="1">
      <c r="A233" s="253"/>
      <c r="B233" s="253"/>
      <c r="C233" s="253"/>
      <c r="D233" s="262" t="s">
        <v>11481</v>
      </c>
      <c r="E233" s="253"/>
      <c r="F233" s="253"/>
      <c r="G233" s="253"/>
      <c r="H233" s="253"/>
      <c r="I233" s="253"/>
      <c r="J233" s="253"/>
      <c r="K233" s="253"/>
      <c r="L233" s="253"/>
      <c r="M233" s="253"/>
      <c r="N233" s="253"/>
      <c r="O233" s="253"/>
      <c r="P233" s="253"/>
      <c r="Q233" s="253"/>
      <c r="R233" s="253"/>
    </row>
    <row r="234" ht="15.75" customHeight="1">
      <c r="A234" s="253"/>
      <c r="B234" s="253"/>
      <c r="C234" s="253"/>
      <c r="D234" s="262" t="s">
        <v>9142</v>
      </c>
      <c r="E234" s="253"/>
      <c r="F234" s="253"/>
      <c r="G234" s="253"/>
      <c r="H234" s="253"/>
      <c r="I234" s="253"/>
      <c r="J234" s="253"/>
      <c r="K234" s="253"/>
      <c r="L234" s="253"/>
      <c r="M234" s="253"/>
      <c r="N234" s="253"/>
      <c r="O234" s="253"/>
      <c r="P234" s="253"/>
      <c r="Q234" s="253"/>
      <c r="R234" s="253"/>
    </row>
    <row r="235" ht="15.75" customHeight="1">
      <c r="A235" s="253"/>
      <c r="B235" s="253"/>
      <c r="C235" s="253"/>
      <c r="D235" s="262" t="s">
        <v>8656</v>
      </c>
      <c r="E235" s="253"/>
      <c r="F235" s="253"/>
      <c r="G235" s="253"/>
      <c r="H235" s="253"/>
      <c r="I235" s="253"/>
      <c r="J235" s="253"/>
      <c r="K235" s="253"/>
      <c r="L235" s="253"/>
      <c r="M235" s="253"/>
      <c r="N235" s="253"/>
      <c r="O235" s="253"/>
      <c r="P235" s="253"/>
      <c r="Q235" s="253"/>
      <c r="R235" s="253"/>
    </row>
    <row r="236" ht="15.75" customHeight="1">
      <c r="A236" s="253"/>
      <c r="B236" s="253"/>
      <c r="C236" s="253"/>
      <c r="D236" s="262" t="s">
        <v>8806</v>
      </c>
      <c r="E236" s="253"/>
      <c r="F236" s="253"/>
      <c r="G236" s="253"/>
      <c r="H236" s="253"/>
      <c r="I236" s="253"/>
      <c r="J236" s="253"/>
      <c r="K236" s="253"/>
      <c r="L236" s="253"/>
      <c r="M236" s="253"/>
      <c r="N236" s="253"/>
      <c r="O236" s="253"/>
      <c r="P236" s="253"/>
      <c r="Q236" s="253"/>
      <c r="R236" s="253"/>
    </row>
    <row r="237" ht="15.75" customHeight="1">
      <c r="A237" s="253"/>
      <c r="B237" s="253"/>
      <c r="C237" s="253"/>
      <c r="D237" s="262" t="s">
        <v>11482</v>
      </c>
      <c r="E237" s="253"/>
      <c r="F237" s="253"/>
      <c r="G237" s="253"/>
      <c r="H237" s="253"/>
      <c r="I237" s="253"/>
      <c r="J237" s="253"/>
      <c r="K237" s="253"/>
      <c r="L237" s="253"/>
      <c r="M237" s="253"/>
      <c r="N237" s="253"/>
      <c r="O237" s="253"/>
      <c r="P237" s="253"/>
      <c r="Q237" s="253"/>
      <c r="R237" s="253"/>
    </row>
    <row r="238" ht="15.75" customHeight="1">
      <c r="A238" s="253"/>
      <c r="B238" s="253"/>
      <c r="C238" s="253"/>
      <c r="D238" s="262" t="s">
        <v>5507</v>
      </c>
      <c r="E238" s="253"/>
      <c r="F238" s="253"/>
      <c r="G238" s="253"/>
      <c r="H238" s="253"/>
      <c r="I238" s="253"/>
      <c r="J238" s="253"/>
      <c r="K238" s="253"/>
      <c r="L238" s="253"/>
      <c r="M238" s="253"/>
      <c r="N238" s="253"/>
      <c r="O238" s="253"/>
      <c r="P238" s="253"/>
      <c r="Q238" s="253"/>
      <c r="R238" s="253"/>
    </row>
    <row r="239" ht="15.75" customHeight="1">
      <c r="A239" s="253"/>
      <c r="B239" s="253"/>
      <c r="C239" s="253"/>
      <c r="D239" s="262" t="s">
        <v>11483</v>
      </c>
      <c r="E239" s="253"/>
      <c r="F239" s="253"/>
      <c r="G239" s="253"/>
      <c r="H239" s="253"/>
      <c r="I239" s="253"/>
      <c r="J239" s="253"/>
      <c r="K239" s="253"/>
      <c r="L239" s="253"/>
      <c r="M239" s="253"/>
      <c r="N239" s="253"/>
      <c r="O239" s="253"/>
      <c r="P239" s="253"/>
      <c r="Q239" s="253"/>
      <c r="R239" s="253"/>
    </row>
    <row r="240" ht="15.75" customHeight="1">
      <c r="A240" s="253"/>
      <c r="B240" s="253"/>
      <c r="C240" s="253"/>
      <c r="D240" s="262" t="s">
        <v>11484</v>
      </c>
      <c r="E240" s="253"/>
      <c r="F240" s="253"/>
      <c r="G240" s="253"/>
      <c r="H240" s="253"/>
      <c r="I240" s="253"/>
      <c r="J240" s="253"/>
      <c r="K240" s="253"/>
      <c r="L240" s="253"/>
      <c r="M240" s="253"/>
      <c r="N240" s="253"/>
      <c r="O240" s="253"/>
      <c r="P240" s="253"/>
      <c r="Q240" s="253"/>
      <c r="R240" s="253"/>
    </row>
    <row r="241" ht="15.75" customHeight="1">
      <c r="A241" s="253"/>
      <c r="B241" s="253"/>
      <c r="C241" s="253"/>
      <c r="D241" s="262" t="s">
        <v>11485</v>
      </c>
      <c r="E241" s="253"/>
      <c r="F241" s="253"/>
      <c r="G241" s="253"/>
      <c r="H241" s="253"/>
      <c r="I241" s="253"/>
      <c r="J241" s="253"/>
      <c r="K241" s="253"/>
      <c r="L241" s="253"/>
      <c r="M241" s="253"/>
      <c r="N241" s="253"/>
      <c r="O241" s="253"/>
      <c r="P241" s="253"/>
      <c r="Q241" s="253"/>
      <c r="R241" s="253"/>
    </row>
    <row r="242" ht="15.75" customHeight="1">
      <c r="A242" s="253"/>
      <c r="B242" s="253"/>
      <c r="C242" s="253"/>
      <c r="D242" s="262" t="s">
        <v>4126</v>
      </c>
      <c r="E242" s="253"/>
      <c r="F242" s="253"/>
      <c r="G242" s="253"/>
      <c r="H242" s="253"/>
      <c r="I242" s="253"/>
      <c r="J242" s="253"/>
      <c r="K242" s="253"/>
      <c r="L242" s="253"/>
      <c r="M242" s="253"/>
      <c r="N242" s="253"/>
      <c r="O242" s="253"/>
      <c r="P242" s="253"/>
      <c r="Q242" s="253"/>
      <c r="R242" s="253"/>
    </row>
    <row r="243" ht="15.75" customHeight="1">
      <c r="A243" s="253"/>
      <c r="B243" s="253"/>
      <c r="C243" s="253"/>
      <c r="D243" s="262" t="s">
        <v>11486</v>
      </c>
      <c r="E243" s="253"/>
      <c r="F243" s="253"/>
      <c r="G243" s="253"/>
      <c r="H243" s="253"/>
      <c r="I243" s="253"/>
      <c r="J243" s="253"/>
      <c r="K243" s="253"/>
      <c r="L243" s="253"/>
      <c r="M243" s="253"/>
      <c r="N243" s="253"/>
      <c r="O243" s="253"/>
      <c r="P243" s="253"/>
      <c r="Q243" s="253"/>
      <c r="R243" s="253"/>
    </row>
    <row r="244" ht="15.75" customHeight="1">
      <c r="A244" s="253"/>
      <c r="B244" s="253"/>
      <c r="C244" s="253"/>
      <c r="D244" s="262" t="s">
        <v>11487</v>
      </c>
      <c r="E244" s="253"/>
      <c r="F244" s="253"/>
      <c r="G244" s="253"/>
      <c r="H244" s="253"/>
      <c r="I244" s="253"/>
      <c r="J244" s="253"/>
      <c r="K244" s="253"/>
      <c r="L244" s="253"/>
      <c r="M244" s="253"/>
      <c r="N244" s="253"/>
      <c r="O244" s="253"/>
      <c r="P244" s="253"/>
      <c r="Q244" s="253"/>
      <c r="R244" s="253"/>
    </row>
    <row r="245" ht="15.75" customHeight="1">
      <c r="A245" s="253"/>
      <c r="B245" s="253"/>
      <c r="C245" s="253"/>
      <c r="D245" s="262" t="s">
        <v>11488</v>
      </c>
      <c r="E245" s="253"/>
      <c r="F245" s="253"/>
      <c r="G245" s="253"/>
      <c r="H245" s="253"/>
      <c r="I245" s="253"/>
      <c r="J245" s="253"/>
      <c r="K245" s="253"/>
      <c r="L245" s="253"/>
      <c r="M245" s="253"/>
      <c r="N245" s="253"/>
      <c r="O245" s="253"/>
      <c r="P245" s="253"/>
      <c r="Q245" s="253"/>
      <c r="R245" s="253"/>
    </row>
    <row r="246" ht="15.75" customHeight="1">
      <c r="A246" s="253"/>
      <c r="B246" s="253"/>
      <c r="C246" s="253"/>
      <c r="D246" s="262" t="s">
        <v>11489</v>
      </c>
      <c r="E246" s="253"/>
      <c r="F246" s="253"/>
      <c r="G246" s="253"/>
      <c r="H246" s="253"/>
      <c r="I246" s="253"/>
      <c r="J246" s="253"/>
      <c r="K246" s="253"/>
      <c r="L246" s="253"/>
      <c r="M246" s="253"/>
      <c r="N246" s="253"/>
      <c r="O246" s="253"/>
      <c r="P246" s="253"/>
      <c r="Q246" s="253"/>
      <c r="R246" s="253"/>
    </row>
    <row r="247" ht="15.75" customHeight="1">
      <c r="A247" s="253"/>
      <c r="B247" s="253"/>
      <c r="C247" s="253"/>
      <c r="D247" s="262" t="s">
        <v>11490</v>
      </c>
      <c r="E247" s="253"/>
      <c r="F247" s="253"/>
      <c r="G247" s="253"/>
      <c r="H247" s="253"/>
      <c r="I247" s="253"/>
      <c r="J247" s="253"/>
      <c r="K247" s="253"/>
      <c r="L247" s="253"/>
      <c r="M247" s="253"/>
      <c r="N247" s="253"/>
      <c r="O247" s="253"/>
      <c r="P247" s="253"/>
      <c r="Q247" s="253"/>
      <c r="R247" s="253"/>
    </row>
    <row r="248" ht="15.75" customHeight="1">
      <c r="A248" s="253"/>
      <c r="B248" s="253"/>
      <c r="C248" s="253"/>
      <c r="D248" s="262" t="s">
        <v>11491</v>
      </c>
      <c r="E248" s="253"/>
      <c r="F248" s="253"/>
      <c r="G248" s="253"/>
      <c r="H248" s="253"/>
      <c r="I248" s="253"/>
      <c r="J248" s="253"/>
      <c r="K248" s="253"/>
      <c r="L248" s="253"/>
      <c r="M248" s="253"/>
      <c r="N248" s="253"/>
      <c r="O248" s="253"/>
      <c r="P248" s="253"/>
      <c r="Q248" s="253"/>
      <c r="R248" s="253"/>
    </row>
    <row r="249" ht="15.75" customHeight="1">
      <c r="A249" s="253"/>
      <c r="B249" s="253"/>
      <c r="C249" s="253"/>
      <c r="D249" s="262" t="s">
        <v>11492</v>
      </c>
      <c r="E249" s="253"/>
      <c r="F249" s="253"/>
      <c r="G249" s="253"/>
      <c r="H249" s="253"/>
      <c r="I249" s="253"/>
      <c r="J249" s="253"/>
      <c r="K249" s="253"/>
      <c r="L249" s="253"/>
      <c r="M249" s="253"/>
      <c r="N249" s="253"/>
      <c r="O249" s="253"/>
      <c r="P249" s="253"/>
      <c r="Q249" s="253"/>
      <c r="R249" s="253"/>
    </row>
    <row r="250" ht="15.75" customHeight="1">
      <c r="A250" s="253"/>
      <c r="B250" s="253"/>
      <c r="C250" s="253"/>
      <c r="D250" s="262" t="s">
        <v>11493</v>
      </c>
      <c r="E250" s="253"/>
      <c r="F250" s="253"/>
      <c r="G250" s="253"/>
      <c r="H250" s="253"/>
      <c r="I250" s="253"/>
      <c r="J250" s="253"/>
      <c r="K250" s="253"/>
      <c r="L250" s="253"/>
      <c r="M250" s="253"/>
      <c r="N250" s="253"/>
      <c r="O250" s="253"/>
      <c r="P250" s="253"/>
      <c r="Q250" s="253"/>
      <c r="R250" s="253"/>
    </row>
    <row r="251" ht="15.75" customHeight="1">
      <c r="A251" s="253"/>
      <c r="B251" s="253"/>
      <c r="C251" s="253"/>
      <c r="D251" s="262" t="s">
        <v>8681</v>
      </c>
      <c r="E251" s="253"/>
      <c r="F251" s="253"/>
      <c r="G251" s="253"/>
      <c r="H251" s="253"/>
      <c r="I251" s="253"/>
      <c r="J251" s="253"/>
      <c r="K251" s="253"/>
      <c r="L251" s="253"/>
      <c r="M251" s="253"/>
      <c r="N251" s="253"/>
      <c r="O251" s="253"/>
      <c r="P251" s="253"/>
      <c r="Q251" s="253"/>
      <c r="R251" s="253"/>
    </row>
    <row r="252" ht="15.75" customHeight="1">
      <c r="A252" s="253"/>
      <c r="B252" s="253"/>
      <c r="C252" s="253"/>
      <c r="D252" s="262" t="s">
        <v>11494</v>
      </c>
      <c r="E252" s="253"/>
      <c r="F252" s="253"/>
      <c r="G252" s="253"/>
      <c r="H252" s="253"/>
      <c r="I252" s="253"/>
      <c r="J252" s="253"/>
      <c r="K252" s="253"/>
      <c r="L252" s="253"/>
      <c r="M252" s="253"/>
      <c r="N252" s="253"/>
      <c r="O252" s="253"/>
      <c r="P252" s="253"/>
      <c r="Q252" s="253"/>
      <c r="R252" s="253"/>
    </row>
    <row r="253" ht="15.75" customHeight="1">
      <c r="A253" s="253"/>
      <c r="B253" s="253"/>
      <c r="C253" s="253"/>
      <c r="D253" s="262" t="s">
        <v>11495</v>
      </c>
      <c r="E253" s="253"/>
      <c r="F253" s="253"/>
      <c r="G253" s="253"/>
      <c r="H253" s="253"/>
      <c r="I253" s="253"/>
      <c r="J253" s="253"/>
      <c r="K253" s="253"/>
      <c r="L253" s="253"/>
      <c r="M253" s="253"/>
      <c r="N253" s="253"/>
      <c r="O253" s="253"/>
      <c r="P253" s="253"/>
      <c r="Q253" s="253"/>
      <c r="R253" s="253"/>
    </row>
    <row r="254" ht="15.75" customHeight="1">
      <c r="A254" s="253"/>
      <c r="B254" s="253"/>
      <c r="C254" s="253"/>
      <c r="D254" s="262" t="s">
        <v>1913</v>
      </c>
      <c r="E254" s="253"/>
      <c r="F254" s="253"/>
      <c r="G254" s="253"/>
      <c r="H254" s="253"/>
      <c r="I254" s="253"/>
      <c r="J254" s="253"/>
      <c r="K254" s="253"/>
      <c r="L254" s="253"/>
      <c r="M254" s="253"/>
      <c r="N254" s="253"/>
      <c r="O254" s="253"/>
      <c r="P254" s="253"/>
      <c r="Q254" s="253"/>
      <c r="R254" s="253"/>
    </row>
    <row r="255" ht="15.75" customHeight="1">
      <c r="A255" s="253"/>
      <c r="B255" s="253"/>
      <c r="C255" s="253"/>
      <c r="D255" s="262" t="s">
        <v>11496</v>
      </c>
      <c r="E255" s="253"/>
      <c r="F255" s="253"/>
      <c r="G255" s="253"/>
      <c r="H255" s="253"/>
      <c r="I255" s="253"/>
      <c r="J255" s="253"/>
      <c r="K255" s="253"/>
      <c r="L255" s="253"/>
      <c r="M255" s="253"/>
      <c r="N255" s="253"/>
      <c r="O255" s="253"/>
      <c r="P255" s="253"/>
      <c r="Q255" s="253"/>
      <c r="R255" s="253"/>
    </row>
    <row r="256" ht="15.75" customHeight="1">
      <c r="A256" s="253"/>
      <c r="B256" s="253"/>
      <c r="C256" s="253"/>
      <c r="D256" s="262" t="s">
        <v>11497</v>
      </c>
      <c r="E256" s="253"/>
      <c r="F256" s="253"/>
      <c r="G256" s="253"/>
      <c r="H256" s="253"/>
      <c r="I256" s="253"/>
      <c r="J256" s="253"/>
      <c r="K256" s="253"/>
      <c r="L256" s="253"/>
      <c r="M256" s="253"/>
      <c r="N256" s="253"/>
      <c r="O256" s="253"/>
      <c r="P256" s="253"/>
      <c r="Q256" s="253"/>
      <c r="R256" s="253"/>
    </row>
    <row r="257" ht="15.75" customHeight="1">
      <c r="A257" s="253"/>
      <c r="B257" s="253"/>
      <c r="C257" s="253"/>
      <c r="D257" s="262" t="s">
        <v>11498</v>
      </c>
      <c r="E257" s="253"/>
      <c r="F257" s="253"/>
      <c r="G257" s="253"/>
      <c r="H257" s="253"/>
      <c r="I257" s="253"/>
      <c r="J257" s="253"/>
      <c r="K257" s="253"/>
      <c r="L257" s="253"/>
      <c r="M257" s="253"/>
      <c r="N257" s="253"/>
      <c r="O257" s="253"/>
      <c r="P257" s="253"/>
      <c r="Q257" s="253"/>
      <c r="R257" s="253"/>
    </row>
    <row r="258" ht="15.75" customHeight="1">
      <c r="A258" s="253"/>
      <c r="B258" s="253"/>
      <c r="C258" s="253"/>
      <c r="D258" s="262" t="s">
        <v>9101</v>
      </c>
      <c r="E258" s="253"/>
      <c r="F258" s="253"/>
      <c r="G258" s="253"/>
      <c r="H258" s="253"/>
      <c r="I258" s="253"/>
      <c r="J258" s="253"/>
      <c r="K258" s="253"/>
      <c r="L258" s="253"/>
      <c r="M258" s="253"/>
      <c r="N258" s="253"/>
      <c r="O258" s="253"/>
      <c r="P258" s="253"/>
      <c r="Q258" s="253"/>
      <c r="R258" s="253"/>
    </row>
    <row r="259" ht="15.75" customHeight="1">
      <c r="A259" s="253"/>
      <c r="B259" s="253"/>
      <c r="C259" s="253"/>
      <c r="D259" s="262" t="s">
        <v>11499</v>
      </c>
      <c r="E259" s="253"/>
      <c r="F259" s="253"/>
      <c r="G259" s="253"/>
      <c r="H259" s="253"/>
      <c r="I259" s="253"/>
      <c r="J259" s="253"/>
      <c r="K259" s="253"/>
      <c r="L259" s="253"/>
      <c r="M259" s="253"/>
      <c r="N259" s="253"/>
      <c r="O259" s="253"/>
      <c r="P259" s="253"/>
      <c r="Q259" s="253"/>
      <c r="R259" s="253"/>
    </row>
    <row r="260" ht="15.75" customHeight="1">
      <c r="A260" s="253"/>
      <c r="B260" s="253"/>
      <c r="C260" s="253"/>
      <c r="D260" s="262" t="s">
        <v>7128</v>
      </c>
      <c r="E260" s="253"/>
      <c r="F260" s="253"/>
      <c r="G260" s="253"/>
      <c r="H260" s="253"/>
      <c r="I260" s="253"/>
      <c r="J260" s="253"/>
      <c r="K260" s="253"/>
      <c r="L260" s="253"/>
      <c r="M260" s="253"/>
      <c r="N260" s="253"/>
      <c r="O260" s="253"/>
      <c r="P260" s="253"/>
      <c r="Q260" s="253"/>
      <c r="R260" s="253"/>
    </row>
    <row r="261" ht="15.75" customHeight="1">
      <c r="A261" s="253"/>
      <c r="B261" s="253"/>
      <c r="C261" s="253"/>
      <c r="D261" s="262" t="s">
        <v>5578</v>
      </c>
      <c r="E261" s="253"/>
      <c r="F261" s="253"/>
      <c r="G261" s="253"/>
      <c r="H261" s="253"/>
      <c r="I261" s="253"/>
      <c r="J261" s="253"/>
      <c r="K261" s="253"/>
      <c r="L261" s="253"/>
      <c r="M261" s="253"/>
      <c r="N261" s="253"/>
      <c r="O261" s="253"/>
      <c r="P261" s="253"/>
      <c r="Q261" s="253"/>
      <c r="R261" s="253"/>
    </row>
    <row r="262" ht="15.75" customHeight="1">
      <c r="A262" s="253"/>
      <c r="B262" s="253"/>
      <c r="C262" s="253"/>
      <c r="D262" s="262" t="s">
        <v>11500</v>
      </c>
      <c r="E262" s="253"/>
      <c r="F262" s="253"/>
      <c r="G262" s="253"/>
      <c r="H262" s="253"/>
      <c r="I262" s="253"/>
      <c r="J262" s="253"/>
      <c r="K262" s="253"/>
      <c r="L262" s="253"/>
      <c r="M262" s="253"/>
      <c r="N262" s="253"/>
      <c r="O262" s="253"/>
      <c r="P262" s="253"/>
      <c r="Q262" s="253"/>
      <c r="R262" s="253"/>
    </row>
    <row r="263" ht="15.75" customHeight="1">
      <c r="A263" s="253"/>
      <c r="B263" s="253"/>
      <c r="C263" s="253"/>
      <c r="D263" s="262" t="s">
        <v>11501</v>
      </c>
      <c r="E263" s="253"/>
      <c r="F263" s="253"/>
      <c r="G263" s="253"/>
      <c r="H263" s="253"/>
      <c r="I263" s="253"/>
      <c r="J263" s="253"/>
      <c r="K263" s="253"/>
      <c r="L263" s="253"/>
      <c r="M263" s="253"/>
      <c r="N263" s="253"/>
      <c r="O263" s="253"/>
      <c r="P263" s="253"/>
      <c r="Q263" s="253"/>
      <c r="R263" s="253"/>
    </row>
    <row r="264" ht="15.75" customHeight="1">
      <c r="A264" s="253"/>
      <c r="B264" s="253"/>
      <c r="C264" s="253"/>
      <c r="D264" s="262" t="s">
        <v>11502</v>
      </c>
      <c r="E264" s="253"/>
      <c r="F264" s="253"/>
      <c r="G264" s="253"/>
      <c r="H264" s="253"/>
      <c r="I264" s="253"/>
      <c r="J264" s="253"/>
      <c r="K264" s="253"/>
      <c r="L264" s="253"/>
      <c r="M264" s="253"/>
      <c r="N264" s="253"/>
      <c r="O264" s="253"/>
      <c r="P264" s="253"/>
      <c r="Q264" s="253"/>
      <c r="R264" s="253"/>
    </row>
    <row r="265" ht="15.75" customHeight="1">
      <c r="A265" s="253"/>
      <c r="B265" s="253"/>
      <c r="C265" s="253"/>
      <c r="D265" s="262" t="s">
        <v>2385</v>
      </c>
      <c r="E265" s="253"/>
      <c r="F265" s="253"/>
      <c r="G265" s="253"/>
      <c r="H265" s="253"/>
      <c r="I265" s="253"/>
      <c r="J265" s="253"/>
      <c r="K265" s="253"/>
      <c r="L265" s="253"/>
      <c r="M265" s="253"/>
      <c r="N265" s="253"/>
      <c r="O265" s="253"/>
      <c r="P265" s="253"/>
      <c r="Q265" s="253"/>
      <c r="R265" s="253"/>
    </row>
    <row r="266" ht="15.75" customHeight="1">
      <c r="A266" s="253"/>
      <c r="B266" s="253"/>
      <c r="C266" s="253"/>
      <c r="D266" s="262" t="s">
        <v>11503</v>
      </c>
      <c r="E266" s="253"/>
      <c r="F266" s="253"/>
      <c r="G266" s="253"/>
      <c r="H266" s="253"/>
      <c r="I266" s="253"/>
      <c r="J266" s="253"/>
      <c r="K266" s="253"/>
      <c r="L266" s="253"/>
      <c r="M266" s="253"/>
      <c r="N266" s="253"/>
      <c r="O266" s="253"/>
      <c r="P266" s="253"/>
      <c r="Q266" s="253"/>
      <c r="R266" s="253"/>
    </row>
    <row r="267" ht="15.75" customHeight="1">
      <c r="A267" s="253"/>
      <c r="B267" s="253"/>
      <c r="C267" s="253"/>
      <c r="D267" s="262" t="s">
        <v>11504</v>
      </c>
      <c r="E267" s="253"/>
      <c r="F267" s="253"/>
      <c r="G267" s="253"/>
      <c r="H267" s="253"/>
      <c r="I267" s="253"/>
      <c r="J267" s="253"/>
      <c r="K267" s="253"/>
      <c r="L267" s="253"/>
      <c r="M267" s="253"/>
      <c r="N267" s="253"/>
      <c r="O267" s="253"/>
      <c r="P267" s="253"/>
      <c r="Q267" s="253"/>
      <c r="R267" s="253"/>
    </row>
    <row r="268" ht="15.75" customHeight="1">
      <c r="A268" s="253"/>
      <c r="B268" s="253"/>
      <c r="C268" s="253"/>
      <c r="D268" s="262" t="s">
        <v>7083</v>
      </c>
      <c r="E268" s="253"/>
      <c r="F268" s="253"/>
      <c r="G268" s="253"/>
      <c r="H268" s="253"/>
      <c r="I268" s="253"/>
      <c r="J268" s="253"/>
      <c r="K268" s="253"/>
      <c r="L268" s="253"/>
      <c r="M268" s="253"/>
      <c r="N268" s="253"/>
      <c r="O268" s="253"/>
      <c r="P268" s="253"/>
      <c r="Q268" s="253"/>
      <c r="R268" s="253"/>
    </row>
    <row r="269" ht="15.75" customHeight="1">
      <c r="A269" s="253"/>
      <c r="B269" s="253"/>
      <c r="C269" s="253"/>
      <c r="D269" s="262" t="s">
        <v>11505</v>
      </c>
      <c r="E269" s="253"/>
      <c r="F269" s="253"/>
      <c r="G269" s="253"/>
      <c r="H269" s="253"/>
      <c r="I269" s="253"/>
      <c r="J269" s="253"/>
      <c r="K269" s="253"/>
      <c r="L269" s="253"/>
      <c r="M269" s="253"/>
      <c r="N269" s="253"/>
      <c r="O269" s="253"/>
      <c r="P269" s="253"/>
      <c r="Q269" s="253"/>
      <c r="R269" s="253"/>
    </row>
    <row r="270" ht="15.75" customHeight="1">
      <c r="A270" s="253"/>
      <c r="B270" s="253"/>
      <c r="C270" s="253"/>
      <c r="D270" s="262" t="s">
        <v>668</v>
      </c>
      <c r="E270" s="253"/>
      <c r="F270" s="253"/>
      <c r="G270" s="253"/>
      <c r="H270" s="253"/>
      <c r="I270" s="253"/>
      <c r="J270" s="253"/>
      <c r="K270" s="253"/>
      <c r="L270" s="253"/>
      <c r="M270" s="253"/>
      <c r="N270" s="253"/>
      <c r="O270" s="253"/>
      <c r="P270" s="253"/>
      <c r="Q270" s="253"/>
      <c r="R270" s="253"/>
    </row>
    <row r="271" ht="15.75" customHeight="1">
      <c r="A271" s="253"/>
      <c r="B271" s="253"/>
      <c r="C271" s="253"/>
      <c r="D271" s="262" t="s">
        <v>11506</v>
      </c>
      <c r="E271" s="253"/>
      <c r="F271" s="253"/>
      <c r="G271" s="253"/>
      <c r="H271" s="253"/>
      <c r="I271" s="253"/>
      <c r="J271" s="253"/>
      <c r="K271" s="253"/>
      <c r="L271" s="253"/>
      <c r="M271" s="253"/>
      <c r="N271" s="253"/>
      <c r="O271" s="253"/>
      <c r="P271" s="253"/>
      <c r="Q271" s="253"/>
      <c r="R271" s="253"/>
    </row>
    <row r="272" ht="15.75" customHeight="1">
      <c r="A272" s="253"/>
      <c r="B272" s="253"/>
      <c r="C272" s="253"/>
      <c r="D272" s="262" t="s">
        <v>1476</v>
      </c>
      <c r="E272" s="253"/>
      <c r="F272" s="253"/>
      <c r="G272" s="253"/>
      <c r="H272" s="253"/>
      <c r="I272" s="253"/>
      <c r="J272" s="253"/>
      <c r="K272" s="253"/>
      <c r="L272" s="253"/>
      <c r="M272" s="253"/>
      <c r="N272" s="253"/>
      <c r="O272" s="253"/>
      <c r="P272" s="253"/>
      <c r="Q272" s="253"/>
      <c r="R272" s="253"/>
    </row>
    <row r="273" ht="15.75" customHeight="1">
      <c r="A273" s="253"/>
      <c r="B273" s="253"/>
      <c r="C273" s="253"/>
      <c r="D273" s="262" t="s">
        <v>775</v>
      </c>
      <c r="E273" s="253"/>
      <c r="F273" s="253"/>
      <c r="G273" s="253"/>
      <c r="H273" s="253"/>
      <c r="I273" s="253"/>
      <c r="J273" s="253"/>
      <c r="K273" s="253"/>
      <c r="L273" s="253"/>
      <c r="M273" s="253"/>
      <c r="N273" s="253"/>
      <c r="O273" s="253"/>
      <c r="P273" s="253"/>
      <c r="Q273" s="253"/>
      <c r="R273" s="253"/>
    </row>
    <row r="274" ht="15.75" customHeight="1">
      <c r="A274" s="253"/>
      <c r="B274" s="253"/>
      <c r="C274" s="253"/>
      <c r="D274" s="262" t="s">
        <v>11507</v>
      </c>
      <c r="E274" s="253"/>
      <c r="F274" s="253"/>
      <c r="G274" s="253"/>
      <c r="H274" s="253"/>
      <c r="I274" s="253"/>
      <c r="J274" s="253"/>
      <c r="K274" s="253"/>
      <c r="L274" s="253"/>
      <c r="M274" s="253"/>
      <c r="N274" s="253"/>
      <c r="O274" s="253"/>
      <c r="P274" s="253"/>
      <c r="Q274" s="253"/>
      <c r="R274" s="253"/>
    </row>
    <row r="275" ht="15.75" customHeight="1">
      <c r="A275" s="253"/>
      <c r="B275" s="253"/>
      <c r="C275" s="253"/>
      <c r="D275" s="262" t="s">
        <v>11508</v>
      </c>
      <c r="E275" s="253"/>
      <c r="F275" s="253"/>
      <c r="G275" s="253"/>
      <c r="H275" s="253"/>
      <c r="I275" s="253"/>
      <c r="J275" s="253"/>
      <c r="K275" s="253"/>
      <c r="L275" s="253"/>
      <c r="M275" s="253"/>
      <c r="N275" s="253"/>
      <c r="O275" s="253"/>
      <c r="P275" s="253"/>
      <c r="Q275" s="253"/>
      <c r="R275" s="253"/>
    </row>
    <row r="276" ht="15.75" customHeight="1">
      <c r="A276" s="253"/>
      <c r="B276" s="253"/>
      <c r="C276" s="253"/>
      <c r="D276" s="262" t="s">
        <v>1726</v>
      </c>
      <c r="E276" s="253"/>
      <c r="F276" s="253"/>
      <c r="G276" s="253"/>
      <c r="H276" s="253"/>
      <c r="I276" s="253"/>
      <c r="J276" s="253"/>
      <c r="K276" s="253"/>
      <c r="L276" s="253"/>
      <c r="M276" s="253"/>
      <c r="N276" s="253"/>
      <c r="O276" s="253"/>
      <c r="P276" s="253"/>
      <c r="Q276" s="253"/>
      <c r="R276" s="253"/>
    </row>
    <row r="277" ht="15.75" customHeight="1">
      <c r="A277" s="253"/>
      <c r="B277" s="253"/>
      <c r="C277" s="253"/>
      <c r="D277" s="262" t="s">
        <v>1252</v>
      </c>
      <c r="E277" s="253"/>
      <c r="F277" s="253"/>
      <c r="G277" s="253"/>
      <c r="H277" s="253"/>
      <c r="I277" s="253"/>
      <c r="J277" s="253"/>
      <c r="K277" s="253"/>
      <c r="L277" s="253"/>
      <c r="M277" s="253"/>
      <c r="N277" s="253"/>
      <c r="O277" s="253"/>
      <c r="P277" s="253"/>
      <c r="Q277" s="253"/>
      <c r="R277" s="253"/>
    </row>
    <row r="278" ht="15.75" customHeight="1">
      <c r="A278" s="253"/>
      <c r="B278" s="253"/>
      <c r="C278" s="253"/>
      <c r="D278" s="262" t="s">
        <v>3345</v>
      </c>
      <c r="E278" s="253"/>
      <c r="F278" s="253"/>
      <c r="G278" s="253"/>
      <c r="H278" s="253"/>
      <c r="I278" s="253"/>
      <c r="J278" s="253"/>
      <c r="K278" s="253"/>
      <c r="L278" s="253"/>
      <c r="M278" s="253"/>
      <c r="N278" s="253"/>
      <c r="O278" s="253"/>
      <c r="P278" s="253"/>
      <c r="Q278" s="253"/>
      <c r="R278" s="253"/>
    </row>
    <row r="279" ht="15.75" customHeight="1">
      <c r="A279" s="253"/>
      <c r="B279" s="253"/>
      <c r="C279" s="253"/>
      <c r="D279" s="262" t="s">
        <v>11509</v>
      </c>
      <c r="E279" s="253"/>
      <c r="F279" s="253"/>
      <c r="G279" s="253"/>
      <c r="H279" s="253"/>
      <c r="I279" s="253"/>
      <c r="J279" s="253"/>
      <c r="K279" s="253"/>
      <c r="L279" s="253"/>
      <c r="M279" s="253"/>
      <c r="N279" s="253"/>
      <c r="O279" s="253"/>
      <c r="P279" s="253"/>
      <c r="Q279" s="253"/>
      <c r="R279" s="253"/>
    </row>
    <row r="280" ht="15.75" customHeight="1">
      <c r="A280" s="253"/>
      <c r="B280" s="253"/>
      <c r="C280" s="253"/>
      <c r="D280" s="262" t="s">
        <v>11510</v>
      </c>
      <c r="E280" s="253"/>
      <c r="F280" s="253"/>
      <c r="G280" s="253"/>
      <c r="H280" s="253"/>
      <c r="I280" s="253"/>
      <c r="J280" s="253"/>
      <c r="K280" s="253"/>
      <c r="L280" s="253"/>
      <c r="M280" s="253"/>
      <c r="N280" s="253"/>
      <c r="O280" s="253"/>
      <c r="P280" s="253"/>
      <c r="Q280" s="253"/>
      <c r="R280" s="253"/>
    </row>
    <row r="281" ht="15.75" customHeight="1">
      <c r="A281" s="253"/>
      <c r="B281" s="253"/>
      <c r="C281" s="253"/>
      <c r="D281" s="262" t="s">
        <v>150</v>
      </c>
      <c r="E281" s="253"/>
      <c r="F281" s="253"/>
      <c r="G281" s="253"/>
      <c r="H281" s="253"/>
      <c r="I281" s="253"/>
      <c r="J281" s="253"/>
      <c r="K281" s="253"/>
      <c r="L281" s="253"/>
      <c r="M281" s="253"/>
      <c r="N281" s="253"/>
      <c r="O281" s="253"/>
      <c r="P281" s="253"/>
      <c r="Q281" s="253"/>
      <c r="R281" s="253"/>
    </row>
    <row r="282" ht="15.75" customHeight="1">
      <c r="A282" s="253"/>
      <c r="B282" s="253"/>
      <c r="C282" s="253"/>
      <c r="D282" s="262" t="s">
        <v>1210</v>
      </c>
      <c r="E282" s="253"/>
      <c r="F282" s="253"/>
      <c r="G282" s="253"/>
      <c r="H282" s="253"/>
      <c r="I282" s="253"/>
      <c r="J282" s="253"/>
      <c r="K282" s="253"/>
      <c r="L282" s="253"/>
      <c r="M282" s="253"/>
      <c r="N282" s="253"/>
      <c r="O282" s="253"/>
      <c r="P282" s="253"/>
      <c r="Q282" s="253"/>
      <c r="R282" s="253"/>
    </row>
    <row r="283" ht="15.75" customHeight="1">
      <c r="A283" s="253"/>
      <c r="B283" s="253"/>
      <c r="C283" s="253"/>
      <c r="D283" s="262" t="s">
        <v>3350</v>
      </c>
      <c r="E283" s="253"/>
      <c r="F283" s="253"/>
      <c r="G283" s="253"/>
      <c r="H283" s="253"/>
      <c r="I283" s="253"/>
      <c r="J283" s="253"/>
      <c r="K283" s="253"/>
      <c r="L283" s="253"/>
      <c r="M283" s="253"/>
      <c r="N283" s="253"/>
      <c r="O283" s="253"/>
      <c r="P283" s="253"/>
      <c r="Q283" s="253"/>
      <c r="R283" s="253"/>
    </row>
    <row r="284" ht="15.75" customHeight="1">
      <c r="A284" s="253"/>
      <c r="B284" s="253"/>
      <c r="C284" s="253"/>
      <c r="D284" s="262" t="s">
        <v>8290</v>
      </c>
      <c r="E284" s="253"/>
      <c r="F284" s="253"/>
      <c r="G284" s="253"/>
      <c r="H284" s="253"/>
      <c r="I284" s="253"/>
      <c r="J284" s="253"/>
      <c r="K284" s="253"/>
      <c r="L284" s="253"/>
      <c r="M284" s="253"/>
      <c r="N284" s="253"/>
      <c r="O284" s="253"/>
      <c r="P284" s="253"/>
      <c r="Q284" s="253"/>
      <c r="R284" s="253"/>
    </row>
    <row r="285" ht="15.75" customHeight="1">
      <c r="A285" s="253"/>
      <c r="B285" s="253"/>
      <c r="C285" s="253"/>
      <c r="D285" s="262" t="s">
        <v>2391</v>
      </c>
      <c r="E285" s="253"/>
      <c r="F285" s="253"/>
      <c r="G285" s="253"/>
      <c r="H285" s="253"/>
      <c r="I285" s="253"/>
      <c r="J285" s="253"/>
      <c r="K285" s="253"/>
      <c r="L285" s="253"/>
      <c r="M285" s="253"/>
      <c r="N285" s="253"/>
      <c r="O285" s="253"/>
      <c r="P285" s="253"/>
      <c r="Q285" s="253"/>
      <c r="R285" s="253"/>
    </row>
    <row r="286" ht="15.75" customHeight="1">
      <c r="A286" s="253"/>
      <c r="B286" s="253"/>
      <c r="C286" s="253"/>
      <c r="D286" s="262" t="s">
        <v>11511</v>
      </c>
      <c r="E286" s="253"/>
      <c r="F286" s="253"/>
      <c r="G286" s="253"/>
      <c r="H286" s="253"/>
      <c r="I286" s="253"/>
      <c r="J286" s="253"/>
      <c r="K286" s="253"/>
      <c r="L286" s="253"/>
      <c r="M286" s="253"/>
      <c r="N286" s="253"/>
      <c r="O286" s="253"/>
      <c r="P286" s="253"/>
      <c r="Q286" s="253"/>
      <c r="R286" s="253"/>
    </row>
    <row r="287" ht="15.75" customHeight="1">
      <c r="A287" s="253"/>
      <c r="B287" s="253"/>
      <c r="C287" s="253"/>
      <c r="D287" s="262" t="s">
        <v>11512</v>
      </c>
      <c r="E287" s="253"/>
      <c r="F287" s="253"/>
      <c r="G287" s="253"/>
      <c r="H287" s="253"/>
      <c r="I287" s="253"/>
      <c r="J287" s="253"/>
      <c r="K287" s="253"/>
      <c r="L287" s="253"/>
      <c r="M287" s="253"/>
      <c r="N287" s="253"/>
      <c r="O287" s="253"/>
      <c r="P287" s="253"/>
      <c r="Q287" s="253"/>
      <c r="R287" s="253"/>
    </row>
    <row r="288" ht="15.75" customHeight="1">
      <c r="A288" s="253"/>
      <c r="B288" s="253"/>
      <c r="C288" s="253"/>
      <c r="D288" s="262" t="s">
        <v>11513</v>
      </c>
      <c r="E288" s="253"/>
      <c r="F288" s="253"/>
      <c r="G288" s="253"/>
      <c r="H288" s="253"/>
      <c r="I288" s="253"/>
      <c r="J288" s="253"/>
      <c r="K288" s="253"/>
      <c r="L288" s="253"/>
      <c r="M288" s="253"/>
      <c r="N288" s="253"/>
      <c r="O288" s="253"/>
      <c r="P288" s="253"/>
      <c r="Q288" s="253"/>
      <c r="R288" s="253"/>
    </row>
    <row r="289" ht="15.75" customHeight="1">
      <c r="A289" s="253"/>
      <c r="B289" s="253"/>
      <c r="C289" s="253"/>
      <c r="D289" s="262" t="s">
        <v>11514</v>
      </c>
      <c r="E289" s="253"/>
      <c r="F289" s="253"/>
      <c r="G289" s="253"/>
      <c r="H289" s="253"/>
      <c r="I289" s="253"/>
      <c r="J289" s="253"/>
      <c r="K289" s="253"/>
      <c r="L289" s="253"/>
      <c r="M289" s="253"/>
      <c r="N289" s="253"/>
      <c r="O289" s="253"/>
      <c r="P289" s="253"/>
      <c r="Q289" s="253"/>
      <c r="R289" s="253"/>
    </row>
    <row r="290" ht="15.75" customHeight="1">
      <c r="A290" s="253"/>
      <c r="B290" s="253"/>
      <c r="C290" s="253"/>
      <c r="D290" s="262" t="s">
        <v>3907</v>
      </c>
      <c r="E290" s="253"/>
      <c r="F290" s="253"/>
      <c r="G290" s="253"/>
      <c r="H290" s="253"/>
      <c r="I290" s="253"/>
      <c r="J290" s="253"/>
      <c r="K290" s="253"/>
      <c r="L290" s="253"/>
      <c r="M290" s="253"/>
      <c r="N290" s="253"/>
      <c r="O290" s="253"/>
      <c r="P290" s="253"/>
      <c r="Q290" s="253"/>
      <c r="R290" s="253"/>
    </row>
    <row r="291" ht="15.75" customHeight="1">
      <c r="A291" s="253"/>
      <c r="B291" s="253"/>
      <c r="C291" s="253"/>
      <c r="D291" s="262" t="s">
        <v>11515</v>
      </c>
      <c r="E291" s="253"/>
      <c r="F291" s="253"/>
      <c r="G291" s="253"/>
      <c r="H291" s="253"/>
      <c r="I291" s="253"/>
      <c r="J291" s="253"/>
      <c r="K291" s="253"/>
      <c r="L291" s="253"/>
      <c r="M291" s="253"/>
      <c r="N291" s="253"/>
      <c r="O291" s="253"/>
      <c r="P291" s="253"/>
      <c r="Q291" s="253"/>
      <c r="R291" s="253"/>
    </row>
    <row r="292" ht="15.75" customHeight="1">
      <c r="A292" s="253"/>
      <c r="B292" s="253"/>
      <c r="C292" s="253"/>
      <c r="D292" s="262" t="s">
        <v>11516</v>
      </c>
      <c r="E292" s="253"/>
      <c r="F292" s="253"/>
      <c r="G292" s="253"/>
      <c r="H292" s="253"/>
      <c r="I292" s="253"/>
      <c r="J292" s="253"/>
      <c r="K292" s="253"/>
      <c r="L292" s="253"/>
      <c r="M292" s="253"/>
      <c r="N292" s="253"/>
      <c r="O292" s="253"/>
      <c r="P292" s="253"/>
      <c r="Q292" s="253"/>
      <c r="R292" s="253"/>
    </row>
    <row r="293" ht="15.75" customHeight="1">
      <c r="A293" s="253"/>
      <c r="B293" s="253"/>
      <c r="C293" s="253"/>
      <c r="D293" s="262" t="s">
        <v>4485</v>
      </c>
      <c r="E293" s="253"/>
      <c r="F293" s="253"/>
      <c r="G293" s="253"/>
      <c r="H293" s="253"/>
      <c r="I293" s="253"/>
      <c r="J293" s="253"/>
      <c r="K293" s="253"/>
      <c r="L293" s="253"/>
      <c r="M293" s="253"/>
      <c r="N293" s="253"/>
      <c r="O293" s="253"/>
      <c r="P293" s="253"/>
      <c r="Q293" s="253"/>
      <c r="R293" s="253"/>
    </row>
    <row r="294" ht="15.75" customHeight="1">
      <c r="A294" s="253"/>
      <c r="B294" s="253"/>
      <c r="C294" s="253"/>
      <c r="D294" s="262" t="s">
        <v>3382</v>
      </c>
      <c r="E294" s="253"/>
      <c r="F294" s="253"/>
      <c r="G294" s="253"/>
      <c r="H294" s="253"/>
      <c r="I294" s="253"/>
      <c r="J294" s="253"/>
      <c r="K294" s="253"/>
      <c r="L294" s="253"/>
      <c r="M294" s="253"/>
      <c r="N294" s="253"/>
      <c r="O294" s="253"/>
      <c r="P294" s="253"/>
      <c r="Q294" s="253"/>
      <c r="R294" s="253"/>
    </row>
    <row r="295" ht="15.75" customHeight="1">
      <c r="A295" s="253"/>
      <c r="B295" s="253"/>
      <c r="C295" s="253"/>
      <c r="D295" s="262" t="s">
        <v>11517</v>
      </c>
      <c r="E295" s="253"/>
      <c r="F295" s="253"/>
      <c r="G295" s="253"/>
      <c r="H295" s="253"/>
      <c r="I295" s="253"/>
      <c r="J295" s="253"/>
      <c r="K295" s="253"/>
      <c r="L295" s="253"/>
      <c r="M295" s="253"/>
      <c r="N295" s="253"/>
      <c r="O295" s="253"/>
      <c r="P295" s="253"/>
      <c r="Q295" s="253"/>
      <c r="R295" s="253"/>
    </row>
    <row r="296" ht="15.75" customHeight="1">
      <c r="A296" s="253"/>
      <c r="B296" s="253"/>
      <c r="C296" s="253"/>
      <c r="D296" s="262" t="s">
        <v>11518</v>
      </c>
      <c r="E296" s="253"/>
      <c r="F296" s="253"/>
      <c r="G296" s="253"/>
      <c r="H296" s="253"/>
      <c r="I296" s="253"/>
      <c r="J296" s="253"/>
      <c r="K296" s="253"/>
      <c r="L296" s="253"/>
      <c r="M296" s="253"/>
      <c r="N296" s="253"/>
      <c r="O296" s="253"/>
      <c r="P296" s="253"/>
      <c r="Q296" s="253"/>
      <c r="R296" s="253"/>
    </row>
    <row r="297" ht="15.75" customHeight="1">
      <c r="A297" s="253"/>
      <c r="B297" s="253"/>
      <c r="C297" s="253"/>
      <c r="D297" s="262" t="s">
        <v>4043</v>
      </c>
      <c r="E297" s="253"/>
      <c r="F297" s="253"/>
      <c r="G297" s="253"/>
      <c r="H297" s="253"/>
      <c r="I297" s="253"/>
      <c r="J297" s="253"/>
      <c r="K297" s="253"/>
      <c r="L297" s="253"/>
      <c r="M297" s="253"/>
      <c r="N297" s="253"/>
      <c r="O297" s="253"/>
      <c r="P297" s="253"/>
      <c r="Q297" s="253"/>
      <c r="R297" s="253"/>
    </row>
    <row r="298" ht="15.75" customHeight="1">
      <c r="A298" s="253"/>
      <c r="B298" s="253"/>
      <c r="C298" s="253"/>
      <c r="D298" s="262" t="s">
        <v>11519</v>
      </c>
      <c r="E298" s="253"/>
      <c r="F298" s="253"/>
      <c r="G298" s="253"/>
      <c r="H298" s="253"/>
      <c r="I298" s="253"/>
      <c r="J298" s="253"/>
      <c r="K298" s="253"/>
      <c r="L298" s="253"/>
      <c r="M298" s="253"/>
      <c r="N298" s="253"/>
      <c r="O298" s="253"/>
      <c r="P298" s="253"/>
      <c r="Q298" s="253"/>
      <c r="R298" s="253"/>
    </row>
    <row r="299" ht="15.75" customHeight="1">
      <c r="A299" s="253"/>
      <c r="B299" s="253"/>
      <c r="C299" s="253"/>
      <c r="D299" s="262" t="s">
        <v>11520</v>
      </c>
      <c r="E299" s="253"/>
      <c r="F299" s="253"/>
      <c r="G299" s="253"/>
      <c r="H299" s="253"/>
      <c r="I299" s="253"/>
      <c r="J299" s="253"/>
      <c r="K299" s="253"/>
      <c r="L299" s="253"/>
      <c r="M299" s="253"/>
      <c r="N299" s="253"/>
      <c r="O299" s="253"/>
      <c r="P299" s="253"/>
      <c r="Q299" s="253"/>
      <c r="R299" s="253"/>
    </row>
    <row r="300" ht="15.75" customHeight="1">
      <c r="A300" s="253"/>
      <c r="B300" s="253"/>
      <c r="C300" s="253"/>
      <c r="D300" s="262" t="s">
        <v>11521</v>
      </c>
      <c r="E300" s="253"/>
      <c r="F300" s="253"/>
      <c r="G300" s="253"/>
      <c r="H300" s="253"/>
      <c r="I300" s="253"/>
      <c r="J300" s="253"/>
      <c r="K300" s="253"/>
      <c r="L300" s="253"/>
      <c r="M300" s="253"/>
      <c r="N300" s="253"/>
      <c r="O300" s="253"/>
      <c r="P300" s="253"/>
      <c r="Q300" s="253"/>
      <c r="R300" s="253"/>
    </row>
    <row r="301" ht="15.75" customHeight="1">
      <c r="A301" s="253"/>
      <c r="B301" s="253"/>
      <c r="C301" s="253"/>
      <c r="D301" s="262" t="s">
        <v>11522</v>
      </c>
      <c r="E301" s="253"/>
      <c r="F301" s="253"/>
      <c r="G301" s="253"/>
      <c r="H301" s="253"/>
      <c r="I301" s="253"/>
      <c r="J301" s="253"/>
      <c r="K301" s="253"/>
      <c r="L301" s="253"/>
      <c r="M301" s="253"/>
      <c r="N301" s="253"/>
      <c r="O301" s="253"/>
      <c r="P301" s="253"/>
      <c r="Q301" s="253"/>
      <c r="R301" s="253"/>
    </row>
    <row r="302" ht="15.75" customHeight="1">
      <c r="A302" s="253"/>
      <c r="B302" s="253"/>
      <c r="C302" s="253"/>
      <c r="D302" s="262" t="s">
        <v>6029</v>
      </c>
      <c r="E302" s="253"/>
      <c r="F302" s="253"/>
      <c r="G302" s="253"/>
      <c r="H302" s="253"/>
      <c r="I302" s="253"/>
      <c r="J302" s="253"/>
      <c r="K302" s="253"/>
      <c r="L302" s="253"/>
      <c r="M302" s="253"/>
      <c r="N302" s="253"/>
      <c r="O302" s="253"/>
      <c r="P302" s="253"/>
      <c r="Q302" s="253"/>
      <c r="R302" s="253"/>
    </row>
    <row r="303" ht="15.75" customHeight="1">
      <c r="A303" s="253"/>
      <c r="B303" s="253"/>
      <c r="C303" s="253"/>
      <c r="D303" s="262" t="s">
        <v>11523</v>
      </c>
      <c r="E303" s="253"/>
      <c r="F303" s="253"/>
      <c r="G303" s="253"/>
      <c r="H303" s="253"/>
      <c r="I303" s="253"/>
      <c r="J303" s="253"/>
      <c r="K303" s="253"/>
      <c r="L303" s="253"/>
      <c r="M303" s="253"/>
      <c r="N303" s="253"/>
      <c r="O303" s="253"/>
      <c r="P303" s="253"/>
      <c r="Q303" s="253"/>
      <c r="R303" s="253"/>
    </row>
    <row r="304" ht="15.75" customHeight="1">
      <c r="A304" s="253"/>
      <c r="B304" s="253"/>
      <c r="C304" s="253"/>
      <c r="D304" s="262" t="s">
        <v>11524</v>
      </c>
      <c r="E304" s="253"/>
      <c r="F304" s="253"/>
      <c r="G304" s="253"/>
      <c r="H304" s="253"/>
      <c r="I304" s="253"/>
      <c r="J304" s="253"/>
      <c r="K304" s="253"/>
      <c r="L304" s="253"/>
      <c r="M304" s="253"/>
      <c r="N304" s="253"/>
      <c r="O304" s="253"/>
      <c r="P304" s="253"/>
      <c r="Q304" s="253"/>
      <c r="R304" s="253"/>
    </row>
    <row r="305" ht="15.75" customHeight="1">
      <c r="A305" s="253"/>
      <c r="B305" s="253"/>
      <c r="C305" s="253"/>
      <c r="D305" s="262" t="s">
        <v>5736</v>
      </c>
      <c r="E305" s="253"/>
      <c r="F305" s="253"/>
      <c r="G305" s="253"/>
      <c r="H305" s="253"/>
      <c r="I305" s="253"/>
      <c r="J305" s="253"/>
      <c r="K305" s="253"/>
      <c r="L305" s="253"/>
      <c r="M305" s="253"/>
      <c r="N305" s="253"/>
      <c r="O305" s="253"/>
      <c r="P305" s="253"/>
      <c r="Q305" s="253"/>
      <c r="R305" s="253"/>
    </row>
    <row r="306" ht="15.75" customHeight="1">
      <c r="A306" s="253"/>
      <c r="B306" s="253"/>
      <c r="C306" s="253"/>
      <c r="D306" s="262" t="s">
        <v>11525</v>
      </c>
      <c r="E306" s="253"/>
      <c r="F306" s="253"/>
      <c r="G306" s="253"/>
      <c r="H306" s="253"/>
      <c r="I306" s="253"/>
      <c r="J306" s="253"/>
      <c r="K306" s="253"/>
      <c r="L306" s="253"/>
      <c r="M306" s="253"/>
      <c r="N306" s="253"/>
      <c r="O306" s="253"/>
      <c r="P306" s="253"/>
      <c r="Q306" s="253"/>
      <c r="R306" s="253"/>
    </row>
    <row r="307" ht="15.75" customHeight="1">
      <c r="A307" s="253"/>
      <c r="B307" s="253"/>
      <c r="C307" s="253"/>
      <c r="D307" s="262" t="s">
        <v>4902</v>
      </c>
      <c r="E307" s="253"/>
      <c r="F307" s="253"/>
      <c r="G307" s="253"/>
      <c r="H307" s="253"/>
      <c r="I307" s="253"/>
      <c r="J307" s="253"/>
      <c r="K307" s="253"/>
      <c r="L307" s="253"/>
      <c r="M307" s="253"/>
      <c r="N307" s="253"/>
      <c r="O307" s="253"/>
      <c r="P307" s="253"/>
      <c r="Q307" s="253"/>
      <c r="R307" s="253"/>
    </row>
    <row r="308" ht="15.75" customHeight="1">
      <c r="A308" s="253"/>
      <c r="B308" s="253"/>
      <c r="C308" s="253"/>
      <c r="D308" s="262" t="s">
        <v>11526</v>
      </c>
      <c r="E308" s="253"/>
      <c r="F308" s="253"/>
      <c r="G308" s="253"/>
      <c r="H308" s="253"/>
      <c r="I308" s="253"/>
      <c r="J308" s="253"/>
      <c r="K308" s="253"/>
      <c r="L308" s="253"/>
      <c r="M308" s="253"/>
      <c r="N308" s="253"/>
      <c r="O308" s="253"/>
      <c r="P308" s="253"/>
      <c r="Q308" s="253"/>
      <c r="R308" s="253"/>
    </row>
    <row r="309" ht="15.75" customHeight="1">
      <c r="A309" s="253"/>
      <c r="B309" s="253"/>
      <c r="C309" s="253"/>
      <c r="D309" s="262" t="s">
        <v>2708</v>
      </c>
      <c r="E309" s="253"/>
      <c r="F309" s="253"/>
      <c r="G309" s="253"/>
      <c r="H309" s="253"/>
      <c r="I309" s="253"/>
      <c r="J309" s="253"/>
      <c r="K309" s="253"/>
      <c r="L309" s="253"/>
      <c r="M309" s="253"/>
      <c r="N309" s="253"/>
      <c r="O309" s="253"/>
      <c r="P309" s="253"/>
      <c r="Q309" s="253"/>
      <c r="R309" s="253"/>
    </row>
    <row r="310" ht="15.75" customHeight="1">
      <c r="A310" s="253"/>
      <c r="B310" s="253"/>
      <c r="C310" s="253"/>
      <c r="D310" s="262" t="s">
        <v>11527</v>
      </c>
      <c r="E310" s="253"/>
      <c r="F310" s="253"/>
      <c r="G310" s="253"/>
      <c r="H310" s="253"/>
      <c r="I310" s="253"/>
      <c r="J310" s="253"/>
      <c r="K310" s="253"/>
      <c r="L310" s="253"/>
      <c r="M310" s="253"/>
      <c r="N310" s="253"/>
      <c r="O310" s="253"/>
      <c r="P310" s="253"/>
      <c r="Q310" s="253"/>
      <c r="R310" s="253"/>
    </row>
    <row r="311" ht="15.75" customHeight="1">
      <c r="A311" s="253"/>
      <c r="B311" s="253"/>
      <c r="C311" s="253"/>
      <c r="D311" s="262" t="s">
        <v>1930</v>
      </c>
      <c r="E311" s="253"/>
      <c r="F311" s="253"/>
      <c r="G311" s="253"/>
      <c r="H311" s="253"/>
      <c r="I311" s="253"/>
      <c r="J311" s="253"/>
      <c r="K311" s="253"/>
      <c r="L311" s="253"/>
      <c r="M311" s="253"/>
      <c r="N311" s="253"/>
      <c r="O311" s="253"/>
      <c r="P311" s="253"/>
      <c r="Q311" s="253"/>
      <c r="R311" s="253"/>
    </row>
    <row r="312" ht="15.75" customHeight="1">
      <c r="A312" s="253"/>
      <c r="B312" s="253"/>
      <c r="C312" s="253"/>
      <c r="D312" s="262" t="s">
        <v>11528</v>
      </c>
      <c r="E312" s="253"/>
      <c r="F312" s="253"/>
      <c r="G312" s="253"/>
      <c r="H312" s="253"/>
      <c r="I312" s="253"/>
      <c r="J312" s="253"/>
      <c r="K312" s="253"/>
      <c r="L312" s="253"/>
      <c r="M312" s="253"/>
      <c r="N312" s="253"/>
      <c r="O312" s="253"/>
      <c r="P312" s="253"/>
      <c r="Q312" s="253"/>
      <c r="R312" s="253"/>
    </row>
    <row r="313" ht="15.75" customHeight="1">
      <c r="A313" s="253"/>
      <c r="B313" s="253"/>
      <c r="C313" s="253"/>
      <c r="D313" s="262" t="s">
        <v>952</v>
      </c>
      <c r="E313" s="253"/>
      <c r="F313" s="253"/>
      <c r="G313" s="253"/>
      <c r="H313" s="253"/>
      <c r="I313" s="253"/>
      <c r="J313" s="253"/>
      <c r="K313" s="253"/>
      <c r="L313" s="253"/>
      <c r="M313" s="253"/>
      <c r="N313" s="253"/>
      <c r="O313" s="253"/>
      <c r="P313" s="253"/>
      <c r="Q313" s="253"/>
      <c r="R313" s="253"/>
    </row>
    <row r="314" ht="15.75" customHeight="1">
      <c r="A314" s="253"/>
      <c r="B314" s="253"/>
      <c r="C314" s="253"/>
      <c r="D314" s="262" t="s">
        <v>11529</v>
      </c>
      <c r="E314" s="253"/>
      <c r="F314" s="253"/>
      <c r="G314" s="253"/>
      <c r="H314" s="253"/>
      <c r="I314" s="253"/>
      <c r="J314" s="253"/>
      <c r="K314" s="253"/>
      <c r="L314" s="253"/>
      <c r="M314" s="253"/>
      <c r="N314" s="253"/>
      <c r="O314" s="253"/>
      <c r="P314" s="253"/>
      <c r="Q314" s="253"/>
      <c r="R314" s="253"/>
    </row>
    <row r="315" ht="15.75" customHeight="1">
      <c r="A315" s="253"/>
      <c r="B315" s="253"/>
      <c r="C315" s="253"/>
      <c r="D315" s="262" t="s">
        <v>11530</v>
      </c>
      <c r="E315" s="253"/>
      <c r="F315" s="253"/>
      <c r="G315" s="253"/>
      <c r="H315" s="253"/>
      <c r="I315" s="253"/>
      <c r="J315" s="253"/>
      <c r="K315" s="253"/>
      <c r="L315" s="253"/>
      <c r="M315" s="253"/>
      <c r="N315" s="253"/>
      <c r="O315" s="253"/>
      <c r="P315" s="253"/>
      <c r="Q315" s="253"/>
      <c r="R315" s="253"/>
    </row>
    <row r="316" ht="15.75" customHeight="1">
      <c r="A316" s="253"/>
      <c r="B316" s="253"/>
      <c r="C316" s="253"/>
      <c r="D316" s="262" t="s">
        <v>2720</v>
      </c>
      <c r="E316" s="253"/>
      <c r="F316" s="253"/>
      <c r="G316" s="253"/>
      <c r="H316" s="253"/>
      <c r="I316" s="253"/>
      <c r="J316" s="253"/>
      <c r="K316" s="253"/>
      <c r="L316" s="253"/>
      <c r="M316" s="253"/>
      <c r="N316" s="253"/>
      <c r="O316" s="253"/>
      <c r="P316" s="253"/>
      <c r="Q316" s="253"/>
      <c r="R316" s="253"/>
    </row>
    <row r="317" ht="15.75" customHeight="1">
      <c r="A317" s="253"/>
      <c r="B317" s="253"/>
      <c r="C317" s="253"/>
      <c r="D317" s="262" t="s">
        <v>11531</v>
      </c>
      <c r="E317" s="253"/>
      <c r="F317" s="253"/>
      <c r="G317" s="253"/>
      <c r="H317" s="253"/>
      <c r="I317" s="253"/>
      <c r="J317" s="253"/>
      <c r="K317" s="253"/>
      <c r="L317" s="253"/>
      <c r="M317" s="253"/>
      <c r="N317" s="253"/>
      <c r="O317" s="253"/>
      <c r="P317" s="253"/>
      <c r="Q317" s="253"/>
      <c r="R317" s="253"/>
    </row>
    <row r="318" ht="15.75" customHeight="1">
      <c r="A318" s="253"/>
      <c r="B318" s="253"/>
      <c r="C318" s="253"/>
      <c r="D318" s="262" t="s">
        <v>11532</v>
      </c>
      <c r="E318" s="253"/>
      <c r="F318" s="253"/>
      <c r="G318" s="253"/>
      <c r="H318" s="253"/>
      <c r="I318" s="253"/>
      <c r="J318" s="253"/>
      <c r="K318" s="253"/>
      <c r="L318" s="253"/>
      <c r="M318" s="253"/>
      <c r="N318" s="253"/>
      <c r="O318" s="253"/>
      <c r="P318" s="253"/>
      <c r="Q318" s="253"/>
      <c r="R318" s="253"/>
    </row>
    <row r="319" ht="15.75" customHeight="1">
      <c r="A319" s="253"/>
      <c r="B319" s="253"/>
      <c r="C319" s="253"/>
      <c r="D319" s="262" t="s">
        <v>11533</v>
      </c>
      <c r="E319" s="253"/>
      <c r="F319" s="253"/>
      <c r="G319" s="253"/>
      <c r="H319" s="253"/>
      <c r="I319" s="253"/>
      <c r="J319" s="253"/>
      <c r="K319" s="253"/>
      <c r="L319" s="253"/>
      <c r="M319" s="253"/>
      <c r="N319" s="253"/>
      <c r="O319" s="253"/>
      <c r="P319" s="253"/>
      <c r="Q319" s="253"/>
      <c r="R319" s="253"/>
    </row>
    <row r="320" ht="15.75" customHeight="1">
      <c r="A320" s="253"/>
      <c r="B320" s="253"/>
      <c r="C320" s="253"/>
      <c r="D320" s="262" t="s">
        <v>2866</v>
      </c>
      <c r="E320" s="253"/>
      <c r="F320" s="253"/>
      <c r="G320" s="253"/>
      <c r="H320" s="253"/>
      <c r="I320" s="253"/>
      <c r="J320" s="253"/>
      <c r="K320" s="253"/>
      <c r="L320" s="253"/>
      <c r="M320" s="253"/>
      <c r="N320" s="253"/>
      <c r="O320" s="253"/>
      <c r="P320" s="253"/>
      <c r="Q320" s="253"/>
      <c r="R320" s="253"/>
    </row>
    <row r="321" ht="15.75" customHeight="1">
      <c r="A321" s="253"/>
      <c r="B321" s="253"/>
      <c r="C321" s="253"/>
      <c r="D321" s="262" t="s">
        <v>11534</v>
      </c>
      <c r="E321" s="253"/>
      <c r="F321" s="253"/>
      <c r="G321" s="253"/>
      <c r="H321" s="253"/>
      <c r="I321" s="253"/>
      <c r="J321" s="253"/>
      <c r="K321" s="253"/>
      <c r="L321" s="253"/>
      <c r="M321" s="253"/>
      <c r="N321" s="253"/>
      <c r="O321" s="253"/>
      <c r="P321" s="253"/>
      <c r="Q321" s="253"/>
      <c r="R321" s="253"/>
    </row>
    <row r="322" ht="15.75" customHeight="1">
      <c r="A322" s="253"/>
      <c r="B322" s="253"/>
      <c r="C322" s="253"/>
      <c r="D322" s="262" t="s">
        <v>112</v>
      </c>
      <c r="E322" s="253"/>
      <c r="F322" s="253"/>
      <c r="G322" s="253"/>
      <c r="H322" s="253"/>
      <c r="I322" s="253"/>
      <c r="J322" s="253"/>
      <c r="K322" s="253"/>
      <c r="L322" s="253"/>
      <c r="M322" s="253"/>
      <c r="N322" s="253"/>
      <c r="O322" s="253"/>
      <c r="P322" s="253"/>
      <c r="Q322" s="253"/>
      <c r="R322" s="253"/>
    </row>
    <row r="323" ht="15.75" customHeight="1">
      <c r="A323" s="253"/>
      <c r="B323" s="253"/>
      <c r="C323" s="253"/>
      <c r="D323" s="262" t="s">
        <v>11535</v>
      </c>
      <c r="E323" s="253"/>
      <c r="F323" s="253"/>
      <c r="G323" s="253"/>
      <c r="H323" s="253"/>
      <c r="I323" s="253"/>
      <c r="J323" s="253"/>
      <c r="K323" s="253"/>
      <c r="L323" s="253"/>
      <c r="M323" s="253"/>
      <c r="N323" s="253"/>
      <c r="O323" s="253"/>
      <c r="P323" s="253"/>
      <c r="Q323" s="253"/>
      <c r="R323" s="253"/>
    </row>
    <row r="324" ht="15.75" customHeight="1">
      <c r="A324" s="253"/>
      <c r="B324" s="253"/>
      <c r="C324" s="253"/>
      <c r="D324" s="262" t="s">
        <v>11536</v>
      </c>
      <c r="E324" s="253"/>
      <c r="F324" s="253"/>
      <c r="G324" s="253"/>
      <c r="H324" s="253"/>
      <c r="I324" s="253"/>
      <c r="J324" s="253"/>
      <c r="K324" s="253"/>
      <c r="L324" s="253"/>
      <c r="M324" s="253"/>
      <c r="N324" s="253"/>
      <c r="O324" s="253"/>
      <c r="P324" s="253"/>
      <c r="Q324" s="253"/>
      <c r="R324" s="253"/>
    </row>
    <row r="325" ht="15.75" customHeight="1">
      <c r="A325" s="253"/>
      <c r="B325" s="253"/>
      <c r="C325" s="253"/>
      <c r="D325" s="262" t="s">
        <v>11537</v>
      </c>
      <c r="E325" s="253"/>
      <c r="F325" s="253"/>
      <c r="G325" s="253"/>
      <c r="H325" s="253"/>
      <c r="I325" s="253"/>
      <c r="J325" s="253"/>
      <c r="K325" s="253"/>
      <c r="L325" s="253"/>
      <c r="M325" s="253"/>
      <c r="N325" s="253"/>
      <c r="O325" s="253"/>
      <c r="P325" s="253"/>
      <c r="Q325" s="253"/>
      <c r="R325" s="253"/>
    </row>
    <row r="326" ht="15.75" customHeight="1">
      <c r="A326" s="253"/>
      <c r="B326" s="253"/>
      <c r="C326" s="253"/>
      <c r="D326" s="262" t="s">
        <v>11538</v>
      </c>
      <c r="E326" s="253"/>
      <c r="F326" s="253"/>
      <c r="G326" s="253"/>
      <c r="H326" s="253"/>
      <c r="I326" s="253"/>
      <c r="J326" s="253"/>
      <c r="K326" s="253"/>
      <c r="L326" s="253"/>
      <c r="M326" s="253"/>
      <c r="N326" s="253"/>
      <c r="O326" s="253"/>
      <c r="P326" s="253"/>
      <c r="Q326" s="253"/>
      <c r="R326" s="253"/>
    </row>
    <row r="327" ht="15.75" customHeight="1">
      <c r="A327" s="253"/>
      <c r="B327" s="253"/>
      <c r="C327" s="253"/>
      <c r="D327" s="262" t="s">
        <v>11539</v>
      </c>
      <c r="E327" s="253"/>
      <c r="F327" s="253"/>
      <c r="G327" s="253"/>
      <c r="H327" s="253"/>
      <c r="I327" s="253"/>
      <c r="J327" s="253"/>
      <c r="K327" s="253"/>
      <c r="L327" s="253"/>
      <c r="M327" s="253"/>
      <c r="N327" s="253"/>
      <c r="O327" s="253"/>
      <c r="P327" s="253"/>
      <c r="Q327" s="253"/>
      <c r="R327" s="253"/>
    </row>
    <row r="328" ht="15.75" customHeight="1">
      <c r="A328" s="253"/>
      <c r="B328" s="253"/>
      <c r="C328" s="253"/>
      <c r="D328" s="262" t="s">
        <v>2741</v>
      </c>
      <c r="E328" s="253"/>
      <c r="F328" s="253"/>
      <c r="G328" s="253"/>
      <c r="H328" s="253"/>
      <c r="I328" s="253"/>
      <c r="J328" s="253"/>
      <c r="K328" s="253"/>
      <c r="L328" s="253"/>
      <c r="M328" s="253"/>
      <c r="N328" s="253"/>
      <c r="O328" s="253"/>
      <c r="P328" s="253"/>
      <c r="Q328" s="253"/>
      <c r="R328" s="253"/>
    </row>
    <row r="329" ht="15.75" customHeight="1">
      <c r="A329" s="253"/>
      <c r="B329" s="253"/>
      <c r="C329" s="253"/>
      <c r="D329" s="262" t="s">
        <v>11540</v>
      </c>
      <c r="E329" s="253"/>
      <c r="F329" s="253"/>
      <c r="G329" s="253"/>
      <c r="H329" s="253"/>
      <c r="I329" s="253"/>
      <c r="J329" s="253"/>
      <c r="K329" s="253"/>
      <c r="L329" s="253"/>
      <c r="M329" s="253"/>
      <c r="N329" s="253"/>
      <c r="O329" s="253"/>
      <c r="P329" s="253"/>
      <c r="Q329" s="253"/>
      <c r="R329" s="253"/>
    </row>
    <row r="330" ht="15.75" customHeight="1">
      <c r="A330" s="253"/>
      <c r="B330" s="253"/>
      <c r="C330" s="253"/>
      <c r="D330" s="262" t="s">
        <v>11541</v>
      </c>
      <c r="E330" s="253"/>
      <c r="F330" s="253"/>
      <c r="G330" s="253"/>
      <c r="H330" s="253"/>
      <c r="I330" s="253"/>
      <c r="J330" s="253"/>
      <c r="K330" s="253"/>
      <c r="L330" s="253"/>
      <c r="M330" s="253"/>
      <c r="N330" s="253"/>
      <c r="O330" s="253"/>
      <c r="P330" s="253"/>
      <c r="Q330" s="253"/>
      <c r="R330" s="253"/>
    </row>
    <row r="331" ht="15.75" customHeight="1">
      <c r="A331" s="253"/>
      <c r="B331" s="253"/>
      <c r="C331" s="253"/>
      <c r="D331" s="262" t="s">
        <v>11542</v>
      </c>
      <c r="E331" s="253"/>
      <c r="F331" s="253"/>
      <c r="G331" s="253"/>
      <c r="H331" s="253"/>
      <c r="I331" s="253"/>
      <c r="J331" s="253"/>
      <c r="K331" s="253"/>
      <c r="L331" s="253"/>
      <c r="M331" s="253"/>
      <c r="N331" s="253"/>
      <c r="O331" s="253"/>
      <c r="P331" s="253"/>
      <c r="Q331" s="253"/>
      <c r="R331" s="253"/>
    </row>
    <row r="332" ht="15.75" customHeight="1">
      <c r="A332" s="253"/>
      <c r="B332" s="253"/>
      <c r="C332" s="253"/>
      <c r="D332" s="262" t="s">
        <v>11543</v>
      </c>
      <c r="E332" s="253"/>
      <c r="F332" s="253"/>
      <c r="G332" s="253"/>
      <c r="H332" s="253"/>
      <c r="I332" s="253"/>
      <c r="J332" s="253"/>
      <c r="K332" s="253"/>
      <c r="L332" s="253"/>
      <c r="M332" s="253"/>
      <c r="N332" s="253"/>
      <c r="O332" s="253"/>
      <c r="P332" s="253"/>
      <c r="Q332" s="253"/>
      <c r="R332" s="253"/>
    </row>
    <row r="333" ht="15.75" customHeight="1">
      <c r="A333" s="253"/>
      <c r="B333" s="253"/>
      <c r="C333" s="253"/>
      <c r="D333" s="262" t="s">
        <v>11544</v>
      </c>
      <c r="E333" s="253"/>
      <c r="F333" s="253"/>
      <c r="G333" s="253"/>
      <c r="H333" s="253"/>
      <c r="I333" s="253"/>
      <c r="J333" s="253"/>
      <c r="K333" s="253"/>
      <c r="L333" s="253"/>
      <c r="M333" s="253"/>
      <c r="N333" s="253"/>
      <c r="O333" s="253"/>
      <c r="P333" s="253"/>
      <c r="Q333" s="253"/>
      <c r="R333" s="253"/>
    </row>
    <row r="334" ht="15.75" customHeight="1">
      <c r="A334" s="253"/>
      <c r="B334" s="253"/>
      <c r="C334" s="253"/>
      <c r="D334" s="262" t="s">
        <v>11545</v>
      </c>
      <c r="E334" s="253"/>
      <c r="F334" s="253"/>
      <c r="G334" s="253"/>
      <c r="H334" s="253"/>
      <c r="I334" s="253"/>
      <c r="J334" s="253"/>
      <c r="K334" s="253"/>
      <c r="L334" s="253"/>
      <c r="M334" s="253"/>
      <c r="N334" s="253"/>
      <c r="O334" s="253"/>
      <c r="P334" s="253"/>
      <c r="Q334" s="253"/>
      <c r="R334" s="253"/>
    </row>
    <row r="335" ht="15.75" customHeight="1">
      <c r="A335" s="253"/>
      <c r="B335" s="253"/>
      <c r="C335" s="253"/>
      <c r="D335" s="262" t="s">
        <v>5291</v>
      </c>
      <c r="E335" s="253"/>
      <c r="F335" s="253"/>
      <c r="G335" s="253"/>
      <c r="H335" s="253"/>
      <c r="I335" s="253"/>
      <c r="J335" s="253"/>
      <c r="K335" s="253"/>
      <c r="L335" s="253"/>
      <c r="M335" s="253"/>
      <c r="N335" s="253"/>
      <c r="O335" s="253"/>
      <c r="P335" s="253"/>
      <c r="Q335" s="253"/>
      <c r="R335" s="253"/>
    </row>
    <row r="336" ht="15.75" customHeight="1">
      <c r="A336" s="253"/>
      <c r="B336" s="253"/>
      <c r="C336" s="253"/>
      <c r="D336" s="262" t="s">
        <v>6426</v>
      </c>
      <c r="E336" s="253"/>
      <c r="F336" s="253"/>
      <c r="G336" s="253"/>
      <c r="H336" s="253"/>
      <c r="I336" s="253"/>
      <c r="J336" s="253"/>
      <c r="K336" s="253"/>
      <c r="L336" s="253"/>
      <c r="M336" s="253"/>
      <c r="N336" s="253"/>
      <c r="O336" s="253"/>
      <c r="P336" s="253"/>
      <c r="Q336" s="253"/>
      <c r="R336" s="253"/>
    </row>
    <row r="337" ht="15.75" customHeight="1">
      <c r="A337" s="253"/>
      <c r="B337" s="253"/>
      <c r="C337" s="253"/>
      <c r="D337" s="262" t="s">
        <v>5587</v>
      </c>
      <c r="E337" s="253"/>
      <c r="F337" s="253"/>
      <c r="G337" s="253"/>
      <c r="H337" s="253"/>
      <c r="I337" s="253"/>
      <c r="J337" s="253"/>
      <c r="K337" s="253"/>
      <c r="L337" s="253"/>
      <c r="M337" s="253"/>
      <c r="N337" s="253"/>
      <c r="O337" s="253"/>
      <c r="P337" s="253"/>
      <c r="Q337" s="253"/>
      <c r="R337" s="253"/>
    </row>
    <row r="338" ht="15.75" customHeight="1">
      <c r="A338" s="253"/>
      <c r="B338" s="253"/>
      <c r="C338" s="253"/>
      <c r="D338" s="262" t="s">
        <v>11546</v>
      </c>
      <c r="E338" s="253"/>
      <c r="F338" s="253"/>
      <c r="G338" s="253"/>
      <c r="H338" s="253"/>
      <c r="I338" s="253"/>
      <c r="J338" s="253"/>
      <c r="K338" s="253"/>
      <c r="L338" s="253"/>
      <c r="M338" s="253"/>
      <c r="N338" s="253"/>
      <c r="O338" s="253"/>
      <c r="P338" s="253"/>
      <c r="Q338" s="253"/>
      <c r="R338" s="253"/>
    </row>
    <row r="339" ht="15.75" customHeight="1">
      <c r="A339" s="253"/>
      <c r="B339" s="253"/>
      <c r="C339" s="253"/>
      <c r="D339" s="262" t="s">
        <v>5106</v>
      </c>
      <c r="E339" s="253"/>
      <c r="F339" s="253"/>
      <c r="G339" s="253"/>
      <c r="H339" s="253"/>
      <c r="I339" s="253"/>
      <c r="J339" s="253"/>
      <c r="K339" s="253"/>
      <c r="L339" s="253"/>
      <c r="M339" s="253"/>
      <c r="N339" s="253"/>
      <c r="O339" s="253"/>
      <c r="P339" s="253"/>
      <c r="Q339" s="253"/>
      <c r="R339" s="253"/>
    </row>
    <row r="340" ht="15.75" customHeight="1">
      <c r="A340" s="253"/>
      <c r="B340" s="253"/>
      <c r="C340" s="253"/>
      <c r="D340" s="262" t="s">
        <v>5039</v>
      </c>
      <c r="E340" s="253"/>
      <c r="F340" s="253"/>
      <c r="G340" s="253"/>
      <c r="H340" s="253"/>
      <c r="I340" s="253"/>
      <c r="J340" s="253"/>
      <c r="K340" s="253"/>
      <c r="L340" s="253"/>
      <c r="M340" s="253"/>
      <c r="N340" s="253"/>
      <c r="O340" s="253"/>
      <c r="P340" s="253"/>
      <c r="Q340" s="253"/>
      <c r="R340" s="253"/>
    </row>
    <row r="341" ht="15.75" customHeight="1">
      <c r="A341" s="253"/>
      <c r="B341" s="253"/>
      <c r="C341" s="253"/>
      <c r="D341" s="262" t="s">
        <v>11547</v>
      </c>
      <c r="E341" s="253"/>
      <c r="F341" s="253"/>
      <c r="G341" s="253"/>
      <c r="H341" s="253"/>
      <c r="I341" s="253"/>
      <c r="J341" s="253"/>
      <c r="K341" s="253"/>
      <c r="L341" s="253"/>
      <c r="M341" s="253"/>
      <c r="N341" s="253"/>
      <c r="O341" s="253"/>
      <c r="P341" s="253"/>
      <c r="Q341" s="253"/>
      <c r="R341" s="253"/>
    </row>
    <row r="342" ht="15.75" customHeight="1">
      <c r="A342" s="253"/>
      <c r="B342" s="253"/>
      <c r="C342" s="253"/>
      <c r="D342" s="262" t="s">
        <v>11548</v>
      </c>
      <c r="E342" s="253"/>
      <c r="F342" s="253"/>
      <c r="G342" s="253"/>
      <c r="H342" s="253"/>
      <c r="I342" s="253"/>
      <c r="J342" s="253"/>
      <c r="K342" s="253"/>
      <c r="L342" s="253"/>
      <c r="M342" s="253"/>
      <c r="N342" s="253"/>
      <c r="O342" s="253"/>
      <c r="P342" s="253"/>
      <c r="Q342" s="253"/>
      <c r="R342" s="253"/>
    </row>
    <row r="343" ht="15.75" customHeight="1">
      <c r="A343" s="253"/>
      <c r="B343" s="253"/>
      <c r="C343" s="253"/>
      <c r="D343" s="262" t="s">
        <v>11549</v>
      </c>
      <c r="E343" s="253"/>
      <c r="F343" s="253"/>
      <c r="G343" s="253"/>
      <c r="H343" s="253"/>
      <c r="I343" s="253"/>
      <c r="J343" s="253"/>
      <c r="K343" s="253"/>
      <c r="L343" s="253"/>
      <c r="M343" s="253"/>
      <c r="N343" s="253"/>
      <c r="O343" s="253"/>
      <c r="P343" s="253"/>
      <c r="Q343" s="253"/>
      <c r="R343" s="253"/>
    </row>
    <row r="344" ht="15.75" customHeight="1">
      <c r="A344" s="253"/>
      <c r="B344" s="253"/>
      <c r="C344" s="253"/>
      <c r="D344" s="262" t="s">
        <v>4528</v>
      </c>
      <c r="E344" s="253"/>
      <c r="F344" s="253"/>
      <c r="G344" s="253"/>
      <c r="H344" s="253"/>
      <c r="I344" s="253"/>
      <c r="J344" s="253"/>
      <c r="K344" s="253"/>
      <c r="L344" s="253"/>
      <c r="M344" s="253"/>
      <c r="N344" s="253"/>
      <c r="O344" s="253"/>
      <c r="P344" s="253"/>
      <c r="Q344" s="253"/>
      <c r="R344" s="253"/>
    </row>
    <row r="345" ht="15.75" customHeight="1">
      <c r="A345" s="253"/>
      <c r="B345" s="253"/>
      <c r="C345" s="253"/>
      <c r="D345" s="262" t="s">
        <v>11550</v>
      </c>
      <c r="E345" s="253"/>
      <c r="F345" s="253"/>
      <c r="G345" s="253"/>
      <c r="H345" s="253"/>
      <c r="I345" s="253"/>
      <c r="J345" s="253"/>
      <c r="K345" s="253"/>
      <c r="L345" s="253"/>
      <c r="M345" s="253"/>
      <c r="N345" s="253"/>
      <c r="O345" s="253"/>
      <c r="P345" s="253"/>
      <c r="Q345" s="253"/>
      <c r="R345" s="253"/>
    </row>
    <row r="346" ht="15.75" customHeight="1">
      <c r="A346" s="253"/>
      <c r="B346" s="253"/>
      <c r="C346" s="253"/>
      <c r="D346" s="262" t="s">
        <v>4488</v>
      </c>
      <c r="E346" s="253"/>
      <c r="F346" s="253"/>
      <c r="G346" s="253"/>
      <c r="H346" s="253"/>
      <c r="I346" s="253"/>
      <c r="J346" s="253"/>
      <c r="K346" s="253"/>
      <c r="L346" s="253"/>
      <c r="M346" s="253"/>
      <c r="N346" s="253"/>
      <c r="O346" s="253"/>
      <c r="P346" s="253"/>
      <c r="Q346" s="253"/>
      <c r="R346" s="253"/>
    </row>
    <row r="347" ht="15.75" customHeight="1">
      <c r="A347" s="253"/>
      <c r="B347" s="253"/>
      <c r="C347" s="253"/>
      <c r="D347" s="262" t="s">
        <v>3628</v>
      </c>
      <c r="E347" s="253"/>
      <c r="F347" s="253"/>
      <c r="G347" s="253"/>
      <c r="H347" s="253"/>
      <c r="I347" s="253"/>
      <c r="J347" s="253"/>
      <c r="K347" s="253"/>
      <c r="L347" s="253"/>
      <c r="M347" s="253"/>
      <c r="N347" s="253"/>
      <c r="O347" s="253"/>
      <c r="P347" s="253"/>
      <c r="Q347" s="253"/>
      <c r="R347" s="253"/>
    </row>
    <row r="348" ht="15.75" customHeight="1">
      <c r="A348" s="253"/>
      <c r="B348" s="253"/>
      <c r="C348" s="253"/>
      <c r="D348" s="262" t="s">
        <v>5703</v>
      </c>
      <c r="E348" s="253"/>
      <c r="F348" s="253"/>
      <c r="G348" s="253"/>
      <c r="H348" s="253"/>
      <c r="I348" s="253"/>
      <c r="J348" s="253"/>
      <c r="K348" s="253"/>
      <c r="L348" s="253"/>
      <c r="M348" s="253"/>
      <c r="N348" s="253"/>
      <c r="O348" s="253"/>
      <c r="P348" s="253"/>
      <c r="Q348" s="253"/>
      <c r="R348" s="253"/>
    </row>
    <row r="349" ht="15.75" customHeight="1">
      <c r="A349" s="253"/>
      <c r="B349" s="253"/>
      <c r="C349" s="253"/>
      <c r="D349" s="262" t="s">
        <v>5752</v>
      </c>
      <c r="E349" s="253"/>
      <c r="F349" s="253"/>
      <c r="G349" s="253"/>
      <c r="H349" s="253"/>
      <c r="I349" s="253"/>
      <c r="J349" s="253"/>
      <c r="K349" s="253"/>
      <c r="L349" s="253"/>
      <c r="M349" s="253"/>
      <c r="N349" s="253"/>
      <c r="O349" s="253"/>
      <c r="P349" s="253"/>
      <c r="Q349" s="253"/>
      <c r="R349" s="253"/>
    </row>
    <row r="350" ht="15.75" customHeight="1">
      <c r="A350" s="253"/>
      <c r="B350" s="253"/>
      <c r="C350" s="253"/>
      <c r="D350" s="262" t="s">
        <v>11551</v>
      </c>
      <c r="E350" s="253"/>
      <c r="F350" s="253"/>
      <c r="G350" s="253"/>
      <c r="H350" s="253"/>
      <c r="I350" s="253"/>
      <c r="J350" s="253"/>
      <c r="K350" s="253"/>
      <c r="L350" s="253"/>
      <c r="M350" s="253"/>
      <c r="N350" s="253"/>
      <c r="O350" s="253"/>
      <c r="P350" s="253"/>
      <c r="Q350" s="253"/>
      <c r="R350" s="253"/>
    </row>
    <row r="351" ht="15.75" customHeight="1">
      <c r="A351" s="253"/>
      <c r="B351" s="253"/>
      <c r="C351" s="253"/>
      <c r="D351" s="262" t="s">
        <v>5125</v>
      </c>
      <c r="E351" s="253"/>
      <c r="F351" s="253"/>
      <c r="G351" s="253"/>
      <c r="H351" s="253"/>
      <c r="I351" s="253"/>
      <c r="J351" s="253"/>
      <c r="K351" s="253"/>
      <c r="L351" s="253"/>
      <c r="M351" s="253"/>
      <c r="N351" s="253"/>
      <c r="O351" s="253"/>
      <c r="P351" s="253"/>
      <c r="Q351" s="253"/>
      <c r="R351" s="253"/>
    </row>
    <row r="352" ht="15.75" customHeight="1">
      <c r="A352" s="253"/>
      <c r="B352" s="253"/>
      <c r="C352" s="253"/>
      <c r="D352" s="262" t="s">
        <v>11552</v>
      </c>
      <c r="E352" s="253"/>
      <c r="F352" s="253"/>
      <c r="G352" s="253"/>
      <c r="H352" s="253"/>
      <c r="I352" s="253"/>
      <c r="J352" s="253"/>
      <c r="K352" s="253"/>
      <c r="L352" s="253"/>
      <c r="M352" s="253"/>
      <c r="N352" s="253"/>
      <c r="O352" s="253"/>
      <c r="P352" s="253"/>
      <c r="Q352" s="253"/>
      <c r="R352" s="253"/>
    </row>
    <row r="353" ht="15.75" customHeight="1">
      <c r="A353" s="253"/>
      <c r="B353" s="253"/>
      <c r="C353" s="253"/>
      <c r="D353" s="262" t="s">
        <v>11553</v>
      </c>
      <c r="E353" s="253"/>
      <c r="F353" s="253"/>
      <c r="G353" s="253"/>
      <c r="H353" s="253"/>
      <c r="I353" s="253"/>
      <c r="J353" s="253"/>
      <c r="K353" s="253"/>
      <c r="L353" s="253"/>
      <c r="M353" s="253"/>
      <c r="N353" s="253"/>
      <c r="O353" s="253"/>
      <c r="P353" s="253"/>
      <c r="Q353" s="253"/>
      <c r="R353" s="253"/>
    </row>
    <row r="354" ht="15.75" customHeight="1">
      <c r="A354" s="253"/>
      <c r="B354" s="253"/>
      <c r="C354" s="253"/>
      <c r="D354" s="262" t="s">
        <v>1279</v>
      </c>
      <c r="E354" s="253"/>
      <c r="F354" s="253"/>
      <c r="G354" s="253"/>
      <c r="H354" s="253"/>
      <c r="I354" s="253"/>
      <c r="J354" s="253"/>
      <c r="K354" s="253"/>
      <c r="L354" s="253"/>
      <c r="M354" s="253"/>
      <c r="N354" s="253"/>
      <c r="O354" s="253"/>
      <c r="P354" s="253"/>
      <c r="Q354" s="253"/>
      <c r="R354" s="253"/>
    </row>
    <row r="355" ht="15.75" customHeight="1">
      <c r="A355" s="253"/>
      <c r="B355" s="253"/>
      <c r="C355" s="253"/>
      <c r="D355" s="262" t="s">
        <v>11554</v>
      </c>
      <c r="E355" s="253"/>
      <c r="F355" s="253"/>
      <c r="G355" s="253"/>
      <c r="H355" s="253"/>
      <c r="I355" s="253"/>
      <c r="J355" s="253"/>
      <c r="K355" s="253"/>
      <c r="L355" s="253"/>
      <c r="M355" s="253"/>
      <c r="N355" s="253"/>
      <c r="O355" s="253"/>
      <c r="P355" s="253"/>
      <c r="Q355" s="253"/>
      <c r="R355" s="253"/>
    </row>
    <row r="356" ht="15.75" customHeight="1">
      <c r="A356" s="253"/>
      <c r="B356" s="253"/>
      <c r="C356" s="253"/>
      <c r="D356" s="262" t="s">
        <v>3229</v>
      </c>
      <c r="E356" s="253"/>
      <c r="F356" s="253"/>
      <c r="G356" s="253"/>
      <c r="H356" s="253"/>
      <c r="I356" s="253"/>
      <c r="J356" s="253"/>
      <c r="K356" s="253"/>
      <c r="L356" s="253"/>
      <c r="M356" s="253"/>
      <c r="N356" s="253"/>
      <c r="O356" s="253"/>
      <c r="P356" s="253"/>
      <c r="Q356" s="253"/>
      <c r="R356" s="253"/>
    </row>
    <row r="357" ht="15.75" customHeight="1">
      <c r="A357" s="253"/>
      <c r="B357" s="253"/>
      <c r="C357" s="253"/>
      <c r="D357" s="262" t="s">
        <v>11556</v>
      </c>
      <c r="E357" s="253"/>
      <c r="F357" s="253"/>
      <c r="G357" s="253"/>
      <c r="H357" s="253"/>
      <c r="I357" s="253"/>
      <c r="J357" s="253"/>
      <c r="K357" s="253"/>
      <c r="L357" s="253"/>
      <c r="M357" s="253"/>
      <c r="N357" s="253"/>
      <c r="O357" s="253"/>
      <c r="P357" s="253"/>
      <c r="Q357" s="253"/>
      <c r="R357" s="253"/>
    </row>
    <row r="358" ht="15.75" customHeight="1">
      <c r="A358" s="253"/>
      <c r="B358" s="253"/>
      <c r="C358" s="253"/>
      <c r="D358" s="262" t="s">
        <v>1499</v>
      </c>
      <c r="E358" s="253"/>
      <c r="F358" s="253"/>
      <c r="G358" s="253"/>
      <c r="H358" s="253"/>
      <c r="I358" s="253"/>
      <c r="J358" s="253"/>
      <c r="K358" s="253"/>
      <c r="L358" s="253"/>
      <c r="M358" s="253"/>
      <c r="N358" s="253"/>
      <c r="O358" s="253"/>
      <c r="P358" s="253"/>
      <c r="Q358" s="253"/>
      <c r="R358" s="253"/>
    </row>
    <row r="359" ht="15.75" customHeight="1">
      <c r="A359" s="253"/>
      <c r="B359" s="253"/>
      <c r="C359" s="253"/>
      <c r="D359" s="262" t="s">
        <v>327</v>
      </c>
      <c r="E359" s="253"/>
      <c r="F359" s="253"/>
      <c r="G359" s="253"/>
      <c r="H359" s="253"/>
      <c r="I359" s="253"/>
      <c r="J359" s="253"/>
      <c r="K359" s="253"/>
      <c r="L359" s="253"/>
      <c r="M359" s="253"/>
      <c r="N359" s="253"/>
      <c r="O359" s="253"/>
      <c r="P359" s="253"/>
      <c r="Q359" s="253"/>
      <c r="R359" s="253"/>
    </row>
    <row r="360" ht="15.75" customHeight="1">
      <c r="A360" s="253"/>
      <c r="B360" s="253"/>
      <c r="C360" s="253"/>
      <c r="D360" s="262" t="s">
        <v>11564</v>
      </c>
      <c r="E360" s="253"/>
      <c r="F360" s="253"/>
      <c r="G360" s="253"/>
      <c r="H360" s="253"/>
      <c r="I360" s="253"/>
      <c r="J360" s="253"/>
      <c r="K360" s="253"/>
      <c r="L360" s="253"/>
      <c r="M360" s="253"/>
      <c r="N360" s="253"/>
      <c r="O360" s="253"/>
      <c r="P360" s="253"/>
      <c r="Q360" s="253"/>
      <c r="R360" s="253"/>
    </row>
    <row r="361" ht="15.75" customHeight="1">
      <c r="A361" s="253"/>
      <c r="B361" s="253"/>
      <c r="C361" s="253"/>
      <c r="D361" s="262" t="s">
        <v>11565</v>
      </c>
      <c r="E361" s="253"/>
      <c r="F361" s="253"/>
      <c r="G361" s="253"/>
      <c r="H361" s="253"/>
      <c r="I361" s="253"/>
      <c r="J361" s="253"/>
      <c r="K361" s="253"/>
      <c r="L361" s="253"/>
      <c r="M361" s="253"/>
      <c r="N361" s="253"/>
      <c r="O361" s="253"/>
      <c r="P361" s="253"/>
      <c r="Q361" s="253"/>
      <c r="R361" s="253"/>
    </row>
    <row r="362" ht="15.75" customHeight="1">
      <c r="A362" s="253"/>
      <c r="B362" s="253"/>
      <c r="C362" s="253"/>
      <c r="D362" s="262" t="s">
        <v>8309</v>
      </c>
      <c r="E362" s="253"/>
      <c r="F362" s="253"/>
      <c r="G362" s="253"/>
      <c r="H362" s="253"/>
      <c r="I362" s="253"/>
      <c r="J362" s="253"/>
      <c r="K362" s="253"/>
      <c r="L362" s="253"/>
      <c r="M362" s="253"/>
      <c r="N362" s="253"/>
      <c r="O362" s="253"/>
      <c r="P362" s="253"/>
      <c r="Q362" s="253"/>
      <c r="R362" s="253"/>
    </row>
    <row r="363" ht="15.75" customHeight="1">
      <c r="A363" s="253"/>
      <c r="B363" s="253"/>
      <c r="C363" s="253"/>
      <c r="D363" s="262" t="s">
        <v>11566</v>
      </c>
      <c r="E363" s="253"/>
      <c r="F363" s="253"/>
      <c r="G363" s="253"/>
      <c r="H363" s="253"/>
      <c r="I363" s="253"/>
      <c r="J363" s="253"/>
      <c r="K363" s="253"/>
      <c r="L363" s="253"/>
      <c r="M363" s="253"/>
      <c r="N363" s="253"/>
      <c r="O363" s="253"/>
      <c r="P363" s="253"/>
      <c r="Q363" s="253"/>
      <c r="R363" s="253"/>
    </row>
    <row r="364" ht="15.75" customHeight="1">
      <c r="A364" s="253"/>
      <c r="B364" s="253"/>
      <c r="C364" s="253"/>
      <c r="D364" s="262" t="s">
        <v>11568</v>
      </c>
      <c r="E364" s="253"/>
      <c r="F364" s="253"/>
      <c r="G364" s="253"/>
      <c r="H364" s="253"/>
      <c r="I364" s="253"/>
      <c r="J364" s="253"/>
      <c r="K364" s="253"/>
      <c r="L364" s="253"/>
      <c r="M364" s="253"/>
      <c r="N364" s="253"/>
      <c r="O364" s="253"/>
      <c r="P364" s="253"/>
      <c r="Q364" s="253"/>
      <c r="R364" s="253"/>
    </row>
    <row r="365" ht="15.75" customHeight="1">
      <c r="A365" s="253"/>
      <c r="B365" s="253"/>
      <c r="C365" s="253"/>
      <c r="D365" s="262" t="s">
        <v>11570</v>
      </c>
      <c r="E365" s="253"/>
      <c r="F365" s="253"/>
      <c r="G365" s="253"/>
      <c r="H365" s="253"/>
      <c r="I365" s="253"/>
      <c r="J365" s="253"/>
      <c r="K365" s="253"/>
      <c r="L365" s="253"/>
      <c r="M365" s="253"/>
      <c r="N365" s="253"/>
      <c r="O365" s="253"/>
      <c r="P365" s="253"/>
      <c r="Q365" s="253"/>
      <c r="R365" s="253"/>
    </row>
    <row r="366" ht="15.75" customHeight="1">
      <c r="A366" s="253"/>
      <c r="B366" s="253"/>
      <c r="C366" s="253"/>
      <c r="D366" s="262" t="s">
        <v>8323</v>
      </c>
      <c r="E366" s="253"/>
      <c r="F366" s="253"/>
      <c r="G366" s="253"/>
      <c r="H366" s="253"/>
      <c r="I366" s="253"/>
      <c r="J366" s="253"/>
      <c r="K366" s="253"/>
      <c r="L366" s="253"/>
      <c r="M366" s="253"/>
      <c r="N366" s="253"/>
      <c r="O366" s="253"/>
      <c r="P366" s="253"/>
      <c r="Q366" s="253"/>
      <c r="R366" s="253"/>
    </row>
    <row r="367" ht="15.75" customHeight="1">
      <c r="A367" s="253"/>
      <c r="B367" s="253"/>
      <c r="C367" s="253"/>
      <c r="D367" s="262" t="s">
        <v>11571</v>
      </c>
      <c r="E367" s="253"/>
      <c r="F367" s="253"/>
      <c r="G367" s="253"/>
      <c r="H367" s="253"/>
      <c r="I367" s="253"/>
      <c r="J367" s="253"/>
      <c r="K367" s="253"/>
      <c r="L367" s="253"/>
      <c r="M367" s="253"/>
      <c r="N367" s="253"/>
      <c r="O367" s="253"/>
      <c r="P367" s="253"/>
      <c r="Q367" s="253"/>
      <c r="R367" s="253"/>
    </row>
    <row r="368" ht="15.75" customHeight="1">
      <c r="A368" s="253"/>
      <c r="B368" s="253"/>
      <c r="C368" s="253"/>
      <c r="D368" s="262" t="s">
        <v>11572</v>
      </c>
      <c r="E368" s="253"/>
      <c r="F368" s="253"/>
      <c r="G368" s="253"/>
      <c r="H368" s="253"/>
      <c r="I368" s="253"/>
      <c r="J368" s="253"/>
      <c r="K368" s="253"/>
      <c r="L368" s="253"/>
      <c r="M368" s="253"/>
      <c r="N368" s="253"/>
      <c r="O368" s="253"/>
      <c r="P368" s="253"/>
      <c r="Q368" s="253"/>
      <c r="R368" s="253"/>
    </row>
    <row r="369" ht="15.75" customHeight="1">
      <c r="A369" s="253"/>
      <c r="B369" s="253"/>
      <c r="C369" s="253"/>
      <c r="D369" s="262" t="s">
        <v>11573</v>
      </c>
      <c r="E369" s="253"/>
      <c r="F369" s="253"/>
      <c r="G369" s="253"/>
      <c r="H369" s="253"/>
      <c r="I369" s="253"/>
      <c r="J369" s="253"/>
      <c r="K369" s="253"/>
      <c r="L369" s="253"/>
      <c r="M369" s="253"/>
      <c r="N369" s="253"/>
      <c r="O369" s="253"/>
      <c r="P369" s="253"/>
      <c r="Q369" s="253"/>
      <c r="R369" s="253"/>
    </row>
    <row r="370" ht="15.75" customHeight="1">
      <c r="A370" s="253"/>
      <c r="B370" s="253"/>
      <c r="C370" s="253"/>
      <c r="D370" s="262" t="s">
        <v>11574</v>
      </c>
      <c r="E370" s="253"/>
      <c r="F370" s="253"/>
      <c r="G370" s="253"/>
      <c r="H370" s="253"/>
      <c r="I370" s="253"/>
      <c r="J370" s="253"/>
      <c r="K370" s="253"/>
      <c r="L370" s="253"/>
      <c r="M370" s="253"/>
      <c r="N370" s="253"/>
      <c r="O370" s="253"/>
      <c r="P370" s="253"/>
      <c r="Q370" s="253"/>
      <c r="R370" s="253"/>
    </row>
    <row r="371" ht="15.75" customHeight="1">
      <c r="A371" s="253"/>
      <c r="B371" s="253"/>
      <c r="C371" s="253"/>
      <c r="D371" s="262" t="s">
        <v>11575</v>
      </c>
      <c r="E371" s="253"/>
      <c r="F371" s="253"/>
      <c r="G371" s="253"/>
      <c r="H371" s="253"/>
      <c r="I371" s="253"/>
      <c r="J371" s="253"/>
      <c r="K371" s="253"/>
      <c r="L371" s="253"/>
      <c r="M371" s="253"/>
      <c r="N371" s="253"/>
      <c r="O371" s="253"/>
      <c r="P371" s="253"/>
      <c r="Q371" s="253"/>
      <c r="R371" s="253"/>
    </row>
    <row r="372" ht="15.75" customHeight="1">
      <c r="A372" s="253"/>
      <c r="B372" s="253"/>
      <c r="C372" s="253"/>
      <c r="D372" s="262" t="s">
        <v>729</v>
      </c>
      <c r="E372" s="253"/>
      <c r="F372" s="253"/>
      <c r="G372" s="253"/>
      <c r="H372" s="253"/>
      <c r="I372" s="253"/>
      <c r="J372" s="253"/>
      <c r="K372" s="253"/>
      <c r="L372" s="253"/>
      <c r="M372" s="253"/>
      <c r="N372" s="253"/>
      <c r="O372" s="253"/>
      <c r="P372" s="253"/>
      <c r="Q372" s="253"/>
      <c r="R372" s="253"/>
    </row>
    <row r="373" ht="15.75" customHeight="1">
      <c r="A373" s="253"/>
      <c r="B373" s="253"/>
      <c r="C373" s="253"/>
      <c r="D373" s="262" t="s">
        <v>3674</v>
      </c>
      <c r="E373" s="253"/>
      <c r="F373" s="253"/>
      <c r="G373" s="253"/>
      <c r="H373" s="253"/>
      <c r="I373" s="253"/>
      <c r="J373" s="253"/>
      <c r="K373" s="253"/>
      <c r="L373" s="253"/>
      <c r="M373" s="253"/>
      <c r="N373" s="253"/>
      <c r="O373" s="253"/>
      <c r="P373" s="253"/>
      <c r="Q373" s="253"/>
      <c r="R373" s="253"/>
    </row>
    <row r="374" ht="15.75" customHeight="1">
      <c r="A374" s="253"/>
      <c r="B374" s="253"/>
      <c r="C374" s="253"/>
      <c r="D374" s="262" t="s">
        <v>7730</v>
      </c>
      <c r="E374" s="253"/>
      <c r="F374" s="253"/>
      <c r="G374" s="253"/>
      <c r="H374" s="253"/>
      <c r="I374" s="253"/>
      <c r="J374" s="253"/>
      <c r="K374" s="253"/>
      <c r="L374" s="253"/>
      <c r="M374" s="253"/>
      <c r="N374" s="253"/>
      <c r="O374" s="253"/>
      <c r="P374" s="253"/>
      <c r="Q374" s="253"/>
      <c r="R374" s="253"/>
    </row>
    <row r="375" ht="15.75" customHeight="1">
      <c r="A375" s="253"/>
      <c r="B375" s="253"/>
      <c r="C375" s="253"/>
      <c r="D375" s="262" t="s">
        <v>11577</v>
      </c>
      <c r="E375" s="253"/>
      <c r="F375" s="253"/>
      <c r="G375" s="253"/>
      <c r="H375" s="253"/>
      <c r="I375" s="253"/>
      <c r="J375" s="253"/>
      <c r="K375" s="253"/>
      <c r="L375" s="253"/>
      <c r="M375" s="253"/>
      <c r="N375" s="253"/>
      <c r="O375" s="253"/>
      <c r="P375" s="253"/>
      <c r="Q375" s="253"/>
      <c r="R375" s="253"/>
    </row>
    <row r="376" ht="15.75" customHeight="1">
      <c r="A376" s="253"/>
      <c r="B376" s="253"/>
      <c r="C376" s="253"/>
      <c r="D376" s="262" t="s">
        <v>1349</v>
      </c>
      <c r="E376" s="253"/>
      <c r="F376" s="253"/>
      <c r="G376" s="253"/>
      <c r="H376" s="253"/>
      <c r="I376" s="253"/>
      <c r="J376" s="253"/>
      <c r="K376" s="253"/>
      <c r="L376" s="253"/>
      <c r="M376" s="253"/>
      <c r="N376" s="253"/>
      <c r="O376" s="253"/>
      <c r="P376" s="253"/>
      <c r="Q376" s="253"/>
      <c r="R376" s="253"/>
    </row>
    <row r="377" ht="15.75" customHeight="1">
      <c r="A377" s="253"/>
      <c r="B377" s="253"/>
      <c r="C377" s="253"/>
      <c r="D377" s="262" t="s">
        <v>11579</v>
      </c>
      <c r="E377" s="253"/>
      <c r="F377" s="253"/>
      <c r="G377" s="253"/>
      <c r="H377" s="253"/>
      <c r="I377" s="253"/>
      <c r="J377" s="253"/>
      <c r="K377" s="253"/>
      <c r="L377" s="253"/>
      <c r="M377" s="253"/>
      <c r="N377" s="253"/>
      <c r="O377" s="253"/>
      <c r="P377" s="253"/>
      <c r="Q377" s="253"/>
      <c r="R377" s="253"/>
    </row>
    <row r="378" ht="15.75" customHeight="1">
      <c r="A378" s="253"/>
      <c r="B378" s="253"/>
      <c r="C378" s="253"/>
      <c r="D378" s="262" t="s">
        <v>11580</v>
      </c>
      <c r="E378" s="253"/>
      <c r="F378" s="253"/>
      <c r="G378" s="253"/>
      <c r="H378" s="253"/>
      <c r="I378" s="253"/>
      <c r="J378" s="253"/>
      <c r="K378" s="253"/>
      <c r="L378" s="253"/>
      <c r="M378" s="253"/>
      <c r="N378" s="253"/>
      <c r="O378" s="253"/>
      <c r="P378" s="253"/>
      <c r="Q378" s="253"/>
      <c r="R378" s="253"/>
    </row>
    <row r="379" ht="15.75" customHeight="1">
      <c r="A379" s="253"/>
      <c r="B379" s="253"/>
      <c r="C379" s="253"/>
      <c r="D379" s="262" t="s">
        <v>4136</v>
      </c>
      <c r="E379" s="253"/>
      <c r="F379" s="253"/>
      <c r="G379" s="253"/>
      <c r="H379" s="253"/>
      <c r="I379" s="253"/>
      <c r="J379" s="253"/>
      <c r="K379" s="253"/>
      <c r="L379" s="253"/>
      <c r="M379" s="253"/>
      <c r="N379" s="253"/>
      <c r="O379" s="253"/>
      <c r="P379" s="253"/>
      <c r="Q379" s="253"/>
      <c r="R379" s="253"/>
    </row>
    <row r="380" ht="15.75" customHeight="1">
      <c r="A380" s="253"/>
      <c r="B380" s="253"/>
      <c r="C380" s="253"/>
      <c r="D380" s="262" t="s">
        <v>5142</v>
      </c>
      <c r="E380" s="253"/>
      <c r="F380" s="253"/>
      <c r="G380" s="253"/>
      <c r="H380" s="253"/>
      <c r="I380" s="253"/>
      <c r="J380" s="253"/>
      <c r="K380" s="253"/>
      <c r="L380" s="253"/>
      <c r="M380" s="253"/>
      <c r="N380" s="253"/>
      <c r="O380" s="253"/>
      <c r="P380" s="253"/>
      <c r="Q380" s="253"/>
      <c r="R380" s="253"/>
    </row>
    <row r="381" ht="15.75" customHeight="1">
      <c r="A381" s="253"/>
      <c r="B381" s="253"/>
      <c r="C381" s="253"/>
      <c r="D381" s="262" t="s">
        <v>2595</v>
      </c>
      <c r="E381" s="253"/>
      <c r="F381" s="253"/>
      <c r="G381" s="253"/>
      <c r="H381" s="253"/>
      <c r="I381" s="253"/>
      <c r="J381" s="253"/>
      <c r="K381" s="253"/>
      <c r="L381" s="253"/>
      <c r="M381" s="253"/>
      <c r="N381" s="253"/>
      <c r="O381" s="253"/>
      <c r="P381" s="253"/>
      <c r="Q381" s="253"/>
      <c r="R381" s="253"/>
    </row>
    <row r="382" ht="15.75" customHeight="1">
      <c r="A382" s="253"/>
      <c r="B382" s="253"/>
      <c r="C382" s="253"/>
      <c r="D382" s="262" t="s">
        <v>11582</v>
      </c>
      <c r="E382" s="253"/>
      <c r="F382" s="253"/>
      <c r="G382" s="253"/>
      <c r="H382" s="253"/>
      <c r="I382" s="253"/>
      <c r="J382" s="253"/>
      <c r="K382" s="253"/>
      <c r="L382" s="253"/>
      <c r="M382" s="253"/>
      <c r="N382" s="253"/>
      <c r="O382" s="253"/>
      <c r="P382" s="253"/>
      <c r="Q382" s="253"/>
      <c r="R382" s="253"/>
    </row>
    <row r="383" ht="15.75" customHeight="1">
      <c r="A383" s="253"/>
      <c r="B383" s="253"/>
      <c r="C383" s="253"/>
      <c r="D383" s="262" t="s">
        <v>3031</v>
      </c>
      <c r="E383" s="253"/>
      <c r="F383" s="253"/>
      <c r="G383" s="253"/>
      <c r="H383" s="253"/>
      <c r="I383" s="253"/>
      <c r="J383" s="253"/>
      <c r="K383" s="253"/>
      <c r="L383" s="253"/>
      <c r="M383" s="253"/>
      <c r="N383" s="253"/>
      <c r="O383" s="253"/>
      <c r="P383" s="253"/>
      <c r="Q383" s="253"/>
      <c r="R383" s="253"/>
    </row>
    <row r="384" ht="15.75" customHeight="1">
      <c r="A384" s="253"/>
      <c r="B384" s="253"/>
      <c r="C384" s="253"/>
      <c r="D384" s="262" t="s">
        <v>11583</v>
      </c>
      <c r="E384" s="253"/>
      <c r="F384" s="253"/>
      <c r="G384" s="253"/>
      <c r="H384" s="253"/>
      <c r="I384" s="253"/>
      <c r="J384" s="253"/>
      <c r="K384" s="253"/>
      <c r="L384" s="253"/>
      <c r="M384" s="253"/>
      <c r="N384" s="253"/>
      <c r="O384" s="253"/>
      <c r="P384" s="253"/>
      <c r="Q384" s="253"/>
      <c r="R384" s="253"/>
    </row>
    <row r="385" ht="15.75" customHeight="1">
      <c r="A385" s="253"/>
      <c r="B385" s="253"/>
      <c r="C385" s="253"/>
      <c r="D385" s="262" t="s">
        <v>4662</v>
      </c>
      <c r="E385" s="253"/>
      <c r="F385" s="253"/>
      <c r="G385" s="253"/>
      <c r="H385" s="253"/>
      <c r="I385" s="253"/>
      <c r="J385" s="253"/>
      <c r="K385" s="253"/>
      <c r="L385" s="253"/>
      <c r="M385" s="253"/>
      <c r="N385" s="253"/>
      <c r="O385" s="253"/>
      <c r="P385" s="253"/>
      <c r="Q385" s="253"/>
      <c r="R385" s="253"/>
    </row>
    <row r="386" ht="15.75" customHeight="1">
      <c r="A386" s="253"/>
      <c r="B386" s="253"/>
      <c r="C386" s="253"/>
      <c r="D386" s="262" t="s">
        <v>1102</v>
      </c>
      <c r="E386" s="253"/>
      <c r="F386" s="253"/>
      <c r="G386" s="253"/>
      <c r="H386" s="253"/>
      <c r="I386" s="253"/>
      <c r="J386" s="253"/>
      <c r="K386" s="253"/>
      <c r="L386" s="253"/>
      <c r="M386" s="253"/>
      <c r="N386" s="253"/>
      <c r="O386" s="253"/>
      <c r="P386" s="253"/>
      <c r="Q386" s="253"/>
      <c r="R386" s="253"/>
    </row>
    <row r="387" ht="15.75" customHeight="1">
      <c r="A387" s="253"/>
      <c r="B387" s="253"/>
      <c r="C387" s="253"/>
      <c r="D387" s="262" t="s">
        <v>11585</v>
      </c>
      <c r="E387" s="253"/>
      <c r="F387" s="253"/>
      <c r="G387" s="253"/>
      <c r="H387" s="253"/>
      <c r="I387" s="253"/>
      <c r="J387" s="253"/>
      <c r="K387" s="253"/>
      <c r="L387" s="253"/>
      <c r="M387" s="253"/>
      <c r="N387" s="253"/>
      <c r="O387" s="253"/>
      <c r="P387" s="253"/>
      <c r="Q387" s="253"/>
      <c r="R387" s="253"/>
    </row>
    <row r="388" ht="15.75" customHeight="1">
      <c r="A388" s="253"/>
      <c r="B388" s="253"/>
      <c r="C388" s="253"/>
      <c r="D388" s="262" t="s">
        <v>11586</v>
      </c>
      <c r="E388" s="253"/>
      <c r="F388" s="253"/>
      <c r="G388" s="253"/>
      <c r="H388" s="253"/>
      <c r="I388" s="253"/>
      <c r="J388" s="253"/>
      <c r="K388" s="253"/>
      <c r="L388" s="253"/>
      <c r="M388" s="253"/>
      <c r="N388" s="253"/>
      <c r="O388" s="253"/>
      <c r="P388" s="253"/>
      <c r="Q388" s="253"/>
      <c r="R388" s="253"/>
    </row>
    <row r="389" ht="15.75" customHeight="1">
      <c r="A389" s="253"/>
      <c r="B389" s="253"/>
      <c r="C389" s="253"/>
      <c r="D389" s="262" t="s">
        <v>11587</v>
      </c>
      <c r="E389" s="253"/>
      <c r="F389" s="253"/>
      <c r="G389" s="253"/>
      <c r="H389" s="253"/>
      <c r="I389" s="253"/>
      <c r="J389" s="253"/>
      <c r="K389" s="253"/>
      <c r="L389" s="253"/>
      <c r="M389" s="253"/>
      <c r="N389" s="253"/>
      <c r="O389" s="253"/>
      <c r="P389" s="253"/>
      <c r="Q389" s="253"/>
      <c r="R389" s="253"/>
    </row>
    <row r="390" ht="15.75" customHeight="1">
      <c r="A390" s="253"/>
      <c r="B390" s="253"/>
      <c r="C390" s="253"/>
      <c r="D390" s="262" t="s">
        <v>11588</v>
      </c>
      <c r="E390" s="253"/>
      <c r="F390" s="253"/>
      <c r="G390" s="253"/>
      <c r="H390" s="253"/>
      <c r="I390" s="253"/>
      <c r="J390" s="253"/>
      <c r="K390" s="253"/>
      <c r="L390" s="253"/>
      <c r="M390" s="253"/>
      <c r="N390" s="253"/>
      <c r="O390" s="253"/>
      <c r="P390" s="253"/>
      <c r="Q390" s="253"/>
      <c r="R390" s="253"/>
    </row>
    <row r="391" ht="15.75" customHeight="1">
      <c r="A391" s="253"/>
      <c r="B391" s="253"/>
      <c r="C391" s="253"/>
      <c r="D391" s="262" t="s">
        <v>4340</v>
      </c>
      <c r="E391" s="253"/>
      <c r="F391" s="253"/>
      <c r="G391" s="253"/>
      <c r="H391" s="253"/>
      <c r="I391" s="253"/>
      <c r="J391" s="253"/>
      <c r="K391" s="253"/>
      <c r="L391" s="253"/>
      <c r="M391" s="253"/>
      <c r="N391" s="253"/>
      <c r="O391" s="253"/>
      <c r="P391" s="253"/>
      <c r="Q391" s="253"/>
      <c r="R391" s="253"/>
    </row>
    <row r="392" ht="15.75" customHeight="1">
      <c r="A392" s="253"/>
      <c r="B392" s="253"/>
      <c r="C392" s="253"/>
      <c r="D392" s="262" t="s">
        <v>11589</v>
      </c>
      <c r="E392" s="253"/>
      <c r="F392" s="253"/>
      <c r="G392" s="253"/>
      <c r="H392" s="253"/>
      <c r="I392" s="253"/>
      <c r="J392" s="253"/>
      <c r="K392" s="253"/>
      <c r="L392" s="253"/>
      <c r="M392" s="253"/>
      <c r="N392" s="253"/>
      <c r="O392" s="253"/>
      <c r="P392" s="253"/>
      <c r="Q392" s="253"/>
      <c r="R392" s="253"/>
    </row>
    <row r="393" ht="15.75" customHeight="1">
      <c r="A393" s="253"/>
      <c r="B393" s="253"/>
      <c r="C393" s="253"/>
      <c r="D393" s="262" t="s">
        <v>11590</v>
      </c>
      <c r="E393" s="253"/>
      <c r="F393" s="253"/>
      <c r="G393" s="253"/>
      <c r="H393" s="253"/>
      <c r="I393" s="253"/>
      <c r="J393" s="253"/>
      <c r="K393" s="253"/>
      <c r="L393" s="253"/>
      <c r="M393" s="253"/>
      <c r="N393" s="253"/>
      <c r="O393" s="253"/>
      <c r="P393" s="253"/>
      <c r="Q393" s="253"/>
      <c r="R393" s="253"/>
    </row>
    <row r="394" ht="15.75" customHeight="1">
      <c r="A394" s="253"/>
      <c r="B394" s="253"/>
      <c r="C394" s="253"/>
      <c r="D394" s="262" t="s">
        <v>11591</v>
      </c>
      <c r="E394" s="253"/>
      <c r="F394" s="253"/>
      <c r="G394" s="253"/>
      <c r="H394" s="253"/>
      <c r="I394" s="253"/>
      <c r="J394" s="253"/>
      <c r="K394" s="253"/>
      <c r="L394" s="253"/>
      <c r="M394" s="253"/>
      <c r="N394" s="253"/>
      <c r="O394" s="253"/>
      <c r="P394" s="253"/>
      <c r="Q394" s="253"/>
      <c r="R394" s="253"/>
    </row>
    <row r="395" ht="15.75" customHeight="1">
      <c r="A395" s="253"/>
      <c r="B395" s="253"/>
      <c r="C395" s="253"/>
      <c r="D395" s="262" t="s">
        <v>207</v>
      </c>
      <c r="E395" s="253"/>
      <c r="F395" s="253"/>
      <c r="G395" s="253"/>
      <c r="H395" s="253"/>
      <c r="I395" s="253"/>
      <c r="J395" s="253"/>
      <c r="K395" s="253"/>
      <c r="L395" s="253"/>
      <c r="M395" s="253"/>
      <c r="N395" s="253"/>
      <c r="O395" s="253"/>
      <c r="P395" s="253"/>
      <c r="Q395" s="253"/>
      <c r="R395" s="253"/>
    </row>
    <row r="396" ht="15.75" customHeight="1">
      <c r="A396" s="253"/>
      <c r="B396" s="253"/>
      <c r="C396" s="253"/>
      <c r="D396" s="262" t="s">
        <v>11592</v>
      </c>
      <c r="E396" s="253"/>
      <c r="F396" s="253"/>
      <c r="G396" s="253"/>
      <c r="H396" s="253"/>
      <c r="I396" s="253"/>
      <c r="J396" s="253"/>
      <c r="K396" s="253"/>
      <c r="L396" s="253"/>
      <c r="M396" s="253"/>
      <c r="N396" s="253"/>
      <c r="O396" s="253"/>
      <c r="P396" s="253"/>
      <c r="Q396" s="253"/>
      <c r="R396" s="253"/>
    </row>
    <row r="397" ht="15.75" customHeight="1">
      <c r="A397" s="253"/>
      <c r="B397" s="253"/>
      <c r="C397" s="253"/>
      <c r="D397" s="262" t="s">
        <v>11593</v>
      </c>
      <c r="E397" s="253"/>
      <c r="F397" s="253"/>
      <c r="G397" s="253"/>
      <c r="H397" s="253"/>
      <c r="I397" s="253"/>
      <c r="J397" s="253"/>
      <c r="K397" s="253"/>
      <c r="L397" s="253"/>
      <c r="M397" s="253"/>
      <c r="N397" s="253"/>
      <c r="O397" s="253"/>
      <c r="P397" s="253"/>
      <c r="Q397" s="253"/>
      <c r="R397" s="253"/>
    </row>
    <row r="398" ht="15.75" customHeight="1">
      <c r="A398" s="253"/>
      <c r="B398" s="253"/>
      <c r="C398" s="253"/>
      <c r="D398" s="262" t="s">
        <v>5365</v>
      </c>
      <c r="E398" s="253"/>
      <c r="F398" s="253"/>
      <c r="G398" s="253"/>
      <c r="H398" s="253"/>
      <c r="I398" s="253"/>
      <c r="J398" s="253"/>
      <c r="K398" s="253"/>
      <c r="L398" s="253"/>
      <c r="M398" s="253"/>
      <c r="N398" s="253"/>
      <c r="O398" s="253"/>
      <c r="P398" s="253"/>
      <c r="Q398" s="253"/>
      <c r="R398" s="253"/>
    </row>
    <row r="399" ht="15.75" customHeight="1">
      <c r="A399" s="253"/>
      <c r="B399" s="253"/>
      <c r="C399" s="253"/>
      <c r="D399" s="262" t="s">
        <v>11594</v>
      </c>
      <c r="E399" s="253"/>
      <c r="F399" s="253"/>
      <c r="G399" s="253"/>
      <c r="H399" s="253"/>
      <c r="I399" s="253"/>
      <c r="J399" s="253"/>
      <c r="K399" s="253"/>
      <c r="L399" s="253"/>
      <c r="M399" s="253"/>
      <c r="N399" s="253"/>
      <c r="O399" s="253"/>
      <c r="P399" s="253"/>
      <c r="Q399" s="253"/>
      <c r="R399" s="253"/>
    </row>
    <row r="400" ht="15.75" customHeight="1">
      <c r="A400" s="253"/>
      <c r="B400" s="253"/>
      <c r="C400" s="253"/>
      <c r="D400" s="262" t="s">
        <v>11595</v>
      </c>
      <c r="E400" s="253"/>
      <c r="F400" s="253"/>
      <c r="G400" s="253"/>
      <c r="H400" s="253"/>
      <c r="I400" s="253"/>
      <c r="J400" s="253"/>
      <c r="K400" s="253"/>
      <c r="L400" s="253"/>
      <c r="M400" s="253"/>
      <c r="N400" s="253"/>
      <c r="O400" s="253"/>
      <c r="P400" s="253"/>
      <c r="Q400" s="253"/>
      <c r="R400" s="253"/>
    </row>
    <row r="401" ht="15.75" customHeight="1">
      <c r="A401" s="253"/>
      <c r="B401" s="253"/>
      <c r="C401" s="253"/>
      <c r="D401" s="262" t="s">
        <v>4719</v>
      </c>
      <c r="E401" s="253"/>
      <c r="F401" s="253"/>
      <c r="G401" s="253"/>
      <c r="H401" s="253"/>
      <c r="I401" s="253"/>
      <c r="J401" s="253"/>
      <c r="K401" s="253"/>
      <c r="L401" s="253"/>
      <c r="M401" s="253"/>
      <c r="N401" s="253"/>
      <c r="O401" s="253"/>
      <c r="P401" s="253"/>
      <c r="Q401" s="253"/>
      <c r="R401" s="253"/>
    </row>
    <row r="402" ht="15.75" customHeight="1">
      <c r="A402" s="253"/>
      <c r="B402" s="253"/>
      <c r="C402" s="253"/>
      <c r="D402" s="262" t="s">
        <v>2641</v>
      </c>
      <c r="E402" s="253"/>
      <c r="F402" s="253"/>
      <c r="G402" s="253"/>
      <c r="H402" s="253"/>
      <c r="I402" s="253"/>
      <c r="J402" s="253"/>
      <c r="K402" s="253"/>
      <c r="L402" s="253"/>
      <c r="M402" s="253"/>
      <c r="N402" s="253"/>
      <c r="O402" s="253"/>
      <c r="P402" s="253"/>
      <c r="Q402" s="253"/>
      <c r="R402" s="253"/>
    </row>
    <row r="403" ht="15.75" customHeight="1">
      <c r="A403" s="253"/>
      <c r="B403" s="253"/>
      <c r="C403" s="253"/>
      <c r="D403" s="262" t="s">
        <v>1957</v>
      </c>
      <c r="E403" s="253"/>
      <c r="F403" s="253"/>
      <c r="G403" s="253"/>
      <c r="H403" s="253"/>
      <c r="I403" s="253"/>
      <c r="J403" s="253"/>
      <c r="K403" s="253"/>
      <c r="L403" s="253"/>
      <c r="M403" s="253"/>
      <c r="N403" s="253"/>
      <c r="O403" s="253"/>
      <c r="P403" s="253"/>
      <c r="Q403" s="253"/>
      <c r="R403" s="253"/>
    </row>
    <row r="404" ht="15.75" customHeight="1">
      <c r="A404" s="253"/>
      <c r="B404" s="253"/>
      <c r="C404" s="253"/>
      <c r="D404" s="262" t="s">
        <v>1169</v>
      </c>
      <c r="E404" s="253"/>
      <c r="F404" s="253"/>
      <c r="G404" s="253"/>
      <c r="H404" s="253"/>
      <c r="I404" s="253"/>
      <c r="J404" s="253"/>
      <c r="K404" s="253"/>
      <c r="L404" s="253"/>
      <c r="M404" s="253"/>
      <c r="N404" s="253"/>
      <c r="O404" s="253"/>
      <c r="P404" s="253"/>
      <c r="Q404" s="253"/>
      <c r="R404" s="253"/>
    </row>
    <row r="405" ht="15.75" customHeight="1">
      <c r="A405" s="253"/>
      <c r="B405" s="253"/>
      <c r="C405" s="253"/>
      <c r="D405" s="262" t="s">
        <v>11596</v>
      </c>
      <c r="E405" s="253"/>
      <c r="F405" s="253"/>
      <c r="G405" s="253"/>
      <c r="H405" s="253"/>
      <c r="I405" s="253"/>
      <c r="J405" s="253"/>
      <c r="K405" s="253"/>
      <c r="L405" s="253"/>
      <c r="M405" s="253"/>
      <c r="N405" s="253"/>
      <c r="O405" s="253"/>
      <c r="P405" s="253"/>
      <c r="Q405" s="253"/>
      <c r="R405" s="253"/>
    </row>
    <row r="406" ht="15.75" customHeight="1">
      <c r="A406" s="253"/>
      <c r="B406" s="253"/>
      <c r="C406" s="253"/>
      <c r="D406" s="262" t="s">
        <v>3246</v>
      </c>
      <c r="E406" s="253"/>
      <c r="F406" s="253"/>
      <c r="G406" s="253"/>
      <c r="H406" s="253"/>
      <c r="I406" s="253"/>
      <c r="J406" s="253"/>
      <c r="K406" s="253"/>
      <c r="L406" s="253"/>
      <c r="M406" s="253"/>
      <c r="N406" s="253"/>
      <c r="O406" s="253"/>
      <c r="P406" s="253"/>
      <c r="Q406" s="253"/>
      <c r="R406" s="253"/>
    </row>
    <row r="407" ht="15.75" customHeight="1">
      <c r="A407" s="253"/>
      <c r="B407" s="253"/>
      <c r="C407" s="253"/>
      <c r="D407" s="262" t="s">
        <v>918</v>
      </c>
      <c r="E407" s="253"/>
      <c r="F407" s="253"/>
      <c r="G407" s="253"/>
      <c r="H407" s="253"/>
      <c r="I407" s="253"/>
      <c r="J407" s="253"/>
      <c r="K407" s="253"/>
      <c r="L407" s="253"/>
      <c r="M407" s="253"/>
      <c r="N407" s="253"/>
      <c r="O407" s="253"/>
      <c r="P407" s="253"/>
      <c r="Q407" s="253"/>
      <c r="R407" s="253"/>
    </row>
    <row r="408" ht="15.75" customHeight="1">
      <c r="A408" s="253"/>
      <c r="B408" s="253"/>
      <c r="C408" s="253"/>
      <c r="D408" s="262" t="s">
        <v>11597</v>
      </c>
      <c r="E408" s="253"/>
      <c r="F408" s="253"/>
      <c r="G408" s="253"/>
      <c r="H408" s="253"/>
      <c r="I408" s="253"/>
      <c r="J408" s="253"/>
      <c r="K408" s="253"/>
      <c r="L408" s="253"/>
      <c r="M408" s="253"/>
      <c r="N408" s="253"/>
      <c r="O408" s="253"/>
      <c r="P408" s="253"/>
      <c r="Q408" s="253"/>
      <c r="R408" s="253"/>
    </row>
    <row r="409" ht="15.75" customHeight="1">
      <c r="A409" s="253"/>
      <c r="B409" s="253"/>
      <c r="C409" s="253"/>
      <c r="D409" s="262" t="s">
        <v>11598</v>
      </c>
      <c r="E409" s="253"/>
      <c r="F409" s="253"/>
      <c r="G409" s="253"/>
      <c r="H409" s="253"/>
      <c r="I409" s="253"/>
      <c r="J409" s="253"/>
      <c r="K409" s="253"/>
      <c r="L409" s="253"/>
      <c r="M409" s="253"/>
      <c r="N409" s="253"/>
      <c r="O409" s="253"/>
      <c r="P409" s="253"/>
      <c r="Q409" s="253"/>
      <c r="R409" s="253"/>
    </row>
    <row r="410" ht="15.75" customHeight="1">
      <c r="A410" s="253"/>
      <c r="B410" s="253"/>
      <c r="C410" s="253"/>
      <c r="D410" s="262" t="s">
        <v>9020</v>
      </c>
      <c r="E410" s="253"/>
      <c r="F410" s="253"/>
      <c r="G410" s="253"/>
      <c r="H410" s="253"/>
      <c r="I410" s="253"/>
      <c r="J410" s="253"/>
      <c r="K410" s="253"/>
      <c r="L410" s="253"/>
      <c r="M410" s="253"/>
      <c r="N410" s="253"/>
      <c r="O410" s="253"/>
      <c r="P410" s="253"/>
      <c r="Q410" s="253"/>
      <c r="R410" s="253"/>
    </row>
    <row r="411" ht="15.75" customHeight="1">
      <c r="A411" s="253"/>
      <c r="B411" s="253"/>
      <c r="C411" s="253"/>
      <c r="D411" s="262" t="s">
        <v>11599</v>
      </c>
      <c r="E411" s="253"/>
      <c r="F411" s="253"/>
      <c r="G411" s="253"/>
      <c r="H411" s="253"/>
      <c r="I411" s="253"/>
      <c r="J411" s="253"/>
      <c r="K411" s="253"/>
      <c r="L411" s="253"/>
      <c r="M411" s="253"/>
      <c r="N411" s="253"/>
      <c r="O411" s="253"/>
      <c r="P411" s="253"/>
      <c r="Q411" s="253"/>
      <c r="R411" s="253"/>
    </row>
    <row r="412" ht="15.75" customHeight="1">
      <c r="A412" s="253"/>
      <c r="B412" s="253"/>
      <c r="C412" s="253"/>
      <c r="D412" s="262" t="s">
        <v>11600</v>
      </c>
      <c r="E412" s="253"/>
      <c r="F412" s="253"/>
      <c r="G412" s="253"/>
      <c r="H412" s="253"/>
      <c r="I412" s="253"/>
      <c r="J412" s="253"/>
      <c r="K412" s="253"/>
      <c r="L412" s="253"/>
      <c r="M412" s="253"/>
      <c r="N412" s="253"/>
      <c r="O412" s="253"/>
      <c r="P412" s="253"/>
      <c r="Q412" s="253"/>
      <c r="R412" s="253"/>
    </row>
    <row r="413" ht="15.75" customHeight="1">
      <c r="A413" s="253"/>
      <c r="B413" s="253"/>
      <c r="C413" s="253"/>
      <c r="D413" s="262" t="s">
        <v>9039</v>
      </c>
      <c r="E413" s="253"/>
      <c r="F413" s="253"/>
      <c r="G413" s="253"/>
      <c r="H413" s="253"/>
      <c r="I413" s="253"/>
      <c r="J413" s="253"/>
      <c r="K413" s="253"/>
      <c r="L413" s="253"/>
      <c r="M413" s="253"/>
      <c r="N413" s="253"/>
      <c r="O413" s="253"/>
      <c r="P413" s="253"/>
      <c r="Q413" s="253"/>
      <c r="R413" s="253"/>
    </row>
    <row r="414" ht="15.75" customHeight="1">
      <c r="A414" s="253"/>
      <c r="B414" s="253"/>
      <c r="C414" s="253"/>
      <c r="D414" s="262" t="s">
        <v>11421</v>
      </c>
      <c r="E414" s="253"/>
      <c r="F414" s="253"/>
      <c r="G414" s="253"/>
      <c r="H414" s="253"/>
      <c r="I414" s="253"/>
      <c r="J414" s="253"/>
      <c r="K414" s="253"/>
      <c r="L414" s="253"/>
      <c r="M414" s="253"/>
      <c r="N414" s="253"/>
      <c r="O414" s="253"/>
      <c r="P414" s="253"/>
      <c r="Q414" s="253"/>
      <c r="R414" s="253"/>
    </row>
    <row r="415" ht="15.75" customHeight="1">
      <c r="A415" s="253"/>
      <c r="B415" s="253"/>
      <c r="C415" s="253"/>
      <c r="D415" s="262" t="s">
        <v>11601</v>
      </c>
      <c r="E415" s="253"/>
      <c r="F415" s="253"/>
      <c r="G415" s="253"/>
      <c r="H415" s="253"/>
      <c r="I415" s="253"/>
      <c r="J415" s="253"/>
      <c r="K415" s="253"/>
      <c r="L415" s="253"/>
      <c r="M415" s="253"/>
      <c r="N415" s="253"/>
      <c r="O415" s="253"/>
      <c r="P415" s="253"/>
      <c r="Q415" s="253"/>
      <c r="R415" s="253"/>
    </row>
    <row r="416" ht="15.75" customHeight="1">
      <c r="A416" s="253"/>
      <c r="B416" s="253"/>
      <c r="C416" s="253"/>
      <c r="D416" s="262" t="s">
        <v>11602</v>
      </c>
      <c r="E416" s="253"/>
      <c r="F416" s="253"/>
      <c r="G416" s="253"/>
      <c r="H416" s="253"/>
      <c r="I416" s="253"/>
      <c r="J416" s="253"/>
      <c r="K416" s="253"/>
      <c r="L416" s="253"/>
      <c r="M416" s="253"/>
      <c r="N416" s="253"/>
      <c r="O416" s="253"/>
      <c r="P416" s="253"/>
      <c r="Q416" s="253"/>
      <c r="R416" s="253"/>
    </row>
    <row r="417" ht="15.75" customHeight="1">
      <c r="A417" s="253"/>
      <c r="B417" s="253"/>
      <c r="C417" s="253"/>
      <c r="D417" s="262" t="s">
        <v>11603</v>
      </c>
      <c r="E417" s="253"/>
      <c r="F417" s="253"/>
      <c r="G417" s="253"/>
      <c r="H417" s="253"/>
      <c r="I417" s="253"/>
      <c r="J417" s="253"/>
      <c r="K417" s="253"/>
      <c r="L417" s="253"/>
      <c r="M417" s="253"/>
      <c r="N417" s="253"/>
      <c r="O417" s="253"/>
      <c r="P417" s="253"/>
      <c r="Q417" s="253"/>
      <c r="R417" s="253"/>
    </row>
    <row r="418" ht="15.75" customHeight="1">
      <c r="A418" s="253"/>
      <c r="B418" s="253"/>
      <c r="C418" s="253"/>
      <c r="D418" s="262" t="s">
        <v>11604</v>
      </c>
      <c r="E418" s="253"/>
      <c r="F418" s="253"/>
      <c r="G418" s="253"/>
      <c r="H418" s="253"/>
      <c r="I418" s="253"/>
      <c r="J418" s="253"/>
      <c r="K418" s="253"/>
      <c r="L418" s="253"/>
      <c r="M418" s="253"/>
      <c r="N418" s="253"/>
      <c r="O418" s="253"/>
      <c r="P418" s="253"/>
      <c r="Q418" s="253"/>
      <c r="R418" s="253"/>
    </row>
    <row r="419" ht="15.75" customHeight="1">
      <c r="A419" s="253"/>
      <c r="B419" s="253"/>
      <c r="C419" s="253"/>
      <c r="D419" s="262" t="s">
        <v>11605</v>
      </c>
      <c r="E419" s="253"/>
      <c r="F419" s="253"/>
      <c r="G419" s="253"/>
      <c r="H419" s="253"/>
      <c r="I419" s="253"/>
      <c r="J419" s="253"/>
      <c r="K419" s="253"/>
      <c r="L419" s="253"/>
      <c r="M419" s="253"/>
      <c r="N419" s="253"/>
      <c r="O419" s="253"/>
      <c r="P419" s="253"/>
      <c r="Q419" s="253"/>
      <c r="R419" s="253"/>
    </row>
    <row r="420" ht="15.75" customHeight="1">
      <c r="A420" s="253"/>
      <c r="B420" s="253"/>
      <c r="C420" s="253"/>
      <c r="D420" s="262" t="s">
        <v>11606</v>
      </c>
      <c r="E420" s="253"/>
      <c r="F420" s="253"/>
      <c r="G420" s="253"/>
      <c r="H420" s="253"/>
      <c r="I420" s="253"/>
      <c r="J420" s="253"/>
      <c r="K420" s="253"/>
      <c r="L420" s="253"/>
      <c r="M420" s="253"/>
      <c r="N420" s="253"/>
      <c r="O420" s="253"/>
      <c r="P420" s="253"/>
      <c r="Q420" s="253"/>
      <c r="R420" s="253"/>
    </row>
    <row r="421" ht="15.75" customHeight="1">
      <c r="A421" s="253"/>
      <c r="B421" s="253"/>
      <c r="C421" s="253"/>
      <c r="D421" s="262" t="s">
        <v>2461</v>
      </c>
      <c r="E421" s="253"/>
      <c r="F421" s="253"/>
      <c r="G421" s="253"/>
      <c r="H421" s="253"/>
      <c r="I421" s="253"/>
      <c r="J421" s="253"/>
      <c r="K421" s="253"/>
      <c r="L421" s="253"/>
      <c r="M421" s="253"/>
      <c r="N421" s="253"/>
      <c r="O421" s="253"/>
      <c r="P421" s="253"/>
      <c r="Q421" s="253"/>
      <c r="R421" s="253"/>
    </row>
    <row r="422" ht="15.75" customHeight="1">
      <c r="A422" s="253"/>
      <c r="B422" s="253"/>
      <c r="C422" s="253"/>
      <c r="D422" s="262" t="s">
        <v>11607</v>
      </c>
      <c r="E422" s="253"/>
      <c r="F422" s="253"/>
      <c r="G422" s="253"/>
      <c r="H422" s="253"/>
      <c r="I422" s="253"/>
      <c r="J422" s="253"/>
      <c r="K422" s="253"/>
      <c r="L422" s="253"/>
      <c r="M422" s="253"/>
      <c r="N422" s="253"/>
      <c r="O422" s="253"/>
      <c r="P422" s="253"/>
      <c r="Q422" s="253"/>
      <c r="R422" s="253"/>
    </row>
    <row r="423" ht="15.75" customHeight="1">
      <c r="A423" s="253"/>
      <c r="B423" s="253"/>
      <c r="C423" s="253"/>
      <c r="D423" s="262" t="s">
        <v>11608</v>
      </c>
      <c r="E423" s="253"/>
      <c r="F423" s="253"/>
      <c r="G423" s="253"/>
      <c r="H423" s="253"/>
      <c r="I423" s="253"/>
      <c r="J423" s="253"/>
      <c r="K423" s="253"/>
      <c r="L423" s="253"/>
      <c r="M423" s="253"/>
      <c r="N423" s="253"/>
      <c r="O423" s="253"/>
      <c r="P423" s="253"/>
      <c r="Q423" s="253"/>
      <c r="R423" s="253"/>
    </row>
    <row r="424" ht="15.75" customHeight="1">
      <c r="A424" s="253"/>
      <c r="B424" s="253"/>
      <c r="C424" s="253"/>
      <c r="D424" s="262" t="s">
        <v>11609</v>
      </c>
      <c r="E424" s="253"/>
      <c r="F424" s="253"/>
      <c r="G424" s="253"/>
      <c r="H424" s="253"/>
      <c r="I424" s="253"/>
      <c r="J424" s="253"/>
      <c r="K424" s="253"/>
      <c r="L424" s="253"/>
      <c r="M424" s="253"/>
      <c r="N424" s="253"/>
      <c r="O424" s="253"/>
      <c r="P424" s="253"/>
      <c r="Q424" s="253"/>
      <c r="R424" s="253"/>
    </row>
    <row r="425" ht="15.75" customHeight="1">
      <c r="A425" s="253"/>
      <c r="B425" s="253"/>
      <c r="C425" s="253"/>
      <c r="D425" s="262" t="s">
        <v>11610</v>
      </c>
      <c r="E425" s="253"/>
      <c r="F425" s="253"/>
      <c r="G425" s="253"/>
      <c r="H425" s="253"/>
      <c r="I425" s="253"/>
      <c r="J425" s="253"/>
      <c r="K425" s="253"/>
      <c r="L425" s="253"/>
      <c r="M425" s="253"/>
      <c r="N425" s="253"/>
      <c r="O425" s="253"/>
      <c r="P425" s="253"/>
      <c r="Q425" s="253"/>
      <c r="R425" s="253"/>
    </row>
    <row r="426" ht="15.75" customHeight="1">
      <c r="A426" s="253"/>
      <c r="B426" s="253"/>
      <c r="C426" s="253"/>
      <c r="D426" s="262" t="s">
        <v>11611</v>
      </c>
      <c r="E426" s="253"/>
      <c r="F426" s="253"/>
      <c r="G426" s="253"/>
      <c r="H426" s="253"/>
      <c r="I426" s="253"/>
      <c r="J426" s="253"/>
      <c r="K426" s="253"/>
      <c r="L426" s="253"/>
      <c r="M426" s="253"/>
      <c r="N426" s="253"/>
      <c r="O426" s="253"/>
      <c r="P426" s="253"/>
      <c r="Q426" s="253"/>
      <c r="R426" s="253"/>
    </row>
    <row r="427" ht="15.75" customHeight="1">
      <c r="A427" s="253"/>
      <c r="B427" s="253"/>
      <c r="C427" s="253"/>
      <c r="D427" s="262" t="s">
        <v>6645</v>
      </c>
      <c r="E427" s="253"/>
      <c r="F427" s="253"/>
      <c r="G427" s="253"/>
      <c r="H427" s="253"/>
      <c r="I427" s="253"/>
      <c r="J427" s="253"/>
      <c r="K427" s="253"/>
      <c r="L427" s="253"/>
      <c r="M427" s="253"/>
      <c r="N427" s="253"/>
      <c r="O427" s="253"/>
      <c r="P427" s="253"/>
      <c r="Q427" s="253"/>
      <c r="R427" s="253"/>
    </row>
    <row r="428" ht="15.75" customHeight="1">
      <c r="A428" s="253"/>
      <c r="B428" s="253"/>
      <c r="C428" s="253"/>
      <c r="D428" s="262" t="s">
        <v>11612</v>
      </c>
      <c r="E428" s="253"/>
      <c r="F428" s="253"/>
      <c r="G428" s="253"/>
      <c r="H428" s="253"/>
      <c r="I428" s="253"/>
      <c r="J428" s="253"/>
      <c r="K428" s="253"/>
      <c r="L428" s="253"/>
      <c r="M428" s="253"/>
      <c r="N428" s="253"/>
      <c r="O428" s="253"/>
      <c r="P428" s="253"/>
      <c r="Q428" s="253"/>
      <c r="R428" s="253"/>
    </row>
    <row r="429" ht="15.75" customHeight="1">
      <c r="A429" s="253"/>
      <c r="B429" s="253"/>
      <c r="C429" s="253"/>
      <c r="D429" s="262" t="s">
        <v>11613</v>
      </c>
      <c r="E429" s="253"/>
      <c r="F429" s="253"/>
      <c r="G429" s="253"/>
      <c r="H429" s="253"/>
      <c r="I429" s="253"/>
      <c r="J429" s="253"/>
      <c r="K429" s="253"/>
      <c r="L429" s="253"/>
      <c r="M429" s="253"/>
      <c r="N429" s="253"/>
      <c r="O429" s="253"/>
      <c r="P429" s="253"/>
      <c r="Q429" s="253"/>
      <c r="R429" s="253"/>
    </row>
    <row r="430" ht="15.75" customHeight="1">
      <c r="A430" s="253"/>
      <c r="B430" s="253"/>
      <c r="C430" s="253"/>
      <c r="D430" s="262" t="s">
        <v>11614</v>
      </c>
      <c r="E430" s="253"/>
      <c r="F430" s="253"/>
      <c r="G430" s="253"/>
      <c r="H430" s="253"/>
      <c r="I430" s="253"/>
      <c r="J430" s="253"/>
      <c r="K430" s="253"/>
      <c r="L430" s="253"/>
      <c r="M430" s="253"/>
      <c r="N430" s="253"/>
      <c r="O430" s="253"/>
      <c r="P430" s="253"/>
      <c r="Q430" s="253"/>
      <c r="R430" s="253"/>
    </row>
    <row r="431" ht="15.75" customHeight="1">
      <c r="A431" s="253"/>
      <c r="B431" s="253"/>
      <c r="C431" s="253"/>
      <c r="D431" s="262" t="s">
        <v>11615</v>
      </c>
      <c r="E431" s="253"/>
      <c r="F431" s="253"/>
      <c r="G431" s="253"/>
      <c r="H431" s="253"/>
      <c r="I431" s="253"/>
      <c r="J431" s="253"/>
      <c r="K431" s="253"/>
      <c r="L431" s="253"/>
      <c r="M431" s="253"/>
      <c r="N431" s="253"/>
      <c r="O431" s="253"/>
      <c r="P431" s="253"/>
      <c r="Q431" s="253"/>
      <c r="R431" s="253"/>
    </row>
    <row r="432" ht="15.75" customHeight="1">
      <c r="A432" s="253"/>
      <c r="B432" s="253"/>
      <c r="C432" s="253"/>
      <c r="D432" s="262" t="s">
        <v>11616</v>
      </c>
      <c r="E432" s="253"/>
      <c r="F432" s="253"/>
      <c r="G432" s="253"/>
      <c r="H432" s="253"/>
      <c r="I432" s="253"/>
      <c r="J432" s="253"/>
      <c r="K432" s="253"/>
      <c r="L432" s="253"/>
      <c r="M432" s="253"/>
      <c r="N432" s="253"/>
      <c r="O432" s="253"/>
      <c r="P432" s="253"/>
      <c r="Q432" s="253"/>
      <c r="R432" s="253"/>
    </row>
    <row r="433" ht="15.75" customHeight="1">
      <c r="A433" s="253"/>
      <c r="B433" s="253"/>
      <c r="C433" s="253"/>
      <c r="D433" s="262" t="s">
        <v>11617</v>
      </c>
      <c r="E433" s="253"/>
      <c r="F433" s="253"/>
      <c r="G433" s="253"/>
      <c r="H433" s="253"/>
      <c r="I433" s="253"/>
      <c r="J433" s="253"/>
      <c r="K433" s="253"/>
      <c r="L433" s="253"/>
      <c r="M433" s="253"/>
      <c r="N433" s="253"/>
      <c r="O433" s="253"/>
      <c r="P433" s="253"/>
      <c r="Q433" s="253"/>
      <c r="R433" s="253"/>
    </row>
    <row r="434" ht="15.75" customHeight="1">
      <c r="A434" s="253"/>
      <c r="B434" s="253"/>
      <c r="C434" s="253"/>
      <c r="D434" s="262" t="s">
        <v>1809</v>
      </c>
      <c r="E434" s="253"/>
      <c r="F434" s="253"/>
      <c r="G434" s="253"/>
      <c r="H434" s="253"/>
      <c r="I434" s="253"/>
      <c r="J434" s="253"/>
      <c r="K434" s="253"/>
      <c r="L434" s="253"/>
      <c r="M434" s="253"/>
      <c r="N434" s="253"/>
      <c r="O434" s="253"/>
      <c r="P434" s="253"/>
      <c r="Q434" s="253"/>
      <c r="R434" s="253"/>
    </row>
    <row r="435" ht="15.75" customHeight="1">
      <c r="A435" s="253"/>
      <c r="B435" s="253"/>
      <c r="C435" s="253"/>
      <c r="D435" s="262" t="s">
        <v>11618</v>
      </c>
      <c r="E435" s="253"/>
      <c r="F435" s="253"/>
      <c r="G435" s="253"/>
      <c r="H435" s="253"/>
      <c r="I435" s="253"/>
      <c r="J435" s="253"/>
      <c r="K435" s="253"/>
      <c r="L435" s="253"/>
      <c r="M435" s="253"/>
      <c r="N435" s="253"/>
      <c r="O435" s="253"/>
      <c r="P435" s="253"/>
      <c r="Q435" s="253"/>
      <c r="R435" s="253"/>
    </row>
    <row r="436" ht="15.75" customHeight="1">
      <c r="A436" s="253"/>
      <c r="B436" s="253"/>
      <c r="C436" s="253"/>
      <c r="D436" s="262" t="s">
        <v>11619</v>
      </c>
      <c r="E436" s="253"/>
      <c r="F436" s="253"/>
      <c r="G436" s="253"/>
      <c r="H436" s="253"/>
      <c r="I436" s="253"/>
      <c r="J436" s="253"/>
      <c r="K436" s="253"/>
      <c r="L436" s="253"/>
      <c r="M436" s="253"/>
      <c r="N436" s="253"/>
      <c r="O436" s="253"/>
      <c r="P436" s="253"/>
      <c r="Q436" s="253"/>
      <c r="R436" s="253"/>
    </row>
    <row r="437" ht="15.75" customHeight="1">
      <c r="A437" s="253"/>
      <c r="B437" s="253"/>
      <c r="C437" s="253"/>
      <c r="D437" s="262" t="s">
        <v>11620</v>
      </c>
      <c r="E437" s="253"/>
      <c r="F437" s="253"/>
      <c r="G437" s="253"/>
      <c r="H437" s="253"/>
      <c r="I437" s="253"/>
      <c r="J437" s="253"/>
      <c r="K437" s="253"/>
      <c r="L437" s="253"/>
      <c r="M437" s="253"/>
      <c r="N437" s="253"/>
      <c r="O437" s="253"/>
      <c r="P437" s="253"/>
      <c r="Q437" s="253"/>
      <c r="R437" s="253"/>
    </row>
    <row r="438" ht="15.75" customHeight="1">
      <c r="A438" s="253"/>
      <c r="B438" s="253"/>
      <c r="C438" s="253"/>
      <c r="D438" s="262" t="s">
        <v>11621</v>
      </c>
      <c r="E438" s="253"/>
      <c r="F438" s="253"/>
      <c r="G438" s="253"/>
      <c r="H438" s="253"/>
      <c r="I438" s="253"/>
      <c r="J438" s="253"/>
      <c r="K438" s="253"/>
      <c r="L438" s="253"/>
      <c r="M438" s="253"/>
      <c r="N438" s="253"/>
      <c r="O438" s="253"/>
      <c r="P438" s="253"/>
      <c r="Q438" s="253"/>
      <c r="R438" s="253"/>
    </row>
    <row r="439" ht="15.75" customHeight="1">
      <c r="A439" s="253"/>
      <c r="B439" s="253"/>
      <c r="C439" s="253"/>
      <c r="D439" s="262" t="s">
        <v>11622</v>
      </c>
      <c r="E439" s="253"/>
      <c r="F439" s="253"/>
      <c r="G439" s="253"/>
      <c r="H439" s="253"/>
      <c r="I439" s="253"/>
      <c r="J439" s="253"/>
      <c r="K439" s="253"/>
      <c r="L439" s="253"/>
      <c r="M439" s="253"/>
      <c r="N439" s="253"/>
      <c r="O439" s="253"/>
      <c r="P439" s="253"/>
      <c r="Q439" s="253"/>
      <c r="R439" s="253"/>
    </row>
    <row r="440" ht="15.75" customHeight="1">
      <c r="A440" s="253"/>
      <c r="B440" s="253"/>
      <c r="C440" s="253"/>
      <c r="D440" s="262" t="s">
        <v>11623</v>
      </c>
      <c r="E440" s="253"/>
      <c r="F440" s="253"/>
      <c r="G440" s="253"/>
      <c r="H440" s="253"/>
      <c r="I440" s="253"/>
      <c r="J440" s="253"/>
      <c r="K440" s="253"/>
      <c r="L440" s="253"/>
      <c r="M440" s="253"/>
      <c r="N440" s="253"/>
      <c r="O440" s="253"/>
      <c r="P440" s="253"/>
      <c r="Q440" s="253"/>
      <c r="R440" s="253"/>
    </row>
    <row r="441" ht="15.75" customHeight="1">
      <c r="A441" s="253"/>
      <c r="B441" s="253"/>
      <c r="C441" s="253"/>
      <c r="D441" s="262" t="s">
        <v>11624</v>
      </c>
      <c r="E441" s="253"/>
      <c r="F441" s="253"/>
      <c r="G441" s="253"/>
      <c r="H441" s="253"/>
      <c r="I441" s="253"/>
      <c r="J441" s="253"/>
      <c r="K441" s="253"/>
      <c r="L441" s="253"/>
      <c r="M441" s="253"/>
      <c r="N441" s="253"/>
      <c r="O441" s="253"/>
      <c r="P441" s="253"/>
      <c r="Q441" s="253"/>
      <c r="R441" s="253"/>
    </row>
    <row r="442" ht="15.75" customHeight="1">
      <c r="A442" s="253"/>
      <c r="B442" s="253"/>
      <c r="C442" s="253"/>
      <c r="D442" s="262" t="s">
        <v>5966</v>
      </c>
      <c r="E442" s="253"/>
      <c r="F442" s="253"/>
      <c r="G442" s="253"/>
      <c r="H442" s="253"/>
      <c r="I442" s="253"/>
      <c r="J442" s="253"/>
      <c r="K442" s="253"/>
      <c r="L442" s="253"/>
      <c r="M442" s="253"/>
      <c r="N442" s="253"/>
      <c r="O442" s="253"/>
      <c r="P442" s="253"/>
      <c r="Q442" s="253"/>
      <c r="R442" s="253"/>
    </row>
    <row r="443" ht="15.75" customHeight="1">
      <c r="A443" s="253"/>
      <c r="B443" s="253"/>
      <c r="C443" s="253"/>
      <c r="D443" s="262" t="s">
        <v>11625</v>
      </c>
      <c r="E443" s="253"/>
      <c r="F443" s="253"/>
      <c r="G443" s="253"/>
      <c r="H443" s="253"/>
      <c r="I443" s="253"/>
      <c r="J443" s="253"/>
      <c r="K443" s="253"/>
      <c r="L443" s="253"/>
      <c r="M443" s="253"/>
      <c r="N443" s="253"/>
      <c r="O443" s="253"/>
      <c r="P443" s="253"/>
      <c r="Q443" s="253"/>
      <c r="R443" s="253"/>
    </row>
    <row r="444" ht="15.75" customHeight="1">
      <c r="A444" s="253"/>
      <c r="B444" s="253"/>
      <c r="C444" s="253"/>
      <c r="D444" s="262" t="s">
        <v>11626</v>
      </c>
      <c r="E444" s="253"/>
      <c r="F444" s="253"/>
      <c r="G444" s="253"/>
      <c r="H444" s="253"/>
      <c r="I444" s="253"/>
      <c r="J444" s="253"/>
      <c r="K444" s="253"/>
      <c r="L444" s="253"/>
      <c r="M444" s="253"/>
      <c r="N444" s="253"/>
      <c r="O444" s="253"/>
      <c r="P444" s="253"/>
      <c r="Q444" s="253"/>
      <c r="R444" s="253"/>
    </row>
    <row r="445" ht="15.75" customHeight="1">
      <c r="A445" s="253"/>
      <c r="B445" s="253"/>
      <c r="C445" s="253"/>
      <c r="D445" s="262" t="s">
        <v>884</v>
      </c>
      <c r="E445" s="253"/>
      <c r="F445" s="253"/>
      <c r="G445" s="253"/>
      <c r="H445" s="253"/>
      <c r="I445" s="253"/>
      <c r="J445" s="253"/>
      <c r="K445" s="253"/>
      <c r="L445" s="253"/>
      <c r="M445" s="253"/>
      <c r="N445" s="253"/>
      <c r="O445" s="253"/>
      <c r="P445" s="253"/>
      <c r="Q445" s="253"/>
      <c r="R445" s="253"/>
    </row>
    <row r="446" ht="15.75" customHeight="1">
      <c r="A446" s="253"/>
      <c r="B446" s="253"/>
      <c r="C446" s="253"/>
      <c r="D446" s="262" t="s">
        <v>8763</v>
      </c>
      <c r="E446" s="253"/>
      <c r="F446" s="253"/>
      <c r="G446" s="253"/>
      <c r="H446" s="253"/>
      <c r="I446" s="253"/>
      <c r="J446" s="253"/>
      <c r="K446" s="253"/>
      <c r="L446" s="253"/>
      <c r="M446" s="253"/>
      <c r="N446" s="253"/>
      <c r="O446" s="253"/>
      <c r="P446" s="253"/>
      <c r="Q446" s="253"/>
      <c r="R446" s="253"/>
    </row>
    <row r="447" ht="15.75" customHeight="1">
      <c r="A447" s="253"/>
      <c r="B447" s="253"/>
      <c r="C447" s="253"/>
      <c r="D447" s="262" t="s">
        <v>11627</v>
      </c>
      <c r="E447" s="253"/>
      <c r="F447" s="253"/>
      <c r="G447" s="253"/>
      <c r="H447" s="253"/>
      <c r="I447" s="253"/>
      <c r="J447" s="253"/>
      <c r="K447" s="253"/>
      <c r="L447" s="253"/>
      <c r="M447" s="253"/>
      <c r="N447" s="253"/>
      <c r="O447" s="253"/>
      <c r="P447" s="253"/>
      <c r="Q447" s="253"/>
      <c r="R447" s="253"/>
    </row>
    <row r="448" ht="15.75" customHeight="1">
      <c r="A448" s="253"/>
      <c r="B448" s="253"/>
      <c r="C448" s="253"/>
      <c r="D448" s="262" t="s">
        <v>11628</v>
      </c>
      <c r="E448" s="253"/>
      <c r="F448" s="253"/>
      <c r="G448" s="253"/>
      <c r="H448" s="253"/>
      <c r="I448" s="253"/>
      <c r="J448" s="253"/>
      <c r="K448" s="253"/>
      <c r="L448" s="253"/>
      <c r="M448" s="253"/>
      <c r="N448" s="253"/>
      <c r="O448" s="253"/>
      <c r="P448" s="253"/>
      <c r="Q448" s="253"/>
      <c r="R448" s="253"/>
    </row>
    <row r="449" ht="15.75" customHeight="1">
      <c r="A449" s="253"/>
      <c r="B449" s="253"/>
      <c r="C449" s="253"/>
      <c r="D449" s="262" t="s">
        <v>11629</v>
      </c>
      <c r="E449" s="253"/>
      <c r="F449" s="253"/>
      <c r="G449" s="253"/>
      <c r="H449" s="253"/>
      <c r="I449" s="253"/>
      <c r="J449" s="253"/>
      <c r="K449" s="253"/>
      <c r="L449" s="253"/>
      <c r="M449" s="253"/>
      <c r="N449" s="253"/>
      <c r="O449" s="253"/>
      <c r="P449" s="253"/>
      <c r="Q449" s="253"/>
      <c r="R449" s="253"/>
    </row>
    <row r="450" ht="15.75" customHeight="1">
      <c r="A450" s="253"/>
      <c r="B450" s="253"/>
      <c r="C450" s="253"/>
      <c r="D450" s="262" t="s">
        <v>4544</v>
      </c>
      <c r="E450" s="253"/>
      <c r="F450" s="253"/>
      <c r="G450" s="253"/>
      <c r="H450" s="253"/>
      <c r="I450" s="253"/>
      <c r="J450" s="253"/>
      <c r="K450" s="253"/>
      <c r="L450" s="253"/>
      <c r="M450" s="253"/>
      <c r="N450" s="253"/>
      <c r="O450" s="253"/>
      <c r="P450" s="253"/>
      <c r="Q450" s="253"/>
      <c r="R450" s="253"/>
    </row>
    <row r="451" ht="15.75" customHeight="1">
      <c r="A451" s="253"/>
      <c r="B451" s="253"/>
      <c r="C451" s="253"/>
      <c r="D451" s="262" t="s">
        <v>11630</v>
      </c>
      <c r="E451" s="253"/>
      <c r="F451" s="253"/>
      <c r="G451" s="253"/>
      <c r="H451" s="253"/>
      <c r="I451" s="253"/>
      <c r="J451" s="253"/>
      <c r="K451" s="253"/>
      <c r="L451" s="253"/>
      <c r="M451" s="253"/>
      <c r="N451" s="253"/>
      <c r="O451" s="253"/>
      <c r="P451" s="253"/>
      <c r="Q451" s="253"/>
      <c r="R451" s="253"/>
    </row>
    <row r="452" ht="15.75" customHeight="1">
      <c r="A452" s="253"/>
      <c r="B452" s="253"/>
      <c r="C452" s="253"/>
      <c r="D452" s="262" t="s">
        <v>11631</v>
      </c>
      <c r="E452" s="253"/>
      <c r="F452" s="253"/>
      <c r="G452" s="253"/>
      <c r="H452" s="253"/>
      <c r="I452" s="253"/>
      <c r="J452" s="253"/>
      <c r="K452" s="253"/>
      <c r="L452" s="253"/>
      <c r="M452" s="253"/>
      <c r="N452" s="253"/>
      <c r="O452" s="253"/>
      <c r="P452" s="253"/>
      <c r="Q452" s="253"/>
      <c r="R452" s="253"/>
    </row>
    <row r="453" ht="15.75" customHeight="1">
      <c r="A453" s="253"/>
      <c r="B453" s="253"/>
      <c r="C453" s="253"/>
      <c r="D453" s="262" t="s">
        <v>11632</v>
      </c>
      <c r="E453" s="253"/>
      <c r="F453" s="253"/>
      <c r="G453" s="253"/>
      <c r="H453" s="253"/>
      <c r="I453" s="253"/>
      <c r="J453" s="253"/>
      <c r="K453" s="253"/>
      <c r="L453" s="253"/>
      <c r="M453" s="253"/>
      <c r="N453" s="253"/>
      <c r="O453" s="253"/>
      <c r="P453" s="253"/>
      <c r="Q453" s="253"/>
      <c r="R453" s="253"/>
    </row>
    <row r="454" ht="15.75" customHeight="1">
      <c r="A454" s="253"/>
      <c r="B454" s="253"/>
      <c r="C454" s="253"/>
      <c r="D454" s="262" t="s">
        <v>8511</v>
      </c>
      <c r="E454" s="253"/>
      <c r="F454" s="253"/>
      <c r="G454" s="253"/>
      <c r="H454" s="253"/>
      <c r="I454" s="253"/>
      <c r="J454" s="253"/>
      <c r="K454" s="253"/>
      <c r="L454" s="253"/>
      <c r="M454" s="253"/>
      <c r="N454" s="253"/>
      <c r="O454" s="253"/>
      <c r="P454" s="253"/>
      <c r="Q454" s="253"/>
      <c r="R454" s="253"/>
    </row>
    <row r="455" ht="15.75" customHeight="1">
      <c r="A455" s="253"/>
      <c r="B455" s="253"/>
      <c r="C455" s="253"/>
      <c r="D455" s="262" t="s">
        <v>11633</v>
      </c>
      <c r="E455" s="253"/>
      <c r="F455" s="253"/>
      <c r="G455" s="253"/>
      <c r="H455" s="253"/>
      <c r="I455" s="253"/>
      <c r="J455" s="253"/>
      <c r="K455" s="253"/>
      <c r="L455" s="253"/>
      <c r="M455" s="253"/>
      <c r="N455" s="253"/>
      <c r="O455" s="253"/>
      <c r="P455" s="253"/>
      <c r="Q455" s="253"/>
      <c r="R455" s="253"/>
    </row>
    <row r="456" ht="15.75" customHeight="1">
      <c r="A456" s="253"/>
      <c r="B456" s="253"/>
      <c r="C456" s="253"/>
      <c r="D456" s="262" t="s">
        <v>11634</v>
      </c>
      <c r="E456" s="253"/>
      <c r="F456" s="253"/>
      <c r="G456" s="253"/>
      <c r="H456" s="253"/>
      <c r="I456" s="253"/>
      <c r="J456" s="253"/>
      <c r="K456" s="253"/>
      <c r="L456" s="253"/>
      <c r="M456" s="253"/>
      <c r="N456" s="253"/>
      <c r="O456" s="253"/>
      <c r="P456" s="253"/>
      <c r="Q456" s="253"/>
      <c r="R456" s="253"/>
    </row>
    <row r="457" ht="15.75" customHeight="1">
      <c r="A457" s="253"/>
      <c r="B457" s="253"/>
      <c r="C457" s="253"/>
      <c r="D457" s="262" t="s">
        <v>11635</v>
      </c>
      <c r="E457" s="253"/>
      <c r="F457" s="253"/>
      <c r="G457" s="253"/>
      <c r="H457" s="253"/>
      <c r="I457" s="253"/>
      <c r="J457" s="253"/>
      <c r="K457" s="253"/>
      <c r="L457" s="253"/>
      <c r="M457" s="253"/>
      <c r="N457" s="253"/>
      <c r="O457" s="253"/>
      <c r="P457" s="253"/>
      <c r="Q457" s="253"/>
      <c r="R457" s="253"/>
    </row>
    <row r="458" ht="15.75" customHeight="1">
      <c r="A458" s="253"/>
      <c r="B458" s="253"/>
      <c r="C458" s="253"/>
      <c r="D458" s="262" t="s">
        <v>4921</v>
      </c>
      <c r="E458" s="253"/>
      <c r="F458" s="253"/>
      <c r="G458" s="253"/>
      <c r="H458" s="253"/>
      <c r="I458" s="253"/>
      <c r="J458" s="253"/>
      <c r="K458" s="253"/>
      <c r="L458" s="253"/>
      <c r="M458" s="253"/>
      <c r="N458" s="253"/>
      <c r="O458" s="253"/>
      <c r="P458" s="253"/>
      <c r="Q458" s="253"/>
      <c r="R458" s="253"/>
    </row>
    <row r="459" ht="15.75" customHeight="1">
      <c r="A459" s="253"/>
      <c r="B459" s="253"/>
      <c r="C459" s="253"/>
      <c r="D459" s="262" t="s">
        <v>11636</v>
      </c>
      <c r="E459" s="253"/>
      <c r="F459" s="253"/>
      <c r="G459" s="253"/>
      <c r="H459" s="253"/>
      <c r="I459" s="253"/>
      <c r="J459" s="253"/>
      <c r="K459" s="253"/>
      <c r="L459" s="253"/>
      <c r="M459" s="253"/>
      <c r="N459" s="253"/>
      <c r="O459" s="253"/>
      <c r="P459" s="253"/>
      <c r="Q459" s="253"/>
      <c r="R459" s="253"/>
    </row>
    <row r="460" ht="15.75" customHeight="1">
      <c r="A460" s="253"/>
      <c r="B460" s="253"/>
      <c r="C460" s="253"/>
      <c r="D460" s="262" t="s">
        <v>11637</v>
      </c>
      <c r="E460" s="253"/>
      <c r="F460" s="253"/>
      <c r="G460" s="253"/>
      <c r="H460" s="253"/>
      <c r="I460" s="253"/>
      <c r="J460" s="253"/>
      <c r="K460" s="253"/>
      <c r="L460" s="253"/>
      <c r="M460" s="253"/>
      <c r="N460" s="253"/>
      <c r="O460" s="253"/>
      <c r="P460" s="253"/>
      <c r="Q460" s="253"/>
      <c r="R460" s="253"/>
    </row>
    <row r="461" ht="15.75" customHeight="1">
      <c r="A461" s="253"/>
      <c r="B461" s="253"/>
      <c r="C461" s="253"/>
      <c r="D461" s="262" t="s">
        <v>11638</v>
      </c>
      <c r="E461" s="253"/>
      <c r="F461" s="253"/>
      <c r="G461" s="253"/>
      <c r="H461" s="253"/>
      <c r="I461" s="253"/>
      <c r="J461" s="253"/>
      <c r="K461" s="253"/>
      <c r="L461" s="253"/>
      <c r="M461" s="253"/>
      <c r="N461" s="253"/>
      <c r="O461" s="253"/>
      <c r="P461" s="253"/>
      <c r="Q461" s="253"/>
      <c r="R461" s="253"/>
    </row>
    <row r="462" ht="15.75" customHeight="1">
      <c r="A462" s="253"/>
      <c r="B462" s="253"/>
      <c r="C462" s="253"/>
      <c r="D462" s="262" t="s">
        <v>11639</v>
      </c>
      <c r="E462" s="253"/>
      <c r="F462" s="253"/>
      <c r="G462" s="253"/>
      <c r="H462" s="253"/>
      <c r="I462" s="253"/>
      <c r="J462" s="253"/>
      <c r="K462" s="253"/>
      <c r="L462" s="253"/>
      <c r="M462" s="253"/>
      <c r="N462" s="253"/>
      <c r="O462" s="253"/>
      <c r="P462" s="253"/>
      <c r="Q462" s="253"/>
      <c r="R462" s="253"/>
    </row>
    <row r="463" ht="15.75" customHeight="1">
      <c r="A463" s="253"/>
      <c r="B463" s="253"/>
      <c r="C463" s="253"/>
      <c r="D463" s="262" t="s">
        <v>1679</v>
      </c>
      <c r="E463" s="253"/>
      <c r="F463" s="253"/>
      <c r="G463" s="253"/>
      <c r="H463" s="253"/>
      <c r="I463" s="253"/>
      <c r="J463" s="253"/>
      <c r="K463" s="253"/>
      <c r="L463" s="253"/>
      <c r="M463" s="253"/>
      <c r="N463" s="253"/>
      <c r="O463" s="253"/>
      <c r="P463" s="253"/>
      <c r="Q463" s="253"/>
      <c r="R463" s="253"/>
    </row>
    <row r="464" ht="15.75" customHeight="1">
      <c r="A464" s="253"/>
      <c r="B464" s="253"/>
      <c r="C464" s="253"/>
      <c r="D464" s="262" t="s">
        <v>11640</v>
      </c>
      <c r="E464" s="253"/>
      <c r="F464" s="253"/>
      <c r="G464" s="253"/>
      <c r="H464" s="253"/>
      <c r="I464" s="253"/>
      <c r="J464" s="253"/>
      <c r="K464" s="253"/>
      <c r="L464" s="253"/>
      <c r="M464" s="253"/>
      <c r="N464" s="253"/>
      <c r="O464" s="253"/>
      <c r="P464" s="253"/>
      <c r="Q464" s="253"/>
      <c r="R464" s="253"/>
    </row>
    <row r="465" ht="15.75" customHeight="1">
      <c r="A465" s="253"/>
      <c r="B465" s="253"/>
      <c r="C465" s="253"/>
      <c r="D465" s="262" t="s">
        <v>1372</v>
      </c>
      <c r="E465" s="253"/>
      <c r="F465" s="253"/>
      <c r="G465" s="253"/>
      <c r="H465" s="253"/>
      <c r="I465" s="253"/>
      <c r="J465" s="253"/>
      <c r="K465" s="253"/>
      <c r="L465" s="253"/>
      <c r="M465" s="253"/>
      <c r="N465" s="253"/>
      <c r="O465" s="253"/>
      <c r="P465" s="253"/>
      <c r="Q465" s="253"/>
      <c r="R465" s="253"/>
    </row>
    <row r="466" ht="15.75" customHeight="1">
      <c r="A466" s="253"/>
      <c r="B466" s="253"/>
      <c r="C466" s="253"/>
      <c r="D466" s="262" t="s">
        <v>11641</v>
      </c>
      <c r="E466" s="253"/>
      <c r="F466" s="253"/>
      <c r="G466" s="253"/>
      <c r="H466" s="253"/>
      <c r="I466" s="253"/>
      <c r="J466" s="253"/>
      <c r="K466" s="253"/>
      <c r="L466" s="253"/>
      <c r="M466" s="253"/>
      <c r="N466" s="253"/>
      <c r="O466" s="253"/>
      <c r="P466" s="253"/>
      <c r="Q466" s="253"/>
      <c r="R466" s="253"/>
    </row>
    <row r="467" ht="15.75" customHeight="1">
      <c r="A467" s="253"/>
      <c r="B467" s="253"/>
      <c r="C467" s="253"/>
      <c r="D467" s="262" t="s">
        <v>11642</v>
      </c>
      <c r="E467" s="253"/>
      <c r="F467" s="253"/>
      <c r="G467" s="253"/>
      <c r="H467" s="253"/>
      <c r="I467" s="253"/>
      <c r="J467" s="253"/>
      <c r="K467" s="253"/>
      <c r="L467" s="253"/>
      <c r="M467" s="253"/>
      <c r="N467" s="253"/>
      <c r="O467" s="253"/>
      <c r="P467" s="253"/>
      <c r="Q467" s="253"/>
      <c r="R467" s="253"/>
    </row>
    <row r="468" ht="15.75" customHeight="1">
      <c r="A468" s="253"/>
      <c r="B468" s="253"/>
      <c r="C468" s="253"/>
      <c r="D468" s="262" t="s">
        <v>11643</v>
      </c>
      <c r="E468" s="253"/>
      <c r="F468" s="253"/>
      <c r="G468" s="253"/>
      <c r="H468" s="253"/>
      <c r="I468" s="253"/>
      <c r="J468" s="253"/>
      <c r="K468" s="253"/>
      <c r="L468" s="253"/>
      <c r="M468" s="253"/>
      <c r="N468" s="253"/>
      <c r="O468" s="253"/>
      <c r="P468" s="253"/>
      <c r="Q468" s="253"/>
      <c r="R468" s="253"/>
    </row>
    <row r="469" ht="15.75" customHeight="1">
      <c r="A469" s="253"/>
      <c r="B469" s="253"/>
      <c r="C469" s="253"/>
      <c r="D469" s="262" t="s">
        <v>11644</v>
      </c>
      <c r="E469" s="253"/>
      <c r="F469" s="253"/>
      <c r="G469" s="253"/>
      <c r="H469" s="253"/>
      <c r="I469" s="253"/>
      <c r="J469" s="253"/>
      <c r="K469" s="253"/>
      <c r="L469" s="253"/>
      <c r="M469" s="253"/>
      <c r="N469" s="253"/>
      <c r="O469" s="253"/>
      <c r="P469" s="253"/>
      <c r="Q469" s="253"/>
      <c r="R469" s="253"/>
    </row>
    <row r="470" ht="15.75" customHeight="1">
      <c r="A470" s="253"/>
      <c r="B470" s="253"/>
      <c r="C470" s="253"/>
      <c r="D470" s="262" t="s">
        <v>11645</v>
      </c>
      <c r="E470" s="253"/>
      <c r="F470" s="253"/>
      <c r="G470" s="253"/>
      <c r="H470" s="253"/>
      <c r="I470" s="253"/>
      <c r="J470" s="253"/>
      <c r="K470" s="253"/>
      <c r="L470" s="253"/>
      <c r="M470" s="253"/>
      <c r="N470" s="253"/>
      <c r="O470" s="253"/>
      <c r="P470" s="253"/>
      <c r="Q470" s="253"/>
      <c r="R470" s="253"/>
    </row>
    <row r="471" ht="15.75" customHeight="1">
      <c r="A471" s="253"/>
      <c r="B471" s="253"/>
      <c r="C471" s="253"/>
      <c r="D471" s="262" t="s">
        <v>8338</v>
      </c>
      <c r="E471" s="253"/>
      <c r="F471" s="253"/>
      <c r="G471" s="253"/>
      <c r="H471" s="253"/>
      <c r="I471" s="253"/>
      <c r="J471" s="253"/>
      <c r="K471" s="253"/>
      <c r="L471" s="253"/>
      <c r="M471" s="253"/>
      <c r="N471" s="253"/>
      <c r="O471" s="253"/>
      <c r="P471" s="253"/>
      <c r="Q471" s="253"/>
      <c r="R471" s="253"/>
    </row>
    <row r="472" ht="15.75" customHeight="1">
      <c r="A472" s="253"/>
      <c r="B472" s="253"/>
      <c r="C472" s="253"/>
      <c r="D472" s="262" t="s">
        <v>9912</v>
      </c>
      <c r="E472" s="253"/>
      <c r="F472" s="253"/>
      <c r="G472" s="253"/>
      <c r="H472" s="253"/>
      <c r="I472" s="253"/>
      <c r="J472" s="253"/>
      <c r="K472" s="253"/>
      <c r="L472" s="253"/>
      <c r="M472" s="253"/>
      <c r="N472" s="253"/>
      <c r="O472" s="253"/>
      <c r="P472" s="253"/>
      <c r="Q472" s="253"/>
      <c r="R472" s="253"/>
    </row>
    <row r="473" ht="15.75" customHeight="1">
      <c r="A473" s="253"/>
      <c r="B473" s="253"/>
      <c r="C473" s="253"/>
      <c r="D473" s="262" t="s">
        <v>11646</v>
      </c>
      <c r="E473" s="253"/>
      <c r="F473" s="253"/>
      <c r="G473" s="253"/>
      <c r="H473" s="253"/>
      <c r="I473" s="253"/>
      <c r="J473" s="253"/>
      <c r="K473" s="253"/>
      <c r="L473" s="253"/>
      <c r="M473" s="253"/>
      <c r="N473" s="253"/>
      <c r="O473" s="253"/>
      <c r="P473" s="253"/>
      <c r="Q473" s="253"/>
      <c r="R473" s="253"/>
    </row>
    <row r="474" ht="15.75" customHeight="1">
      <c r="A474" s="253"/>
      <c r="B474" s="253"/>
      <c r="C474" s="253"/>
      <c r="D474" s="262" t="s">
        <v>5722</v>
      </c>
      <c r="E474" s="253"/>
      <c r="F474" s="253"/>
      <c r="G474" s="253"/>
      <c r="H474" s="253"/>
      <c r="I474" s="253"/>
      <c r="J474" s="253"/>
      <c r="K474" s="253"/>
      <c r="L474" s="253"/>
      <c r="M474" s="253"/>
      <c r="N474" s="253"/>
      <c r="O474" s="253"/>
      <c r="P474" s="253"/>
      <c r="Q474" s="253"/>
      <c r="R474" s="253"/>
    </row>
    <row r="475" ht="15.75" customHeight="1">
      <c r="A475" s="253"/>
      <c r="B475" s="253"/>
      <c r="C475" s="253"/>
      <c r="D475" s="262" t="s">
        <v>11647</v>
      </c>
      <c r="E475" s="253"/>
      <c r="F475" s="253"/>
      <c r="G475" s="253"/>
      <c r="H475" s="253"/>
      <c r="I475" s="253"/>
      <c r="J475" s="253"/>
      <c r="K475" s="253"/>
      <c r="L475" s="253"/>
      <c r="M475" s="253"/>
      <c r="N475" s="253"/>
      <c r="O475" s="253"/>
      <c r="P475" s="253"/>
      <c r="Q475" s="253"/>
      <c r="R475" s="253"/>
    </row>
    <row r="476" ht="15.75" customHeight="1">
      <c r="A476" s="253"/>
      <c r="B476" s="253"/>
      <c r="C476" s="253"/>
      <c r="D476" s="262" t="s">
        <v>11648</v>
      </c>
      <c r="E476" s="253"/>
      <c r="F476" s="253"/>
      <c r="G476" s="253"/>
      <c r="H476" s="253"/>
      <c r="I476" s="253"/>
      <c r="J476" s="253"/>
      <c r="K476" s="253"/>
      <c r="L476" s="253"/>
      <c r="M476" s="253"/>
      <c r="N476" s="253"/>
      <c r="O476" s="253"/>
      <c r="P476" s="253"/>
      <c r="Q476" s="253"/>
      <c r="R476" s="253"/>
    </row>
    <row r="477" ht="15.75" customHeight="1">
      <c r="A477" s="253"/>
      <c r="B477" s="253"/>
      <c r="C477" s="253"/>
      <c r="D477" s="262" t="s">
        <v>2395</v>
      </c>
      <c r="E477" s="253"/>
      <c r="F477" s="253"/>
      <c r="G477" s="253"/>
      <c r="H477" s="253"/>
      <c r="I477" s="253"/>
      <c r="J477" s="253"/>
      <c r="K477" s="253"/>
      <c r="L477" s="253"/>
      <c r="M477" s="253"/>
      <c r="N477" s="253"/>
      <c r="O477" s="253"/>
      <c r="P477" s="253"/>
      <c r="Q477" s="253"/>
      <c r="R477" s="253"/>
    </row>
    <row r="478" ht="15.75" customHeight="1">
      <c r="A478" s="253"/>
      <c r="B478" s="253"/>
      <c r="C478" s="253"/>
      <c r="D478" s="262" t="s">
        <v>11649</v>
      </c>
      <c r="E478" s="253"/>
      <c r="F478" s="253"/>
      <c r="G478" s="253"/>
      <c r="H478" s="253"/>
      <c r="I478" s="253"/>
      <c r="J478" s="253"/>
      <c r="K478" s="253"/>
      <c r="L478" s="253"/>
      <c r="M478" s="253"/>
      <c r="N478" s="253"/>
      <c r="O478" s="253"/>
      <c r="P478" s="253"/>
      <c r="Q478" s="253"/>
      <c r="R478" s="253"/>
    </row>
    <row r="479" ht="15.75" customHeight="1">
      <c r="A479" s="253"/>
      <c r="B479" s="253"/>
      <c r="C479" s="253"/>
      <c r="D479" s="262" t="s">
        <v>11650</v>
      </c>
      <c r="E479" s="253"/>
      <c r="F479" s="253"/>
      <c r="G479" s="253"/>
      <c r="H479" s="253"/>
      <c r="I479" s="253"/>
      <c r="J479" s="253"/>
      <c r="K479" s="253"/>
      <c r="L479" s="253"/>
      <c r="M479" s="253"/>
      <c r="N479" s="253"/>
      <c r="O479" s="253"/>
      <c r="P479" s="253"/>
      <c r="Q479" s="253"/>
      <c r="R479" s="253"/>
    </row>
    <row r="480" ht="15.75" customHeight="1">
      <c r="A480" s="253"/>
      <c r="B480" s="253"/>
      <c r="C480" s="253"/>
      <c r="D480" s="262" t="s">
        <v>11651</v>
      </c>
      <c r="E480" s="253"/>
      <c r="F480" s="253"/>
      <c r="G480" s="253"/>
      <c r="H480" s="253"/>
      <c r="I480" s="253"/>
      <c r="J480" s="253"/>
      <c r="K480" s="253"/>
      <c r="L480" s="253"/>
      <c r="M480" s="253"/>
      <c r="N480" s="253"/>
      <c r="O480" s="253"/>
      <c r="P480" s="253"/>
      <c r="Q480" s="253"/>
      <c r="R480" s="253"/>
    </row>
    <row r="481" ht="15.75" customHeight="1">
      <c r="A481" s="253"/>
      <c r="B481" s="253"/>
      <c r="C481" s="253"/>
      <c r="D481" s="262" t="s">
        <v>8057</v>
      </c>
      <c r="E481" s="253"/>
      <c r="F481" s="253"/>
      <c r="G481" s="253"/>
      <c r="H481" s="253"/>
      <c r="I481" s="253"/>
      <c r="J481" s="253"/>
      <c r="K481" s="253"/>
      <c r="L481" s="253"/>
      <c r="M481" s="253"/>
      <c r="N481" s="253"/>
      <c r="O481" s="253"/>
      <c r="P481" s="253"/>
      <c r="Q481" s="253"/>
      <c r="R481" s="253"/>
    </row>
    <row r="482" ht="15.75" customHeight="1">
      <c r="A482" s="253"/>
      <c r="B482" s="253"/>
      <c r="C482" s="253"/>
      <c r="D482" s="262" t="s">
        <v>11652</v>
      </c>
      <c r="E482" s="253"/>
      <c r="F482" s="253"/>
      <c r="G482" s="253"/>
      <c r="H482" s="253"/>
      <c r="I482" s="253"/>
      <c r="J482" s="253"/>
      <c r="K482" s="253"/>
      <c r="L482" s="253"/>
      <c r="M482" s="253"/>
      <c r="N482" s="253"/>
      <c r="O482" s="253"/>
      <c r="P482" s="253"/>
      <c r="Q482" s="253"/>
      <c r="R482" s="253"/>
    </row>
    <row r="483" ht="15.75" customHeight="1">
      <c r="A483" s="253"/>
      <c r="B483" s="253"/>
      <c r="C483" s="253"/>
      <c r="D483" s="262" t="s">
        <v>11653</v>
      </c>
      <c r="E483" s="253"/>
      <c r="F483" s="253"/>
      <c r="G483" s="253"/>
      <c r="H483" s="253"/>
      <c r="I483" s="253"/>
      <c r="J483" s="253"/>
      <c r="K483" s="253"/>
      <c r="L483" s="253"/>
      <c r="M483" s="253"/>
      <c r="N483" s="253"/>
      <c r="O483" s="253"/>
      <c r="P483" s="253"/>
      <c r="Q483" s="253"/>
      <c r="R483" s="253"/>
    </row>
    <row r="484" ht="15.75" customHeight="1">
      <c r="A484" s="253"/>
      <c r="B484" s="253"/>
      <c r="C484" s="253"/>
      <c r="D484" s="262" t="s">
        <v>11654</v>
      </c>
      <c r="E484" s="253"/>
      <c r="F484" s="253"/>
      <c r="G484" s="253"/>
      <c r="H484" s="253"/>
      <c r="I484" s="253"/>
      <c r="J484" s="253"/>
      <c r="K484" s="253"/>
      <c r="L484" s="253"/>
      <c r="M484" s="253"/>
      <c r="N484" s="253"/>
      <c r="O484" s="253"/>
      <c r="P484" s="253"/>
      <c r="Q484" s="253"/>
      <c r="R484" s="253"/>
    </row>
    <row r="485" ht="15.75" customHeight="1">
      <c r="A485" s="253"/>
      <c r="B485" s="253"/>
      <c r="C485" s="253"/>
      <c r="D485" s="262" t="s">
        <v>2140</v>
      </c>
      <c r="E485" s="253"/>
      <c r="F485" s="253"/>
      <c r="G485" s="253"/>
      <c r="H485" s="253"/>
      <c r="I485" s="253"/>
      <c r="J485" s="253"/>
      <c r="K485" s="253"/>
      <c r="L485" s="253"/>
      <c r="M485" s="253"/>
      <c r="N485" s="253"/>
      <c r="O485" s="253"/>
      <c r="P485" s="253"/>
      <c r="Q485" s="253"/>
      <c r="R485" s="253"/>
    </row>
    <row r="486" ht="15.75" customHeight="1">
      <c r="A486" s="253"/>
      <c r="B486" s="253"/>
      <c r="C486" s="253"/>
      <c r="D486" s="262" t="s">
        <v>11655</v>
      </c>
      <c r="E486" s="253"/>
      <c r="F486" s="253"/>
      <c r="G486" s="253"/>
      <c r="H486" s="253"/>
      <c r="I486" s="253"/>
      <c r="J486" s="253"/>
      <c r="K486" s="253"/>
      <c r="L486" s="253"/>
      <c r="M486" s="253"/>
      <c r="N486" s="253"/>
      <c r="O486" s="253"/>
      <c r="P486" s="253"/>
      <c r="Q486" s="253"/>
      <c r="R486" s="253"/>
    </row>
    <row r="487" ht="15.75" customHeight="1">
      <c r="A487" s="253"/>
      <c r="B487" s="253"/>
      <c r="C487" s="253"/>
      <c r="D487" s="262" t="s">
        <v>11656</v>
      </c>
      <c r="E487" s="253"/>
      <c r="F487" s="253"/>
      <c r="G487" s="253"/>
      <c r="H487" s="253"/>
      <c r="I487" s="253"/>
      <c r="J487" s="253"/>
      <c r="K487" s="253"/>
      <c r="L487" s="253"/>
      <c r="M487" s="253"/>
      <c r="N487" s="253"/>
      <c r="O487" s="253"/>
      <c r="P487" s="253"/>
      <c r="Q487" s="253"/>
      <c r="R487" s="253"/>
    </row>
    <row r="488" ht="15.75" customHeight="1">
      <c r="A488" s="253"/>
      <c r="B488" s="253"/>
      <c r="C488" s="253"/>
      <c r="D488" s="262" t="s">
        <v>11657</v>
      </c>
      <c r="E488" s="253"/>
      <c r="F488" s="253"/>
      <c r="G488" s="253"/>
      <c r="H488" s="253"/>
      <c r="I488" s="253"/>
      <c r="J488" s="253"/>
      <c r="K488" s="253"/>
      <c r="L488" s="253"/>
      <c r="M488" s="253"/>
      <c r="N488" s="253"/>
      <c r="O488" s="253"/>
      <c r="P488" s="253"/>
      <c r="Q488" s="253"/>
      <c r="R488" s="253"/>
    </row>
    <row r="489" ht="15.75" customHeight="1">
      <c r="A489" s="253"/>
      <c r="B489" s="253"/>
      <c r="C489" s="253"/>
      <c r="D489" s="262" t="s">
        <v>11658</v>
      </c>
      <c r="E489" s="253"/>
      <c r="F489" s="253"/>
      <c r="G489" s="253"/>
      <c r="H489" s="253"/>
      <c r="I489" s="253"/>
      <c r="J489" s="253"/>
      <c r="K489" s="253"/>
      <c r="L489" s="253"/>
      <c r="M489" s="253"/>
      <c r="N489" s="253"/>
      <c r="O489" s="253"/>
      <c r="P489" s="253"/>
      <c r="Q489" s="253"/>
      <c r="R489" s="253"/>
    </row>
    <row r="490" ht="15.75" customHeight="1">
      <c r="A490" s="253"/>
      <c r="B490" s="253"/>
      <c r="C490" s="253"/>
      <c r="D490" s="262" t="s">
        <v>11659</v>
      </c>
      <c r="E490" s="253"/>
      <c r="F490" s="253"/>
      <c r="G490" s="253"/>
      <c r="H490" s="253"/>
      <c r="I490" s="253"/>
      <c r="J490" s="253"/>
      <c r="K490" s="253"/>
      <c r="L490" s="253"/>
      <c r="M490" s="253"/>
      <c r="N490" s="253"/>
      <c r="O490" s="253"/>
      <c r="P490" s="253"/>
      <c r="Q490" s="253"/>
      <c r="R490" s="253"/>
    </row>
    <row r="491" ht="15.75" customHeight="1">
      <c r="A491" s="253"/>
      <c r="B491" s="253"/>
      <c r="C491" s="253"/>
      <c r="D491" s="262" t="s">
        <v>11660</v>
      </c>
      <c r="E491" s="253"/>
      <c r="F491" s="253"/>
      <c r="G491" s="253"/>
      <c r="H491" s="253"/>
      <c r="I491" s="253"/>
      <c r="J491" s="253"/>
      <c r="K491" s="253"/>
      <c r="L491" s="253"/>
      <c r="M491" s="253"/>
      <c r="N491" s="253"/>
      <c r="O491" s="253"/>
      <c r="P491" s="253"/>
      <c r="Q491" s="253"/>
      <c r="R491" s="253"/>
    </row>
    <row r="492" ht="15.75" customHeight="1">
      <c r="A492" s="253"/>
      <c r="B492" s="253"/>
      <c r="C492" s="253"/>
      <c r="D492" s="262" t="s">
        <v>8006</v>
      </c>
      <c r="E492" s="253"/>
      <c r="F492" s="253"/>
      <c r="G492" s="253"/>
      <c r="H492" s="253"/>
      <c r="I492" s="253"/>
      <c r="J492" s="253"/>
      <c r="K492" s="253"/>
      <c r="L492" s="253"/>
      <c r="M492" s="253"/>
      <c r="N492" s="253"/>
      <c r="O492" s="253"/>
      <c r="P492" s="253"/>
      <c r="Q492" s="253"/>
      <c r="R492" s="253"/>
    </row>
    <row r="493" ht="15.75" customHeight="1">
      <c r="A493" s="253"/>
      <c r="B493" s="253"/>
      <c r="C493" s="253"/>
      <c r="D493" s="262" t="s">
        <v>11661</v>
      </c>
      <c r="E493" s="253"/>
      <c r="F493" s="253"/>
      <c r="G493" s="253"/>
      <c r="H493" s="253"/>
      <c r="I493" s="253"/>
      <c r="J493" s="253"/>
      <c r="K493" s="253"/>
      <c r="L493" s="253"/>
      <c r="M493" s="253"/>
      <c r="N493" s="253"/>
      <c r="O493" s="253"/>
      <c r="P493" s="253"/>
      <c r="Q493" s="253"/>
      <c r="R493" s="253"/>
    </row>
    <row r="494" ht="15.75" customHeight="1">
      <c r="A494" s="253"/>
      <c r="B494" s="253"/>
      <c r="C494" s="253"/>
      <c r="D494" s="262" t="s">
        <v>11662</v>
      </c>
      <c r="E494" s="253"/>
      <c r="F494" s="253"/>
      <c r="G494" s="253"/>
      <c r="H494" s="253"/>
      <c r="I494" s="253"/>
      <c r="J494" s="253"/>
      <c r="K494" s="253"/>
      <c r="L494" s="253"/>
      <c r="M494" s="253"/>
      <c r="N494" s="253"/>
      <c r="O494" s="253"/>
      <c r="P494" s="253"/>
      <c r="Q494" s="253"/>
      <c r="R494" s="253"/>
    </row>
    <row r="495" ht="15.75" customHeight="1">
      <c r="A495" s="253"/>
      <c r="B495" s="253"/>
      <c r="C495" s="253"/>
      <c r="D495" s="262" t="s">
        <v>11663</v>
      </c>
      <c r="E495" s="253"/>
      <c r="F495" s="253"/>
      <c r="G495" s="253"/>
      <c r="H495" s="253"/>
      <c r="I495" s="253"/>
      <c r="J495" s="253"/>
      <c r="K495" s="253"/>
      <c r="L495" s="253"/>
      <c r="M495" s="253"/>
      <c r="N495" s="253"/>
      <c r="O495" s="253"/>
      <c r="P495" s="253"/>
      <c r="Q495" s="253"/>
      <c r="R495" s="253"/>
    </row>
    <row r="496" ht="15.75" customHeight="1">
      <c r="A496" s="253"/>
      <c r="B496" s="253"/>
      <c r="C496" s="253"/>
      <c r="D496" s="262" t="s">
        <v>11664</v>
      </c>
      <c r="E496" s="253"/>
      <c r="F496" s="253"/>
      <c r="G496" s="253"/>
      <c r="H496" s="253"/>
      <c r="I496" s="253"/>
      <c r="J496" s="253"/>
      <c r="K496" s="253"/>
      <c r="L496" s="253"/>
      <c r="M496" s="253"/>
      <c r="N496" s="253"/>
      <c r="O496" s="253"/>
      <c r="P496" s="253"/>
      <c r="Q496" s="253"/>
      <c r="R496" s="253"/>
    </row>
    <row r="497" ht="15.75" customHeight="1">
      <c r="A497" s="253"/>
      <c r="B497" s="253"/>
      <c r="C497" s="253"/>
      <c r="D497" s="262" t="s">
        <v>6725</v>
      </c>
      <c r="E497" s="253"/>
      <c r="F497" s="253"/>
      <c r="G497" s="253"/>
      <c r="H497" s="253"/>
      <c r="I497" s="253"/>
      <c r="J497" s="253"/>
      <c r="K497" s="253"/>
      <c r="L497" s="253"/>
      <c r="M497" s="253"/>
      <c r="N497" s="253"/>
      <c r="O497" s="253"/>
      <c r="P497" s="253"/>
      <c r="Q497" s="253"/>
      <c r="R497" s="253"/>
    </row>
    <row r="498" ht="15.75" customHeight="1">
      <c r="A498" s="253"/>
      <c r="B498" s="253"/>
      <c r="C498" s="253"/>
      <c r="D498" s="262" t="s">
        <v>11665</v>
      </c>
      <c r="E498" s="253"/>
      <c r="F498" s="253"/>
      <c r="G498" s="253"/>
      <c r="H498" s="253"/>
      <c r="I498" s="253"/>
      <c r="J498" s="253"/>
      <c r="K498" s="253"/>
      <c r="L498" s="253"/>
      <c r="M498" s="253"/>
      <c r="N498" s="253"/>
      <c r="O498" s="253"/>
      <c r="P498" s="253"/>
      <c r="Q498" s="253"/>
      <c r="R498" s="253"/>
    </row>
    <row r="499" ht="15.75" customHeight="1">
      <c r="A499" s="253"/>
      <c r="B499" s="253"/>
      <c r="C499" s="253"/>
      <c r="D499" s="262" t="s">
        <v>5189</v>
      </c>
      <c r="E499" s="253"/>
      <c r="F499" s="253"/>
      <c r="G499" s="253"/>
      <c r="H499" s="253"/>
      <c r="I499" s="253"/>
      <c r="J499" s="253"/>
      <c r="K499" s="253"/>
      <c r="L499" s="253"/>
      <c r="M499" s="253"/>
      <c r="N499" s="253"/>
      <c r="O499" s="253"/>
      <c r="P499" s="253"/>
      <c r="Q499" s="253"/>
      <c r="R499" s="253"/>
    </row>
    <row r="500" ht="15.75" customHeight="1">
      <c r="A500" s="253"/>
      <c r="B500" s="253"/>
      <c r="C500" s="253"/>
      <c r="D500" s="262" t="s">
        <v>4174</v>
      </c>
      <c r="E500" s="253"/>
      <c r="F500" s="253"/>
      <c r="G500" s="253"/>
      <c r="H500" s="253"/>
      <c r="I500" s="253"/>
      <c r="J500" s="253"/>
      <c r="K500" s="253"/>
      <c r="L500" s="253"/>
      <c r="M500" s="253"/>
      <c r="N500" s="253"/>
      <c r="O500" s="253"/>
      <c r="P500" s="253"/>
      <c r="Q500" s="253"/>
      <c r="R500" s="253"/>
    </row>
    <row r="501" ht="15.75" customHeight="1">
      <c r="A501" s="253"/>
      <c r="B501" s="253"/>
      <c r="C501" s="253"/>
      <c r="D501" s="262" t="s">
        <v>11666</v>
      </c>
      <c r="E501" s="253"/>
      <c r="F501" s="253"/>
      <c r="G501" s="253"/>
      <c r="H501" s="253"/>
      <c r="I501" s="253"/>
      <c r="J501" s="253"/>
      <c r="K501" s="253"/>
      <c r="L501" s="253"/>
      <c r="M501" s="253"/>
      <c r="N501" s="253"/>
      <c r="O501" s="253"/>
      <c r="P501" s="253"/>
      <c r="Q501" s="253"/>
      <c r="R501" s="253"/>
    </row>
    <row r="502" ht="15.75" customHeight="1">
      <c r="A502" s="253"/>
      <c r="B502" s="253"/>
      <c r="C502" s="253"/>
      <c r="D502" s="262" t="s">
        <v>11667</v>
      </c>
      <c r="E502" s="253"/>
      <c r="F502" s="253"/>
      <c r="G502" s="253"/>
      <c r="H502" s="253"/>
      <c r="I502" s="253"/>
      <c r="J502" s="253"/>
      <c r="K502" s="253"/>
      <c r="L502" s="253"/>
      <c r="M502" s="253"/>
      <c r="N502" s="253"/>
      <c r="O502" s="253"/>
      <c r="P502" s="253"/>
      <c r="Q502" s="253"/>
      <c r="R502" s="253"/>
    </row>
    <row r="503" ht="15.75" customHeight="1">
      <c r="A503" s="253"/>
      <c r="B503" s="253"/>
      <c r="C503" s="253"/>
      <c r="D503" s="262" t="s">
        <v>11668</v>
      </c>
      <c r="E503" s="253"/>
      <c r="F503" s="253"/>
      <c r="G503" s="253"/>
      <c r="H503" s="253"/>
      <c r="I503" s="253"/>
      <c r="J503" s="253"/>
      <c r="K503" s="253"/>
      <c r="L503" s="253"/>
      <c r="M503" s="253"/>
      <c r="N503" s="253"/>
      <c r="O503" s="253"/>
      <c r="P503" s="253"/>
      <c r="Q503" s="253"/>
      <c r="R503" s="253"/>
    </row>
    <row r="504" ht="15.75" customHeight="1">
      <c r="A504" s="253"/>
      <c r="B504" s="253"/>
      <c r="C504" s="253"/>
      <c r="D504" s="262" t="s">
        <v>11669</v>
      </c>
      <c r="E504" s="253"/>
      <c r="F504" s="253"/>
      <c r="G504" s="253"/>
      <c r="H504" s="253"/>
      <c r="I504" s="253"/>
      <c r="J504" s="253"/>
      <c r="K504" s="253"/>
      <c r="L504" s="253"/>
      <c r="M504" s="253"/>
      <c r="N504" s="253"/>
      <c r="O504" s="253"/>
      <c r="P504" s="253"/>
      <c r="Q504" s="253"/>
      <c r="R504" s="253"/>
    </row>
    <row r="505" ht="15.75" customHeight="1">
      <c r="A505" s="253"/>
      <c r="B505" s="253"/>
      <c r="C505" s="253"/>
      <c r="D505" s="262" t="s">
        <v>6398</v>
      </c>
      <c r="E505" s="253"/>
      <c r="F505" s="253"/>
      <c r="G505" s="253"/>
      <c r="H505" s="253"/>
      <c r="I505" s="253"/>
      <c r="J505" s="253"/>
      <c r="K505" s="253"/>
      <c r="L505" s="253"/>
      <c r="M505" s="253"/>
      <c r="N505" s="253"/>
      <c r="O505" s="253"/>
      <c r="P505" s="253"/>
      <c r="Q505" s="253"/>
      <c r="R505" s="253"/>
    </row>
    <row r="506" ht="15.75" customHeight="1">
      <c r="A506" s="253"/>
      <c r="B506" s="253"/>
      <c r="C506" s="253"/>
      <c r="D506" s="262" t="s">
        <v>11670</v>
      </c>
      <c r="E506" s="253"/>
      <c r="F506" s="253"/>
      <c r="G506" s="253"/>
      <c r="H506" s="253"/>
      <c r="I506" s="253"/>
      <c r="J506" s="253"/>
      <c r="K506" s="253"/>
      <c r="L506" s="253"/>
      <c r="M506" s="253"/>
      <c r="N506" s="253"/>
      <c r="O506" s="253"/>
      <c r="P506" s="253"/>
      <c r="Q506" s="253"/>
      <c r="R506" s="253"/>
    </row>
    <row r="507" ht="15.75" customHeight="1">
      <c r="A507" s="253"/>
      <c r="B507" s="253"/>
      <c r="C507" s="253"/>
      <c r="D507" s="262" t="s">
        <v>11671</v>
      </c>
      <c r="E507" s="253"/>
      <c r="F507" s="253"/>
      <c r="G507" s="253"/>
      <c r="H507" s="253"/>
      <c r="I507" s="253"/>
      <c r="J507" s="253"/>
      <c r="K507" s="253"/>
      <c r="L507" s="253"/>
      <c r="M507" s="253"/>
      <c r="N507" s="253"/>
      <c r="O507" s="253"/>
      <c r="P507" s="253"/>
      <c r="Q507" s="253"/>
      <c r="R507" s="253"/>
    </row>
    <row r="508" ht="15.75" customHeight="1">
      <c r="A508" s="253"/>
      <c r="B508" s="253"/>
      <c r="C508" s="253"/>
      <c r="D508" s="262" t="s">
        <v>6897</v>
      </c>
      <c r="E508" s="253"/>
      <c r="F508" s="253"/>
      <c r="G508" s="253"/>
      <c r="H508" s="253"/>
      <c r="I508" s="253"/>
      <c r="J508" s="253"/>
      <c r="K508" s="253"/>
      <c r="L508" s="253"/>
      <c r="M508" s="253"/>
      <c r="N508" s="253"/>
      <c r="O508" s="253"/>
      <c r="P508" s="253"/>
      <c r="Q508" s="253"/>
      <c r="R508" s="253"/>
    </row>
    <row r="509" ht="15.75" customHeight="1">
      <c r="A509" s="253"/>
      <c r="B509" s="253"/>
      <c r="C509" s="253"/>
      <c r="D509" s="262" t="s">
        <v>11672</v>
      </c>
      <c r="E509" s="253"/>
      <c r="F509" s="253"/>
      <c r="G509" s="253"/>
      <c r="H509" s="253"/>
      <c r="I509" s="253"/>
      <c r="J509" s="253"/>
      <c r="K509" s="253"/>
      <c r="L509" s="253"/>
      <c r="M509" s="253"/>
      <c r="N509" s="253"/>
      <c r="O509" s="253"/>
      <c r="P509" s="253"/>
      <c r="Q509" s="253"/>
      <c r="R509" s="253"/>
    </row>
    <row r="510" ht="15.75" customHeight="1">
      <c r="A510" s="253"/>
      <c r="B510" s="253"/>
      <c r="C510" s="253"/>
      <c r="D510" s="262" t="s">
        <v>7006</v>
      </c>
      <c r="E510" s="253"/>
      <c r="F510" s="253"/>
      <c r="G510" s="253"/>
      <c r="H510" s="253"/>
      <c r="I510" s="253"/>
      <c r="J510" s="253"/>
      <c r="K510" s="253"/>
      <c r="L510" s="253"/>
      <c r="M510" s="253"/>
      <c r="N510" s="253"/>
      <c r="O510" s="253"/>
      <c r="P510" s="253"/>
      <c r="Q510" s="253"/>
      <c r="R510" s="253"/>
    </row>
    <row r="511" ht="15.75" customHeight="1">
      <c r="A511" s="253"/>
      <c r="B511" s="253"/>
      <c r="C511" s="253"/>
      <c r="D511" s="262" t="s">
        <v>11673</v>
      </c>
      <c r="E511" s="253"/>
      <c r="F511" s="253"/>
      <c r="G511" s="253"/>
      <c r="H511" s="253"/>
      <c r="I511" s="253"/>
      <c r="J511" s="253"/>
      <c r="K511" s="253"/>
      <c r="L511" s="253"/>
      <c r="M511" s="253"/>
      <c r="N511" s="253"/>
      <c r="O511" s="253"/>
      <c r="P511" s="253"/>
      <c r="Q511" s="253"/>
      <c r="R511" s="253"/>
    </row>
    <row r="512" ht="15.75" customHeight="1">
      <c r="A512" s="253"/>
      <c r="B512" s="253"/>
      <c r="C512" s="253"/>
      <c r="D512" s="262" t="s">
        <v>1326</v>
      </c>
      <c r="E512" s="253"/>
      <c r="F512" s="253"/>
      <c r="G512" s="253"/>
      <c r="H512" s="253"/>
      <c r="I512" s="253"/>
      <c r="J512" s="253"/>
      <c r="K512" s="253"/>
      <c r="L512" s="253"/>
      <c r="M512" s="253"/>
      <c r="N512" s="253"/>
      <c r="O512" s="253"/>
      <c r="P512" s="253"/>
      <c r="Q512" s="253"/>
      <c r="R512" s="253"/>
    </row>
    <row r="513" ht="15.75" customHeight="1">
      <c r="A513" s="253"/>
      <c r="B513" s="253"/>
      <c r="C513" s="253"/>
      <c r="D513" s="262" t="s">
        <v>11674</v>
      </c>
      <c r="E513" s="253"/>
      <c r="F513" s="253"/>
      <c r="G513" s="253"/>
      <c r="H513" s="253"/>
      <c r="I513" s="253"/>
      <c r="J513" s="253"/>
      <c r="K513" s="253"/>
      <c r="L513" s="253"/>
      <c r="M513" s="253"/>
      <c r="N513" s="253"/>
      <c r="O513" s="253"/>
      <c r="P513" s="253"/>
      <c r="Q513" s="253"/>
      <c r="R513" s="253"/>
    </row>
    <row r="514" ht="15.75" customHeight="1">
      <c r="A514" s="253"/>
      <c r="B514" s="253"/>
      <c r="C514" s="253"/>
      <c r="D514" s="262" t="s">
        <v>11675</v>
      </c>
      <c r="E514" s="253"/>
      <c r="F514" s="253"/>
      <c r="G514" s="253"/>
      <c r="H514" s="253"/>
      <c r="I514" s="253"/>
      <c r="J514" s="253"/>
      <c r="K514" s="253"/>
      <c r="L514" s="253"/>
      <c r="M514" s="253"/>
      <c r="N514" s="253"/>
      <c r="O514" s="253"/>
      <c r="P514" s="253"/>
      <c r="Q514" s="253"/>
      <c r="R514" s="253"/>
    </row>
    <row r="515" ht="15.75" customHeight="1">
      <c r="A515" s="253"/>
      <c r="B515" s="253"/>
      <c r="C515" s="253"/>
      <c r="D515" s="262" t="s">
        <v>2438</v>
      </c>
      <c r="E515" s="253"/>
      <c r="F515" s="253"/>
      <c r="G515" s="253"/>
      <c r="H515" s="253"/>
      <c r="I515" s="253"/>
      <c r="J515" s="253"/>
      <c r="K515" s="253"/>
      <c r="L515" s="253"/>
      <c r="M515" s="253"/>
      <c r="N515" s="253"/>
      <c r="O515" s="253"/>
      <c r="P515" s="253"/>
      <c r="Q515" s="253"/>
      <c r="R515" s="253"/>
    </row>
    <row r="516" ht="15.75" customHeight="1">
      <c r="A516" s="253"/>
      <c r="B516" s="253"/>
      <c r="C516" s="253"/>
      <c r="D516" s="262" t="s">
        <v>4563</v>
      </c>
      <c r="E516" s="253"/>
      <c r="F516" s="253"/>
      <c r="G516" s="253"/>
      <c r="H516" s="253"/>
      <c r="I516" s="253"/>
      <c r="J516" s="253"/>
      <c r="K516" s="253"/>
      <c r="L516" s="253"/>
      <c r="M516" s="253"/>
      <c r="N516" s="253"/>
      <c r="O516" s="253"/>
      <c r="P516" s="253"/>
      <c r="Q516" s="253"/>
      <c r="R516" s="253"/>
    </row>
    <row r="517" ht="15.75" customHeight="1">
      <c r="A517" s="253"/>
      <c r="B517" s="253"/>
      <c r="C517" s="253"/>
      <c r="D517" s="262" t="s">
        <v>1948</v>
      </c>
      <c r="E517" s="253"/>
      <c r="F517" s="253"/>
      <c r="G517" s="253"/>
      <c r="H517" s="253"/>
      <c r="I517" s="253"/>
      <c r="J517" s="253"/>
      <c r="K517" s="253"/>
      <c r="L517" s="253"/>
      <c r="M517" s="253"/>
      <c r="N517" s="253"/>
      <c r="O517" s="253"/>
      <c r="P517" s="253"/>
      <c r="Q517" s="253"/>
      <c r="R517" s="253"/>
    </row>
    <row r="518" ht="15.75" customHeight="1">
      <c r="A518" s="253"/>
      <c r="B518" s="253"/>
      <c r="C518" s="253"/>
      <c r="D518" s="262" t="s">
        <v>8530</v>
      </c>
      <c r="E518" s="253"/>
      <c r="F518" s="253"/>
      <c r="G518" s="253"/>
      <c r="H518" s="253"/>
      <c r="I518" s="253"/>
      <c r="J518" s="253"/>
      <c r="K518" s="253"/>
      <c r="L518" s="253"/>
      <c r="M518" s="253"/>
      <c r="N518" s="253"/>
      <c r="O518" s="253"/>
      <c r="P518" s="253"/>
      <c r="Q518" s="253"/>
      <c r="R518" s="253"/>
    </row>
    <row r="519" ht="15.75" customHeight="1">
      <c r="A519" s="253"/>
      <c r="B519" s="253"/>
      <c r="C519" s="253"/>
      <c r="D519" s="262" t="s">
        <v>2160</v>
      </c>
      <c r="E519" s="253"/>
      <c r="F519" s="253"/>
      <c r="G519" s="253"/>
      <c r="H519" s="253"/>
      <c r="I519" s="253"/>
      <c r="J519" s="253"/>
      <c r="K519" s="253"/>
      <c r="L519" s="253"/>
      <c r="M519" s="253"/>
      <c r="N519" s="253"/>
      <c r="O519" s="253"/>
      <c r="P519" s="253"/>
      <c r="Q519" s="253"/>
      <c r="R519" s="253"/>
    </row>
    <row r="520" ht="15.75" customHeight="1">
      <c r="A520" s="253"/>
      <c r="B520" s="253"/>
      <c r="C520" s="253"/>
      <c r="D520" s="262" t="s">
        <v>4945</v>
      </c>
      <c r="E520" s="253"/>
      <c r="F520" s="253"/>
      <c r="G520" s="253"/>
      <c r="H520" s="253"/>
      <c r="I520" s="253"/>
      <c r="J520" s="253"/>
      <c r="K520" s="253"/>
      <c r="L520" s="253"/>
      <c r="M520" s="253"/>
      <c r="N520" s="253"/>
      <c r="O520" s="253"/>
      <c r="P520" s="253"/>
      <c r="Q520" s="253"/>
      <c r="R520" s="253"/>
    </row>
    <row r="521" ht="15.75" customHeight="1">
      <c r="A521" s="253"/>
      <c r="B521" s="253"/>
      <c r="C521" s="253"/>
      <c r="D521" s="262" t="s">
        <v>3643</v>
      </c>
      <c r="E521" s="253"/>
      <c r="F521" s="253"/>
      <c r="G521" s="253"/>
      <c r="H521" s="253"/>
      <c r="I521" s="253"/>
      <c r="J521" s="253"/>
      <c r="K521" s="253"/>
      <c r="L521" s="253"/>
      <c r="M521" s="253"/>
      <c r="N521" s="253"/>
      <c r="O521" s="253"/>
      <c r="P521" s="253"/>
      <c r="Q521" s="253"/>
      <c r="R521" s="253"/>
    </row>
    <row r="522" ht="15.75" customHeight="1">
      <c r="A522" s="253"/>
      <c r="B522" s="253"/>
      <c r="C522" s="253"/>
      <c r="D522" s="262" t="s">
        <v>11676</v>
      </c>
      <c r="E522" s="253"/>
      <c r="F522" s="253"/>
      <c r="G522" s="253"/>
      <c r="H522" s="253"/>
      <c r="I522" s="253"/>
      <c r="J522" s="253"/>
      <c r="K522" s="253"/>
      <c r="L522" s="253"/>
      <c r="M522" s="253"/>
      <c r="N522" s="253"/>
      <c r="O522" s="253"/>
      <c r="P522" s="253"/>
      <c r="Q522" s="253"/>
      <c r="R522" s="253"/>
    </row>
    <row r="523" ht="15.75" customHeight="1">
      <c r="A523" s="253"/>
      <c r="B523" s="253"/>
      <c r="C523" s="253"/>
      <c r="D523" s="262" t="s">
        <v>11432</v>
      </c>
      <c r="E523" s="253"/>
      <c r="F523" s="253"/>
      <c r="G523" s="253"/>
      <c r="H523" s="253"/>
      <c r="I523" s="253"/>
      <c r="J523" s="253"/>
      <c r="K523" s="253"/>
      <c r="L523" s="253"/>
      <c r="M523" s="253"/>
      <c r="N523" s="253"/>
      <c r="O523" s="253"/>
      <c r="P523" s="253"/>
      <c r="Q523" s="253"/>
      <c r="R523" s="253"/>
    </row>
    <row r="524" ht="15.75" customHeight="1">
      <c r="A524" s="253"/>
      <c r="B524" s="253"/>
      <c r="C524" s="253"/>
      <c r="D524" s="262" t="s">
        <v>11677</v>
      </c>
      <c r="E524" s="253"/>
      <c r="F524" s="253"/>
      <c r="G524" s="253"/>
      <c r="H524" s="253"/>
      <c r="I524" s="253"/>
      <c r="J524" s="253"/>
      <c r="K524" s="253"/>
      <c r="L524" s="253"/>
      <c r="M524" s="253"/>
      <c r="N524" s="253"/>
      <c r="O524" s="253"/>
      <c r="P524" s="253"/>
      <c r="Q524" s="253"/>
      <c r="R524" s="253"/>
    </row>
    <row r="525" ht="15.75" customHeight="1">
      <c r="A525" s="253"/>
      <c r="B525" s="253"/>
      <c r="C525" s="253"/>
      <c r="D525" s="262" t="s">
        <v>11678</v>
      </c>
      <c r="E525" s="253"/>
      <c r="F525" s="253"/>
      <c r="G525" s="253"/>
      <c r="H525" s="253"/>
      <c r="I525" s="253"/>
      <c r="J525" s="253"/>
      <c r="K525" s="253"/>
      <c r="L525" s="253"/>
      <c r="M525" s="253"/>
      <c r="N525" s="253"/>
      <c r="O525" s="253"/>
      <c r="P525" s="253"/>
      <c r="Q525" s="253"/>
      <c r="R525" s="253"/>
    </row>
    <row r="526" ht="15.75" customHeight="1">
      <c r="A526" s="253"/>
      <c r="B526" s="253"/>
      <c r="C526" s="253"/>
      <c r="D526" s="262" t="s">
        <v>11679</v>
      </c>
      <c r="E526" s="253"/>
      <c r="F526" s="253"/>
      <c r="G526" s="253"/>
      <c r="H526" s="253"/>
      <c r="I526" s="253"/>
      <c r="J526" s="253"/>
      <c r="K526" s="253"/>
      <c r="L526" s="253"/>
      <c r="M526" s="253"/>
      <c r="N526" s="253"/>
      <c r="O526" s="253"/>
      <c r="P526" s="253"/>
      <c r="Q526" s="253"/>
      <c r="R526" s="253"/>
    </row>
    <row r="527" ht="15.75" customHeight="1">
      <c r="A527" s="253"/>
      <c r="B527" s="253"/>
      <c r="C527" s="253"/>
      <c r="D527" s="262" t="s">
        <v>5528</v>
      </c>
      <c r="E527" s="253"/>
      <c r="F527" s="253"/>
      <c r="G527" s="253"/>
      <c r="H527" s="253"/>
      <c r="I527" s="253"/>
      <c r="J527" s="253"/>
      <c r="K527" s="253"/>
      <c r="L527" s="253"/>
      <c r="M527" s="253"/>
      <c r="N527" s="253"/>
      <c r="O527" s="253"/>
      <c r="P527" s="253"/>
      <c r="Q527" s="253"/>
      <c r="R527" s="253"/>
    </row>
    <row r="528" ht="15.75" customHeight="1">
      <c r="A528" s="253"/>
      <c r="B528" s="253"/>
      <c r="C528" s="253"/>
      <c r="D528" s="262" t="s">
        <v>3664</v>
      </c>
      <c r="E528" s="253"/>
      <c r="F528" s="253"/>
      <c r="G528" s="253"/>
      <c r="H528" s="253"/>
      <c r="I528" s="253"/>
      <c r="J528" s="253"/>
      <c r="K528" s="253"/>
      <c r="L528" s="253"/>
      <c r="M528" s="253"/>
      <c r="N528" s="253"/>
      <c r="O528" s="253"/>
      <c r="P528" s="253"/>
      <c r="Q528" s="253"/>
      <c r="R528" s="253"/>
    </row>
    <row r="529" ht="15.75" customHeight="1">
      <c r="A529" s="253"/>
      <c r="B529" s="253"/>
      <c r="C529" s="253"/>
      <c r="D529" s="262" t="s">
        <v>11680</v>
      </c>
      <c r="E529" s="253"/>
      <c r="F529" s="253"/>
      <c r="G529" s="253"/>
      <c r="H529" s="253"/>
      <c r="I529" s="253"/>
      <c r="J529" s="253"/>
      <c r="K529" s="253"/>
      <c r="L529" s="253"/>
      <c r="M529" s="253"/>
      <c r="N529" s="253"/>
      <c r="O529" s="253"/>
      <c r="P529" s="253"/>
      <c r="Q529" s="253"/>
      <c r="R529" s="253"/>
    </row>
    <row r="530" ht="15.75" customHeight="1">
      <c r="A530" s="253"/>
      <c r="B530" s="253"/>
      <c r="C530" s="253"/>
      <c r="D530" s="262" t="s">
        <v>11681</v>
      </c>
      <c r="E530" s="253"/>
      <c r="F530" s="253"/>
      <c r="G530" s="253"/>
      <c r="H530" s="253"/>
      <c r="I530" s="253"/>
      <c r="J530" s="253"/>
      <c r="K530" s="253"/>
      <c r="L530" s="253"/>
      <c r="M530" s="253"/>
      <c r="N530" s="253"/>
      <c r="O530" s="253"/>
      <c r="P530" s="253"/>
      <c r="Q530" s="253"/>
      <c r="R530" s="253"/>
    </row>
    <row r="531" ht="15.75" customHeight="1">
      <c r="A531" s="253"/>
      <c r="B531" s="253"/>
      <c r="C531" s="253"/>
      <c r="D531" s="262" t="s">
        <v>11682</v>
      </c>
      <c r="E531" s="253"/>
      <c r="F531" s="253"/>
      <c r="G531" s="253"/>
      <c r="H531" s="253"/>
      <c r="I531" s="253"/>
      <c r="J531" s="253"/>
      <c r="K531" s="253"/>
      <c r="L531" s="253"/>
      <c r="M531" s="253"/>
      <c r="N531" s="253"/>
      <c r="O531" s="253"/>
      <c r="P531" s="253"/>
      <c r="Q531" s="253"/>
      <c r="R531" s="253"/>
    </row>
    <row r="532" ht="15.75" customHeight="1">
      <c r="A532" s="253"/>
      <c r="B532" s="253"/>
      <c r="C532" s="253"/>
      <c r="D532" s="262" t="s">
        <v>11683</v>
      </c>
      <c r="E532" s="253"/>
      <c r="F532" s="253"/>
      <c r="G532" s="253"/>
      <c r="H532" s="253"/>
      <c r="I532" s="253"/>
      <c r="J532" s="253"/>
      <c r="K532" s="253"/>
      <c r="L532" s="253"/>
      <c r="M532" s="253"/>
      <c r="N532" s="253"/>
      <c r="O532" s="253"/>
      <c r="P532" s="253"/>
      <c r="Q532" s="253"/>
      <c r="R532" s="253"/>
    </row>
    <row r="533" ht="15.75" customHeight="1">
      <c r="A533" s="253"/>
      <c r="B533" s="253"/>
      <c r="C533" s="253"/>
      <c r="D533" s="262" t="s">
        <v>1971</v>
      </c>
      <c r="E533" s="253"/>
      <c r="F533" s="253"/>
      <c r="G533" s="253"/>
      <c r="H533" s="253"/>
      <c r="I533" s="253"/>
      <c r="J533" s="253"/>
      <c r="K533" s="253"/>
      <c r="L533" s="253"/>
      <c r="M533" s="253"/>
      <c r="N533" s="253"/>
      <c r="O533" s="253"/>
      <c r="P533" s="253"/>
      <c r="Q533" s="253"/>
      <c r="R533" s="253"/>
    </row>
    <row r="534" ht="15.75" customHeight="1">
      <c r="A534" s="253"/>
      <c r="B534" s="253"/>
      <c r="C534" s="253"/>
      <c r="D534" s="262" t="s">
        <v>11684</v>
      </c>
      <c r="E534" s="253"/>
      <c r="F534" s="253"/>
      <c r="G534" s="253"/>
      <c r="H534" s="253"/>
      <c r="I534" s="253"/>
      <c r="J534" s="253"/>
      <c r="K534" s="253"/>
      <c r="L534" s="253"/>
      <c r="M534" s="253"/>
      <c r="N534" s="253"/>
      <c r="O534" s="253"/>
      <c r="P534" s="253"/>
      <c r="Q534" s="253"/>
      <c r="R534" s="253"/>
    </row>
    <row r="535" ht="15.75" customHeight="1">
      <c r="A535" s="253"/>
      <c r="B535" s="253"/>
      <c r="C535" s="253"/>
      <c r="D535" s="262" t="s">
        <v>11685</v>
      </c>
      <c r="E535" s="253"/>
      <c r="F535" s="253"/>
      <c r="G535" s="253"/>
      <c r="H535" s="253"/>
      <c r="I535" s="253"/>
      <c r="J535" s="253"/>
      <c r="K535" s="253"/>
      <c r="L535" s="253"/>
      <c r="M535" s="253"/>
      <c r="N535" s="253"/>
      <c r="O535" s="253"/>
      <c r="P535" s="253"/>
      <c r="Q535" s="253"/>
      <c r="R535" s="253"/>
    </row>
    <row r="536" ht="15.75" customHeight="1">
      <c r="A536" s="253"/>
      <c r="B536" s="253"/>
      <c r="C536" s="253"/>
      <c r="D536" s="262" t="s">
        <v>11686</v>
      </c>
      <c r="E536" s="253"/>
      <c r="F536" s="253"/>
      <c r="G536" s="253"/>
      <c r="H536" s="253"/>
      <c r="I536" s="253"/>
      <c r="J536" s="253"/>
      <c r="K536" s="253"/>
      <c r="L536" s="253"/>
      <c r="M536" s="253"/>
      <c r="N536" s="253"/>
      <c r="O536" s="253"/>
      <c r="P536" s="253"/>
      <c r="Q536" s="253"/>
      <c r="R536" s="253"/>
    </row>
    <row r="537" ht="15.75" customHeight="1">
      <c r="A537" s="253"/>
      <c r="B537" s="253"/>
      <c r="C537" s="253"/>
      <c r="D537" s="262" t="s">
        <v>5595</v>
      </c>
      <c r="E537" s="253"/>
      <c r="F537" s="253"/>
      <c r="G537" s="253"/>
      <c r="H537" s="253"/>
      <c r="I537" s="253"/>
      <c r="J537" s="253"/>
      <c r="K537" s="253"/>
      <c r="L537" s="253"/>
      <c r="M537" s="253"/>
      <c r="N537" s="253"/>
      <c r="O537" s="253"/>
      <c r="P537" s="253"/>
      <c r="Q537" s="253"/>
      <c r="R537" s="253"/>
    </row>
    <row r="538" ht="15.75" customHeight="1">
      <c r="A538" s="253"/>
      <c r="B538" s="253"/>
      <c r="C538" s="253"/>
      <c r="D538" s="262" t="s">
        <v>11687</v>
      </c>
      <c r="E538" s="253"/>
      <c r="F538" s="253"/>
      <c r="G538" s="253"/>
      <c r="H538" s="253"/>
      <c r="I538" s="253"/>
      <c r="J538" s="253"/>
      <c r="K538" s="253"/>
      <c r="L538" s="253"/>
      <c r="M538" s="253"/>
      <c r="N538" s="253"/>
      <c r="O538" s="253"/>
      <c r="P538" s="253"/>
      <c r="Q538" s="253"/>
      <c r="R538" s="253"/>
    </row>
    <row r="539" ht="15.75" customHeight="1">
      <c r="A539" s="253"/>
      <c r="B539" s="253"/>
      <c r="C539" s="253"/>
      <c r="D539" s="262" t="s">
        <v>11688</v>
      </c>
      <c r="E539" s="253"/>
      <c r="F539" s="253"/>
      <c r="G539" s="253"/>
      <c r="H539" s="253"/>
      <c r="I539" s="253"/>
      <c r="J539" s="253"/>
      <c r="K539" s="253"/>
      <c r="L539" s="253"/>
      <c r="M539" s="253"/>
      <c r="N539" s="253"/>
      <c r="O539" s="253"/>
      <c r="P539" s="253"/>
      <c r="Q539" s="253"/>
      <c r="R539" s="253"/>
    </row>
    <row r="540" ht="15.75" customHeight="1">
      <c r="A540" s="253"/>
      <c r="B540" s="253"/>
      <c r="C540" s="253"/>
      <c r="D540" s="262" t="s">
        <v>7258</v>
      </c>
      <c r="E540" s="253"/>
      <c r="F540" s="253"/>
      <c r="G540" s="253"/>
      <c r="H540" s="253"/>
      <c r="I540" s="253"/>
      <c r="J540" s="253"/>
      <c r="K540" s="253"/>
      <c r="L540" s="253"/>
      <c r="M540" s="253"/>
      <c r="N540" s="253"/>
      <c r="O540" s="253"/>
      <c r="P540" s="253"/>
      <c r="Q540" s="253"/>
      <c r="R540" s="253"/>
    </row>
    <row r="541" ht="15.75" customHeight="1">
      <c r="A541" s="253"/>
      <c r="B541" s="253"/>
      <c r="C541" s="253"/>
      <c r="D541" s="262" t="s">
        <v>11689</v>
      </c>
      <c r="E541" s="253"/>
      <c r="F541" s="253"/>
      <c r="G541" s="253"/>
      <c r="H541" s="253"/>
      <c r="I541" s="253"/>
      <c r="J541" s="253"/>
      <c r="K541" s="253"/>
      <c r="L541" s="253"/>
      <c r="M541" s="253"/>
      <c r="N541" s="253"/>
      <c r="O541" s="253"/>
      <c r="P541" s="253"/>
      <c r="Q541" s="253"/>
      <c r="R541" s="253"/>
    </row>
    <row r="542" ht="15.75" customHeight="1">
      <c r="A542" s="253"/>
      <c r="B542" s="253"/>
      <c r="C542" s="253"/>
      <c r="D542" s="262" t="s">
        <v>11690</v>
      </c>
      <c r="E542" s="253"/>
      <c r="F542" s="253"/>
      <c r="G542" s="253"/>
      <c r="H542" s="253"/>
      <c r="I542" s="253"/>
      <c r="J542" s="253"/>
      <c r="K542" s="253"/>
      <c r="L542" s="253"/>
      <c r="M542" s="253"/>
      <c r="N542" s="253"/>
      <c r="O542" s="253"/>
      <c r="P542" s="253"/>
      <c r="Q542" s="253"/>
      <c r="R542" s="253"/>
    </row>
    <row r="543" ht="15.75" customHeight="1">
      <c r="A543" s="253"/>
      <c r="B543" s="253"/>
      <c r="C543" s="253"/>
      <c r="D543" s="262" t="s">
        <v>11025</v>
      </c>
      <c r="E543" s="253"/>
      <c r="F543" s="253"/>
      <c r="G543" s="253"/>
      <c r="H543" s="253"/>
      <c r="I543" s="253"/>
      <c r="J543" s="253"/>
      <c r="K543" s="253"/>
      <c r="L543" s="253"/>
      <c r="M543" s="253"/>
      <c r="N543" s="253"/>
      <c r="O543" s="253"/>
      <c r="P543" s="253"/>
      <c r="Q543" s="253"/>
      <c r="R543" s="253"/>
    </row>
    <row r="544" ht="15.75" customHeight="1">
      <c r="A544" s="253"/>
      <c r="B544" s="253"/>
      <c r="C544" s="253"/>
      <c r="D544" s="262" t="s">
        <v>11691</v>
      </c>
      <c r="E544" s="253"/>
      <c r="F544" s="253"/>
      <c r="G544" s="253"/>
      <c r="H544" s="253"/>
      <c r="I544" s="253"/>
      <c r="J544" s="253"/>
      <c r="K544" s="253"/>
      <c r="L544" s="253"/>
      <c r="M544" s="253"/>
      <c r="N544" s="253"/>
      <c r="O544" s="253"/>
      <c r="P544" s="253"/>
      <c r="Q544" s="253"/>
      <c r="R544" s="253"/>
    </row>
    <row r="545" ht="15.75" customHeight="1">
      <c r="A545" s="253"/>
      <c r="B545" s="253"/>
      <c r="C545" s="253"/>
      <c r="D545" s="262" t="s">
        <v>11692</v>
      </c>
      <c r="E545" s="253"/>
      <c r="F545" s="253"/>
      <c r="G545" s="253"/>
      <c r="H545" s="253"/>
      <c r="I545" s="253"/>
      <c r="J545" s="253"/>
      <c r="K545" s="253"/>
      <c r="L545" s="253"/>
      <c r="M545" s="253"/>
      <c r="N545" s="253"/>
      <c r="O545" s="253"/>
      <c r="P545" s="253"/>
      <c r="Q545" s="253"/>
      <c r="R545" s="253"/>
    </row>
    <row r="546" ht="15.75" customHeight="1">
      <c r="A546" s="253"/>
      <c r="B546" s="253"/>
      <c r="C546" s="253"/>
      <c r="D546" s="262" t="s">
        <v>11693</v>
      </c>
      <c r="E546" s="253"/>
      <c r="F546" s="253"/>
      <c r="G546" s="253"/>
      <c r="H546" s="253"/>
      <c r="I546" s="253"/>
      <c r="J546" s="253"/>
      <c r="K546" s="253"/>
      <c r="L546" s="253"/>
      <c r="M546" s="253"/>
      <c r="N546" s="253"/>
      <c r="O546" s="253"/>
      <c r="P546" s="253"/>
      <c r="Q546" s="253"/>
      <c r="R546" s="253"/>
    </row>
    <row r="547" ht="15.75" customHeight="1">
      <c r="A547" s="253"/>
      <c r="B547" s="253"/>
      <c r="C547" s="253"/>
      <c r="D547" s="262" t="s">
        <v>11694</v>
      </c>
      <c r="E547" s="253"/>
      <c r="F547" s="253"/>
      <c r="G547" s="253"/>
      <c r="H547" s="253"/>
      <c r="I547" s="253"/>
      <c r="J547" s="253"/>
      <c r="K547" s="253"/>
      <c r="L547" s="253"/>
      <c r="M547" s="253"/>
      <c r="N547" s="253"/>
      <c r="O547" s="253"/>
      <c r="P547" s="253"/>
      <c r="Q547" s="253"/>
      <c r="R547" s="253"/>
    </row>
    <row r="548" ht="15.75" customHeight="1">
      <c r="A548" s="253"/>
      <c r="B548" s="253"/>
      <c r="C548" s="253"/>
      <c r="D548" s="262" t="s">
        <v>2883</v>
      </c>
      <c r="E548" s="253"/>
      <c r="F548" s="253"/>
      <c r="G548" s="253"/>
      <c r="H548" s="253"/>
      <c r="I548" s="253"/>
      <c r="J548" s="253"/>
      <c r="K548" s="253"/>
      <c r="L548" s="253"/>
      <c r="M548" s="253"/>
      <c r="N548" s="253"/>
      <c r="O548" s="253"/>
      <c r="P548" s="253"/>
      <c r="Q548" s="253"/>
      <c r="R548" s="253"/>
    </row>
    <row r="549" ht="15.75" customHeight="1">
      <c r="A549" s="253"/>
      <c r="B549" s="253"/>
      <c r="C549" s="253"/>
      <c r="D549" s="262" t="s">
        <v>4503</v>
      </c>
      <c r="E549" s="253"/>
      <c r="F549" s="253"/>
      <c r="G549" s="253"/>
      <c r="H549" s="253"/>
      <c r="I549" s="253"/>
      <c r="J549" s="253"/>
      <c r="K549" s="253"/>
      <c r="L549" s="253"/>
      <c r="M549" s="253"/>
      <c r="N549" s="253"/>
      <c r="O549" s="253"/>
      <c r="P549" s="253"/>
      <c r="Q549" s="253"/>
      <c r="R549" s="253"/>
    </row>
    <row r="550" ht="15.75" customHeight="1">
      <c r="A550" s="253"/>
      <c r="B550" s="253"/>
      <c r="C550" s="253"/>
      <c r="D550" s="262" t="s">
        <v>11695</v>
      </c>
      <c r="E550" s="253"/>
      <c r="F550" s="253"/>
      <c r="G550" s="253"/>
      <c r="H550" s="253"/>
      <c r="I550" s="253"/>
      <c r="J550" s="253"/>
      <c r="K550" s="253"/>
      <c r="L550" s="253"/>
      <c r="M550" s="253"/>
      <c r="N550" s="253"/>
      <c r="O550" s="253"/>
      <c r="P550" s="253"/>
      <c r="Q550" s="253"/>
      <c r="R550" s="253"/>
    </row>
    <row r="551" ht="15.75" customHeight="1">
      <c r="A551" s="253"/>
      <c r="B551" s="253"/>
      <c r="C551" s="253"/>
      <c r="D551" s="262" t="s">
        <v>11696</v>
      </c>
      <c r="E551" s="253"/>
      <c r="F551" s="253"/>
      <c r="G551" s="253"/>
      <c r="H551" s="253"/>
      <c r="I551" s="253"/>
      <c r="J551" s="253"/>
      <c r="K551" s="253"/>
      <c r="L551" s="253"/>
      <c r="M551" s="253"/>
      <c r="N551" s="253"/>
      <c r="O551" s="253"/>
      <c r="P551" s="253"/>
      <c r="Q551" s="253"/>
      <c r="R551" s="253"/>
    </row>
    <row r="552" ht="15.75" customHeight="1">
      <c r="A552" s="253"/>
      <c r="B552" s="253"/>
      <c r="C552" s="253"/>
      <c r="D552" s="262" t="s">
        <v>11697</v>
      </c>
      <c r="E552" s="253"/>
      <c r="F552" s="253"/>
      <c r="G552" s="253"/>
      <c r="H552" s="253"/>
      <c r="I552" s="253"/>
      <c r="J552" s="253"/>
      <c r="K552" s="253"/>
      <c r="L552" s="253"/>
      <c r="M552" s="253"/>
      <c r="N552" s="253"/>
      <c r="O552" s="253"/>
      <c r="P552" s="253"/>
      <c r="Q552" s="253"/>
      <c r="R552" s="253"/>
    </row>
    <row r="553" ht="15.75" customHeight="1">
      <c r="A553" s="253"/>
      <c r="B553" s="253"/>
      <c r="C553" s="253"/>
      <c r="D553" s="262" t="s">
        <v>1404</v>
      </c>
      <c r="E553" s="253"/>
      <c r="F553" s="253"/>
      <c r="G553" s="253"/>
      <c r="H553" s="253"/>
      <c r="I553" s="253"/>
      <c r="J553" s="253"/>
      <c r="K553" s="253"/>
      <c r="L553" s="253"/>
      <c r="M553" s="253"/>
      <c r="N553" s="253"/>
      <c r="O553" s="253"/>
      <c r="P553" s="253"/>
      <c r="Q553" s="253"/>
      <c r="R553" s="253"/>
    </row>
    <row r="554" ht="15.75" customHeight="1">
      <c r="A554" s="253"/>
      <c r="B554" s="253"/>
      <c r="C554" s="253"/>
      <c r="D554" s="262" t="s">
        <v>6221</v>
      </c>
      <c r="E554" s="253"/>
      <c r="F554" s="253"/>
      <c r="G554" s="253"/>
      <c r="H554" s="253"/>
      <c r="I554" s="253"/>
      <c r="J554" s="253"/>
      <c r="K554" s="253"/>
      <c r="L554" s="253"/>
      <c r="M554" s="253"/>
      <c r="N554" s="253"/>
      <c r="O554" s="253"/>
      <c r="P554" s="253"/>
      <c r="Q554" s="253"/>
      <c r="R554" s="253"/>
    </row>
    <row r="555" ht="15.75" customHeight="1">
      <c r="A555" s="253"/>
      <c r="B555" s="253"/>
      <c r="C555" s="253"/>
      <c r="D555" s="262" t="s">
        <v>11698</v>
      </c>
      <c r="E555" s="253"/>
      <c r="F555" s="253"/>
      <c r="G555" s="253"/>
      <c r="H555" s="253"/>
      <c r="I555" s="253"/>
      <c r="J555" s="253"/>
      <c r="K555" s="253"/>
      <c r="L555" s="253"/>
      <c r="M555" s="253"/>
      <c r="N555" s="253"/>
      <c r="O555" s="253"/>
      <c r="P555" s="253"/>
      <c r="Q555" s="253"/>
      <c r="R555" s="253"/>
    </row>
    <row r="556" ht="15.75" customHeight="1">
      <c r="A556" s="253"/>
      <c r="B556" s="253"/>
      <c r="C556" s="253"/>
      <c r="D556" s="262" t="s">
        <v>1316</v>
      </c>
      <c r="E556" s="253"/>
      <c r="F556" s="253"/>
      <c r="G556" s="253"/>
      <c r="H556" s="253"/>
      <c r="I556" s="253"/>
      <c r="J556" s="253"/>
      <c r="K556" s="253"/>
      <c r="L556" s="253"/>
      <c r="M556" s="253"/>
      <c r="N556" s="253"/>
      <c r="O556" s="253"/>
      <c r="P556" s="253"/>
      <c r="Q556" s="253"/>
      <c r="R556" s="253"/>
    </row>
    <row r="557" ht="15.75" customHeight="1">
      <c r="A557" s="253"/>
      <c r="B557" s="253"/>
      <c r="C557" s="253"/>
      <c r="D557" s="262" t="s">
        <v>11699</v>
      </c>
      <c r="E557" s="253"/>
      <c r="F557" s="253"/>
      <c r="G557" s="253"/>
      <c r="H557" s="253"/>
      <c r="I557" s="253"/>
      <c r="J557" s="253"/>
      <c r="K557" s="253"/>
      <c r="L557" s="253"/>
      <c r="M557" s="253"/>
      <c r="N557" s="253"/>
      <c r="O557" s="253"/>
      <c r="P557" s="253"/>
      <c r="Q557" s="253"/>
      <c r="R557" s="253"/>
    </row>
    <row r="558" ht="15.75" customHeight="1">
      <c r="A558" s="253"/>
      <c r="B558" s="253"/>
      <c r="C558" s="253"/>
      <c r="D558" s="262" t="s">
        <v>11700</v>
      </c>
      <c r="E558" s="253"/>
      <c r="F558" s="253"/>
      <c r="G558" s="253"/>
      <c r="H558" s="253"/>
      <c r="I558" s="253"/>
      <c r="J558" s="253"/>
      <c r="K558" s="253"/>
      <c r="L558" s="253"/>
      <c r="M558" s="253"/>
      <c r="N558" s="253"/>
      <c r="O558" s="253"/>
      <c r="P558" s="253"/>
      <c r="Q558" s="253"/>
      <c r="R558" s="253"/>
    </row>
    <row r="559" ht="15.75" customHeight="1">
      <c r="A559" s="253"/>
      <c r="B559" s="253"/>
      <c r="C559" s="253"/>
      <c r="D559" s="262" t="s">
        <v>3263</v>
      </c>
      <c r="E559" s="253"/>
      <c r="F559" s="253"/>
      <c r="G559" s="253"/>
      <c r="H559" s="253"/>
      <c r="I559" s="253"/>
      <c r="J559" s="253"/>
      <c r="K559" s="253"/>
      <c r="L559" s="253"/>
      <c r="M559" s="253"/>
      <c r="N559" s="253"/>
      <c r="O559" s="253"/>
      <c r="P559" s="253"/>
      <c r="Q559" s="253"/>
      <c r="R559" s="253"/>
    </row>
    <row r="560" ht="15.75" customHeight="1">
      <c r="A560" s="253"/>
      <c r="B560" s="253"/>
      <c r="C560" s="253"/>
      <c r="D560" s="262" t="s">
        <v>5157</v>
      </c>
      <c r="E560" s="253"/>
      <c r="F560" s="253"/>
      <c r="G560" s="253"/>
      <c r="H560" s="253"/>
      <c r="I560" s="253"/>
      <c r="J560" s="253"/>
      <c r="K560" s="253"/>
      <c r="L560" s="253"/>
      <c r="M560" s="253"/>
      <c r="N560" s="253"/>
      <c r="O560" s="253"/>
      <c r="P560" s="253"/>
      <c r="Q560" s="253"/>
      <c r="R560" s="253"/>
    </row>
    <row r="561" ht="15.75" customHeight="1">
      <c r="A561" s="253"/>
      <c r="B561" s="253"/>
      <c r="C561" s="253"/>
      <c r="D561" s="262" t="s">
        <v>11701</v>
      </c>
      <c r="E561" s="253"/>
      <c r="F561" s="253"/>
      <c r="G561" s="253"/>
      <c r="H561" s="253"/>
      <c r="I561" s="253"/>
      <c r="J561" s="253"/>
      <c r="K561" s="253"/>
      <c r="L561" s="253"/>
      <c r="M561" s="253"/>
      <c r="N561" s="253"/>
      <c r="O561" s="253"/>
      <c r="P561" s="253"/>
      <c r="Q561" s="253"/>
      <c r="R561" s="253"/>
    </row>
    <row r="562" ht="15.75" customHeight="1">
      <c r="A562" s="253"/>
      <c r="B562" s="253"/>
      <c r="C562" s="253"/>
      <c r="D562" s="262" t="s">
        <v>11702</v>
      </c>
      <c r="E562" s="253"/>
      <c r="F562" s="253"/>
      <c r="G562" s="253"/>
      <c r="H562" s="253"/>
      <c r="I562" s="253"/>
      <c r="J562" s="253"/>
      <c r="K562" s="253"/>
      <c r="L562" s="253"/>
      <c r="M562" s="253"/>
      <c r="N562" s="253"/>
      <c r="O562" s="253"/>
      <c r="P562" s="253"/>
      <c r="Q562" s="253"/>
      <c r="R562" s="253"/>
    </row>
    <row r="563" ht="15.75" customHeight="1">
      <c r="A563" s="253"/>
      <c r="B563" s="253"/>
      <c r="C563" s="253"/>
      <c r="D563" s="262" t="s">
        <v>3683</v>
      </c>
      <c r="E563" s="253"/>
      <c r="F563" s="253"/>
      <c r="G563" s="253"/>
      <c r="H563" s="253"/>
      <c r="I563" s="253"/>
      <c r="J563" s="253"/>
      <c r="K563" s="253"/>
      <c r="L563" s="253"/>
      <c r="M563" s="253"/>
      <c r="N563" s="253"/>
      <c r="O563" s="253"/>
      <c r="P563" s="253"/>
      <c r="Q563" s="253"/>
      <c r="R563" s="253"/>
    </row>
    <row r="564" ht="15.75" customHeight="1">
      <c r="A564" s="253"/>
      <c r="B564" s="253"/>
      <c r="C564" s="253"/>
      <c r="D564" s="262" t="s">
        <v>6415</v>
      </c>
      <c r="E564" s="253"/>
      <c r="F564" s="253"/>
      <c r="G564" s="253"/>
      <c r="H564" s="253"/>
      <c r="I564" s="253"/>
      <c r="J564" s="253"/>
      <c r="K564" s="253"/>
      <c r="L564" s="253"/>
      <c r="M564" s="253"/>
      <c r="N564" s="253"/>
      <c r="O564" s="253"/>
      <c r="P564" s="253"/>
      <c r="Q564" s="253"/>
      <c r="R564" s="253"/>
    </row>
    <row r="565" ht="15.75" customHeight="1">
      <c r="A565" s="253"/>
      <c r="B565" s="253"/>
      <c r="C565" s="253"/>
      <c r="D565" s="262" t="s">
        <v>11703</v>
      </c>
      <c r="E565" s="253"/>
      <c r="F565" s="253"/>
      <c r="G565" s="253"/>
      <c r="H565" s="253"/>
      <c r="I565" s="253"/>
      <c r="J565" s="253"/>
      <c r="K565" s="253"/>
      <c r="L565" s="253"/>
      <c r="M565" s="253"/>
      <c r="N565" s="253"/>
      <c r="O565" s="253"/>
      <c r="P565" s="253"/>
      <c r="Q565" s="253"/>
      <c r="R565" s="253"/>
    </row>
    <row r="566" ht="15.75" customHeight="1">
      <c r="A566" s="253"/>
      <c r="B566" s="253"/>
      <c r="C566" s="253"/>
      <c r="D566" s="262" t="s">
        <v>1530</v>
      </c>
      <c r="E566" s="253"/>
      <c r="F566" s="253"/>
      <c r="G566" s="253"/>
      <c r="H566" s="253"/>
      <c r="I566" s="253"/>
      <c r="J566" s="253"/>
      <c r="K566" s="253"/>
      <c r="L566" s="253"/>
      <c r="M566" s="253"/>
      <c r="N566" s="253"/>
      <c r="O566" s="253"/>
      <c r="P566" s="253"/>
      <c r="Q566" s="253"/>
      <c r="R566" s="253"/>
    </row>
    <row r="567" ht="15.75" customHeight="1">
      <c r="A567" s="253"/>
      <c r="B567" s="253"/>
      <c r="C567" s="253"/>
      <c r="D567" s="262" t="s">
        <v>7017</v>
      </c>
      <c r="E567" s="253"/>
      <c r="F567" s="253"/>
      <c r="G567" s="253"/>
      <c r="H567" s="253"/>
      <c r="I567" s="253"/>
      <c r="J567" s="253"/>
      <c r="K567" s="253"/>
      <c r="L567" s="253"/>
      <c r="M567" s="253"/>
      <c r="N567" s="253"/>
      <c r="O567" s="253"/>
      <c r="P567" s="253"/>
      <c r="Q567" s="253"/>
      <c r="R567" s="253"/>
    </row>
    <row r="568" ht="15.75" customHeight="1">
      <c r="A568" s="253"/>
      <c r="B568" s="253"/>
      <c r="C568" s="253"/>
      <c r="D568" s="262" t="s">
        <v>4580</v>
      </c>
      <c r="E568" s="253"/>
      <c r="F568" s="253"/>
      <c r="G568" s="253"/>
      <c r="H568" s="253"/>
      <c r="I568" s="253"/>
      <c r="J568" s="253"/>
      <c r="K568" s="253"/>
      <c r="L568" s="253"/>
      <c r="M568" s="253"/>
      <c r="N568" s="253"/>
      <c r="O568" s="253"/>
      <c r="P568" s="253"/>
      <c r="Q568" s="253"/>
      <c r="R568" s="253"/>
    </row>
    <row r="569" ht="15.75" customHeight="1">
      <c r="A569" s="253"/>
      <c r="B569" s="253"/>
      <c r="C569" s="253"/>
      <c r="D569" s="262" t="s">
        <v>11704</v>
      </c>
      <c r="E569" s="253"/>
      <c r="F569" s="253"/>
      <c r="G569" s="253"/>
      <c r="H569" s="253"/>
      <c r="I569" s="253"/>
      <c r="J569" s="253"/>
      <c r="K569" s="253"/>
      <c r="L569" s="253"/>
      <c r="M569" s="253"/>
      <c r="N569" s="253"/>
      <c r="O569" s="253"/>
      <c r="P569" s="253"/>
      <c r="Q569" s="253"/>
      <c r="R569" s="253"/>
    </row>
    <row r="570" ht="15.75" customHeight="1">
      <c r="A570" s="253"/>
      <c r="B570" s="253"/>
      <c r="C570" s="253"/>
      <c r="D570" s="262" t="s">
        <v>2199</v>
      </c>
      <c r="E570" s="253"/>
      <c r="F570" s="253"/>
      <c r="G570" s="253"/>
      <c r="H570" s="253"/>
      <c r="I570" s="253"/>
      <c r="J570" s="253"/>
      <c r="K570" s="253"/>
      <c r="L570" s="253"/>
      <c r="M570" s="253"/>
      <c r="N570" s="253"/>
      <c r="O570" s="253"/>
      <c r="P570" s="253"/>
      <c r="Q570" s="253"/>
      <c r="R570" s="253"/>
    </row>
    <row r="571" ht="15.75" customHeight="1">
      <c r="A571" s="253"/>
      <c r="B571" s="253"/>
      <c r="C571" s="253"/>
      <c r="D571" s="262" t="s">
        <v>7044</v>
      </c>
      <c r="E571" s="253"/>
      <c r="F571" s="253"/>
      <c r="G571" s="253"/>
      <c r="H571" s="253"/>
      <c r="I571" s="253"/>
      <c r="J571" s="253"/>
      <c r="K571" s="253"/>
      <c r="L571" s="253"/>
      <c r="M571" s="253"/>
      <c r="N571" s="253"/>
      <c r="O571" s="253"/>
      <c r="P571" s="253"/>
      <c r="Q571" s="253"/>
      <c r="R571" s="253"/>
    </row>
    <row r="572" ht="15.75" customHeight="1">
      <c r="A572" s="253"/>
      <c r="B572" s="253"/>
      <c r="C572" s="253"/>
      <c r="D572" s="262" t="s">
        <v>11705</v>
      </c>
      <c r="E572" s="253"/>
      <c r="F572" s="253"/>
      <c r="G572" s="253"/>
      <c r="H572" s="253"/>
      <c r="I572" s="253"/>
      <c r="J572" s="253"/>
      <c r="K572" s="253"/>
      <c r="L572" s="253"/>
      <c r="M572" s="253"/>
      <c r="N572" s="253"/>
      <c r="O572" s="253"/>
      <c r="P572" s="253"/>
      <c r="Q572" s="253"/>
      <c r="R572" s="253"/>
    </row>
    <row r="573" ht="15.75" customHeight="1">
      <c r="A573" s="253"/>
      <c r="B573" s="253"/>
      <c r="C573" s="253"/>
      <c r="D573" s="262" t="s">
        <v>11706</v>
      </c>
      <c r="E573" s="253"/>
      <c r="F573" s="253"/>
      <c r="G573" s="253"/>
      <c r="H573" s="253"/>
      <c r="I573" s="253"/>
      <c r="J573" s="253"/>
      <c r="K573" s="253"/>
      <c r="L573" s="253"/>
      <c r="M573" s="253"/>
      <c r="N573" s="253"/>
      <c r="O573" s="253"/>
      <c r="P573" s="253"/>
      <c r="Q573" s="253"/>
      <c r="R573" s="253"/>
    </row>
    <row r="574" ht="15.75" customHeight="1">
      <c r="A574" s="253"/>
      <c r="B574" s="253"/>
      <c r="C574" s="253"/>
      <c r="D574" s="262" t="s">
        <v>11707</v>
      </c>
      <c r="E574" s="253"/>
      <c r="F574" s="253"/>
      <c r="G574" s="253"/>
      <c r="H574" s="253"/>
      <c r="I574" s="253"/>
      <c r="J574" s="253"/>
      <c r="K574" s="253"/>
      <c r="L574" s="253"/>
      <c r="M574" s="253"/>
      <c r="N574" s="253"/>
      <c r="O574" s="253"/>
      <c r="P574" s="253"/>
      <c r="Q574" s="253"/>
      <c r="R574" s="253"/>
    </row>
    <row r="575" ht="15.75" customHeight="1">
      <c r="A575" s="253"/>
      <c r="B575" s="253"/>
      <c r="C575" s="253"/>
      <c r="D575" s="262" t="s">
        <v>11708</v>
      </c>
      <c r="E575" s="253"/>
      <c r="F575" s="253"/>
      <c r="G575" s="253"/>
      <c r="H575" s="253"/>
      <c r="I575" s="253"/>
      <c r="J575" s="253"/>
      <c r="K575" s="253"/>
      <c r="L575" s="253"/>
      <c r="M575" s="253"/>
      <c r="N575" s="253"/>
      <c r="O575" s="253"/>
      <c r="P575" s="253"/>
      <c r="Q575" s="253"/>
      <c r="R575" s="253"/>
    </row>
    <row r="576" ht="15.75" customHeight="1">
      <c r="A576" s="253"/>
      <c r="B576" s="253"/>
      <c r="C576" s="253"/>
      <c r="D576" s="262" t="s">
        <v>11709</v>
      </c>
      <c r="E576" s="253"/>
      <c r="F576" s="253"/>
      <c r="G576" s="253"/>
      <c r="H576" s="253"/>
      <c r="I576" s="253"/>
      <c r="J576" s="253"/>
      <c r="K576" s="253"/>
      <c r="L576" s="253"/>
      <c r="M576" s="253"/>
      <c r="N576" s="253"/>
      <c r="O576" s="253"/>
      <c r="P576" s="253"/>
      <c r="Q576" s="253"/>
      <c r="R576" s="253"/>
    </row>
    <row r="577" ht="15.75" customHeight="1">
      <c r="A577" s="253"/>
      <c r="B577" s="253"/>
      <c r="C577" s="253"/>
      <c r="D577" s="262" t="s">
        <v>11710</v>
      </c>
      <c r="E577" s="253"/>
      <c r="F577" s="253"/>
      <c r="G577" s="253"/>
      <c r="H577" s="253"/>
      <c r="I577" s="253"/>
      <c r="J577" s="253"/>
      <c r="K577" s="253"/>
      <c r="L577" s="253"/>
      <c r="M577" s="253"/>
      <c r="N577" s="253"/>
      <c r="O577" s="253"/>
      <c r="P577" s="253"/>
      <c r="Q577" s="253"/>
      <c r="R577" s="253"/>
    </row>
    <row r="578" ht="15.75" customHeight="1">
      <c r="A578" s="253"/>
      <c r="B578" s="253"/>
      <c r="C578" s="253"/>
      <c r="D578" s="262" t="s">
        <v>5177</v>
      </c>
      <c r="E578" s="253"/>
      <c r="F578" s="253"/>
      <c r="G578" s="253"/>
      <c r="H578" s="253"/>
      <c r="I578" s="253"/>
      <c r="J578" s="253"/>
      <c r="K578" s="253"/>
      <c r="L578" s="253"/>
      <c r="M578" s="253"/>
      <c r="N578" s="253"/>
      <c r="O578" s="253"/>
      <c r="P578" s="253"/>
      <c r="Q578" s="253"/>
      <c r="R578" s="253"/>
    </row>
    <row r="579" ht="15.75" customHeight="1">
      <c r="A579" s="253"/>
      <c r="B579" s="253"/>
      <c r="C579" s="253"/>
      <c r="D579" s="262" t="s">
        <v>11711</v>
      </c>
      <c r="E579" s="253"/>
      <c r="F579" s="253"/>
      <c r="G579" s="253"/>
      <c r="H579" s="253"/>
      <c r="I579" s="253"/>
      <c r="J579" s="253"/>
      <c r="K579" s="253"/>
      <c r="L579" s="253"/>
      <c r="M579" s="253"/>
      <c r="N579" s="253"/>
      <c r="O579" s="253"/>
      <c r="P579" s="253"/>
      <c r="Q579" s="253"/>
      <c r="R579" s="253"/>
    </row>
    <row r="580" ht="15.75" customHeight="1">
      <c r="A580" s="253"/>
      <c r="B580" s="253"/>
      <c r="C580" s="253"/>
      <c r="D580" s="262" t="s">
        <v>11712</v>
      </c>
      <c r="E580" s="253"/>
      <c r="F580" s="253"/>
      <c r="G580" s="253"/>
      <c r="H580" s="253"/>
      <c r="I580" s="253"/>
      <c r="J580" s="253"/>
      <c r="K580" s="253"/>
      <c r="L580" s="253"/>
      <c r="M580" s="253"/>
      <c r="N580" s="253"/>
      <c r="O580" s="253"/>
      <c r="P580" s="253"/>
      <c r="Q580" s="253"/>
      <c r="R580" s="253"/>
    </row>
    <row r="581" ht="15.75" customHeight="1">
      <c r="A581" s="253"/>
      <c r="B581" s="253"/>
      <c r="C581" s="253"/>
      <c r="D581" s="262" t="s">
        <v>4995</v>
      </c>
      <c r="E581" s="253"/>
      <c r="F581" s="253"/>
      <c r="G581" s="253"/>
      <c r="H581" s="253"/>
      <c r="I581" s="253"/>
      <c r="J581" s="253"/>
      <c r="K581" s="253"/>
      <c r="L581" s="253"/>
      <c r="M581" s="253"/>
      <c r="N581" s="253"/>
      <c r="O581" s="253"/>
      <c r="P581" s="253"/>
      <c r="Q581" s="253"/>
      <c r="R581" s="253"/>
    </row>
    <row r="582" ht="15.75" customHeight="1">
      <c r="A582" s="253"/>
      <c r="B582" s="253"/>
      <c r="C582" s="253"/>
      <c r="D582" s="262" t="s">
        <v>11713</v>
      </c>
      <c r="E582" s="253"/>
      <c r="F582" s="253"/>
      <c r="G582" s="253"/>
      <c r="H582" s="253"/>
      <c r="I582" s="253"/>
      <c r="J582" s="253"/>
      <c r="K582" s="253"/>
      <c r="L582" s="253"/>
      <c r="M582" s="253"/>
      <c r="N582" s="253"/>
      <c r="O582" s="253"/>
      <c r="P582" s="253"/>
      <c r="Q582" s="253"/>
      <c r="R582" s="253"/>
    </row>
    <row r="583" ht="15.75" customHeight="1">
      <c r="A583" s="253"/>
      <c r="B583" s="253"/>
      <c r="C583" s="253"/>
      <c r="D583" s="262" t="s">
        <v>8564</v>
      </c>
      <c r="E583" s="253"/>
      <c r="F583" s="253"/>
      <c r="G583" s="253"/>
      <c r="H583" s="253"/>
      <c r="I583" s="253"/>
      <c r="J583" s="253"/>
      <c r="K583" s="253"/>
      <c r="L583" s="253"/>
      <c r="M583" s="253"/>
      <c r="N583" s="253"/>
      <c r="O583" s="253"/>
      <c r="P583" s="253"/>
      <c r="Q583" s="253"/>
      <c r="R583" s="253"/>
    </row>
    <row r="584" ht="15.75" customHeight="1">
      <c r="A584" s="253"/>
      <c r="B584" s="253"/>
      <c r="C584" s="253"/>
      <c r="D584" s="262" t="s">
        <v>11714</v>
      </c>
      <c r="E584" s="253"/>
      <c r="F584" s="253"/>
      <c r="G584" s="253"/>
      <c r="H584" s="253"/>
      <c r="I584" s="253"/>
      <c r="J584" s="253"/>
      <c r="K584" s="253"/>
      <c r="L584" s="253"/>
      <c r="M584" s="253"/>
      <c r="N584" s="253"/>
      <c r="O584" s="253"/>
      <c r="P584" s="253"/>
      <c r="Q584" s="253"/>
      <c r="R584" s="253"/>
    </row>
    <row r="585" ht="15.75" customHeight="1">
      <c r="A585" s="253"/>
      <c r="B585" s="253"/>
      <c r="C585" s="253"/>
      <c r="D585" s="262" t="s">
        <v>11715</v>
      </c>
      <c r="E585" s="253"/>
      <c r="F585" s="253"/>
      <c r="G585" s="253"/>
      <c r="H585" s="253"/>
      <c r="I585" s="253"/>
      <c r="J585" s="253"/>
      <c r="K585" s="253"/>
      <c r="L585" s="253"/>
      <c r="M585" s="253"/>
      <c r="N585" s="253"/>
      <c r="O585" s="253"/>
      <c r="P585" s="253"/>
      <c r="Q585" s="253"/>
      <c r="R585" s="253"/>
    </row>
    <row r="586" ht="15.75" customHeight="1">
      <c r="A586" s="253"/>
      <c r="B586" s="253"/>
      <c r="C586" s="253"/>
      <c r="D586" s="262" t="s">
        <v>11716</v>
      </c>
      <c r="E586" s="253"/>
      <c r="F586" s="253"/>
      <c r="G586" s="253"/>
      <c r="H586" s="253"/>
      <c r="I586" s="253"/>
      <c r="J586" s="253"/>
      <c r="K586" s="253"/>
      <c r="L586" s="253"/>
      <c r="M586" s="253"/>
      <c r="N586" s="253"/>
      <c r="O586" s="253"/>
      <c r="P586" s="253"/>
      <c r="Q586" s="253"/>
      <c r="R586" s="253"/>
    </row>
    <row r="587" ht="15.75" customHeight="1">
      <c r="A587" s="253"/>
      <c r="B587" s="253"/>
      <c r="C587" s="253"/>
      <c r="D587" s="262" t="s">
        <v>8649</v>
      </c>
      <c r="E587" s="253"/>
      <c r="F587" s="253"/>
      <c r="G587" s="253"/>
      <c r="H587" s="253"/>
      <c r="I587" s="253"/>
      <c r="J587" s="253"/>
      <c r="K587" s="253"/>
      <c r="L587" s="253"/>
      <c r="M587" s="253"/>
      <c r="N587" s="253"/>
      <c r="O587" s="253"/>
      <c r="P587" s="253"/>
      <c r="Q587" s="253"/>
      <c r="R587" s="253"/>
    </row>
    <row r="588" ht="15.75" customHeight="1">
      <c r="A588" s="253"/>
      <c r="B588" s="253"/>
      <c r="C588" s="253"/>
      <c r="D588" s="262" t="s">
        <v>11717</v>
      </c>
      <c r="E588" s="253"/>
      <c r="F588" s="253"/>
      <c r="G588" s="253"/>
      <c r="H588" s="253"/>
      <c r="I588" s="253"/>
      <c r="J588" s="253"/>
      <c r="K588" s="253"/>
      <c r="L588" s="253"/>
      <c r="M588" s="253"/>
      <c r="N588" s="253"/>
      <c r="O588" s="253"/>
      <c r="P588" s="253"/>
      <c r="Q588" s="253"/>
      <c r="R588" s="253"/>
    </row>
    <row r="589" ht="15.75" customHeight="1">
      <c r="A589" s="253"/>
      <c r="B589" s="253"/>
      <c r="C589" s="253"/>
      <c r="D589" s="262" t="s">
        <v>2276</v>
      </c>
      <c r="E589" s="253"/>
      <c r="F589" s="253"/>
      <c r="G589" s="253"/>
      <c r="H589" s="253"/>
      <c r="I589" s="253"/>
      <c r="J589" s="253"/>
      <c r="K589" s="253"/>
      <c r="L589" s="253"/>
      <c r="M589" s="253"/>
      <c r="N589" s="253"/>
      <c r="O589" s="253"/>
      <c r="P589" s="253"/>
      <c r="Q589" s="253"/>
      <c r="R589" s="253"/>
    </row>
    <row r="590" ht="15.75" customHeight="1">
      <c r="A590" s="253"/>
      <c r="B590" s="253"/>
      <c r="C590" s="253"/>
      <c r="D590" s="262" t="s">
        <v>11718</v>
      </c>
      <c r="E590" s="253"/>
      <c r="F590" s="253"/>
      <c r="G590" s="253"/>
      <c r="H590" s="253"/>
      <c r="I590" s="253"/>
      <c r="J590" s="253"/>
      <c r="K590" s="253"/>
      <c r="L590" s="253"/>
      <c r="M590" s="253"/>
      <c r="N590" s="253"/>
      <c r="O590" s="253"/>
      <c r="P590" s="253"/>
      <c r="Q590" s="253"/>
      <c r="R590" s="253"/>
    </row>
    <row r="591" ht="15.75" customHeight="1">
      <c r="A591" s="253"/>
      <c r="B591" s="253"/>
      <c r="C591" s="253"/>
      <c r="D591" s="262" t="s">
        <v>11719</v>
      </c>
      <c r="E591" s="253"/>
      <c r="F591" s="253"/>
      <c r="G591" s="253"/>
      <c r="H591" s="253"/>
      <c r="I591" s="253"/>
      <c r="J591" s="253"/>
      <c r="K591" s="253"/>
      <c r="L591" s="253"/>
      <c r="M591" s="253"/>
      <c r="N591" s="253"/>
      <c r="O591" s="253"/>
      <c r="P591" s="253"/>
      <c r="Q591" s="253"/>
      <c r="R591" s="253"/>
    </row>
    <row r="592" ht="15.75" customHeight="1">
      <c r="A592" s="253"/>
      <c r="B592" s="253"/>
      <c r="C592" s="253"/>
      <c r="D592" s="262" t="s">
        <v>4795</v>
      </c>
      <c r="E592" s="253"/>
      <c r="F592" s="253"/>
      <c r="G592" s="253"/>
      <c r="H592" s="253"/>
      <c r="I592" s="253"/>
      <c r="J592" s="253"/>
      <c r="K592" s="253"/>
      <c r="L592" s="253"/>
      <c r="M592" s="253"/>
      <c r="N592" s="253"/>
      <c r="O592" s="253"/>
      <c r="P592" s="253"/>
      <c r="Q592" s="253"/>
      <c r="R592" s="253"/>
    </row>
    <row r="593" ht="15.75" customHeight="1">
      <c r="A593" s="253"/>
      <c r="B593" s="253"/>
      <c r="C593" s="253"/>
      <c r="D593" s="262" t="s">
        <v>11720</v>
      </c>
      <c r="E593" s="253"/>
      <c r="F593" s="253"/>
      <c r="G593" s="253"/>
      <c r="H593" s="253"/>
      <c r="I593" s="253"/>
      <c r="J593" s="253"/>
      <c r="K593" s="253"/>
      <c r="L593" s="253"/>
      <c r="M593" s="253"/>
      <c r="N593" s="253"/>
      <c r="O593" s="253"/>
      <c r="P593" s="253"/>
      <c r="Q593" s="253"/>
      <c r="R593" s="253"/>
    </row>
    <row r="594" ht="15.75" customHeight="1">
      <c r="A594" s="253"/>
      <c r="B594" s="253"/>
      <c r="C594" s="253"/>
      <c r="D594" s="262" t="s">
        <v>11721</v>
      </c>
      <c r="E594" s="253"/>
      <c r="F594" s="253"/>
      <c r="G594" s="253"/>
      <c r="H594" s="253"/>
      <c r="I594" s="253"/>
      <c r="J594" s="253"/>
      <c r="K594" s="253"/>
      <c r="L594" s="253"/>
      <c r="M594" s="253"/>
      <c r="N594" s="253"/>
      <c r="O594" s="253"/>
      <c r="P594" s="253"/>
      <c r="Q594" s="253"/>
      <c r="R594" s="253"/>
    </row>
    <row r="595" ht="15.75" customHeight="1">
      <c r="A595" s="253"/>
      <c r="B595" s="253"/>
      <c r="C595" s="253"/>
      <c r="D595" s="262" t="s">
        <v>11722</v>
      </c>
      <c r="E595" s="253"/>
      <c r="F595" s="253"/>
      <c r="G595" s="253"/>
      <c r="H595" s="253"/>
      <c r="I595" s="253"/>
      <c r="J595" s="253"/>
      <c r="K595" s="253"/>
      <c r="L595" s="253"/>
      <c r="M595" s="253"/>
      <c r="N595" s="253"/>
      <c r="O595" s="253"/>
      <c r="P595" s="253"/>
      <c r="Q595" s="253"/>
      <c r="R595" s="253"/>
    </row>
    <row r="596" ht="15.75" customHeight="1">
      <c r="A596" s="253"/>
      <c r="B596" s="253"/>
      <c r="C596" s="253"/>
      <c r="D596" s="262" t="s">
        <v>11723</v>
      </c>
      <c r="E596" s="253"/>
      <c r="F596" s="253"/>
      <c r="G596" s="253"/>
      <c r="H596" s="253"/>
      <c r="I596" s="253"/>
      <c r="J596" s="253"/>
      <c r="K596" s="253"/>
      <c r="L596" s="253"/>
      <c r="M596" s="253"/>
      <c r="N596" s="253"/>
      <c r="O596" s="253"/>
      <c r="P596" s="253"/>
      <c r="Q596" s="253"/>
      <c r="R596" s="253"/>
    </row>
    <row r="597" ht="15.75" customHeight="1">
      <c r="A597" s="253"/>
      <c r="B597" s="253"/>
      <c r="C597" s="253"/>
      <c r="D597" s="262" t="s">
        <v>11724</v>
      </c>
      <c r="E597" s="253"/>
      <c r="F597" s="253"/>
      <c r="G597" s="253"/>
      <c r="H597" s="253"/>
      <c r="I597" s="253"/>
      <c r="J597" s="253"/>
      <c r="K597" s="253"/>
      <c r="L597" s="253"/>
      <c r="M597" s="253"/>
      <c r="N597" s="253"/>
      <c r="O597" s="253"/>
      <c r="P597" s="253"/>
      <c r="Q597" s="253"/>
      <c r="R597" s="253"/>
    </row>
    <row r="598" ht="15.75" customHeight="1">
      <c r="A598" s="253"/>
      <c r="B598" s="253"/>
      <c r="C598" s="253"/>
      <c r="D598" s="262" t="s">
        <v>11725</v>
      </c>
      <c r="E598" s="253"/>
      <c r="F598" s="253"/>
      <c r="G598" s="253"/>
      <c r="H598" s="253"/>
      <c r="I598" s="253"/>
      <c r="J598" s="253"/>
      <c r="K598" s="253"/>
      <c r="L598" s="253"/>
      <c r="M598" s="253"/>
      <c r="N598" s="253"/>
      <c r="O598" s="253"/>
      <c r="P598" s="253"/>
      <c r="Q598" s="253"/>
      <c r="R598" s="253"/>
    </row>
    <row r="599" ht="15.75" customHeight="1">
      <c r="A599" s="253"/>
      <c r="B599" s="253"/>
      <c r="C599" s="253"/>
      <c r="D599" s="262" t="s">
        <v>11726</v>
      </c>
      <c r="E599" s="253"/>
      <c r="F599" s="253"/>
      <c r="G599" s="253"/>
      <c r="H599" s="253"/>
      <c r="I599" s="253"/>
      <c r="J599" s="253"/>
      <c r="K599" s="253"/>
      <c r="L599" s="253"/>
      <c r="M599" s="253"/>
      <c r="N599" s="253"/>
      <c r="O599" s="253"/>
      <c r="P599" s="253"/>
      <c r="Q599" s="253"/>
      <c r="R599" s="253"/>
    </row>
    <row r="600" ht="15.75" customHeight="1">
      <c r="A600" s="253"/>
      <c r="B600" s="253"/>
      <c r="C600" s="253"/>
      <c r="D600" s="262" t="s">
        <v>6790</v>
      </c>
      <c r="E600" s="253"/>
      <c r="F600" s="253"/>
      <c r="G600" s="253"/>
      <c r="H600" s="253"/>
      <c r="I600" s="253"/>
      <c r="J600" s="253"/>
      <c r="K600" s="253"/>
      <c r="L600" s="253"/>
      <c r="M600" s="253"/>
      <c r="N600" s="253"/>
      <c r="O600" s="253"/>
      <c r="P600" s="253"/>
      <c r="Q600" s="253"/>
      <c r="R600" s="253"/>
    </row>
    <row r="601" ht="15.75" customHeight="1">
      <c r="A601" s="253"/>
      <c r="B601" s="253"/>
      <c r="C601" s="253"/>
      <c r="D601" s="262" t="s">
        <v>8356</v>
      </c>
      <c r="E601" s="253"/>
      <c r="F601" s="253"/>
      <c r="G601" s="253"/>
      <c r="H601" s="253"/>
      <c r="I601" s="253"/>
      <c r="J601" s="253"/>
      <c r="K601" s="253"/>
      <c r="L601" s="253"/>
      <c r="M601" s="253"/>
      <c r="N601" s="253"/>
      <c r="O601" s="253"/>
      <c r="P601" s="253"/>
      <c r="Q601" s="253"/>
      <c r="R601" s="253"/>
    </row>
    <row r="602" ht="15.75" customHeight="1">
      <c r="A602" s="253"/>
      <c r="B602" s="253"/>
      <c r="C602" s="253"/>
      <c r="D602" s="262" t="s">
        <v>8269</v>
      </c>
      <c r="E602" s="253"/>
      <c r="F602" s="253"/>
      <c r="G602" s="253"/>
      <c r="H602" s="253"/>
      <c r="I602" s="253"/>
      <c r="J602" s="253"/>
      <c r="K602" s="253"/>
      <c r="L602" s="253"/>
      <c r="M602" s="253"/>
      <c r="N602" s="253"/>
      <c r="O602" s="253"/>
      <c r="P602" s="253"/>
      <c r="Q602" s="253"/>
      <c r="R602" s="253"/>
    </row>
    <row r="603" ht="15.75" customHeight="1">
      <c r="A603" s="253"/>
      <c r="B603" s="253"/>
      <c r="C603" s="253"/>
      <c r="D603" s="262" t="s">
        <v>11727</v>
      </c>
      <c r="E603" s="253"/>
      <c r="F603" s="253"/>
      <c r="G603" s="253"/>
      <c r="H603" s="253"/>
      <c r="I603" s="253"/>
      <c r="J603" s="253"/>
      <c r="K603" s="253"/>
      <c r="L603" s="253"/>
      <c r="M603" s="253"/>
      <c r="N603" s="253"/>
      <c r="O603" s="253"/>
      <c r="P603" s="253"/>
      <c r="Q603" s="253"/>
      <c r="R603" s="253"/>
    </row>
    <row r="604" ht="15.75" customHeight="1">
      <c r="A604" s="253"/>
      <c r="B604" s="253"/>
      <c r="C604" s="253"/>
      <c r="D604" s="262" t="s">
        <v>11728</v>
      </c>
      <c r="E604" s="253"/>
      <c r="F604" s="253"/>
      <c r="G604" s="253"/>
      <c r="H604" s="253"/>
      <c r="I604" s="253"/>
      <c r="J604" s="253"/>
      <c r="K604" s="253"/>
      <c r="L604" s="253"/>
      <c r="M604" s="253"/>
      <c r="N604" s="253"/>
      <c r="O604" s="253"/>
      <c r="P604" s="253"/>
      <c r="Q604" s="253"/>
      <c r="R604" s="253"/>
    </row>
    <row r="605" ht="15.75" customHeight="1">
      <c r="A605" s="253"/>
      <c r="B605" s="253"/>
      <c r="C605" s="253"/>
      <c r="D605" s="262" t="s">
        <v>11729</v>
      </c>
      <c r="E605" s="253"/>
      <c r="F605" s="253"/>
      <c r="G605" s="253"/>
      <c r="H605" s="253"/>
      <c r="I605" s="253"/>
      <c r="J605" s="253"/>
      <c r="K605" s="253"/>
      <c r="L605" s="253"/>
      <c r="M605" s="253"/>
      <c r="N605" s="253"/>
      <c r="O605" s="253"/>
      <c r="P605" s="253"/>
      <c r="Q605" s="253"/>
      <c r="R605" s="253"/>
    </row>
    <row r="606" ht="15.75" customHeight="1">
      <c r="A606" s="253"/>
      <c r="B606" s="253"/>
      <c r="C606" s="253"/>
      <c r="D606" s="262" t="s">
        <v>11730</v>
      </c>
      <c r="E606" s="253"/>
      <c r="F606" s="253"/>
      <c r="G606" s="253"/>
      <c r="H606" s="253"/>
      <c r="I606" s="253"/>
      <c r="J606" s="253"/>
      <c r="K606" s="253"/>
      <c r="L606" s="253"/>
      <c r="M606" s="253"/>
      <c r="N606" s="253"/>
      <c r="O606" s="253"/>
      <c r="P606" s="253"/>
      <c r="Q606" s="253"/>
      <c r="R606" s="253"/>
    </row>
    <row r="607" ht="15.75" customHeight="1">
      <c r="A607" s="253"/>
      <c r="B607" s="253"/>
      <c r="C607" s="253"/>
      <c r="D607" s="262" t="s">
        <v>11731</v>
      </c>
      <c r="E607" s="253"/>
      <c r="F607" s="253"/>
      <c r="G607" s="253"/>
      <c r="H607" s="253"/>
      <c r="I607" s="253"/>
      <c r="J607" s="253"/>
      <c r="K607" s="253"/>
      <c r="L607" s="253"/>
      <c r="M607" s="253"/>
      <c r="N607" s="253"/>
      <c r="O607" s="253"/>
      <c r="P607" s="253"/>
      <c r="Q607" s="253"/>
      <c r="R607" s="253"/>
    </row>
    <row r="608" ht="15.75" customHeight="1">
      <c r="A608" s="253"/>
      <c r="B608" s="253"/>
      <c r="C608" s="253"/>
      <c r="D608" s="262" t="s">
        <v>11732</v>
      </c>
      <c r="E608" s="253"/>
      <c r="F608" s="253"/>
      <c r="G608" s="253"/>
      <c r="H608" s="253"/>
      <c r="I608" s="253"/>
      <c r="J608" s="253"/>
      <c r="K608" s="253"/>
      <c r="L608" s="253"/>
      <c r="M608" s="253"/>
      <c r="N608" s="253"/>
      <c r="O608" s="253"/>
      <c r="P608" s="253"/>
      <c r="Q608" s="253"/>
      <c r="R608" s="253"/>
    </row>
    <row r="609" ht="15.75" customHeight="1">
      <c r="A609" s="253"/>
      <c r="B609" s="253"/>
      <c r="C609" s="253"/>
      <c r="D609" s="262" t="s">
        <v>11733</v>
      </c>
      <c r="E609" s="253"/>
      <c r="F609" s="253"/>
      <c r="G609" s="253"/>
      <c r="H609" s="253"/>
      <c r="I609" s="253"/>
      <c r="J609" s="253"/>
      <c r="K609" s="253"/>
      <c r="L609" s="253"/>
      <c r="M609" s="253"/>
      <c r="N609" s="253"/>
      <c r="O609" s="253"/>
      <c r="P609" s="253"/>
      <c r="Q609" s="253"/>
      <c r="R609" s="253"/>
    </row>
    <row r="610" ht="15.75" customHeight="1">
      <c r="A610" s="253"/>
      <c r="B610" s="253"/>
      <c r="C610" s="253"/>
      <c r="D610" s="262" t="s">
        <v>4620</v>
      </c>
      <c r="E610" s="253"/>
      <c r="F610" s="253"/>
      <c r="G610" s="253"/>
      <c r="H610" s="253"/>
      <c r="I610" s="253"/>
      <c r="J610" s="253"/>
      <c r="K610" s="253"/>
      <c r="L610" s="253"/>
      <c r="M610" s="253"/>
      <c r="N610" s="253"/>
      <c r="O610" s="253"/>
      <c r="P610" s="253"/>
      <c r="Q610" s="253"/>
      <c r="R610" s="253"/>
    </row>
    <row r="611" ht="15.75" customHeight="1">
      <c r="A611" s="253"/>
      <c r="B611" s="253"/>
      <c r="C611" s="253"/>
      <c r="D611" s="262" t="s">
        <v>11734</v>
      </c>
      <c r="E611" s="253"/>
      <c r="F611" s="253"/>
      <c r="G611" s="253"/>
      <c r="H611" s="253"/>
      <c r="I611" s="253"/>
      <c r="J611" s="253"/>
      <c r="K611" s="253"/>
      <c r="L611" s="253"/>
      <c r="M611" s="253"/>
      <c r="N611" s="253"/>
      <c r="O611" s="253"/>
      <c r="P611" s="253"/>
      <c r="Q611" s="253"/>
      <c r="R611" s="253"/>
    </row>
    <row r="612" ht="15.75" customHeight="1">
      <c r="A612" s="253"/>
      <c r="B612" s="253"/>
      <c r="C612" s="253"/>
      <c r="D612" s="262" t="s">
        <v>11735</v>
      </c>
      <c r="E612" s="253"/>
      <c r="F612" s="253"/>
      <c r="G612" s="253"/>
      <c r="H612" s="253"/>
      <c r="I612" s="253"/>
      <c r="J612" s="253"/>
      <c r="K612" s="253"/>
      <c r="L612" s="253"/>
      <c r="M612" s="253"/>
      <c r="N612" s="253"/>
      <c r="O612" s="253"/>
      <c r="P612" s="253"/>
      <c r="Q612" s="253"/>
      <c r="R612" s="253"/>
    </row>
    <row r="613" ht="15.75" customHeight="1">
      <c r="A613" s="253"/>
      <c r="B613" s="253"/>
      <c r="C613" s="253"/>
      <c r="D613" s="262" t="s">
        <v>11736</v>
      </c>
      <c r="E613" s="253"/>
      <c r="F613" s="253"/>
      <c r="G613" s="253"/>
      <c r="H613" s="253"/>
      <c r="I613" s="253"/>
      <c r="J613" s="253"/>
      <c r="K613" s="253"/>
      <c r="L613" s="253"/>
      <c r="M613" s="253"/>
      <c r="N613" s="253"/>
      <c r="O613" s="253"/>
      <c r="P613" s="253"/>
      <c r="Q613" s="253"/>
      <c r="R613" s="253"/>
    </row>
    <row r="614" ht="15.75" customHeight="1">
      <c r="A614" s="253"/>
      <c r="B614" s="253"/>
      <c r="C614" s="253"/>
      <c r="D614" s="262" t="s">
        <v>11737</v>
      </c>
      <c r="E614" s="253"/>
      <c r="F614" s="253"/>
      <c r="G614" s="253"/>
      <c r="H614" s="253"/>
      <c r="I614" s="253"/>
      <c r="J614" s="253"/>
      <c r="K614" s="253"/>
      <c r="L614" s="253"/>
      <c r="M614" s="253"/>
      <c r="N614" s="253"/>
      <c r="O614" s="253"/>
      <c r="P614" s="253"/>
      <c r="Q614" s="253"/>
      <c r="R614" s="253"/>
    </row>
    <row r="615" ht="15.75" customHeight="1">
      <c r="A615" s="253"/>
      <c r="B615" s="253"/>
      <c r="C615" s="253"/>
      <c r="D615" s="262" t="s">
        <v>6575</v>
      </c>
      <c r="E615" s="253"/>
      <c r="F615" s="253"/>
      <c r="G615" s="253"/>
      <c r="H615" s="253"/>
      <c r="I615" s="253"/>
      <c r="J615" s="253"/>
      <c r="K615" s="253"/>
      <c r="L615" s="253"/>
      <c r="M615" s="253"/>
      <c r="N615" s="253"/>
      <c r="O615" s="253"/>
      <c r="P615" s="253"/>
      <c r="Q615" s="253"/>
      <c r="R615" s="253"/>
    </row>
    <row r="616" ht="15.75" customHeight="1">
      <c r="A616" s="253"/>
      <c r="B616" s="253"/>
      <c r="C616" s="253"/>
      <c r="D616" s="262" t="s">
        <v>11738</v>
      </c>
      <c r="E616" s="253"/>
      <c r="F616" s="253"/>
      <c r="G616" s="253"/>
      <c r="H616" s="253"/>
      <c r="I616" s="253"/>
      <c r="J616" s="253"/>
      <c r="K616" s="253"/>
      <c r="L616" s="253"/>
      <c r="M616" s="253"/>
      <c r="N616" s="253"/>
      <c r="O616" s="253"/>
      <c r="P616" s="253"/>
      <c r="Q616" s="253"/>
      <c r="R616" s="253"/>
    </row>
    <row r="617" ht="15.75" customHeight="1">
      <c r="A617" s="253"/>
      <c r="B617" s="253"/>
      <c r="C617" s="253"/>
      <c r="D617" s="262" t="s">
        <v>6241</v>
      </c>
      <c r="E617" s="253"/>
      <c r="F617" s="253"/>
      <c r="G617" s="253"/>
      <c r="H617" s="253"/>
      <c r="I617" s="253"/>
      <c r="J617" s="253"/>
      <c r="K617" s="253"/>
      <c r="L617" s="253"/>
      <c r="M617" s="253"/>
      <c r="N617" s="253"/>
      <c r="O617" s="253"/>
      <c r="P617" s="253"/>
      <c r="Q617" s="253"/>
      <c r="R617" s="253"/>
    </row>
    <row r="618" ht="15.75" customHeight="1">
      <c r="A618" s="253"/>
      <c r="B618" s="253"/>
      <c r="C618" s="253"/>
      <c r="D618" s="262" t="s">
        <v>11739</v>
      </c>
      <c r="E618" s="253"/>
      <c r="F618" s="253"/>
      <c r="G618" s="253"/>
      <c r="H618" s="253"/>
      <c r="I618" s="253"/>
      <c r="J618" s="253"/>
      <c r="K618" s="253"/>
      <c r="L618" s="253"/>
      <c r="M618" s="253"/>
      <c r="N618" s="253"/>
      <c r="O618" s="253"/>
      <c r="P618" s="253"/>
      <c r="Q618" s="253"/>
      <c r="R618" s="253"/>
    </row>
    <row r="619" ht="15.75" customHeight="1">
      <c r="A619" s="253"/>
      <c r="B619" s="253"/>
      <c r="C619" s="253"/>
      <c r="D619" s="262" t="s">
        <v>11740</v>
      </c>
      <c r="E619" s="253"/>
      <c r="F619" s="253"/>
      <c r="G619" s="253"/>
      <c r="H619" s="253"/>
      <c r="I619" s="253"/>
      <c r="J619" s="253"/>
      <c r="K619" s="253"/>
      <c r="L619" s="253"/>
      <c r="M619" s="253"/>
      <c r="N619" s="253"/>
      <c r="O619" s="253"/>
      <c r="P619" s="253"/>
      <c r="Q619" s="253"/>
      <c r="R619" s="253"/>
    </row>
    <row r="620" ht="15.75" customHeight="1">
      <c r="A620" s="253"/>
      <c r="B620" s="253"/>
      <c r="C620" s="253"/>
      <c r="D620" s="262" t="s">
        <v>11741</v>
      </c>
      <c r="E620" s="253"/>
      <c r="F620" s="253"/>
      <c r="G620" s="253"/>
      <c r="H620" s="253"/>
      <c r="I620" s="253"/>
      <c r="J620" s="253"/>
      <c r="K620" s="253"/>
      <c r="L620" s="253"/>
      <c r="M620" s="253"/>
      <c r="N620" s="253"/>
      <c r="O620" s="253"/>
      <c r="P620" s="253"/>
      <c r="Q620" s="253"/>
      <c r="R620" s="253"/>
    </row>
    <row r="621" ht="15.75" customHeight="1">
      <c r="A621" s="253"/>
      <c r="B621" s="253"/>
      <c r="C621" s="253"/>
      <c r="D621" s="262" t="s">
        <v>11742</v>
      </c>
      <c r="E621" s="253"/>
      <c r="F621" s="253"/>
      <c r="G621" s="253"/>
      <c r="H621" s="253"/>
      <c r="I621" s="253"/>
      <c r="J621" s="253"/>
      <c r="K621" s="253"/>
      <c r="L621" s="253"/>
      <c r="M621" s="253"/>
      <c r="N621" s="253"/>
      <c r="O621" s="253"/>
      <c r="P621" s="253"/>
      <c r="Q621" s="253"/>
      <c r="R621" s="253"/>
    </row>
    <row r="622" ht="15.75" customHeight="1">
      <c r="A622" s="253"/>
      <c r="B622" s="253"/>
      <c r="C622" s="253"/>
      <c r="D622" s="262" t="s">
        <v>5317</v>
      </c>
      <c r="E622" s="253"/>
      <c r="F622" s="253"/>
      <c r="G622" s="253"/>
      <c r="H622" s="253"/>
      <c r="I622" s="253"/>
      <c r="J622" s="253"/>
      <c r="K622" s="253"/>
      <c r="L622" s="253"/>
      <c r="M622" s="253"/>
      <c r="N622" s="253"/>
      <c r="O622" s="253"/>
      <c r="P622" s="253"/>
      <c r="Q622" s="253"/>
      <c r="R622" s="253"/>
    </row>
    <row r="623" ht="15.75" customHeight="1">
      <c r="A623" s="253"/>
      <c r="B623" s="253"/>
      <c r="C623" s="253"/>
      <c r="D623" s="262" t="s">
        <v>1700</v>
      </c>
      <c r="E623" s="253"/>
      <c r="F623" s="253"/>
      <c r="G623" s="253"/>
      <c r="H623" s="253"/>
      <c r="I623" s="253"/>
      <c r="J623" s="253"/>
      <c r="K623" s="253"/>
      <c r="L623" s="253"/>
      <c r="M623" s="253"/>
      <c r="N623" s="253"/>
      <c r="O623" s="253"/>
      <c r="P623" s="253"/>
      <c r="Q623" s="253"/>
      <c r="R623" s="253"/>
    </row>
    <row r="624" ht="15.75" customHeight="1">
      <c r="A624" s="253"/>
      <c r="B624" s="253"/>
      <c r="C624" s="253"/>
      <c r="D624" s="262" t="s">
        <v>6915</v>
      </c>
      <c r="E624" s="253"/>
      <c r="F624" s="253"/>
      <c r="G624" s="253"/>
      <c r="H624" s="253"/>
      <c r="I624" s="253"/>
      <c r="J624" s="253"/>
      <c r="K624" s="253"/>
      <c r="L624" s="253"/>
      <c r="M624" s="253"/>
      <c r="N624" s="253"/>
      <c r="O624" s="253"/>
      <c r="P624" s="253"/>
      <c r="Q624" s="253"/>
      <c r="R624" s="253"/>
    </row>
    <row r="625" ht="15.75" customHeight="1">
      <c r="A625" s="253"/>
      <c r="B625" s="253"/>
      <c r="C625" s="253"/>
      <c r="D625" s="262" t="s">
        <v>11743</v>
      </c>
      <c r="E625" s="253"/>
      <c r="F625" s="253"/>
      <c r="G625" s="253"/>
      <c r="H625" s="253"/>
      <c r="I625" s="253"/>
      <c r="J625" s="253"/>
      <c r="K625" s="253"/>
      <c r="L625" s="253"/>
      <c r="M625" s="253"/>
      <c r="N625" s="253"/>
      <c r="O625" s="253"/>
      <c r="P625" s="253"/>
      <c r="Q625" s="253"/>
      <c r="R625" s="253"/>
    </row>
    <row r="626" ht="15.75" customHeight="1">
      <c r="A626" s="253"/>
      <c r="B626" s="253"/>
      <c r="C626" s="253"/>
      <c r="D626" s="262" t="s">
        <v>6116</v>
      </c>
      <c r="E626" s="253"/>
      <c r="F626" s="253"/>
      <c r="G626" s="253"/>
      <c r="H626" s="253"/>
      <c r="I626" s="253"/>
      <c r="J626" s="253"/>
      <c r="K626" s="253"/>
      <c r="L626" s="253"/>
      <c r="M626" s="253"/>
      <c r="N626" s="253"/>
      <c r="O626" s="253"/>
      <c r="P626" s="253"/>
      <c r="Q626" s="253"/>
      <c r="R626" s="253"/>
    </row>
    <row r="627" ht="15.75" customHeight="1">
      <c r="A627" s="253"/>
      <c r="B627" s="253"/>
      <c r="C627" s="253"/>
      <c r="D627" s="262" t="s">
        <v>11744</v>
      </c>
      <c r="E627" s="253"/>
      <c r="F627" s="253"/>
      <c r="G627" s="253"/>
      <c r="H627" s="253"/>
      <c r="I627" s="253"/>
      <c r="J627" s="253"/>
      <c r="K627" s="253"/>
      <c r="L627" s="253"/>
      <c r="M627" s="253"/>
      <c r="N627" s="253"/>
      <c r="O627" s="253"/>
      <c r="P627" s="253"/>
      <c r="Q627" s="253"/>
      <c r="R627" s="253"/>
    </row>
    <row r="628" ht="15.75" customHeight="1">
      <c r="A628" s="253"/>
      <c r="B628" s="253"/>
      <c r="C628" s="253"/>
      <c r="D628" s="262" t="s">
        <v>11745</v>
      </c>
      <c r="E628" s="253"/>
      <c r="F628" s="253"/>
      <c r="G628" s="253"/>
      <c r="H628" s="253"/>
      <c r="I628" s="253"/>
      <c r="J628" s="253"/>
      <c r="K628" s="253"/>
      <c r="L628" s="253"/>
      <c r="M628" s="253"/>
      <c r="N628" s="253"/>
      <c r="O628" s="253"/>
      <c r="P628" s="253"/>
      <c r="Q628" s="253"/>
      <c r="R628" s="253"/>
    </row>
    <row r="629" ht="15.75" customHeight="1">
      <c r="A629" s="253"/>
      <c r="B629" s="253"/>
      <c r="C629" s="253"/>
      <c r="D629" s="262" t="s">
        <v>6811</v>
      </c>
      <c r="E629" s="253"/>
      <c r="F629" s="253"/>
      <c r="G629" s="253"/>
      <c r="H629" s="253"/>
      <c r="I629" s="253"/>
      <c r="J629" s="253"/>
      <c r="K629" s="253"/>
      <c r="L629" s="253"/>
      <c r="M629" s="253"/>
      <c r="N629" s="253"/>
      <c r="O629" s="253"/>
      <c r="P629" s="253"/>
      <c r="Q629" s="253"/>
      <c r="R629" s="253"/>
    </row>
    <row r="630" ht="15.75" customHeight="1">
      <c r="A630" s="253"/>
      <c r="B630" s="253"/>
      <c r="C630" s="253"/>
      <c r="D630" s="262" t="s">
        <v>11746</v>
      </c>
      <c r="E630" s="253"/>
      <c r="F630" s="253"/>
      <c r="G630" s="253"/>
      <c r="H630" s="253"/>
      <c r="I630" s="253"/>
      <c r="J630" s="253"/>
      <c r="K630" s="253"/>
      <c r="L630" s="253"/>
      <c r="M630" s="253"/>
      <c r="N630" s="253"/>
      <c r="O630" s="253"/>
      <c r="P630" s="253"/>
      <c r="Q630" s="253"/>
      <c r="R630" s="253"/>
    </row>
    <row r="631" ht="15.75" customHeight="1">
      <c r="A631" s="253"/>
      <c r="B631" s="253"/>
      <c r="C631" s="253"/>
      <c r="D631" s="262" t="s">
        <v>11747</v>
      </c>
      <c r="E631" s="253"/>
      <c r="F631" s="253"/>
      <c r="G631" s="253"/>
      <c r="H631" s="253"/>
      <c r="I631" s="253"/>
      <c r="J631" s="253"/>
      <c r="K631" s="253"/>
      <c r="L631" s="253"/>
      <c r="M631" s="253"/>
      <c r="N631" s="253"/>
      <c r="O631" s="253"/>
      <c r="P631" s="253"/>
      <c r="Q631" s="253"/>
      <c r="R631" s="253"/>
    </row>
    <row r="632" ht="15.75" customHeight="1">
      <c r="A632" s="253"/>
      <c r="B632" s="253"/>
      <c r="C632" s="253"/>
      <c r="D632" s="262" t="s">
        <v>11748</v>
      </c>
      <c r="E632" s="253"/>
      <c r="F632" s="253"/>
      <c r="G632" s="253"/>
      <c r="H632" s="253"/>
      <c r="I632" s="253"/>
      <c r="J632" s="253"/>
      <c r="K632" s="253"/>
      <c r="L632" s="253"/>
      <c r="M632" s="253"/>
      <c r="N632" s="253"/>
      <c r="O632" s="253"/>
      <c r="P632" s="253"/>
      <c r="Q632" s="253"/>
      <c r="R632" s="253"/>
    </row>
    <row r="633" ht="15.75" customHeight="1">
      <c r="A633" s="253"/>
      <c r="B633" s="253"/>
      <c r="C633" s="253"/>
      <c r="D633" s="262" t="s">
        <v>6256</v>
      </c>
      <c r="E633" s="253"/>
      <c r="F633" s="253"/>
      <c r="G633" s="253"/>
      <c r="H633" s="253"/>
      <c r="I633" s="253"/>
      <c r="J633" s="253"/>
      <c r="K633" s="253"/>
      <c r="L633" s="253"/>
      <c r="M633" s="253"/>
      <c r="N633" s="253"/>
      <c r="O633" s="253"/>
      <c r="P633" s="253"/>
      <c r="Q633" s="253"/>
      <c r="R633" s="253"/>
    </row>
    <row r="634" ht="15.75" customHeight="1">
      <c r="A634" s="253"/>
      <c r="B634" s="253"/>
      <c r="C634" s="253"/>
      <c r="D634" s="262" t="s">
        <v>6954</v>
      </c>
      <c r="E634" s="253"/>
      <c r="F634" s="253"/>
      <c r="G634" s="253"/>
      <c r="H634" s="253"/>
      <c r="I634" s="253"/>
      <c r="J634" s="253"/>
      <c r="K634" s="253"/>
      <c r="L634" s="253"/>
      <c r="M634" s="253"/>
      <c r="N634" s="253"/>
      <c r="O634" s="253"/>
      <c r="P634" s="253"/>
      <c r="Q634" s="253"/>
      <c r="R634" s="253"/>
    </row>
    <row r="635" ht="15.75" customHeight="1">
      <c r="A635" s="253"/>
      <c r="B635" s="253"/>
      <c r="C635" s="253"/>
      <c r="D635" s="262" t="s">
        <v>11749</v>
      </c>
      <c r="E635" s="253"/>
      <c r="F635" s="253"/>
      <c r="G635" s="253"/>
      <c r="H635" s="253"/>
      <c r="I635" s="253"/>
      <c r="J635" s="253"/>
      <c r="K635" s="253"/>
      <c r="L635" s="253"/>
      <c r="M635" s="253"/>
      <c r="N635" s="253"/>
      <c r="O635" s="253"/>
      <c r="P635" s="253"/>
      <c r="Q635" s="253"/>
      <c r="R635" s="253"/>
    </row>
    <row r="636" ht="15.75" customHeight="1">
      <c r="A636" s="253"/>
      <c r="B636" s="253"/>
      <c r="C636" s="253"/>
      <c r="D636" s="262" t="s">
        <v>8395</v>
      </c>
      <c r="E636" s="253"/>
      <c r="F636" s="253"/>
      <c r="G636" s="253"/>
      <c r="H636" s="253"/>
      <c r="I636" s="253"/>
      <c r="J636" s="253"/>
      <c r="K636" s="253"/>
      <c r="L636" s="253"/>
      <c r="M636" s="253"/>
      <c r="N636" s="253"/>
      <c r="O636" s="253"/>
      <c r="P636" s="253"/>
      <c r="Q636" s="253"/>
      <c r="R636" s="253"/>
    </row>
    <row r="637" ht="15.75" customHeight="1">
      <c r="A637" s="253"/>
      <c r="B637" s="253"/>
      <c r="C637" s="253"/>
      <c r="D637" s="262" t="s">
        <v>11750</v>
      </c>
      <c r="E637" s="253"/>
      <c r="F637" s="253"/>
      <c r="G637" s="253"/>
      <c r="H637" s="253"/>
      <c r="I637" s="253"/>
      <c r="J637" s="253"/>
      <c r="K637" s="253"/>
      <c r="L637" s="253"/>
      <c r="M637" s="253"/>
      <c r="N637" s="253"/>
      <c r="O637" s="253"/>
      <c r="P637" s="253"/>
      <c r="Q637" s="253"/>
      <c r="R637" s="253"/>
    </row>
    <row r="638" ht="15.75" customHeight="1">
      <c r="A638" s="253"/>
      <c r="B638" s="253"/>
      <c r="C638" s="253"/>
      <c r="D638" s="262" t="s">
        <v>11751</v>
      </c>
      <c r="E638" s="253"/>
      <c r="F638" s="253"/>
      <c r="G638" s="253"/>
      <c r="H638" s="253"/>
      <c r="I638" s="253"/>
      <c r="J638" s="253"/>
      <c r="K638" s="253"/>
      <c r="L638" s="253"/>
      <c r="M638" s="253"/>
      <c r="N638" s="253"/>
      <c r="O638" s="253"/>
      <c r="P638" s="253"/>
      <c r="Q638" s="253"/>
      <c r="R638" s="253"/>
    </row>
    <row r="639" ht="15.75" customHeight="1">
      <c r="A639" s="253"/>
      <c r="B639" s="253"/>
      <c r="C639" s="253"/>
      <c r="D639" s="262" t="s">
        <v>2790</v>
      </c>
      <c r="E639" s="253"/>
      <c r="F639" s="253"/>
      <c r="G639" s="253"/>
      <c r="H639" s="253"/>
      <c r="I639" s="253"/>
      <c r="J639" s="253"/>
      <c r="K639" s="253"/>
      <c r="L639" s="253"/>
      <c r="M639" s="253"/>
      <c r="N639" s="253"/>
      <c r="O639" s="253"/>
      <c r="P639" s="253"/>
      <c r="Q639" s="253"/>
      <c r="R639" s="253"/>
    </row>
    <row r="640" ht="15.75" customHeight="1">
      <c r="A640" s="253"/>
      <c r="B640" s="253"/>
      <c r="C640" s="253"/>
      <c r="D640" s="262" t="s">
        <v>8698</v>
      </c>
      <c r="E640" s="253"/>
      <c r="F640" s="253"/>
      <c r="G640" s="253"/>
      <c r="H640" s="253"/>
      <c r="I640" s="253"/>
      <c r="J640" s="253"/>
      <c r="K640" s="253"/>
      <c r="L640" s="253"/>
      <c r="M640" s="253"/>
      <c r="N640" s="253"/>
      <c r="O640" s="253"/>
      <c r="P640" s="253"/>
      <c r="Q640" s="253"/>
      <c r="R640" s="253"/>
    </row>
    <row r="641" ht="15.75" customHeight="1">
      <c r="A641" s="253"/>
      <c r="B641" s="253"/>
      <c r="C641" s="253"/>
      <c r="D641" s="262" t="s">
        <v>6488</v>
      </c>
      <c r="E641" s="253"/>
      <c r="F641" s="253"/>
      <c r="G641" s="253"/>
      <c r="H641" s="253"/>
      <c r="I641" s="253"/>
      <c r="J641" s="253"/>
      <c r="K641" s="253"/>
      <c r="L641" s="253"/>
      <c r="M641" s="253"/>
      <c r="N641" s="253"/>
      <c r="O641" s="253"/>
      <c r="P641" s="253"/>
      <c r="Q641" s="253"/>
      <c r="R641" s="253"/>
    </row>
    <row r="642" ht="15.75" customHeight="1">
      <c r="A642" s="253"/>
      <c r="B642" s="253"/>
      <c r="C642" s="253"/>
      <c r="D642" s="262" t="s">
        <v>11752</v>
      </c>
      <c r="E642" s="253"/>
      <c r="F642" s="253"/>
      <c r="G642" s="253"/>
      <c r="H642" s="253"/>
      <c r="I642" s="253"/>
      <c r="J642" s="253"/>
      <c r="K642" s="253"/>
      <c r="L642" s="253"/>
      <c r="M642" s="253"/>
      <c r="N642" s="253"/>
      <c r="O642" s="253"/>
      <c r="P642" s="253"/>
      <c r="Q642" s="253"/>
      <c r="R642" s="253"/>
    </row>
    <row r="643" ht="15.75" customHeight="1">
      <c r="A643" s="253"/>
      <c r="B643" s="253"/>
      <c r="C643" s="253"/>
      <c r="D643" s="262" t="s">
        <v>11753</v>
      </c>
      <c r="E643" s="253"/>
      <c r="F643" s="253"/>
      <c r="G643" s="253"/>
      <c r="H643" s="253"/>
      <c r="I643" s="253"/>
      <c r="J643" s="253"/>
      <c r="K643" s="253"/>
      <c r="L643" s="253"/>
      <c r="M643" s="253"/>
      <c r="N643" s="253"/>
      <c r="O643" s="253"/>
      <c r="P643" s="253"/>
      <c r="Q643" s="253"/>
      <c r="R643" s="253"/>
    </row>
    <row r="644" ht="15.75" customHeight="1">
      <c r="A644" s="253"/>
      <c r="B644" s="253"/>
      <c r="C644" s="253"/>
      <c r="D644" s="262" t="s">
        <v>4357</v>
      </c>
      <c r="E644" s="253"/>
      <c r="F644" s="253"/>
      <c r="G644" s="253"/>
      <c r="H644" s="253"/>
      <c r="I644" s="253"/>
      <c r="J644" s="253"/>
      <c r="K644" s="253"/>
      <c r="L644" s="253"/>
      <c r="M644" s="253"/>
      <c r="N644" s="253"/>
      <c r="O644" s="253"/>
      <c r="P644" s="253"/>
      <c r="Q644" s="253"/>
      <c r="R644" s="253"/>
    </row>
    <row r="645" ht="15.75" customHeight="1">
      <c r="A645" s="253"/>
      <c r="B645" s="253"/>
      <c r="C645" s="253"/>
      <c r="D645" s="262" t="s">
        <v>11754</v>
      </c>
      <c r="E645" s="253"/>
      <c r="F645" s="253"/>
      <c r="G645" s="253"/>
      <c r="H645" s="253"/>
      <c r="I645" s="253"/>
      <c r="J645" s="253"/>
      <c r="K645" s="253"/>
      <c r="L645" s="253"/>
      <c r="M645" s="253"/>
      <c r="N645" s="253"/>
      <c r="O645" s="253"/>
      <c r="P645" s="253"/>
      <c r="Q645" s="253"/>
      <c r="R645" s="253"/>
    </row>
    <row r="646" ht="15.75" customHeight="1">
      <c r="A646" s="253"/>
      <c r="B646" s="253"/>
      <c r="C646" s="253"/>
      <c r="D646" s="262" t="s">
        <v>11755</v>
      </c>
      <c r="E646" s="253"/>
      <c r="F646" s="253"/>
      <c r="G646" s="253"/>
      <c r="H646" s="253"/>
      <c r="I646" s="253"/>
      <c r="J646" s="253"/>
      <c r="K646" s="253"/>
      <c r="L646" s="253"/>
      <c r="M646" s="253"/>
      <c r="N646" s="253"/>
      <c r="O646" s="253"/>
      <c r="P646" s="253"/>
      <c r="Q646" s="253"/>
      <c r="R646" s="253"/>
    </row>
    <row r="647" ht="15.75" customHeight="1">
      <c r="A647" s="253"/>
      <c r="B647" s="253"/>
      <c r="C647" s="253"/>
      <c r="D647" s="262" t="s">
        <v>11756</v>
      </c>
      <c r="E647" s="253"/>
      <c r="F647" s="253"/>
      <c r="G647" s="253"/>
      <c r="H647" s="253"/>
      <c r="I647" s="253"/>
      <c r="J647" s="253"/>
      <c r="K647" s="253"/>
      <c r="L647" s="253"/>
      <c r="M647" s="253"/>
      <c r="N647" s="253"/>
      <c r="O647" s="253"/>
      <c r="P647" s="253"/>
      <c r="Q647" s="253"/>
      <c r="R647" s="253"/>
    </row>
    <row r="648" ht="15.75" customHeight="1">
      <c r="A648" s="253"/>
      <c r="B648" s="253"/>
      <c r="C648" s="253"/>
      <c r="D648" s="262" t="s">
        <v>8724</v>
      </c>
      <c r="E648" s="253"/>
      <c r="F648" s="253"/>
      <c r="G648" s="253"/>
      <c r="H648" s="253"/>
      <c r="I648" s="253"/>
      <c r="J648" s="253"/>
      <c r="K648" s="253"/>
      <c r="L648" s="253"/>
      <c r="M648" s="253"/>
      <c r="N648" s="253"/>
      <c r="O648" s="253"/>
      <c r="P648" s="253"/>
      <c r="Q648" s="253"/>
      <c r="R648" s="253"/>
    </row>
    <row r="649" ht="15.75" customHeight="1">
      <c r="A649" s="253"/>
      <c r="B649" s="253"/>
      <c r="C649" s="253"/>
      <c r="D649" s="262" t="s">
        <v>11757</v>
      </c>
      <c r="E649" s="253"/>
      <c r="F649" s="253"/>
      <c r="G649" s="253"/>
      <c r="H649" s="253"/>
      <c r="I649" s="253"/>
      <c r="J649" s="253"/>
      <c r="K649" s="253"/>
      <c r="L649" s="253"/>
      <c r="M649" s="253"/>
      <c r="N649" s="253"/>
      <c r="O649" s="253"/>
      <c r="P649" s="253"/>
      <c r="Q649" s="253"/>
      <c r="R649" s="253"/>
    </row>
    <row r="650" ht="15.75" customHeight="1">
      <c r="A650" s="253"/>
      <c r="B650" s="253"/>
      <c r="C650" s="253"/>
      <c r="D650" s="262" t="s">
        <v>11758</v>
      </c>
      <c r="E650" s="253"/>
      <c r="F650" s="253"/>
      <c r="G650" s="253"/>
      <c r="H650" s="253"/>
      <c r="I650" s="253"/>
      <c r="J650" s="253"/>
      <c r="K650" s="253"/>
      <c r="L650" s="253"/>
      <c r="M650" s="253"/>
      <c r="N650" s="253"/>
      <c r="O650" s="253"/>
      <c r="P650" s="253"/>
      <c r="Q650" s="253"/>
      <c r="R650" s="253"/>
    </row>
    <row r="651" ht="15.75" customHeight="1">
      <c r="A651" s="253"/>
      <c r="B651" s="253"/>
      <c r="C651" s="253"/>
      <c r="D651" s="262" t="s">
        <v>11759</v>
      </c>
      <c r="E651" s="253"/>
      <c r="F651" s="253"/>
      <c r="G651" s="253"/>
      <c r="H651" s="253"/>
      <c r="I651" s="253"/>
      <c r="J651" s="253"/>
      <c r="K651" s="253"/>
      <c r="L651" s="253"/>
      <c r="M651" s="253"/>
      <c r="N651" s="253"/>
      <c r="O651" s="253"/>
      <c r="P651" s="253"/>
      <c r="Q651" s="253"/>
      <c r="R651" s="253"/>
    </row>
    <row r="652" ht="15.75" customHeight="1">
      <c r="A652" s="253"/>
      <c r="B652" s="253"/>
      <c r="C652" s="253"/>
      <c r="D652" s="262" t="s">
        <v>11760</v>
      </c>
      <c r="E652" s="253"/>
      <c r="F652" s="253"/>
      <c r="G652" s="253"/>
      <c r="H652" s="253"/>
      <c r="I652" s="253"/>
      <c r="J652" s="253"/>
      <c r="K652" s="253"/>
      <c r="L652" s="253"/>
      <c r="M652" s="253"/>
      <c r="N652" s="253"/>
      <c r="O652" s="253"/>
      <c r="P652" s="253"/>
      <c r="Q652" s="253"/>
      <c r="R652" s="253"/>
    </row>
    <row r="653" ht="15.75" customHeight="1">
      <c r="A653" s="253"/>
      <c r="B653" s="253"/>
      <c r="C653" s="253"/>
      <c r="D653" s="262" t="s">
        <v>11761</v>
      </c>
      <c r="E653" s="253"/>
      <c r="F653" s="253"/>
      <c r="G653" s="253"/>
      <c r="H653" s="253"/>
      <c r="I653" s="253"/>
      <c r="J653" s="253"/>
      <c r="K653" s="253"/>
      <c r="L653" s="253"/>
      <c r="M653" s="253"/>
      <c r="N653" s="253"/>
      <c r="O653" s="253"/>
      <c r="P653" s="253"/>
      <c r="Q653" s="253"/>
      <c r="R653" s="253"/>
    </row>
    <row r="654" ht="15.75" customHeight="1">
      <c r="A654" s="253"/>
      <c r="B654" s="253"/>
      <c r="C654" s="253"/>
      <c r="D654" s="262" t="s">
        <v>11762</v>
      </c>
      <c r="E654" s="253"/>
      <c r="F654" s="253"/>
      <c r="G654" s="253"/>
      <c r="H654" s="253"/>
      <c r="I654" s="253"/>
      <c r="J654" s="253"/>
      <c r="K654" s="253"/>
      <c r="L654" s="253"/>
      <c r="M654" s="253"/>
      <c r="N654" s="253"/>
      <c r="O654" s="253"/>
      <c r="P654" s="253"/>
      <c r="Q654" s="253"/>
      <c r="R654" s="253"/>
    </row>
    <row r="655" ht="15.75" customHeight="1">
      <c r="A655" s="253"/>
      <c r="B655" s="253"/>
      <c r="C655" s="253"/>
      <c r="D655" s="262" t="s">
        <v>11763</v>
      </c>
      <c r="E655" s="253"/>
      <c r="F655" s="253"/>
      <c r="G655" s="253"/>
      <c r="H655" s="253"/>
      <c r="I655" s="253"/>
      <c r="J655" s="253"/>
      <c r="K655" s="253"/>
      <c r="L655" s="253"/>
      <c r="M655" s="253"/>
      <c r="N655" s="253"/>
      <c r="O655" s="253"/>
      <c r="P655" s="253"/>
      <c r="Q655" s="253"/>
      <c r="R655" s="253"/>
    </row>
    <row r="656" ht="15.75" customHeight="1">
      <c r="A656" s="253"/>
      <c r="B656" s="253"/>
      <c r="C656" s="253"/>
      <c r="D656" s="262" t="s">
        <v>8863</v>
      </c>
      <c r="E656" s="253"/>
      <c r="F656" s="253"/>
      <c r="G656" s="253"/>
      <c r="H656" s="253"/>
      <c r="I656" s="253"/>
      <c r="J656" s="253"/>
      <c r="K656" s="253"/>
      <c r="L656" s="253"/>
      <c r="M656" s="253"/>
      <c r="N656" s="253"/>
      <c r="O656" s="253"/>
      <c r="P656" s="253"/>
      <c r="Q656" s="253"/>
      <c r="R656" s="253"/>
    </row>
    <row r="657" ht="15.75" customHeight="1">
      <c r="A657" s="253"/>
      <c r="B657" s="253"/>
      <c r="C657" s="253"/>
      <c r="D657" s="262" t="s">
        <v>10027</v>
      </c>
      <c r="E657" s="253"/>
      <c r="F657" s="253"/>
      <c r="G657" s="253"/>
      <c r="H657" s="253"/>
      <c r="I657" s="253"/>
      <c r="J657" s="253"/>
      <c r="K657" s="253"/>
      <c r="L657" s="253"/>
      <c r="M657" s="253"/>
      <c r="N657" s="253"/>
      <c r="O657" s="253"/>
      <c r="P657" s="253"/>
      <c r="Q657" s="253"/>
      <c r="R657" s="253"/>
    </row>
    <row r="658" ht="15.75" customHeight="1">
      <c r="A658" s="253"/>
      <c r="B658" s="253"/>
      <c r="C658" s="253"/>
      <c r="D658" s="262" t="s">
        <v>5024</v>
      </c>
      <c r="E658" s="253"/>
      <c r="F658" s="253"/>
      <c r="G658" s="253"/>
      <c r="H658" s="253"/>
      <c r="I658" s="253"/>
      <c r="J658" s="253"/>
      <c r="K658" s="253"/>
      <c r="L658" s="253"/>
      <c r="M658" s="253"/>
      <c r="N658" s="253"/>
      <c r="O658" s="253"/>
      <c r="P658" s="253"/>
      <c r="Q658" s="253"/>
      <c r="R658" s="253"/>
    </row>
    <row r="659" ht="15.75" customHeight="1">
      <c r="A659" s="253"/>
      <c r="B659" s="253"/>
      <c r="C659" s="253"/>
      <c r="D659" s="262" t="s">
        <v>8842</v>
      </c>
      <c r="E659" s="253"/>
      <c r="F659" s="253"/>
      <c r="G659" s="253"/>
      <c r="H659" s="253"/>
      <c r="I659" s="253"/>
      <c r="J659" s="253"/>
      <c r="K659" s="253"/>
      <c r="L659" s="253"/>
      <c r="M659" s="253"/>
      <c r="N659" s="253"/>
      <c r="O659" s="253"/>
      <c r="P659" s="253"/>
      <c r="Q659" s="253"/>
      <c r="R659" s="253"/>
    </row>
    <row r="660" ht="15.75" customHeight="1">
      <c r="A660" s="253"/>
      <c r="B660" s="253"/>
      <c r="C660" s="253"/>
      <c r="D660" s="262" t="s">
        <v>8742</v>
      </c>
      <c r="E660" s="253"/>
      <c r="F660" s="253"/>
      <c r="G660" s="253"/>
      <c r="H660" s="253"/>
      <c r="I660" s="253"/>
      <c r="J660" s="253"/>
      <c r="K660" s="253"/>
      <c r="L660" s="253"/>
      <c r="M660" s="253"/>
      <c r="N660" s="253"/>
      <c r="O660" s="253"/>
      <c r="P660" s="253"/>
      <c r="Q660" s="253"/>
      <c r="R660" s="253"/>
    </row>
    <row r="661" ht="15.75" customHeight="1">
      <c r="A661" s="253"/>
      <c r="B661" s="253"/>
      <c r="C661" s="253"/>
      <c r="D661" s="262" t="s">
        <v>11764</v>
      </c>
      <c r="E661" s="253"/>
      <c r="F661" s="253"/>
      <c r="G661" s="253"/>
      <c r="H661" s="253"/>
      <c r="I661" s="253"/>
      <c r="J661" s="253"/>
      <c r="K661" s="253"/>
      <c r="L661" s="253"/>
      <c r="M661" s="253"/>
      <c r="N661" s="253"/>
      <c r="O661" s="253"/>
      <c r="P661" s="253"/>
      <c r="Q661" s="253"/>
      <c r="R661" s="253"/>
    </row>
    <row r="662" ht="15.75" customHeight="1">
      <c r="A662" s="253"/>
      <c r="B662" s="253"/>
      <c r="C662" s="253"/>
      <c r="D662" s="262" t="s">
        <v>11765</v>
      </c>
      <c r="E662" s="253"/>
      <c r="F662" s="253"/>
      <c r="G662" s="253"/>
      <c r="H662" s="253"/>
      <c r="I662" s="253"/>
      <c r="J662" s="253"/>
      <c r="K662" s="253"/>
      <c r="L662" s="253"/>
      <c r="M662" s="253"/>
      <c r="N662" s="253"/>
      <c r="O662" s="253"/>
      <c r="P662" s="253"/>
      <c r="Q662" s="253"/>
      <c r="R662" s="253"/>
    </row>
    <row r="663" ht="15.75" customHeight="1">
      <c r="A663" s="253"/>
      <c r="B663" s="253"/>
      <c r="C663" s="253"/>
      <c r="D663" s="262" t="s">
        <v>11766</v>
      </c>
      <c r="E663" s="253"/>
      <c r="F663" s="253"/>
      <c r="G663" s="253"/>
      <c r="H663" s="253"/>
      <c r="I663" s="253"/>
      <c r="J663" s="253"/>
      <c r="K663" s="253"/>
      <c r="L663" s="253"/>
      <c r="M663" s="253"/>
      <c r="N663" s="253"/>
      <c r="O663" s="253"/>
      <c r="P663" s="253"/>
      <c r="Q663" s="253"/>
      <c r="R663" s="253"/>
    </row>
    <row r="664" ht="15.75" customHeight="1">
      <c r="A664" s="253"/>
      <c r="B664" s="253"/>
      <c r="C664" s="253"/>
      <c r="D664" s="262" t="s">
        <v>11767</v>
      </c>
      <c r="E664" s="253"/>
      <c r="F664" s="253"/>
      <c r="G664" s="253"/>
      <c r="H664" s="253"/>
      <c r="I664" s="253"/>
      <c r="J664" s="253"/>
      <c r="K664" s="253"/>
      <c r="L664" s="253"/>
      <c r="M664" s="253"/>
      <c r="N664" s="253"/>
      <c r="O664" s="253"/>
      <c r="P664" s="253"/>
      <c r="Q664" s="253"/>
      <c r="R664" s="253"/>
    </row>
    <row r="665" ht="15.75" customHeight="1">
      <c r="A665" s="253"/>
      <c r="B665" s="253"/>
      <c r="C665" s="253"/>
      <c r="D665" s="262" t="s">
        <v>11768</v>
      </c>
      <c r="E665" s="253"/>
      <c r="F665" s="253"/>
      <c r="G665" s="253"/>
      <c r="H665" s="253"/>
      <c r="I665" s="253"/>
      <c r="J665" s="253"/>
      <c r="K665" s="253"/>
      <c r="L665" s="253"/>
      <c r="M665" s="253"/>
      <c r="N665" s="253"/>
      <c r="O665" s="253"/>
      <c r="P665" s="253"/>
      <c r="Q665" s="253"/>
      <c r="R665" s="253"/>
    </row>
    <row r="666" ht="15.75" customHeight="1">
      <c r="A666" s="253"/>
      <c r="B666" s="253"/>
      <c r="C666" s="253"/>
      <c r="D666" s="262" t="s">
        <v>11769</v>
      </c>
      <c r="E666" s="253"/>
      <c r="F666" s="253"/>
      <c r="G666" s="253"/>
      <c r="H666" s="253"/>
      <c r="I666" s="253"/>
      <c r="J666" s="253"/>
      <c r="K666" s="253"/>
      <c r="L666" s="253"/>
      <c r="M666" s="253"/>
      <c r="N666" s="253"/>
      <c r="O666" s="253"/>
      <c r="P666" s="253"/>
      <c r="Q666" s="253"/>
      <c r="R666" s="253"/>
    </row>
    <row r="667" ht="15.75" customHeight="1">
      <c r="A667" s="253"/>
      <c r="B667" s="253"/>
      <c r="C667" s="253"/>
      <c r="D667" s="262" t="s">
        <v>90</v>
      </c>
      <c r="E667" s="253"/>
      <c r="F667" s="253"/>
      <c r="G667" s="253"/>
      <c r="H667" s="253"/>
      <c r="I667" s="253"/>
      <c r="J667" s="253"/>
      <c r="K667" s="253"/>
      <c r="L667" s="253"/>
      <c r="M667" s="253"/>
      <c r="N667" s="253"/>
      <c r="O667" s="253"/>
      <c r="P667" s="253"/>
      <c r="Q667" s="253"/>
      <c r="R667" s="253"/>
    </row>
    <row r="668" ht="15.75" customHeight="1">
      <c r="A668" s="253"/>
      <c r="B668" s="253"/>
      <c r="C668" s="253"/>
      <c r="D668" s="262" t="s">
        <v>11770</v>
      </c>
      <c r="E668" s="253"/>
      <c r="F668" s="253"/>
      <c r="G668" s="253"/>
      <c r="H668" s="253"/>
      <c r="I668" s="253"/>
      <c r="J668" s="253"/>
      <c r="K668" s="253"/>
      <c r="L668" s="253"/>
      <c r="M668" s="253"/>
      <c r="N668" s="253"/>
      <c r="O668" s="253"/>
      <c r="P668" s="253"/>
      <c r="Q668" s="253"/>
      <c r="R668" s="253"/>
    </row>
    <row r="669" ht="15.75" customHeight="1">
      <c r="A669" s="253"/>
      <c r="B669" s="253"/>
      <c r="C669" s="253"/>
      <c r="D669" s="262" t="s">
        <v>11771</v>
      </c>
      <c r="E669" s="253"/>
      <c r="F669" s="253"/>
      <c r="G669" s="253"/>
      <c r="H669" s="253"/>
      <c r="I669" s="253"/>
      <c r="J669" s="253"/>
      <c r="K669" s="253"/>
      <c r="L669" s="253"/>
      <c r="M669" s="253"/>
      <c r="N669" s="253"/>
      <c r="O669" s="253"/>
      <c r="P669" s="253"/>
      <c r="Q669" s="253"/>
      <c r="R669" s="253"/>
    </row>
    <row r="670" ht="15.75" customHeight="1">
      <c r="A670" s="253"/>
      <c r="B670" s="253"/>
      <c r="C670" s="253"/>
      <c r="D670" s="262" t="s">
        <v>5385</v>
      </c>
      <c r="E670" s="253"/>
      <c r="F670" s="253"/>
      <c r="G670" s="253"/>
      <c r="H670" s="253"/>
      <c r="I670" s="253"/>
      <c r="J670" s="253"/>
      <c r="K670" s="253"/>
      <c r="L670" s="253"/>
      <c r="M670" s="253"/>
      <c r="N670" s="253"/>
      <c r="O670" s="253"/>
      <c r="P670" s="253"/>
      <c r="Q670" s="253"/>
      <c r="R670" s="253"/>
    </row>
    <row r="671" ht="15.75" customHeight="1">
      <c r="A671" s="253"/>
      <c r="B671" s="253"/>
      <c r="C671" s="253"/>
      <c r="D671" s="262" t="s">
        <v>11772</v>
      </c>
      <c r="E671" s="253"/>
      <c r="F671" s="253"/>
      <c r="G671" s="253"/>
      <c r="H671" s="253"/>
      <c r="I671" s="253"/>
      <c r="J671" s="253"/>
      <c r="K671" s="253"/>
      <c r="L671" s="253"/>
      <c r="M671" s="253"/>
      <c r="N671" s="253"/>
      <c r="O671" s="253"/>
      <c r="P671" s="253"/>
      <c r="Q671" s="253"/>
      <c r="R671" s="253"/>
    </row>
    <row r="672" ht="15.75" customHeight="1">
      <c r="A672" s="253"/>
      <c r="B672" s="253"/>
      <c r="C672" s="253"/>
      <c r="D672" s="262" t="s">
        <v>11773</v>
      </c>
      <c r="E672" s="253"/>
      <c r="F672" s="253"/>
      <c r="G672" s="253"/>
      <c r="H672" s="253"/>
      <c r="I672" s="253"/>
      <c r="J672" s="253"/>
      <c r="K672" s="253"/>
      <c r="L672" s="253"/>
      <c r="M672" s="253"/>
      <c r="N672" s="253"/>
      <c r="O672" s="253"/>
      <c r="P672" s="253"/>
      <c r="Q672" s="253"/>
      <c r="R672" s="253"/>
    </row>
    <row r="673" ht="15.75" customHeight="1">
      <c r="A673" s="253"/>
      <c r="B673" s="253"/>
      <c r="C673" s="253"/>
      <c r="D673" s="262" t="s">
        <v>11774</v>
      </c>
      <c r="E673" s="253"/>
      <c r="F673" s="253"/>
      <c r="G673" s="253"/>
      <c r="H673" s="253"/>
      <c r="I673" s="253"/>
      <c r="J673" s="253"/>
      <c r="K673" s="253"/>
      <c r="L673" s="253"/>
      <c r="M673" s="253"/>
      <c r="N673" s="253"/>
      <c r="O673" s="253"/>
      <c r="P673" s="253"/>
      <c r="Q673" s="253"/>
      <c r="R673" s="253"/>
    </row>
    <row r="674" ht="15.75" customHeight="1">
      <c r="A674" s="253"/>
      <c r="B674" s="253"/>
      <c r="C674" s="253"/>
      <c r="D674" s="262" t="s">
        <v>11775</v>
      </c>
      <c r="E674" s="253"/>
      <c r="F674" s="253"/>
      <c r="G674" s="253"/>
      <c r="H674" s="253"/>
      <c r="I674" s="253"/>
      <c r="J674" s="253"/>
      <c r="K674" s="253"/>
      <c r="L674" s="253"/>
      <c r="M674" s="253"/>
      <c r="N674" s="253"/>
      <c r="O674" s="253"/>
      <c r="P674" s="253"/>
      <c r="Q674" s="253"/>
      <c r="R674" s="253"/>
    </row>
    <row r="675" ht="15.75" customHeight="1">
      <c r="A675" s="253"/>
      <c r="B675" s="253"/>
      <c r="C675" s="253"/>
      <c r="D675" s="262" t="s">
        <v>2746</v>
      </c>
      <c r="E675" s="253"/>
      <c r="F675" s="253"/>
      <c r="G675" s="253"/>
      <c r="H675" s="253"/>
      <c r="I675" s="253"/>
      <c r="J675" s="253"/>
      <c r="K675" s="253"/>
      <c r="L675" s="253"/>
      <c r="M675" s="253"/>
      <c r="N675" s="253"/>
      <c r="O675" s="253"/>
      <c r="P675" s="253"/>
      <c r="Q675" s="253"/>
      <c r="R675" s="253"/>
    </row>
    <row r="676" ht="15.75" customHeight="1">
      <c r="A676" s="253"/>
      <c r="B676" s="253"/>
      <c r="C676" s="253"/>
      <c r="D676" s="262" t="s">
        <v>1354</v>
      </c>
      <c r="E676" s="253"/>
      <c r="F676" s="253"/>
      <c r="G676" s="253"/>
      <c r="H676" s="253"/>
      <c r="I676" s="253"/>
      <c r="J676" s="253"/>
      <c r="K676" s="253"/>
      <c r="L676" s="253"/>
      <c r="M676" s="253"/>
      <c r="N676" s="253"/>
      <c r="O676" s="253"/>
      <c r="P676" s="253"/>
      <c r="Q676" s="253"/>
      <c r="R676" s="253"/>
    </row>
    <row r="677" ht="15.75" customHeight="1">
      <c r="A677" s="253"/>
      <c r="B677" s="253"/>
      <c r="C677" s="253"/>
      <c r="D677" s="262" t="s">
        <v>11776</v>
      </c>
      <c r="E677" s="253"/>
      <c r="F677" s="253"/>
      <c r="G677" s="253"/>
      <c r="H677" s="253"/>
      <c r="I677" s="253"/>
      <c r="J677" s="253"/>
      <c r="K677" s="253"/>
      <c r="L677" s="253"/>
      <c r="M677" s="253"/>
      <c r="N677" s="253"/>
      <c r="O677" s="253"/>
      <c r="P677" s="253"/>
      <c r="Q677" s="253"/>
      <c r="R677" s="253"/>
    </row>
    <row r="678" ht="15.75" customHeight="1">
      <c r="A678" s="253"/>
      <c r="B678" s="253"/>
      <c r="C678" s="253"/>
      <c r="D678" s="262" t="s">
        <v>11777</v>
      </c>
      <c r="E678" s="253"/>
      <c r="F678" s="253"/>
      <c r="G678" s="253"/>
      <c r="H678" s="253"/>
      <c r="I678" s="253"/>
      <c r="J678" s="253"/>
      <c r="K678" s="253"/>
      <c r="L678" s="253"/>
      <c r="M678" s="253"/>
      <c r="N678" s="253"/>
      <c r="O678" s="253"/>
      <c r="P678" s="253"/>
      <c r="Q678" s="253"/>
      <c r="R678" s="253"/>
    </row>
    <row r="679" ht="15.75" customHeight="1">
      <c r="A679" s="253"/>
      <c r="B679" s="253"/>
      <c r="C679" s="253"/>
      <c r="D679" s="262" t="s">
        <v>11778</v>
      </c>
      <c r="E679" s="253"/>
      <c r="F679" s="253"/>
      <c r="G679" s="253"/>
      <c r="H679" s="253"/>
      <c r="I679" s="253"/>
      <c r="J679" s="253"/>
      <c r="K679" s="253"/>
      <c r="L679" s="253"/>
      <c r="M679" s="253"/>
      <c r="N679" s="253"/>
      <c r="O679" s="253"/>
      <c r="P679" s="253"/>
      <c r="Q679" s="253"/>
      <c r="R679" s="253"/>
    </row>
    <row r="680" ht="15.75" customHeight="1">
      <c r="A680" s="253"/>
      <c r="B680" s="253"/>
      <c r="C680" s="253"/>
      <c r="D680" s="262" t="s">
        <v>11779</v>
      </c>
      <c r="E680" s="253"/>
      <c r="F680" s="253"/>
      <c r="G680" s="253"/>
      <c r="H680" s="253"/>
      <c r="I680" s="253"/>
      <c r="J680" s="253"/>
      <c r="K680" s="253"/>
      <c r="L680" s="253"/>
      <c r="M680" s="253"/>
      <c r="N680" s="253"/>
      <c r="O680" s="253"/>
      <c r="P680" s="253"/>
      <c r="Q680" s="253"/>
      <c r="R680" s="253"/>
    </row>
    <row r="681" ht="15.75" customHeight="1">
      <c r="A681" s="253"/>
      <c r="B681" s="253"/>
      <c r="C681" s="253"/>
      <c r="D681" s="262" t="s">
        <v>1960</v>
      </c>
      <c r="E681" s="253"/>
      <c r="F681" s="253"/>
      <c r="G681" s="253"/>
      <c r="H681" s="253"/>
      <c r="I681" s="253"/>
      <c r="J681" s="253"/>
      <c r="K681" s="253"/>
      <c r="L681" s="253"/>
      <c r="M681" s="253"/>
      <c r="N681" s="253"/>
      <c r="O681" s="253"/>
      <c r="P681" s="253"/>
      <c r="Q681" s="253"/>
      <c r="R681" s="253"/>
    </row>
    <row r="682" ht="15.75" customHeight="1">
      <c r="A682" s="253"/>
      <c r="B682" s="253"/>
      <c r="C682" s="253"/>
      <c r="D682" s="262" t="s">
        <v>11780</v>
      </c>
      <c r="E682" s="253"/>
      <c r="F682" s="253"/>
      <c r="G682" s="253"/>
      <c r="H682" s="253"/>
      <c r="I682" s="253"/>
      <c r="J682" s="253"/>
      <c r="K682" s="253"/>
      <c r="L682" s="253"/>
      <c r="M682" s="253"/>
      <c r="N682" s="253"/>
      <c r="O682" s="253"/>
      <c r="P682" s="253"/>
      <c r="Q682" s="253"/>
      <c r="R682" s="253"/>
    </row>
    <row r="683" ht="15.75" customHeight="1">
      <c r="A683" s="253"/>
      <c r="B683" s="253"/>
      <c r="C683" s="253"/>
      <c r="D683" s="262" t="s">
        <v>7064</v>
      </c>
      <c r="E683" s="253"/>
      <c r="F683" s="253"/>
      <c r="G683" s="253"/>
      <c r="H683" s="253"/>
      <c r="I683" s="253"/>
      <c r="J683" s="253"/>
      <c r="K683" s="253"/>
      <c r="L683" s="253"/>
      <c r="M683" s="253"/>
      <c r="N683" s="253"/>
      <c r="O683" s="253"/>
      <c r="P683" s="253"/>
      <c r="Q683" s="253"/>
      <c r="R683" s="253"/>
    </row>
    <row r="684" ht="15.75" customHeight="1">
      <c r="A684" s="253"/>
      <c r="B684" s="253"/>
      <c r="C684" s="253"/>
      <c r="D684" s="262" t="s">
        <v>11781</v>
      </c>
      <c r="E684" s="253"/>
      <c r="F684" s="253"/>
      <c r="G684" s="253"/>
      <c r="H684" s="253"/>
      <c r="I684" s="253"/>
      <c r="J684" s="253"/>
      <c r="K684" s="253"/>
      <c r="L684" s="253"/>
      <c r="M684" s="253"/>
      <c r="N684" s="253"/>
      <c r="O684" s="253"/>
      <c r="P684" s="253"/>
      <c r="Q684" s="253"/>
      <c r="R684" s="253"/>
    </row>
    <row r="685" ht="15.75" customHeight="1">
      <c r="A685" s="253"/>
      <c r="B685" s="253"/>
      <c r="C685" s="253"/>
      <c r="D685" s="262" t="s">
        <v>4261</v>
      </c>
      <c r="E685" s="253"/>
      <c r="F685" s="253"/>
      <c r="G685" s="253"/>
      <c r="H685" s="253"/>
      <c r="I685" s="253"/>
      <c r="J685" s="253"/>
      <c r="K685" s="253"/>
      <c r="L685" s="253"/>
      <c r="M685" s="253"/>
      <c r="N685" s="253"/>
      <c r="O685" s="253"/>
      <c r="P685" s="253"/>
      <c r="Q685" s="253"/>
      <c r="R685" s="253"/>
    </row>
    <row r="686" ht="15.75" customHeight="1">
      <c r="A686" s="253"/>
      <c r="B686" s="253"/>
      <c r="C686" s="253"/>
      <c r="D686" s="262" t="s">
        <v>3051</v>
      </c>
      <c r="E686" s="253"/>
      <c r="F686" s="253"/>
      <c r="G686" s="253"/>
      <c r="H686" s="253"/>
      <c r="I686" s="253"/>
      <c r="J686" s="253"/>
      <c r="K686" s="253"/>
      <c r="L686" s="253"/>
      <c r="M686" s="253"/>
      <c r="N686" s="253"/>
      <c r="O686" s="253"/>
      <c r="P686" s="253"/>
      <c r="Q686" s="253"/>
      <c r="R686" s="253"/>
    </row>
    <row r="687" ht="15.75" customHeight="1">
      <c r="A687" s="253"/>
      <c r="B687" s="253"/>
      <c r="C687" s="253"/>
      <c r="D687" s="262" t="s">
        <v>11782</v>
      </c>
      <c r="E687" s="253"/>
      <c r="F687" s="253"/>
      <c r="G687" s="253"/>
      <c r="H687" s="253"/>
      <c r="I687" s="253"/>
      <c r="J687" s="253"/>
      <c r="K687" s="253"/>
      <c r="L687" s="253"/>
      <c r="M687" s="253"/>
      <c r="N687" s="253"/>
      <c r="O687" s="253"/>
      <c r="P687" s="253"/>
      <c r="Q687" s="253"/>
      <c r="R687" s="253"/>
    </row>
    <row r="688" ht="15.75" customHeight="1">
      <c r="A688" s="253"/>
      <c r="B688" s="253"/>
      <c r="C688" s="253"/>
      <c r="D688" s="262" t="s">
        <v>11783</v>
      </c>
      <c r="E688" s="253"/>
      <c r="F688" s="253"/>
      <c r="G688" s="253"/>
      <c r="H688" s="253"/>
      <c r="I688" s="253"/>
      <c r="J688" s="253"/>
      <c r="K688" s="253"/>
      <c r="L688" s="253"/>
      <c r="M688" s="253"/>
      <c r="N688" s="253"/>
      <c r="O688" s="253"/>
      <c r="P688" s="253"/>
      <c r="Q688" s="253"/>
      <c r="R688" s="253"/>
    </row>
    <row r="689" ht="15.75" customHeight="1">
      <c r="A689" s="253"/>
      <c r="B689" s="253"/>
      <c r="C689" s="253"/>
      <c r="D689" s="262" t="s">
        <v>1766</v>
      </c>
      <c r="E689" s="253"/>
      <c r="F689" s="253"/>
      <c r="G689" s="253"/>
      <c r="H689" s="253"/>
      <c r="I689" s="253"/>
      <c r="J689" s="253"/>
      <c r="K689" s="253"/>
      <c r="L689" s="253"/>
      <c r="M689" s="253"/>
      <c r="N689" s="253"/>
      <c r="O689" s="253"/>
      <c r="P689" s="253"/>
      <c r="Q689" s="253"/>
      <c r="R689" s="253"/>
    </row>
    <row r="690" ht="15.75" customHeight="1">
      <c r="A690" s="253"/>
      <c r="B690" s="253"/>
      <c r="C690" s="253"/>
      <c r="D690" s="262" t="s">
        <v>11784</v>
      </c>
      <c r="E690" s="253"/>
      <c r="F690" s="253"/>
      <c r="G690" s="253"/>
      <c r="H690" s="253"/>
      <c r="I690" s="253"/>
      <c r="J690" s="253"/>
      <c r="K690" s="253"/>
      <c r="L690" s="253"/>
      <c r="M690" s="253"/>
      <c r="N690" s="253"/>
      <c r="O690" s="253"/>
      <c r="P690" s="253"/>
      <c r="Q690" s="253"/>
      <c r="R690" s="253"/>
    </row>
    <row r="691" ht="15.75" customHeight="1">
      <c r="A691" s="253"/>
      <c r="B691" s="253"/>
      <c r="C691" s="253"/>
      <c r="D691" s="262" t="s">
        <v>11785</v>
      </c>
      <c r="E691" s="253"/>
      <c r="F691" s="253"/>
      <c r="G691" s="253"/>
      <c r="H691" s="253"/>
      <c r="I691" s="253"/>
      <c r="J691" s="253"/>
      <c r="K691" s="253"/>
      <c r="L691" s="253"/>
      <c r="M691" s="253"/>
      <c r="N691" s="253"/>
      <c r="O691" s="253"/>
      <c r="P691" s="253"/>
      <c r="Q691" s="253"/>
      <c r="R691" s="253"/>
    </row>
    <row r="692" ht="15.75" customHeight="1">
      <c r="A692" s="253"/>
      <c r="B692" s="253"/>
      <c r="C692" s="253"/>
      <c r="D692" s="262" t="s">
        <v>7276</v>
      </c>
      <c r="E692" s="253"/>
      <c r="F692" s="253"/>
      <c r="G692" s="253"/>
      <c r="H692" s="253"/>
      <c r="I692" s="253"/>
      <c r="J692" s="253"/>
      <c r="K692" s="253"/>
      <c r="L692" s="253"/>
      <c r="M692" s="253"/>
      <c r="N692" s="253"/>
      <c r="O692" s="253"/>
      <c r="P692" s="253"/>
      <c r="Q692" s="253"/>
      <c r="R692" s="253"/>
    </row>
    <row r="693" ht="15.75" customHeight="1">
      <c r="A693" s="253"/>
      <c r="B693" s="253"/>
      <c r="C693" s="253"/>
      <c r="D693" s="262" t="s">
        <v>11786</v>
      </c>
      <c r="E693" s="253"/>
      <c r="F693" s="253"/>
      <c r="G693" s="253"/>
      <c r="H693" s="253"/>
      <c r="I693" s="253"/>
      <c r="J693" s="253"/>
      <c r="K693" s="253"/>
      <c r="L693" s="253"/>
      <c r="M693" s="253"/>
      <c r="N693" s="253"/>
      <c r="O693" s="253"/>
      <c r="P693" s="253"/>
      <c r="Q693" s="253"/>
      <c r="R693" s="253"/>
    </row>
    <row r="694" ht="15.75" customHeight="1">
      <c r="A694" s="253"/>
      <c r="B694" s="253"/>
      <c r="C694" s="253"/>
      <c r="D694" s="262" t="s">
        <v>11787</v>
      </c>
      <c r="E694" s="253"/>
      <c r="F694" s="253"/>
      <c r="G694" s="253"/>
      <c r="H694" s="253"/>
      <c r="I694" s="253"/>
      <c r="J694" s="253"/>
      <c r="K694" s="253"/>
      <c r="L694" s="253"/>
      <c r="M694" s="253"/>
      <c r="N694" s="253"/>
      <c r="O694" s="253"/>
      <c r="P694" s="253"/>
      <c r="Q694" s="253"/>
      <c r="R694" s="253"/>
    </row>
    <row r="695" ht="15.75" customHeight="1">
      <c r="A695" s="253"/>
      <c r="B695" s="253"/>
      <c r="C695" s="253"/>
      <c r="D695" s="262" t="s">
        <v>11788</v>
      </c>
      <c r="E695" s="253"/>
      <c r="F695" s="253"/>
      <c r="G695" s="253"/>
      <c r="H695" s="253"/>
      <c r="I695" s="253"/>
      <c r="J695" s="253"/>
      <c r="K695" s="253"/>
      <c r="L695" s="253"/>
      <c r="M695" s="253"/>
      <c r="N695" s="253"/>
      <c r="O695" s="253"/>
      <c r="P695" s="253"/>
      <c r="Q695" s="253"/>
      <c r="R695" s="253"/>
    </row>
    <row r="696" ht="15.75" customHeight="1">
      <c r="A696" s="253"/>
      <c r="B696" s="253"/>
      <c r="C696" s="253"/>
      <c r="D696" s="262" t="s">
        <v>11789</v>
      </c>
      <c r="E696" s="253"/>
      <c r="F696" s="253"/>
      <c r="G696" s="253"/>
      <c r="H696" s="253"/>
      <c r="I696" s="253"/>
      <c r="J696" s="253"/>
      <c r="K696" s="253"/>
      <c r="L696" s="253"/>
      <c r="M696" s="253"/>
      <c r="N696" s="253"/>
      <c r="O696" s="253"/>
      <c r="P696" s="253"/>
      <c r="Q696" s="253"/>
      <c r="R696" s="253"/>
    </row>
    <row r="697" ht="15.75" customHeight="1">
      <c r="A697" s="253"/>
      <c r="B697" s="253"/>
      <c r="C697" s="253"/>
      <c r="D697" s="262" t="s">
        <v>4376</v>
      </c>
      <c r="E697" s="253"/>
      <c r="F697" s="253"/>
      <c r="G697" s="253"/>
      <c r="H697" s="253"/>
      <c r="I697" s="253"/>
      <c r="J697" s="253"/>
      <c r="K697" s="253"/>
      <c r="L697" s="253"/>
      <c r="M697" s="253"/>
      <c r="N697" s="253"/>
      <c r="O697" s="253"/>
      <c r="P697" s="253"/>
      <c r="Q697" s="253"/>
      <c r="R697" s="253"/>
    </row>
    <row r="698" ht="15.75" customHeight="1">
      <c r="A698" s="253"/>
      <c r="B698" s="253"/>
      <c r="C698" s="253"/>
      <c r="D698" s="262" t="s">
        <v>11790</v>
      </c>
      <c r="E698" s="253"/>
      <c r="F698" s="253"/>
      <c r="G698" s="253"/>
      <c r="H698" s="253"/>
      <c r="I698" s="253"/>
      <c r="J698" s="253"/>
      <c r="K698" s="253"/>
      <c r="L698" s="253"/>
      <c r="M698" s="253"/>
      <c r="N698" s="253"/>
      <c r="O698" s="253"/>
      <c r="P698" s="253"/>
      <c r="Q698" s="253"/>
      <c r="R698" s="253"/>
    </row>
    <row r="699" ht="15.75" customHeight="1">
      <c r="A699" s="253"/>
      <c r="B699" s="253"/>
      <c r="C699" s="253"/>
      <c r="D699" s="262" t="s">
        <v>11791</v>
      </c>
      <c r="E699" s="253"/>
      <c r="F699" s="253"/>
      <c r="G699" s="253"/>
      <c r="H699" s="253"/>
      <c r="I699" s="253"/>
      <c r="J699" s="253"/>
      <c r="K699" s="253"/>
      <c r="L699" s="253"/>
      <c r="M699" s="253"/>
      <c r="N699" s="253"/>
      <c r="O699" s="253"/>
      <c r="P699" s="253"/>
      <c r="Q699" s="253"/>
      <c r="R699" s="253"/>
    </row>
    <row r="700" ht="15.75" customHeight="1">
      <c r="A700" s="253"/>
      <c r="B700" s="253"/>
      <c r="C700" s="253"/>
      <c r="D700" s="262" t="s">
        <v>9623</v>
      </c>
      <c r="E700" s="253"/>
      <c r="F700" s="253"/>
      <c r="G700" s="253"/>
      <c r="H700" s="253"/>
      <c r="I700" s="253"/>
      <c r="J700" s="253"/>
      <c r="K700" s="253"/>
      <c r="L700" s="253"/>
      <c r="M700" s="253"/>
      <c r="N700" s="253"/>
      <c r="O700" s="253"/>
      <c r="P700" s="253"/>
      <c r="Q700" s="253"/>
      <c r="R700" s="253"/>
    </row>
    <row r="701" ht="15.75" customHeight="1">
      <c r="A701" s="253"/>
      <c r="B701" s="253"/>
      <c r="C701" s="253"/>
      <c r="D701" s="262" t="s">
        <v>11792</v>
      </c>
      <c r="E701" s="253"/>
      <c r="F701" s="253"/>
      <c r="G701" s="253"/>
      <c r="H701" s="253"/>
      <c r="I701" s="253"/>
      <c r="J701" s="253"/>
      <c r="K701" s="253"/>
      <c r="L701" s="253"/>
      <c r="M701" s="253"/>
      <c r="N701" s="253"/>
      <c r="O701" s="253"/>
      <c r="P701" s="253"/>
      <c r="Q701" s="253"/>
      <c r="R701" s="253"/>
    </row>
    <row r="702" ht="15.75" customHeight="1">
      <c r="A702" s="253"/>
      <c r="B702" s="253"/>
      <c r="C702" s="253"/>
      <c r="D702" s="262" t="s">
        <v>11793</v>
      </c>
      <c r="E702" s="253"/>
      <c r="F702" s="253"/>
      <c r="G702" s="253"/>
      <c r="H702" s="253"/>
      <c r="I702" s="253"/>
      <c r="J702" s="253"/>
      <c r="K702" s="253"/>
      <c r="L702" s="253"/>
      <c r="M702" s="253"/>
      <c r="N702" s="253"/>
      <c r="O702" s="253"/>
      <c r="P702" s="253"/>
      <c r="Q702" s="253"/>
      <c r="R702" s="253"/>
    </row>
    <row r="703" ht="15.75" customHeight="1">
      <c r="A703" s="253"/>
      <c r="B703" s="253"/>
      <c r="C703" s="253"/>
      <c r="D703" s="262" t="s">
        <v>11794</v>
      </c>
      <c r="E703" s="253"/>
      <c r="F703" s="253"/>
      <c r="G703" s="253"/>
      <c r="H703" s="253"/>
      <c r="I703" s="253"/>
      <c r="J703" s="253"/>
      <c r="K703" s="253"/>
      <c r="L703" s="253"/>
      <c r="M703" s="253"/>
      <c r="N703" s="253"/>
      <c r="O703" s="253"/>
      <c r="P703" s="253"/>
      <c r="Q703" s="253"/>
      <c r="R703" s="253"/>
    </row>
    <row r="704" ht="15.75" customHeight="1">
      <c r="A704" s="253"/>
      <c r="B704" s="253"/>
      <c r="C704" s="253"/>
      <c r="D704" s="262" t="s">
        <v>4298</v>
      </c>
      <c r="E704" s="253"/>
      <c r="F704" s="253"/>
      <c r="G704" s="253"/>
      <c r="H704" s="253"/>
      <c r="I704" s="253"/>
      <c r="J704" s="253"/>
      <c r="K704" s="253"/>
      <c r="L704" s="253"/>
      <c r="M704" s="253"/>
      <c r="N704" s="253"/>
      <c r="O704" s="253"/>
      <c r="P704" s="253"/>
      <c r="Q704" s="253"/>
      <c r="R704" s="253"/>
    </row>
    <row r="705" ht="15.75" customHeight="1">
      <c r="A705" s="253"/>
      <c r="B705" s="253"/>
      <c r="C705" s="253"/>
      <c r="D705" s="262" t="s">
        <v>11795</v>
      </c>
      <c r="E705" s="253"/>
      <c r="F705" s="253"/>
      <c r="G705" s="253"/>
      <c r="H705" s="253"/>
      <c r="I705" s="253"/>
      <c r="J705" s="253"/>
      <c r="K705" s="253"/>
      <c r="L705" s="253"/>
      <c r="M705" s="253"/>
      <c r="N705" s="253"/>
      <c r="O705" s="253"/>
      <c r="P705" s="253"/>
      <c r="Q705" s="253"/>
      <c r="R705" s="253"/>
    </row>
    <row r="706" ht="15.75" customHeight="1">
      <c r="A706" s="253"/>
      <c r="B706" s="253"/>
      <c r="C706" s="253"/>
      <c r="D706" s="262" t="s">
        <v>11796</v>
      </c>
      <c r="E706" s="253"/>
      <c r="F706" s="253"/>
      <c r="G706" s="253"/>
      <c r="H706" s="253"/>
      <c r="I706" s="253"/>
      <c r="J706" s="253"/>
      <c r="K706" s="253"/>
      <c r="L706" s="253"/>
      <c r="M706" s="253"/>
      <c r="N706" s="253"/>
      <c r="O706" s="253"/>
      <c r="P706" s="253"/>
      <c r="Q706" s="253"/>
      <c r="R706" s="253"/>
    </row>
    <row r="707" ht="15.75" customHeight="1">
      <c r="A707" s="253"/>
      <c r="B707" s="253"/>
      <c r="C707" s="253"/>
      <c r="D707" s="262" t="s">
        <v>11797</v>
      </c>
      <c r="E707" s="253"/>
      <c r="F707" s="253"/>
      <c r="G707" s="253"/>
      <c r="H707" s="253"/>
      <c r="I707" s="253"/>
      <c r="J707" s="253"/>
      <c r="K707" s="253"/>
      <c r="L707" s="253"/>
      <c r="M707" s="253"/>
      <c r="N707" s="253"/>
      <c r="O707" s="253"/>
      <c r="P707" s="253"/>
      <c r="Q707" s="253"/>
      <c r="R707" s="253"/>
    </row>
    <row r="708" ht="15.75" customHeight="1">
      <c r="A708" s="253"/>
      <c r="B708" s="253"/>
      <c r="C708" s="253"/>
      <c r="D708" s="262" t="s">
        <v>11798</v>
      </c>
      <c r="E708" s="253"/>
      <c r="F708" s="253"/>
      <c r="G708" s="253"/>
      <c r="H708" s="253"/>
      <c r="I708" s="253"/>
      <c r="J708" s="253"/>
      <c r="K708" s="253"/>
      <c r="L708" s="253"/>
      <c r="M708" s="253"/>
      <c r="N708" s="253"/>
      <c r="O708" s="253"/>
      <c r="P708" s="253"/>
      <c r="Q708" s="253"/>
      <c r="R708" s="253"/>
    </row>
    <row r="709" ht="15.75" customHeight="1">
      <c r="A709" s="253"/>
      <c r="B709" s="253"/>
      <c r="C709" s="253"/>
      <c r="D709" s="262" t="s">
        <v>11799</v>
      </c>
      <c r="E709" s="253"/>
      <c r="F709" s="253"/>
      <c r="G709" s="253"/>
      <c r="H709" s="253"/>
      <c r="I709" s="253"/>
      <c r="J709" s="253"/>
      <c r="K709" s="253"/>
      <c r="L709" s="253"/>
      <c r="M709" s="253"/>
      <c r="N709" s="253"/>
      <c r="O709" s="253"/>
      <c r="P709" s="253"/>
      <c r="Q709" s="253"/>
      <c r="R709" s="253"/>
    </row>
    <row r="710" ht="15.75" customHeight="1">
      <c r="A710" s="253"/>
      <c r="B710" s="253"/>
      <c r="C710" s="253"/>
      <c r="D710" s="262" t="s">
        <v>11800</v>
      </c>
      <c r="E710" s="253"/>
      <c r="F710" s="253"/>
      <c r="G710" s="253"/>
      <c r="H710" s="253"/>
      <c r="I710" s="253"/>
      <c r="J710" s="253"/>
      <c r="K710" s="253"/>
      <c r="L710" s="253"/>
      <c r="M710" s="253"/>
      <c r="N710" s="253"/>
      <c r="O710" s="253"/>
      <c r="P710" s="253"/>
      <c r="Q710" s="253"/>
      <c r="R710" s="253"/>
    </row>
    <row r="711" ht="15.75" customHeight="1">
      <c r="A711" s="253"/>
      <c r="B711" s="253"/>
      <c r="C711" s="253"/>
      <c r="D711" s="262" t="s">
        <v>11801</v>
      </c>
      <c r="E711" s="253"/>
      <c r="F711" s="253"/>
      <c r="G711" s="253"/>
      <c r="H711" s="253"/>
      <c r="I711" s="253"/>
      <c r="J711" s="253"/>
      <c r="K711" s="253"/>
      <c r="L711" s="253"/>
      <c r="M711" s="253"/>
      <c r="N711" s="253"/>
      <c r="O711" s="253"/>
      <c r="P711" s="253"/>
      <c r="Q711" s="253"/>
      <c r="R711" s="253"/>
    </row>
    <row r="712" ht="15.75" customHeight="1">
      <c r="A712" s="253"/>
      <c r="B712" s="253"/>
      <c r="C712" s="253"/>
      <c r="D712" s="262" t="s">
        <v>11802</v>
      </c>
      <c r="E712" s="253"/>
      <c r="F712" s="253"/>
      <c r="G712" s="253"/>
      <c r="H712" s="253"/>
      <c r="I712" s="253"/>
      <c r="J712" s="253"/>
      <c r="K712" s="253"/>
      <c r="L712" s="253"/>
      <c r="M712" s="253"/>
      <c r="N712" s="253"/>
      <c r="O712" s="253"/>
      <c r="P712" s="253"/>
      <c r="Q712" s="253"/>
      <c r="R712" s="253"/>
    </row>
    <row r="713" ht="15.75" customHeight="1">
      <c r="A713" s="253"/>
      <c r="B713" s="253"/>
      <c r="C713" s="253"/>
      <c r="D713" s="262" t="s">
        <v>625</v>
      </c>
      <c r="E713" s="253"/>
      <c r="F713" s="253"/>
      <c r="G713" s="253"/>
      <c r="H713" s="253"/>
      <c r="I713" s="253"/>
      <c r="J713" s="253"/>
      <c r="K713" s="253"/>
      <c r="L713" s="253"/>
      <c r="M713" s="253"/>
      <c r="N713" s="253"/>
      <c r="O713" s="253"/>
      <c r="P713" s="253"/>
      <c r="Q713" s="253"/>
      <c r="R713" s="253"/>
    </row>
    <row r="714" ht="15.75" customHeight="1">
      <c r="A714" s="253"/>
      <c r="B714" s="253"/>
      <c r="C714" s="253"/>
      <c r="D714" s="262" t="s">
        <v>11803</v>
      </c>
      <c r="E714" s="253"/>
      <c r="F714" s="253"/>
      <c r="G714" s="253"/>
      <c r="H714" s="253"/>
      <c r="I714" s="253"/>
      <c r="J714" s="253"/>
      <c r="K714" s="253"/>
      <c r="L714" s="253"/>
      <c r="M714" s="253"/>
      <c r="N714" s="253"/>
      <c r="O714" s="253"/>
      <c r="P714" s="253"/>
      <c r="Q714" s="253"/>
      <c r="R714" s="253"/>
    </row>
    <row r="715" ht="15.75" customHeight="1">
      <c r="A715" s="253"/>
      <c r="B715" s="253"/>
      <c r="C715" s="253"/>
      <c r="D715" s="262" t="s">
        <v>3073</v>
      </c>
      <c r="E715" s="253"/>
      <c r="F715" s="253"/>
      <c r="G715" s="253"/>
      <c r="H715" s="253"/>
      <c r="I715" s="253"/>
      <c r="J715" s="253"/>
      <c r="K715" s="253"/>
      <c r="L715" s="253"/>
      <c r="M715" s="253"/>
      <c r="N715" s="253"/>
      <c r="O715" s="253"/>
      <c r="P715" s="253"/>
      <c r="Q715" s="253"/>
      <c r="R715" s="253"/>
    </row>
    <row r="716" ht="15.75" customHeight="1">
      <c r="A716" s="253"/>
      <c r="B716" s="253"/>
      <c r="C716" s="253"/>
      <c r="D716" s="262" t="s">
        <v>11804</v>
      </c>
      <c r="E716" s="253"/>
      <c r="F716" s="253"/>
      <c r="G716" s="253"/>
      <c r="H716" s="253"/>
      <c r="I716" s="253"/>
      <c r="J716" s="253"/>
      <c r="K716" s="253"/>
      <c r="L716" s="253"/>
      <c r="M716" s="253"/>
      <c r="N716" s="253"/>
      <c r="O716" s="253"/>
      <c r="P716" s="253"/>
      <c r="Q716" s="253"/>
      <c r="R716" s="253"/>
    </row>
    <row r="717" ht="15.75" customHeight="1">
      <c r="A717" s="253"/>
      <c r="B717" s="253"/>
      <c r="C717" s="253"/>
      <c r="D717" s="262" t="s">
        <v>11805</v>
      </c>
      <c r="E717" s="253"/>
      <c r="F717" s="253"/>
      <c r="G717" s="253"/>
      <c r="H717" s="253"/>
      <c r="I717" s="253"/>
      <c r="J717" s="253"/>
      <c r="K717" s="253"/>
      <c r="L717" s="253"/>
      <c r="M717" s="253"/>
      <c r="N717" s="253"/>
      <c r="O717" s="253"/>
      <c r="P717" s="253"/>
      <c r="Q717" s="253"/>
      <c r="R717" s="253"/>
    </row>
    <row r="718" ht="15.75" customHeight="1">
      <c r="A718" s="253"/>
      <c r="B718" s="253"/>
      <c r="C718" s="253"/>
      <c r="D718" s="262" t="s">
        <v>11806</v>
      </c>
      <c r="E718" s="253"/>
      <c r="F718" s="253"/>
      <c r="G718" s="253"/>
      <c r="H718" s="253"/>
      <c r="I718" s="253"/>
      <c r="J718" s="253"/>
      <c r="K718" s="253"/>
      <c r="L718" s="253"/>
      <c r="M718" s="253"/>
      <c r="N718" s="253"/>
      <c r="O718" s="253"/>
      <c r="P718" s="253"/>
      <c r="Q718" s="253"/>
      <c r="R718" s="253"/>
    </row>
    <row r="719" ht="15.75" customHeight="1">
      <c r="A719" s="253"/>
      <c r="B719" s="253"/>
      <c r="C719" s="253"/>
      <c r="D719" s="262" t="s">
        <v>3123</v>
      </c>
      <c r="E719" s="253"/>
      <c r="F719" s="253"/>
      <c r="G719" s="253"/>
      <c r="H719" s="253"/>
      <c r="I719" s="253"/>
      <c r="J719" s="253"/>
      <c r="K719" s="253"/>
      <c r="L719" s="253"/>
      <c r="M719" s="253"/>
      <c r="N719" s="253"/>
      <c r="O719" s="253"/>
      <c r="P719" s="253"/>
      <c r="Q719" s="253"/>
      <c r="R719" s="253"/>
    </row>
    <row r="720" ht="15.75" customHeight="1">
      <c r="A720" s="253"/>
      <c r="B720" s="253"/>
      <c r="C720" s="253"/>
      <c r="D720" s="262" t="s">
        <v>11807</v>
      </c>
      <c r="E720" s="253"/>
      <c r="F720" s="253"/>
      <c r="G720" s="253"/>
      <c r="H720" s="253"/>
      <c r="I720" s="253"/>
      <c r="J720" s="253"/>
      <c r="K720" s="253"/>
      <c r="L720" s="253"/>
      <c r="M720" s="253"/>
      <c r="N720" s="253"/>
      <c r="O720" s="253"/>
      <c r="P720" s="253"/>
      <c r="Q720" s="253"/>
      <c r="R720" s="253"/>
    </row>
    <row r="721" ht="15.75" customHeight="1">
      <c r="A721" s="253"/>
      <c r="B721" s="253"/>
      <c r="C721" s="253"/>
      <c r="D721" s="262" t="s">
        <v>11808</v>
      </c>
      <c r="E721" s="253"/>
      <c r="F721" s="253"/>
      <c r="G721" s="253"/>
      <c r="H721" s="253"/>
      <c r="I721" s="253"/>
      <c r="J721" s="253"/>
      <c r="K721" s="253"/>
      <c r="L721" s="253"/>
      <c r="M721" s="253"/>
      <c r="N721" s="253"/>
      <c r="O721" s="253"/>
      <c r="P721" s="253"/>
      <c r="Q721" s="253"/>
      <c r="R721" s="253"/>
    </row>
    <row r="722" ht="15.75" customHeight="1">
      <c r="A722" s="253"/>
      <c r="B722" s="253"/>
      <c r="C722" s="253"/>
      <c r="D722" s="262" t="s">
        <v>11809</v>
      </c>
      <c r="E722" s="253"/>
      <c r="F722" s="253"/>
      <c r="G722" s="253"/>
      <c r="H722" s="253"/>
      <c r="I722" s="253"/>
      <c r="J722" s="253"/>
      <c r="K722" s="253"/>
      <c r="L722" s="253"/>
      <c r="M722" s="253"/>
      <c r="N722" s="253"/>
      <c r="O722" s="253"/>
      <c r="P722" s="253"/>
      <c r="Q722" s="253"/>
      <c r="R722" s="253"/>
    </row>
    <row r="723" ht="15.75" customHeight="1">
      <c r="A723" s="253"/>
      <c r="B723" s="253"/>
      <c r="C723" s="253"/>
      <c r="D723" s="262" t="s">
        <v>11810</v>
      </c>
      <c r="E723" s="253"/>
      <c r="F723" s="253"/>
      <c r="G723" s="253"/>
      <c r="H723" s="253"/>
      <c r="I723" s="253"/>
      <c r="J723" s="253"/>
      <c r="K723" s="253"/>
      <c r="L723" s="253"/>
      <c r="M723" s="253"/>
      <c r="N723" s="253"/>
      <c r="O723" s="253"/>
      <c r="P723" s="253"/>
      <c r="Q723" s="253"/>
      <c r="R723" s="253"/>
    </row>
    <row r="724" ht="15.75" customHeight="1">
      <c r="A724" s="253"/>
      <c r="B724" s="253"/>
      <c r="C724" s="253"/>
      <c r="D724" s="262" t="s">
        <v>3702</v>
      </c>
      <c r="E724" s="253"/>
      <c r="F724" s="253"/>
      <c r="G724" s="253"/>
      <c r="H724" s="253"/>
      <c r="I724" s="253"/>
      <c r="J724" s="253"/>
      <c r="K724" s="253"/>
      <c r="L724" s="253"/>
      <c r="M724" s="253"/>
      <c r="N724" s="253"/>
      <c r="O724" s="253"/>
      <c r="P724" s="253"/>
      <c r="Q724" s="253"/>
      <c r="R724" s="253"/>
    </row>
    <row r="725" ht="15.75" customHeight="1">
      <c r="A725" s="253"/>
      <c r="B725" s="253"/>
      <c r="C725" s="253"/>
      <c r="D725" s="262" t="s">
        <v>11811</v>
      </c>
      <c r="E725" s="253"/>
      <c r="F725" s="253"/>
      <c r="G725" s="253"/>
      <c r="H725" s="253"/>
      <c r="I725" s="253"/>
      <c r="J725" s="253"/>
      <c r="K725" s="253"/>
      <c r="L725" s="253"/>
      <c r="M725" s="253"/>
      <c r="N725" s="253"/>
      <c r="O725" s="253"/>
      <c r="P725" s="253"/>
      <c r="Q725" s="253"/>
      <c r="R725" s="253"/>
    </row>
    <row r="726" ht="15.75" customHeight="1">
      <c r="A726" s="253"/>
      <c r="B726" s="253"/>
      <c r="C726" s="253"/>
      <c r="D726" s="262" t="s">
        <v>11812</v>
      </c>
      <c r="E726" s="253"/>
      <c r="F726" s="253"/>
      <c r="G726" s="253"/>
      <c r="H726" s="253"/>
      <c r="I726" s="253"/>
      <c r="J726" s="253"/>
      <c r="K726" s="253"/>
      <c r="L726" s="253"/>
      <c r="M726" s="253"/>
      <c r="N726" s="253"/>
      <c r="O726" s="253"/>
      <c r="P726" s="253"/>
      <c r="Q726" s="253"/>
      <c r="R726" s="253"/>
    </row>
    <row r="727" ht="15.75" customHeight="1">
      <c r="A727" s="253"/>
      <c r="B727" s="253"/>
      <c r="C727" s="253"/>
      <c r="D727" s="262" t="s">
        <v>3402</v>
      </c>
      <c r="E727" s="253"/>
      <c r="F727" s="253"/>
      <c r="G727" s="253"/>
      <c r="H727" s="253"/>
      <c r="I727" s="253"/>
      <c r="J727" s="253"/>
      <c r="K727" s="253"/>
      <c r="L727" s="253"/>
      <c r="M727" s="253"/>
      <c r="N727" s="253"/>
      <c r="O727" s="253"/>
      <c r="P727" s="253"/>
      <c r="Q727" s="253"/>
      <c r="R727" s="253"/>
    </row>
    <row r="728" ht="15.75" customHeight="1">
      <c r="A728" s="253"/>
      <c r="B728" s="253"/>
      <c r="C728" s="253"/>
      <c r="D728" s="262" t="s">
        <v>11813</v>
      </c>
      <c r="E728" s="253"/>
      <c r="F728" s="253"/>
      <c r="G728" s="253"/>
      <c r="H728" s="253"/>
      <c r="I728" s="253"/>
      <c r="J728" s="253"/>
      <c r="K728" s="253"/>
      <c r="L728" s="253"/>
      <c r="M728" s="253"/>
      <c r="N728" s="253"/>
      <c r="O728" s="253"/>
      <c r="P728" s="253"/>
      <c r="Q728" s="253"/>
      <c r="R728" s="253"/>
    </row>
    <row r="729" ht="15.75" customHeight="1">
      <c r="A729" s="253"/>
      <c r="B729" s="253"/>
      <c r="C729" s="253"/>
      <c r="D729" s="262" t="s">
        <v>11814</v>
      </c>
      <c r="E729" s="253"/>
      <c r="F729" s="253"/>
      <c r="G729" s="253"/>
      <c r="H729" s="253"/>
      <c r="I729" s="253"/>
      <c r="J729" s="253"/>
      <c r="K729" s="253"/>
      <c r="L729" s="253"/>
      <c r="M729" s="253"/>
      <c r="N729" s="253"/>
      <c r="O729" s="253"/>
      <c r="P729" s="253"/>
      <c r="Q729" s="253"/>
      <c r="R729" s="253"/>
    </row>
    <row r="730" ht="15.75" customHeight="1">
      <c r="A730" s="253"/>
      <c r="B730" s="253"/>
      <c r="C730" s="253"/>
      <c r="D730" s="262" t="s">
        <v>2463</v>
      </c>
      <c r="E730" s="253"/>
      <c r="F730" s="253"/>
      <c r="G730" s="253"/>
      <c r="H730" s="253"/>
      <c r="I730" s="253"/>
      <c r="J730" s="253"/>
      <c r="K730" s="253"/>
      <c r="L730" s="253"/>
      <c r="M730" s="253"/>
      <c r="N730" s="253"/>
      <c r="O730" s="253"/>
      <c r="P730" s="253"/>
      <c r="Q730" s="253"/>
      <c r="R730" s="253"/>
    </row>
    <row r="731" ht="15.75" customHeight="1">
      <c r="A731" s="253"/>
      <c r="B731" s="253"/>
      <c r="C731" s="253"/>
      <c r="D731" s="262" t="s">
        <v>11815</v>
      </c>
      <c r="E731" s="253"/>
      <c r="F731" s="253"/>
      <c r="G731" s="253"/>
      <c r="H731" s="253"/>
      <c r="I731" s="253"/>
      <c r="J731" s="253"/>
      <c r="K731" s="253"/>
      <c r="L731" s="253"/>
      <c r="M731" s="253"/>
      <c r="N731" s="253"/>
      <c r="O731" s="253"/>
      <c r="P731" s="253"/>
      <c r="Q731" s="253"/>
      <c r="R731" s="253"/>
    </row>
    <row r="732" ht="15.75" customHeight="1">
      <c r="A732" s="253"/>
      <c r="B732" s="253"/>
      <c r="C732" s="253"/>
      <c r="D732" s="262" t="s">
        <v>6091</v>
      </c>
      <c r="E732" s="253"/>
      <c r="F732" s="253"/>
      <c r="G732" s="253"/>
      <c r="H732" s="253"/>
      <c r="I732" s="253"/>
      <c r="J732" s="253"/>
      <c r="K732" s="253"/>
      <c r="L732" s="253"/>
      <c r="M732" s="253"/>
      <c r="N732" s="253"/>
      <c r="O732" s="253"/>
      <c r="P732" s="253"/>
      <c r="Q732" s="253"/>
      <c r="R732" s="253"/>
    </row>
    <row r="733" ht="15.75" customHeight="1">
      <c r="A733" s="253"/>
      <c r="B733" s="253"/>
      <c r="C733" s="253"/>
      <c r="D733" s="262" t="s">
        <v>3721</v>
      </c>
      <c r="E733" s="253"/>
      <c r="F733" s="253"/>
      <c r="G733" s="253"/>
      <c r="H733" s="253"/>
      <c r="I733" s="253"/>
      <c r="J733" s="253"/>
      <c r="K733" s="253"/>
      <c r="L733" s="253"/>
      <c r="M733" s="253"/>
      <c r="N733" s="253"/>
      <c r="O733" s="253"/>
      <c r="P733" s="253"/>
      <c r="Q733" s="253"/>
      <c r="R733" s="253"/>
    </row>
    <row r="734" ht="15.75" customHeight="1">
      <c r="A734" s="253"/>
      <c r="B734" s="253"/>
      <c r="C734" s="253"/>
      <c r="D734" s="262" t="s">
        <v>11816</v>
      </c>
      <c r="E734" s="253"/>
      <c r="F734" s="253"/>
      <c r="G734" s="253"/>
      <c r="H734" s="253"/>
      <c r="I734" s="253"/>
      <c r="J734" s="253"/>
      <c r="K734" s="253"/>
      <c r="L734" s="253"/>
      <c r="M734" s="253"/>
      <c r="N734" s="253"/>
      <c r="O734" s="253"/>
      <c r="P734" s="253"/>
      <c r="Q734" s="253"/>
      <c r="R734" s="253"/>
    </row>
    <row r="735" ht="15.75" customHeight="1">
      <c r="A735" s="253"/>
      <c r="B735" s="253"/>
      <c r="C735" s="253"/>
      <c r="D735" s="262" t="s">
        <v>11817</v>
      </c>
      <c r="E735" s="253"/>
      <c r="F735" s="253"/>
      <c r="G735" s="253"/>
      <c r="H735" s="253"/>
      <c r="I735" s="253"/>
      <c r="J735" s="253"/>
      <c r="K735" s="253"/>
      <c r="L735" s="253"/>
      <c r="M735" s="253"/>
      <c r="N735" s="253"/>
      <c r="O735" s="253"/>
      <c r="P735" s="253"/>
      <c r="Q735" s="253"/>
      <c r="R735" s="253"/>
    </row>
    <row r="736" ht="15.75" customHeight="1">
      <c r="A736" s="253"/>
      <c r="B736" s="253"/>
      <c r="C736" s="253"/>
      <c r="D736" s="262" t="s">
        <v>3423</v>
      </c>
      <c r="E736" s="253"/>
      <c r="F736" s="253"/>
      <c r="G736" s="253"/>
      <c r="H736" s="253"/>
      <c r="I736" s="253"/>
      <c r="J736" s="253"/>
      <c r="K736" s="253"/>
      <c r="L736" s="253"/>
      <c r="M736" s="253"/>
      <c r="N736" s="253"/>
      <c r="O736" s="253"/>
      <c r="P736" s="253"/>
      <c r="Q736" s="253"/>
      <c r="R736" s="253"/>
    </row>
    <row r="737" ht="15.75" customHeight="1">
      <c r="A737" s="253"/>
      <c r="B737" s="253"/>
      <c r="C737" s="253"/>
      <c r="D737" s="262" t="s">
        <v>11818</v>
      </c>
      <c r="E737" s="253"/>
      <c r="F737" s="253"/>
      <c r="G737" s="253"/>
      <c r="H737" s="253"/>
      <c r="I737" s="253"/>
      <c r="J737" s="253"/>
      <c r="K737" s="253"/>
      <c r="L737" s="253"/>
      <c r="M737" s="253"/>
      <c r="N737" s="253"/>
      <c r="O737" s="253"/>
      <c r="P737" s="253"/>
      <c r="Q737" s="253"/>
      <c r="R737" s="253"/>
    </row>
    <row r="738" ht="15.75" customHeight="1">
      <c r="A738" s="253"/>
      <c r="B738" s="253"/>
      <c r="C738" s="253"/>
      <c r="D738" s="262" t="s">
        <v>11819</v>
      </c>
      <c r="E738" s="253"/>
      <c r="F738" s="253"/>
      <c r="G738" s="253"/>
      <c r="H738" s="253"/>
      <c r="I738" s="253"/>
      <c r="J738" s="253"/>
      <c r="K738" s="253"/>
      <c r="L738" s="253"/>
      <c r="M738" s="253"/>
      <c r="N738" s="253"/>
      <c r="O738" s="253"/>
      <c r="P738" s="253"/>
      <c r="Q738" s="253"/>
      <c r="R738" s="253"/>
    </row>
    <row r="739" ht="15.75" customHeight="1">
      <c r="A739" s="253"/>
      <c r="B739" s="253"/>
      <c r="C739" s="253"/>
      <c r="D739" s="262" t="s">
        <v>11820</v>
      </c>
      <c r="E739" s="253"/>
      <c r="F739" s="253"/>
      <c r="G739" s="253"/>
      <c r="H739" s="253"/>
      <c r="I739" s="253"/>
      <c r="J739" s="253"/>
      <c r="K739" s="253"/>
      <c r="L739" s="253"/>
      <c r="M739" s="253"/>
      <c r="N739" s="253"/>
      <c r="O739" s="253"/>
      <c r="P739" s="253"/>
      <c r="Q739" s="253"/>
      <c r="R739" s="253"/>
    </row>
    <row r="740" ht="15.75" customHeight="1">
      <c r="A740" s="253"/>
      <c r="B740" s="253"/>
      <c r="C740" s="253"/>
      <c r="D740" s="262" t="s">
        <v>11821</v>
      </c>
      <c r="E740" s="253"/>
      <c r="F740" s="253"/>
      <c r="G740" s="253"/>
      <c r="H740" s="253"/>
      <c r="I740" s="253"/>
      <c r="J740" s="253"/>
      <c r="K740" s="253"/>
      <c r="L740" s="253"/>
      <c r="M740" s="253"/>
      <c r="N740" s="253"/>
      <c r="O740" s="253"/>
      <c r="P740" s="253"/>
      <c r="Q740" s="253"/>
      <c r="R740" s="253"/>
    </row>
    <row r="741" ht="15.75" customHeight="1">
      <c r="A741" s="253"/>
      <c r="B741" s="253"/>
      <c r="C741" s="253"/>
      <c r="D741" s="262" t="s">
        <v>11822</v>
      </c>
      <c r="E741" s="253"/>
      <c r="F741" s="253"/>
      <c r="G741" s="253"/>
      <c r="H741" s="253"/>
      <c r="I741" s="253"/>
      <c r="J741" s="253"/>
      <c r="K741" s="253"/>
      <c r="L741" s="253"/>
      <c r="M741" s="253"/>
      <c r="N741" s="253"/>
      <c r="O741" s="253"/>
      <c r="P741" s="253"/>
      <c r="Q741" s="253"/>
      <c r="R741" s="253"/>
    </row>
    <row r="742" ht="15.75" customHeight="1">
      <c r="A742" s="253"/>
      <c r="B742" s="253"/>
      <c r="C742" s="253"/>
      <c r="D742" s="262" t="s">
        <v>3728</v>
      </c>
      <c r="E742" s="253"/>
      <c r="F742" s="253"/>
      <c r="G742" s="253"/>
      <c r="H742" s="253"/>
      <c r="I742" s="253"/>
      <c r="J742" s="253"/>
      <c r="K742" s="253"/>
      <c r="L742" s="253"/>
      <c r="M742" s="253"/>
      <c r="N742" s="253"/>
      <c r="O742" s="253"/>
      <c r="P742" s="253"/>
      <c r="Q742" s="253"/>
      <c r="R742" s="253"/>
    </row>
    <row r="743" ht="15.75" customHeight="1">
      <c r="A743" s="253"/>
      <c r="B743" s="253"/>
      <c r="C743" s="253"/>
      <c r="D743" s="262" t="s">
        <v>11823</v>
      </c>
      <c r="E743" s="253"/>
      <c r="F743" s="253"/>
      <c r="G743" s="253"/>
      <c r="H743" s="253"/>
      <c r="I743" s="253"/>
      <c r="J743" s="253"/>
      <c r="K743" s="253"/>
      <c r="L743" s="253"/>
      <c r="M743" s="253"/>
      <c r="N743" s="253"/>
      <c r="O743" s="253"/>
      <c r="P743" s="253"/>
      <c r="Q743" s="253"/>
      <c r="R743" s="253"/>
    </row>
    <row r="744" ht="15.75" customHeight="1">
      <c r="A744" s="253"/>
      <c r="B744" s="253"/>
      <c r="C744" s="253"/>
      <c r="D744" s="262" t="s">
        <v>11824</v>
      </c>
      <c r="E744" s="253"/>
      <c r="F744" s="253"/>
      <c r="G744" s="253"/>
      <c r="H744" s="253"/>
      <c r="I744" s="253"/>
      <c r="J744" s="253"/>
      <c r="K744" s="253"/>
      <c r="L744" s="253"/>
      <c r="M744" s="253"/>
      <c r="N744" s="253"/>
      <c r="O744" s="253"/>
      <c r="P744" s="253"/>
      <c r="Q744" s="253"/>
      <c r="R744" s="253"/>
    </row>
    <row r="745" ht="15.75" customHeight="1">
      <c r="A745" s="253"/>
      <c r="B745" s="253"/>
      <c r="C745" s="253"/>
      <c r="D745" s="262" t="s">
        <v>11825</v>
      </c>
      <c r="E745" s="253"/>
      <c r="F745" s="253"/>
      <c r="G745" s="253"/>
      <c r="H745" s="253"/>
      <c r="I745" s="253"/>
      <c r="J745" s="253"/>
      <c r="K745" s="253"/>
      <c r="L745" s="253"/>
      <c r="M745" s="253"/>
      <c r="N745" s="253"/>
      <c r="O745" s="253"/>
      <c r="P745" s="253"/>
      <c r="Q745" s="253"/>
      <c r="R745" s="253"/>
    </row>
    <row r="746" ht="15.75" customHeight="1">
      <c r="A746" s="253"/>
      <c r="B746" s="253"/>
      <c r="C746" s="253"/>
      <c r="D746" s="262" t="s">
        <v>11826</v>
      </c>
      <c r="E746" s="253"/>
      <c r="F746" s="253"/>
      <c r="G746" s="253"/>
      <c r="H746" s="253"/>
      <c r="I746" s="253"/>
      <c r="J746" s="253"/>
      <c r="K746" s="253"/>
      <c r="L746" s="253"/>
      <c r="M746" s="253"/>
      <c r="N746" s="253"/>
      <c r="O746" s="253"/>
      <c r="P746" s="253"/>
      <c r="Q746" s="253"/>
      <c r="R746" s="253"/>
    </row>
    <row r="747" ht="15.75" customHeight="1">
      <c r="A747" s="253"/>
      <c r="B747" s="253"/>
      <c r="C747" s="253"/>
      <c r="D747" s="262" t="s">
        <v>5867</v>
      </c>
      <c r="E747" s="253"/>
      <c r="F747" s="253"/>
      <c r="G747" s="253"/>
      <c r="H747" s="253"/>
      <c r="I747" s="253"/>
      <c r="J747" s="253"/>
      <c r="K747" s="253"/>
      <c r="L747" s="253"/>
      <c r="M747" s="253"/>
      <c r="N747" s="253"/>
      <c r="O747" s="253"/>
      <c r="P747" s="253"/>
      <c r="Q747" s="253"/>
      <c r="R747" s="253"/>
    </row>
    <row r="748" ht="15.75" customHeight="1">
      <c r="A748" s="253"/>
      <c r="B748" s="253"/>
      <c r="C748" s="253"/>
      <c r="D748" s="262" t="s">
        <v>6832</v>
      </c>
      <c r="E748" s="253"/>
      <c r="F748" s="253"/>
      <c r="G748" s="253"/>
      <c r="H748" s="253"/>
      <c r="I748" s="253"/>
      <c r="J748" s="253"/>
      <c r="K748" s="253"/>
      <c r="L748" s="253"/>
      <c r="M748" s="253"/>
      <c r="N748" s="253"/>
      <c r="O748" s="253"/>
      <c r="P748" s="253"/>
      <c r="Q748" s="253"/>
      <c r="R748" s="253"/>
    </row>
    <row r="749" ht="15.75" customHeight="1">
      <c r="A749" s="253"/>
      <c r="B749" s="253"/>
      <c r="C749" s="253"/>
      <c r="D749" s="262" t="s">
        <v>11827</v>
      </c>
      <c r="E749" s="253"/>
      <c r="F749" s="253"/>
      <c r="G749" s="253"/>
      <c r="H749" s="253"/>
      <c r="I749" s="253"/>
      <c r="J749" s="253"/>
      <c r="K749" s="253"/>
      <c r="L749" s="253"/>
      <c r="M749" s="253"/>
      <c r="N749" s="253"/>
      <c r="O749" s="253"/>
      <c r="P749" s="253"/>
      <c r="Q749" s="253"/>
      <c r="R749" s="253"/>
    </row>
    <row r="750" ht="15.75" customHeight="1">
      <c r="A750" s="253"/>
      <c r="B750" s="253"/>
      <c r="C750" s="253"/>
      <c r="D750" s="262" t="s">
        <v>11828</v>
      </c>
      <c r="E750" s="253"/>
      <c r="F750" s="253"/>
      <c r="G750" s="253"/>
      <c r="H750" s="253"/>
      <c r="I750" s="253"/>
      <c r="J750" s="253"/>
      <c r="K750" s="253"/>
      <c r="L750" s="253"/>
      <c r="M750" s="253"/>
      <c r="N750" s="253"/>
      <c r="O750" s="253"/>
      <c r="P750" s="253"/>
      <c r="Q750" s="253"/>
      <c r="R750" s="253"/>
    </row>
    <row r="751" ht="15.75" customHeight="1">
      <c r="A751" s="253"/>
      <c r="B751" s="253"/>
      <c r="C751" s="253"/>
      <c r="D751" s="262" t="s">
        <v>5786</v>
      </c>
      <c r="E751" s="253"/>
      <c r="F751" s="253"/>
      <c r="G751" s="253"/>
      <c r="H751" s="253"/>
      <c r="I751" s="253"/>
      <c r="J751" s="253"/>
      <c r="K751" s="253"/>
      <c r="L751" s="253"/>
      <c r="M751" s="253"/>
      <c r="N751" s="253"/>
      <c r="O751" s="253"/>
      <c r="P751" s="253"/>
      <c r="Q751" s="253"/>
      <c r="R751" s="253"/>
    </row>
    <row r="752" ht="15.75" customHeight="1">
      <c r="A752" s="253"/>
      <c r="B752" s="253"/>
      <c r="C752" s="253"/>
      <c r="D752" s="262" t="s">
        <v>2488</v>
      </c>
      <c r="E752" s="253"/>
      <c r="F752" s="253"/>
      <c r="G752" s="253"/>
      <c r="H752" s="253"/>
      <c r="I752" s="253"/>
      <c r="J752" s="253"/>
      <c r="K752" s="253"/>
      <c r="L752" s="253"/>
      <c r="M752" s="253"/>
      <c r="N752" s="253"/>
      <c r="O752" s="253"/>
      <c r="P752" s="253"/>
      <c r="Q752" s="253"/>
      <c r="R752" s="253"/>
    </row>
    <row r="753" ht="15.75" customHeight="1">
      <c r="A753" s="253"/>
      <c r="B753" s="253"/>
      <c r="C753" s="253"/>
      <c r="D753" s="262" t="s">
        <v>11829</v>
      </c>
      <c r="E753" s="253"/>
      <c r="F753" s="253"/>
      <c r="G753" s="253"/>
      <c r="H753" s="253"/>
      <c r="I753" s="253"/>
      <c r="J753" s="253"/>
      <c r="K753" s="253"/>
      <c r="L753" s="253"/>
      <c r="M753" s="253"/>
      <c r="N753" s="253"/>
      <c r="O753" s="253"/>
      <c r="P753" s="253"/>
      <c r="Q753" s="253"/>
      <c r="R753" s="253"/>
    </row>
    <row r="754" ht="15.75" customHeight="1">
      <c r="A754" s="253"/>
      <c r="B754" s="253"/>
      <c r="C754" s="253"/>
      <c r="D754" s="262" t="s">
        <v>4654</v>
      </c>
      <c r="E754" s="253"/>
      <c r="F754" s="253"/>
      <c r="G754" s="253"/>
      <c r="H754" s="253"/>
      <c r="I754" s="253"/>
      <c r="J754" s="253"/>
      <c r="K754" s="253"/>
      <c r="L754" s="253"/>
      <c r="M754" s="253"/>
      <c r="N754" s="253"/>
      <c r="O754" s="253"/>
      <c r="P754" s="253"/>
      <c r="Q754" s="253"/>
      <c r="R754" s="253"/>
    </row>
    <row r="755" ht="15.75" customHeight="1">
      <c r="A755" s="253"/>
      <c r="B755" s="253"/>
      <c r="C755" s="253"/>
      <c r="D755" s="262" t="s">
        <v>11830</v>
      </c>
      <c r="E755" s="253"/>
      <c r="F755" s="253"/>
      <c r="G755" s="253"/>
      <c r="H755" s="253"/>
      <c r="I755" s="253"/>
      <c r="J755" s="253"/>
      <c r="K755" s="253"/>
      <c r="L755" s="253"/>
      <c r="M755" s="253"/>
      <c r="N755" s="253"/>
      <c r="O755" s="253"/>
      <c r="P755" s="253"/>
      <c r="Q755" s="253"/>
      <c r="R755" s="253"/>
    </row>
    <row r="756" ht="15.75" customHeight="1">
      <c r="A756" s="253"/>
      <c r="B756" s="253"/>
      <c r="C756" s="253"/>
      <c r="D756" s="262" t="s">
        <v>11831</v>
      </c>
      <c r="E756" s="253"/>
      <c r="F756" s="253"/>
      <c r="G756" s="253"/>
      <c r="H756" s="253"/>
      <c r="I756" s="253"/>
      <c r="J756" s="253"/>
      <c r="K756" s="253"/>
      <c r="L756" s="253"/>
      <c r="M756" s="253"/>
      <c r="N756" s="253"/>
      <c r="O756" s="253"/>
      <c r="P756" s="253"/>
      <c r="Q756" s="253"/>
      <c r="R756" s="253"/>
    </row>
    <row r="757" ht="15.75" customHeight="1">
      <c r="A757" s="253"/>
      <c r="B757" s="253"/>
      <c r="C757" s="253"/>
      <c r="D757" s="262" t="s">
        <v>2512</v>
      </c>
      <c r="E757" s="253"/>
      <c r="F757" s="253"/>
      <c r="G757" s="253"/>
      <c r="H757" s="253"/>
      <c r="I757" s="253"/>
      <c r="J757" s="253"/>
      <c r="K757" s="253"/>
      <c r="L757" s="253"/>
      <c r="M757" s="253"/>
      <c r="N757" s="253"/>
      <c r="O757" s="253"/>
      <c r="P757" s="253"/>
      <c r="Q757" s="253"/>
      <c r="R757" s="253"/>
    </row>
    <row r="758" ht="15.75" customHeight="1">
      <c r="A758" s="253"/>
      <c r="B758" s="253"/>
      <c r="C758" s="253"/>
      <c r="D758" s="262" t="s">
        <v>11832</v>
      </c>
      <c r="E758" s="253"/>
      <c r="F758" s="253"/>
      <c r="G758" s="253"/>
      <c r="H758" s="253"/>
      <c r="I758" s="253"/>
      <c r="J758" s="253"/>
      <c r="K758" s="253"/>
      <c r="L758" s="253"/>
      <c r="M758" s="253"/>
      <c r="N758" s="253"/>
      <c r="O758" s="253"/>
      <c r="P758" s="253"/>
      <c r="Q758" s="253"/>
      <c r="R758" s="253"/>
    </row>
    <row r="759" ht="15.75" customHeight="1">
      <c r="A759" s="253"/>
      <c r="B759" s="253"/>
      <c r="C759" s="253"/>
      <c r="D759" s="262" t="s">
        <v>11833</v>
      </c>
      <c r="E759" s="253"/>
      <c r="F759" s="253"/>
      <c r="G759" s="253"/>
      <c r="H759" s="253"/>
      <c r="I759" s="253"/>
      <c r="J759" s="253"/>
      <c r="K759" s="253"/>
      <c r="L759" s="253"/>
      <c r="M759" s="253"/>
      <c r="N759" s="253"/>
      <c r="O759" s="253"/>
      <c r="P759" s="253"/>
      <c r="Q759" s="253"/>
      <c r="R759" s="253"/>
    </row>
    <row r="760" ht="15.75" customHeight="1">
      <c r="A760" s="253"/>
      <c r="B760" s="253"/>
      <c r="C760" s="253"/>
      <c r="D760" s="262" t="s">
        <v>11834</v>
      </c>
      <c r="E760" s="253"/>
      <c r="F760" s="253"/>
      <c r="G760" s="253"/>
      <c r="H760" s="253"/>
      <c r="I760" s="253"/>
      <c r="J760" s="253"/>
      <c r="K760" s="253"/>
      <c r="L760" s="253"/>
      <c r="M760" s="253"/>
      <c r="N760" s="253"/>
      <c r="O760" s="253"/>
      <c r="P760" s="253"/>
      <c r="Q760" s="253"/>
      <c r="R760" s="253"/>
    </row>
    <row r="761" ht="15.75" customHeight="1">
      <c r="A761" s="253"/>
      <c r="B761" s="253"/>
      <c r="C761" s="253"/>
      <c r="D761" s="262" t="s">
        <v>11835</v>
      </c>
      <c r="E761" s="253"/>
      <c r="F761" s="253"/>
      <c r="G761" s="253"/>
      <c r="H761" s="253"/>
      <c r="I761" s="253"/>
      <c r="J761" s="253"/>
      <c r="K761" s="253"/>
      <c r="L761" s="253"/>
      <c r="M761" s="253"/>
      <c r="N761" s="253"/>
      <c r="O761" s="253"/>
      <c r="P761" s="253"/>
      <c r="Q761" s="253"/>
      <c r="R761" s="253"/>
    </row>
    <row r="762" ht="15.75" customHeight="1">
      <c r="A762" s="253"/>
      <c r="B762" s="253"/>
      <c r="C762" s="253"/>
      <c r="D762" s="262" t="s">
        <v>11836</v>
      </c>
      <c r="E762" s="253"/>
      <c r="F762" s="253"/>
      <c r="G762" s="253"/>
      <c r="H762" s="253"/>
      <c r="I762" s="253"/>
      <c r="J762" s="253"/>
      <c r="K762" s="253"/>
      <c r="L762" s="253"/>
      <c r="M762" s="253"/>
      <c r="N762" s="253"/>
      <c r="O762" s="253"/>
      <c r="P762" s="253"/>
      <c r="Q762" s="253"/>
      <c r="R762" s="253"/>
    </row>
    <row r="763" ht="15.75" customHeight="1">
      <c r="A763" s="253"/>
      <c r="B763" s="253"/>
      <c r="C763" s="253"/>
      <c r="D763" s="262" t="s">
        <v>11837</v>
      </c>
      <c r="E763" s="253"/>
      <c r="F763" s="253"/>
      <c r="G763" s="253"/>
      <c r="H763" s="253"/>
      <c r="I763" s="253"/>
      <c r="J763" s="253"/>
      <c r="K763" s="253"/>
      <c r="L763" s="253"/>
      <c r="M763" s="253"/>
      <c r="N763" s="253"/>
      <c r="O763" s="253"/>
      <c r="P763" s="253"/>
      <c r="Q763" s="253"/>
      <c r="R763" s="253"/>
    </row>
    <row r="764" ht="15.75" customHeight="1">
      <c r="A764" s="253"/>
      <c r="B764" s="253"/>
      <c r="C764" s="253"/>
      <c r="D764" s="262" t="s">
        <v>11838</v>
      </c>
      <c r="E764" s="253"/>
      <c r="F764" s="253"/>
      <c r="G764" s="253"/>
      <c r="H764" s="253"/>
      <c r="I764" s="253"/>
      <c r="J764" s="253"/>
      <c r="K764" s="253"/>
      <c r="L764" s="253"/>
      <c r="M764" s="253"/>
      <c r="N764" s="253"/>
      <c r="O764" s="253"/>
      <c r="P764" s="253"/>
      <c r="Q764" s="253"/>
      <c r="R764" s="253"/>
    </row>
    <row r="765" ht="15.75" customHeight="1">
      <c r="A765" s="253"/>
      <c r="B765" s="253"/>
      <c r="C765" s="253"/>
      <c r="D765" s="262" t="s">
        <v>11839</v>
      </c>
      <c r="E765" s="253"/>
      <c r="F765" s="253"/>
      <c r="G765" s="253"/>
      <c r="H765" s="253"/>
      <c r="I765" s="253"/>
      <c r="J765" s="253"/>
      <c r="K765" s="253"/>
      <c r="L765" s="253"/>
      <c r="M765" s="253"/>
      <c r="N765" s="253"/>
      <c r="O765" s="253"/>
      <c r="P765" s="253"/>
      <c r="Q765" s="253"/>
      <c r="R765" s="253"/>
    </row>
    <row r="766" ht="15.75" customHeight="1">
      <c r="A766" s="253"/>
      <c r="B766" s="253"/>
      <c r="C766" s="253"/>
      <c r="D766" s="262" t="s">
        <v>11840</v>
      </c>
      <c r="E766" s="253"/>
      <c r="F766" s="253"/>
      <c r="G766" s="253"/>
      <c r="H766" s="253"/>
      <c r="I766" s="253"/>
      <c r="J766" s="253"/>
      <c r="K766" s="253"/>
      <c r="L766" s="253"/>
      <c r="M766" s="253"/>
      <c r="N766" s="253"/>
      <c r="O766" s="253"/>
      <c r="P766" s="253"/>
      <c r="Q766" s="253"/>
      <c r="R766" s="253"/>
    </row>
    <row r="767" ht="15.75" customHeight="1">
      <c r="A767" s="253"/>
      <c r="B767" s="253"/>
      <c r="C767" s="253"/>
      <c r="D767" s="262" t="s">
        <v>1746</v>
      </c>
      <c r="E767" s="253"/>
      <c r="F767" s="253"/>
      <c r="G767" s="253"/>
      <c r="H767" s="253"/>
      <c r="I767" s="253"/>
      <c r="J767" s="253"/>
      <c r="K767" s="253"/>
      <c r="L767" s="253"/>
      <c r="M767" s="253"/>
      <c r="N767" s="253"/>
      <c r="O767" s="253"/>
      <c r="P767" s="253"/>
      <c r="Q767" s="253"/>
      <c r="R767" s="253"/>
    </row>
    <row r="768" ht="15.75" customHeight="1">
      <c r="A768" s="253"/>
      <c r="B768" s="253"/>
      <c r="C768" s="253"/>
      <c r="D768" s="262" t="s">
        <v>7296</v>
      </c>
      <c r="E768" s="253"/>
      <c r="F768" s="253"/>
      <c r="G768" s="253"/>
      <c r="H768" s="253"/>
      <c r="I768" s="253"/>
      <c r="J768" s="253"/>
      <c r="K768" s="253"/>
      <c r="L768" s="253"/>
      <c r="M768" s="253"/>
      <c r="N768" s="253"/>
      <c r="O768" s="253"/>
      <c r="P768" s="253"/>
      <c r="Q768" s="253"/>
      <c r="R768" s="253"/>
    </row>
    <row r="769" ht="15.75" customHeight="1">
      <c r="A769" s="253"/>
      <c r="B769" s="253"/>
      <c r="C769" s="253"/>
      <c r="D769" s="262" t="s">
        <v>11841</v>
      </c>
      <c r="E769" s="253"/>
      <c r="F769" s="253"/>
      <c r="G769" s="253"/>
      <c r="H769" s="253"/>
      <c r="I769" s="253"/>
      <c r="J769" s="253"/>
      <c r="K769" s="253"/>
      <c r="L769" s="253"/>
      <c r="M769" s="253"/>
      <c r="N769" s="253"/>
      <c r="O769" s="253"/>
      <c r="P769" s="253"/>
      <c r="Q769" s="253"/>
      <c r="R769" s="253"/>
    </row>
    <row r="770" ht="15.75" customHeight="1">
      <c r="A770" s="253"/>
      <c r="B770" s="253"/>
      <c r="C770" s="253"/>
      <c r="D770" s="262" t="s">
        <v>2532</v>
      </c>
      <c r="E770" s="253"/>
      <c r="F770" s="253"/>
      <c r="G770" s="253"/>
      <c r="H770" s="253"/>
      <c r="I770" s="253"/>
      <c r="J770" s="253"/>
      <c r="K770" s="253"/>
      <c r="L770" s="253"/>
      <c r="M770" s="253"/>
      <c r="N770" s="253"/>
      <c r="O770" s="253"/>
      <c r="P770" s="253"/>
      <c r="Q770" s="253"/>
      <c r="R770" s="253"/>
    </row>
    <row r="771" ht="15.75" customHeight="1">
      <c r="A771" s="253"/>
      <c r="B771" s="253"/>
      <c r="C771" s="253"/>
      <c r="D771" s="262" t="s">
        <v>11842</v>
      </c>
      <c r="E771" s="253"/>
      <c r="F771" s="253"/>
      <c r="G771" s="253"/>
      <c r="H771" s="253"/>
      <c r="I771" s="253"/>
      <c r="J771" s="253"/>
      <c r="K771" s="253"/>
      <c r="L771" s="253"/>
      <c r="M771" s="253"/>
      <c r="N771" s="253"/>
      <c r="O771" s="253"/>
      <c r="P771" s="253"/>
      <c r="Q771" s="253"/>
      <c r="R771" s="253"/>
    </row>
    <row r="772" ht="15.75" customHeight="1">
      <c r="A772" s="253"/>
      <c r="B772" s="253"/>
      <c r="C772" s="253"/>
      <c r="D772" s="262" t="s">
        <v>11843</v>
      </c>
      <c r="E772" s="253"/>
      <c r="F772" s="253"/>
      <c r="G772" s="253"/>
      <c r="H772" s="253"/>
      <c r="I772" s="253"/>
      <c r="J772" s="253"/>
      <c r="K772" s="253"/>
      <c r="L772" s="253"/>
      <c r="M772" s="253"/>
      <c r="N772" s="253"/>
      <c r="O772" s="253"/>
      <c r="P772" s="253"/>
      <c r="Q772" s="253"/>
      <c r="R772" s="253"/>
    </row>
    <row r="773" ht="15.75" customHeight="1">
      <c r="A773" s="253"/>
      <c r="B773" s="253"/>
      <c r="C773" s="253"/>
      <c r="D773" s="262" t="s">
        <v>11844</v>
      </c>
      <c r="E773" s="253"/>
      <c r="F773" s="253"/>
      <c r="G773" s="253"/>
      <c r="H773" s="253"/>
      <c r="I773" s="253"/>
      <c r="J773" s="253"/>
      <c r="K773" s="253"/>
      <c r="L773" s="253"/>
      <c r="M773" s="253"/>
      <c r="N773" s="253"/>
      <c r="O773" s="253"/>
      <c r="P773" s="253"/>
      <c r="Q773" s="253"/>
      <c r="R773" s="253"/>
    </row>
    <row r="774" ht="15.75" customHeight="1">
      <c r="A774" s="253"/>
      <c r="B774" s="253"/>
      <c r="C774" s="253"/>
      <c r="D774" s="262" t="s">
        <v>11845</v>
      </c>
      <c r="E774" s="253"/>
      <c r="F774" s="253"/>
      <c r="G774" s="253"/>
      <c r="H774" s="253"/>
      <c r="I774" s="253"/>
      <c r="J774" s="253"/>
      <c r="K774" s="253"/>
      <c r="L774" s="253"/>
      <c r="M774" s="253"/>
      <c r="N774" s="253"/>
      <c r="O774" s="253"/>
      <c r="P774" s="253"/>
      <c r="Q774" s="253"/>
      <c r="R774" s="253"/>
    </row>
    <row r="775" ht="15.75" customHeight="1">
      <c r="A775" s="253"/>
      <c r="B775" s="253"/>
      <c r="C775" s="253"/>
      <c r="D775" s="262" t="s">
        <v>11846</v>
      </c>
      <c r="E775" s="253"/>
      <c r="F775" s="253"/>
      <c r="G775" s="253"/>
      <c r="H775" s="253"/>
      <c r="I775" s="253"/>
      <c r="J775" s="253"/>
      <c r="K775" s="253"/>
      <c r="L775" s="253"/>
      <c r="M775" s="253"/>
      <c r="N775" s="253"/>
      <c r="O775" s="253"/>
      <c r="P775" s="253"/>
      <c r="Q775" s="253"/>
      <c r="R775" s="253"/>
    </row>
    <row r="776" ht="15.75" customHeight="1">
      <c r="A776" s="253"/>
      <c r="B776" s="253"/>
      <c r="C776" s="253"/>
      <c r="D776" s="262" t="s">
        <v>534</v>
      </c>
      <c r="E776" s="253"/>
      <c r="F776" s="253"/>
      <c r="G776" s="253"/>
      <c r="H776" s="253"/>
      <c r="I776" s="253"/>
      <c r="J776" s="253"/>
      <c r="K776" s="253"/>
      <c r="L776" s="253"/>
      <c r="M776" s="253"/>
      <c r="N776" s="253"/>
      <c r="O776" s="253"/>
      <c r="P776" s="253"/>
      <c r="Q776" s="253"/>
      <c r="R776" s="253"/>
    </row>
    <row r="777" ht="15.75" customHeight="1">
      <c r="A777" s="253"/>
      <c r="B777" s="253"/>
      <c r="C777" s="253"/>
      <c r="D777" s="262" t="s">
        <v>356</v>
      </c>
      <c r="E777" s="253"/>
      <c r="F777" s="253"/>
      <c r="G777" s="253"/>
      <c r="H777" s="253"/>
      <c r="I777" s="253"/>
      <c r="J777" s="253"/>
      <c r="K777" s="253"/>
      <c r="L777" s="253"/>
      <c r="M777" s="253"/>
      <c r="N777" s="253"/>
      <c r="O777" s="253"/>
      <c r="P777" s="253"/>
      <c r="Q777" s="253"/>
      <c r="R777" s="253"/>
    </row>
    <row r="778" ht="15.75" customHeight="1">
      <c r="A778" s="253"/>
      <c r="B778" s="253"/>
      <c r="C778" s="253"/>
      <c r="D778" s="262" t="s">
        <v>11847</v>
      </c>
      <c r="E778" s="253"/>
      <c r="F778" s="253"/>
      <c r="G778" s="253"/>
      <c r="H778" s="253"/>
      <c r="I778" s="253"/>
      <c r="J778" s="253"/>
      <c r="K778" s="253"/>
      <c r="L778" s="253"/>
      <c r="M778" s="253"/>
      <c r="N778" s="253"/>
      <c r="O778" s="253"/>
      <c r="P778" s="253"/>
      <c r="Q778" s="253"/>
      <c r="R778" s="253"/>
    </row>
    <row r="779" ht="15.75" customHeight="1">
      <c r="A779" s="253"/>
      <c r="B779" s="253"/>
      <c r="C779" s="253"/>
      <c r="D779" s="262" t="s">
        <v>11848</v>
      </c>
      <c r="E779" s="253"/>
      <c r="F779" s="253"/>
      <c r="G779" s="253"/>
      <c r="H779" s="253"/>
      <c r="I779" s="253"/>
      <c r="J779" s="253"/>
      <c r="K779" s="253"/>
      <c r="L779" s="253"/>
      <c r="M779" s="253"/>
      <c r="N779" s="253"/>
      <c r="O779" s="253"/>
      <c r="P779" s="253"/>
      <c r="Q779" s="253"/>
      <c r="R779" s="253"/>
    </row>
    <row r="780" ht="15.75" customHeight="1">
      <c r="A780" s="253"/>
      <c r="B780" s="253"/>
      <c r="C780" s="253"/>
      <c r="D780" s="262" t="s">
        <v>11849</v>
      </c>
      <c r="E780" s="253"/>
      <c r="F780" s="253"/>
      <c r="G780" s="253"/>
      <c r="H780" s="253"/>
      <c r="I780" s="253"/>
      <c r="J780" s="253"/>
      <c r="K780" s="253"/>
      <c r="L780" s="253"/>
      <c r="M780" s="253"/>
      <c r="N780" s="253"/>
      <c r="O780" s="253"/>
      <c r="P780" s="253"/>
      <c r="Q780" s="253"/>
      <c r="R780" s="253"/>
    </row>
    <row r="781" ht="15.75" customHeight="1">
      <c r="A781" s="253"/>
      <c r="B781" s="253"/>
      <c r="C781" s="253"/>
      <c r="D781" s="262" t="s">
        <v>11850</v>
      </c>
      <c r="E781" s="253"/>
      <c r="F781" s="253"/>
      <c r="G781" s="253"/>
      <c r="H781" s="253"/>
      <c r="I781" s="253"/>
      <c r="J781" s="253"/>
      <c r="K781" s="253"/>
      <c r="L781" s="253"/>
      <c r="M781" s="253"/>
      <c r="N781" s="253"/>
      <c r="O781" s="253"/>
      <c r="P781" s="253"/>
      <c r="Q781" s="253"/>
      <c r="R781" s="253"/>
    </row>
    <row r="782" ht="15.75" customHeight="1">
      <c r="A782" s="253"/>
      <c r="B782" s="253"/>
      <c r="C782" s="253"/>
      <c r="D782" s="262" t="s">
        <v>11851</v>
      </c>
      <c r="E782" s="253"/>
      <c r="F782" s="253"/>
      <c r="G782" s="253"/>
      <c r="H782" s="253"/>
      <c r="I782" s="253"/>
      <c r="J782" s="253"/>
      <c r="K782" s="253"/>
      <c r="L782" s="253"/>
      <c r="M782" s="253"/>
      <c r="N782" s="253"/>
      <c r="O782" s="253"/>
      <c r="P782" s="253"/>
      <c r="Q782" s="253"/>
      <c r="R782" s="253"/>
    </row>
    <row r="783" ht="15.75" customHeight="1">
      <c r="A783" s="253"/>
      <c r="B783" s="253"/>
      <c r="C783" s="253"/>
      <c r="D783" s="262" t="s">
        <v>11852</v>
      </c>
      <c r="E783" s="253"/>
      <c r="F783" s="253"/>
      <c r="G783" s="253"/>
      <c r="H783" s="253"/>
      <c r="I783" s="253"/>
      <c r="J783" s="253"/>
      <c r="K783" s="253"/>
      <c r="L783" s="253"/>
      <c r="M783" s="253"/>
      <c r="N783" s="253"/>
      <c r="O783" s="253"/>
      <c r="P783" s="253"/>
      <c r="Q783" s="253"/>
      <c r="R783" s="253"/>
    </row>
    <row r="784" ht="15.75" customHeight="1">
      <c r="A784" s="253"/>
      <c r="B784" s="253"/>
      <c r="C784" s="253"/>
      <c r="D784" s="262" t="s">
        <v>5881</v>
      </c>
      <c r="E784" s="253"/>
      <c r="F784" s="253"/>
      <c r="G784" s="253"/>
      <c r="H784" s="253"/>
      <c r="I784" s="253"/>
      <c r="J784" s="253"/>
      <c r="K784" s="253"/>
      <c r="L784" s="253"/>
      <c r="M784" s="253"/>
      <c r="N784" s="253"/>
      <c r="O784" s="253"/>
      <c r="P784" s="253"/>
      <c r="Q784" s="253"/>
      <c r="R784" s="253"/>
    </row>
    <row r="785" ht="15.75" customHeight="1">
      <c r="A785" s="253"/>
      <c r="B785" s="253"/>
      <c r="C785" s="253"/>
      <c r="D785" s="262" t="s">
        <v>11853</v>
      </c>
      <c r="E785" s="253"/>
      <c r="F785" s="253"/>
      <c r="G785" s="253"/>
      <c r="H785" s="253"/>
      <c r="I785" s="253"/>
      <c r="J785" s="253"/>
      <c r="K785" s="253"/>
      <c r="L785" s="253"/>
      <c r="M785" s="253"/>
      <c r="N785" s="253"/>
      <c r="O785" s="253"/>
      <c r="P785" s="253"/>
      <c r="Q785" s="253"/>
      <c r="R785" s="253"/>
    </row>
    <row r="786" ht="15.75" customHeight="1">
      <c r="A786" s="253"/>
      <c r="B786" s="253"/>
      <c r="C786" s="253"/>
      <c r="D786" s="262" t="s">
        <v>11854</v>
      </c>
      <c r="E786" s="253"/>
      <c r="F786" s="253"/>
      <c r="G786" s="253"/>
      <c r="H786" s="253"/>
      <c r="I786" s="253"/>
      <c r="J786" s="253"/>
      <c r="K786" s="253"/>
      <c r="L786" s="253"/>
      <c r="M786" s="253"/>
      <c r="N786" s="253"/>
      <c r="O786" s="253"/>
      <c r="P786" s="253"/>
      <c r="Q786" s="253"/>
      <c r="R786" s="253"/>
    </row>
    <row r="787" ht="15.75" customHeight="1">
      <c r="A787" s="253"/>
      <c r="B787" s="253"/>
      <c r="C787" s="253"/>
      <c r="D787" s="262" t="s">
        <v>3442</v>
      </c>
      <c r="E787" s="253"/>
      <c r="F787" s="253"/>
      <c r="G787" s="253"/>
      <c r="H787" s="253"/>
      <c r="I787" s="253"/>
      <c r="J787" s="253"/>
      <c r="K787" s="253"/>
      <c r="L787" s="253"/>
      <c r="M787" s="253"/>
      <c r="N787" s="253"/>
      <c r="O787" s="253"/>
      <c r="P787" s="253"/>
      <c r="Q787" s="253"/>
      <c r="R787" s="253"/>
    </row>
    <row r="788" ht="15.75" customHeight="1">
      <c r="A788" s="253"/>
      <c r="B788" s="253"/>
      <c r="C788" s="253"/>
      <c r="D788" s="262" t="s">
        <v>7438</v>
      </c>
      <c r="E788" s="253"/>
      <c r="F788" s="253"/>
      <c r="G788" s="253"/>
      <c r="H788" s="253"/>
      <c r="I788" s="253"/>
      <c r="J788" s="253"/>
      <c r="K788" s="253"/>
      <c r="L788" s="253"/>
      <c r="M788" s="253"/>
      <c r="N788" s="253"/>
      <c r="O788" s="253"/>
      <c r="P788" s="253"/>
      <c r="Q788" s="253"/>
      <c r="R788" s="253"/>
    </row>
    <row r="789" ht="15.75" customHeight="1">
      <c r="A789" s="253"/>
      <c r="B789" s="253"/>
      <c r="C789" s="253"/>
      <c r="D789" s="262" t="s">
        <v>11855</v>
      </c>
      <c r="E789" s="253"/>
      <c r="F789" s="253"/>
      <c r="G789" s="253"/>
      <c r="H789" s="253"/>
      <c r="I789" s="253"/>
      <c r="J789" s="253"/>
      <c r="K789" s="253"/>
      <c r="L789" s="253"/>
      <c r="M789" s="253"/>
      <c r="N789" s="253"/>
      <c r="O789" s="253"/>
      <c r="P789" s="253"/>
      <c r="Q789" s="253"/>
      <c r="R789" s="253"/>
    </row>
    <row r="790" ht="15.75" customHeight="1">
      <c r="A790" s="253"/>
      <c r="B790" s="253"/>
      <c r="C790" s="253"/>
      <c r="D790" s="262" t="s">
        <v>9657</v>
      </c>
      <c r="E790" s="253"/>
      <c r="F790" s="253"/>
      <c r="G790" s="253"/>
      <c r="H790" s="253"/>
      <c r="I790" s="253"/>
      <c r="J790" s="253"/>
      <c r="K790" s="253"/>
      <c r="L790" s="253"/>
      <c r="M790" s="253"/>
      <c r="N790" s="253"/>
      <c r="O790" s="253"/>
      <c r="P790" s="253"/>
      <c r="Q790" s="253"/>
      <c r="R790" s="253"/>
    </row>
    <row r="791" ht="15.75" customHeight="1">
      <c r="A791" s="253"/>
      <c r="B791" s="253"/>
      <c r="C791" s="253"/>
      <c r="D791" s="262" t="s">
        <v>8944</v>
      </c>
      <c r="E791" s="253"/>
      <c r="F791" s="253"/>
      <c r="G791" s="253"/>
      <c r="H791" s="253"/>
      <c r="I791" s="253"/>
      <c r="J791" s="253"/>
      <c r="K791" s="253"/>
      <c r="L791" s="253"/>
      <c r="M791" s="253"/>
      <c r="N791" s="253"/>
      <c r="O791" s="253"/>
      <c r="P791" s="253"/>
      <c r="Q791" s="253"/>
      <c r="R791" s="253"/>
    </row>
    <row r="792" ht="15.75" customHeight="1">
      <c r="A792" s="253"/>
      <c r="B792" s="253"/>
      <c r="C792" s="253"/>
      <c r="D792" s="262" t="s">
        <v>2788</v>
      </c>
      <c r="E792" s="253"/>
      <c r="F792" s="253"/>
      <c r="G792" s="253"/>
      <c r="H792" s="253"/>
      <c r="I792" s="253"/>
      <c r="J792" s="253"/>
      <c r="K792" s="253"/>
      <c r="L792" s="253"/>
      <c r="M792" s="253"/>
      <c r="N792" s="253"/>
      <c r="O792" s="253"/>
      <c r="P792" s="253"/>
      <c r="Q792" s="253"/>
      <c r="R792" s="253"/>
    </row>
    <row r="793" ht="15.75" customHeight="1">
      <c r="A793" s="253"/>
      <c r="B793" s="253"/>
      <c r="C793" s="253"/>
      <c r="D793" s="262" t="s">
        <v>11856</v>
      </c>
      <c r="E793" s="253"/>
      <c r="F793" s="253"/>
      <c r="G793" s="253"/>
      <c r="H793" s="253"/>
      <c r="I793" s="253"/>
      <c r="J793" s="253"/>
      <c r="K793" s="253"/>
      <c r="L793" s="253"/>
      <c r="M793" s="253"/>
      <c r="N793" s="253"/>
      <c r="O793" s="253"/>
      <c r="P793" s="253"/>
      <c r="Q793" s="253"/>
      <c r="R793" s="253"/>
    </row>
    <row r="794" ht="15.75" customHeight="1">
      <c r="A794" s="253"/>
      <c r="B794" s="253"/>
      <c r="C794" s="253"/>
      <c r="D794" s="262" t="s">
        <v>11857</v>
      </c>
      <c r="E794" s="253"/>
      <c r="F794" s="253"/>
      <c r="G794" s="253"/>
      <c r="H794" s="253"/>
      <c r="I794" s="253"/>
      <c r="J794" s="253"/>
      <c r="K794" s="253"/>
      <c r="L794" s="253"/>
      <c r="M794" s="253"/>
      <c r="N794" s="253"/>
      <c r="O794" s="253"/>
      <c r="P794" s="253"/>
      <c r="Q794" s="253"/>
      <c r="R794" s="253"/>
    </row>
    <row r="795" ht="15.75" customHeight="1">
      <c r="A795" s="253"/>
      <c r="B795" s="253"/>
      <c r="C795" s="253"/>
      <c r="D795" s="262" t="s">
        <v>11858</v>
      </c>
      <c r="E795" s="253"/>
      <c r="F795" s="253"/>
      <c r="G795" s="253"/>
      <c r="H795" s="253"/>
      <c r="I795" s="253"/>
      <c r="J795" s="253"/>
      <c r="K795" s="253"/>
      <c r="L795" s="253"/>
      <c r="M795" s="253"/>
      <c r="N795" s="253"/>
      <c r="O795" s="253"/>
      <c r="P795" s="253"/>
      <c r="Q795" s="253"/>
      <c r="R795" s="253"/>
    </row>
    <row r="796" ht="15.75" customHeight="1">
      <c r="A796" s="253"/>
      <c r="B796" s="253"/>
      <c r="C796" s="253"/>
      <c r="D796" s="262" t="s">
        <v>11859</v>
      </c>
      <c r="E796" s="253"/>
      <c r="F796" s="253"/>
      <c r="G796" s="253"/>
      <c r="H796" s="253"/>
      <c r="I796" s="253"/>
      <c r="J796" s="253"/>
      <c r="K796" s="253"/>
      <c r="L796" s="253"/>
      <c r="M796" s="253"/>
      <c r="N796" s="253"/>
      <c r="O796" s="253"/>
      <c r="P796" s="253"/>
      <c r="Q796" s="253"/>
      <c r="R796" s="253"/>
    </row>
    <row r="797" ht="15.75" customHeight="1">
      <c r="A797" s="253"/>
      <c r="B797" s="253"/>
      <c r="C797" s="253"/>
      <c r="D797" s="262" t="s">
        <v>645</v>
      </c>
      <c r="E797" s="253"/>
      <c r="F797" s="253"/>
      <c r="G797" s="253"/>
      <c r="H797" s="253"/>
      <c r="I797" s="253"/>
      <c r="J797" s="253"/>
      <c r="K797" s="253"/>
      <c r="L797" s="253"/>
      <c r="M797" s="253"/>
      <c r="N797" s="253"/>
      <c r="O797" s="253"/>
      <c r="P797" s="253"/>
      <c r="Q797" s="253"/>
      <c r="R797" s="253"/>
    </row>
    <row r="798" ht="15.75" customHeight="1">
      <c r="A798" s="253"/>
      <c r="B798" s="253"/>
      <c r="C798" s="253"/>
      <c r="D798" s="262" t="s">
        <v>4640</v>
      </c>
      <c r="E798" s="253"/>
      <c r="F798" s="253"/>
      <c r="G798" s="253"/>
      <c r="H798" s="253"/>
      <c r="I798" s="253"/>
      <c r="J798" s="253"/>
      <c r="K798" s="253"/>
      <c r="L798" s="253"/>
      <c r="M798" s="253"/>
      <c r="N798" s="253"/>
      <c r="O798" s="253"/>
      <c r="P798" s="253"/>
      <c r="Q798" s="253"/>
      <c r="R798" s="253"/>
    </row>
    <row r="799" ht="15.75" customHeight="1">
      <c r="A799" s="253"/>
      <c r="B799" s="253"/>
      <c r="C799" s="253"/>
      <c r="D799" s="262" t="s">
        <v>6136</v>
      </c>
      <c r="E799" s="253"/>
      <c r="F799" s="253"/>
      <c r="G799" s="253"/>
      <c r="H799" s="253"/>
      <c r="I799" s="253"/>
      <c r="J799" s="253"/>
      <c r="K799" s="253"/>
      <c r="L799" s="253"/>
      <c r="M799" s="253"/>
      <c r="N799" s="253"/>
      <c r="O799" s="253"/>
      <c r="P799" s="253"/>
      <c r="Q799" s="253"/>
      <c r="R799" s="253"/>
    </row>
    <row r="800" ht="15.75" customHeight="1">
      <c r="A800" s="253"/>
      <c r="B800" s="253"/>
      <c r="C800" s="253"/>
      <c r="D800" s="262" t="s">
        <v>11860</v>
      </c>
      <c r="E800" s="253"/>
      <c r="F800" s="253"/>
      <c r="G800" s="253"/>
      <c r="H800" s="253"/>
      <c r="I800" s="253"/>
      <c r="J800" s="253"/>
      <c r="K800" s="253"/>
      <c r="L800" s="253"/>
      <c r="M800" s="253"/>
      <c r="N800" s="253"/>
      <c r="O800" s="253"/>
      <c r="P800" s="253"/>
      <c r="Q800" s="253"/>
      <c r="R800" s="253"/>
    </row>
    <row r="801" ht="15.75" customHeight="1">
      <c r="A801" s="253"/>
      <c r="B801" s="253"/>
      <c r="C801" s="253"/>
      <c r="D801" s="262" t="s">
        <v>11861</v>
      </c>
      <c r="E801" s="253"/>
      <c r="F801" s="253"/>
      <c r="G801" s="253"/>
      <c r="H801" s="253"/>
      <c r="I801" s="253"/>
      <c r="J801" s="253"/>
      <c r="K801" s="253"/>
      <c r="L801" s="253"/>
      <c r="M801" s="253"/>
      <c r="N801" s="253"/>
      <c r="O801" s="253"/>
      <c r="P801" s="253"/>
      <c r="Q801" s="253"/>
      <c r="R801" s="253"/>
    </row>
    <row r="802" ht="15.75" customHeight="1">
      <c r="A802" s="253"/>
      <c r="B802" s="253"/>
      <c r="C802" s="253"/>
      <c r="D802" s="262" t="s">
        <v>11862</v>
      </c>
      <c r="E802" s="253"/>
      <c r="F802" s="253"/>
      <c r="G802" s="253"/>
      <c r="H802" s="253"/>
      <c r="I802" s="253"/>
      <c r="J802" s="253"/>
      <c r="K802" s="253"/>
      <c r="L802" s="253"/>
      <c r="M802" s="253"/>
      <c r="N802" s="253"/>
      <c r="O802" s="253"/>
      <c r="P802" s="253"/>
      <c r="Q802" s="253"/>
      <c r="R802" s="253"/>
    </row>
    <row r="803" ht="15.75" customHeight="1">
      <c r="A803" s="253"/>
      <c r="B803" s="253"/>
      <c r="C803" s="253"/>
      <c r="D803" s="262" t="s">
        <v>11863</v>
      </c>
      <c r="E803" s="253"/>
      <c r="F803" s="253"/>
      <c r="G803" s="253"/>
      <c r="H803" s="253"/>
      <c r="I803" s="253"/>
      <c r="J803" s="253"/>
      <c r="K803" s="253"/>
      <c r="L803" s="253"/>
      <c r="M803" s="253"/>
      <c r="N803" s="253"/>
      <c r="O803" s="253"/>
      <c r="P803" s="253"/>
      <c r="Q803" s="253"/>
      <c r="R803" s="253"/>
    </row>
    <row r="804" ht="15.75" customHeight="1">
      <c r="A804" s="253"/>
      <c r="B804" s="253"/>
      <c r="C804" s="253"/>
      <c r="D804" s="262" t="s">
        <v>11864</v>
      </c>
      <c r="E804" s="253"/>
      <c r="F804" s="253"/>
      <c r="G804" s="253"/>
      <c r="H804" s="253"/>
      <c r="I804" s="253"/>
      <c r="J804" s="253"/>
      <c r="K804" s="253"/>
      <c r="L804" s="253"/>
      <c r="M804" s="253"/>
      <c r="N804" s="253"/>
      <c r="O804" s="253"/>
      <c r="P804" s="253"/>
      <c r="Q804" s="253"/>
      <c r="R804" s="253"/>
    </row>
    <row r="805" ht="15.75" customHeight="1">
      <c r="A805" s="253"/>
      <c r="B805" s="253"/>
      <c r="C805" s="253"/>
      <c r="D805" s="262" t="s">
        <v>2499</v>
      </c>
      <c r="E805" s="253"/>
      <c r="F805" s="253"/>
      <c r="G805" s="253"/>
      <c r="H805" s="253"/>
      <c r="I805" s="253"/>
      <c r="J805" s="253"/>
      <c r="K805" s="253"/>
      <c r="L805" s="253"/>
      <c r="M805" s="253"/>
      <c r="N805" s="253"/>
      <c r="O805" s="253"/>
      <c r="P805" s="253"/>
      <c r="Q805" s="253"/>
      <c r="R805" s="253"/>
    </row>
    <row r="806" ht="15.75" customHeight="1">
      <c r="A806" s="253"/>
      <c r="B806" s="253"/>
      <c r="C806" s="253"/>
      <c r="D806" s="262" t="s">
        <v>11865</v>
      </c>
      <c r="E806" s="253"/>
      <c r="F806" s="253"/>
      <c r="G806" s="253"/>
      <c r="H806" s="253"/>
      <c r="I806" s="253"/>
      <c r="J806" s="253"/>
      <c r="K806" s="253"/>
      <c r="L806" s="253"/>
      <c r="M806" s="253"/>
      <c r="N806" s="253"/>
      <c r="O806" s="253"/>
      <c r="P806" s="253"/>
      <c r="Q806" s="253"/>
      <c r="R806" s="253"/>
    </row>
    <row r="807" ht="15.75" customHeight="1">
      <c r="A807" s="253"/>
      <c r="B807" s="253"/>
      <c r="C807" s="253"/>
      <c r="D807" s="262" t="s">
        <v>11866</v>
      </c>
      <c r="E807" s="253"/>
      <c r="F807" s="253"/>
      <c r="G807" s="253"/>
      <c r="H807" s="253"/>
      <c r="I807" s="253"/>
      <c r="J807" s="253"/>
      <c r="K807" s="253"/>
      <c r="L807" s="253"/>
      <c r="M807" s="253"/>
      <c r="N807" s="253"/>
      <c r="O807" s="253"/>
      <c r="P807" s="253"/>
      <c r="Q807" s="253"/>
      <c r="R807" s="253"/>
    </row>
    <row r="808" ht="15.75" customHeight="1">
      <c r="A808" s="253"/>
      <c r="B808" s="253"/>
      <c r="C808" s="253"/>
      <c r="D808" s="262" t="s">
        <v>1988</v>
      </c>
      <c r="E808" s="253"/>
      <c r="F808" s="253"/>
      <c r="G808" s="253"/>
      <c r="H808" s="253"/>
      <c r="I808" s="253"/>
      <c r="J808" s="253"/>
      <c r="K808" s="253"/>
      <c r="L808" s="253"/>
      <c r="M808" s="253"/>
      <c r="N808" s="253"/>
      <c r="O808" s="253"/>
      <c r="P808" s="253"/>
      <c r="Q808" s="253"/>
      <c r="R808" s="253"/>
    </row>
    <row r="809" ht="15.75" customHeight="1">
      <c r="A809" s="253"/>
      <c r="B809" s="253"/>
      <c r="C809" s="253"/>
      <c r="D809" s="262" t="s">
        <v>6936</v>
      </c>
      <c r="E809" s="253"/>
      <c r="F809" s="253"/>
      <c r="G809" s="253"/>
      <c r="H809" s="253"/>
      <c r="I809" s="253"/>
      <c r="J809" s="253"/>
      <c r="K809" s="253"/>
      <c r="L809" s="253"/>
      <c r="M809" s="253"/>
      <c r="N809" s="253"/>
      <c r="O809" s="253"/>
      <c r="P809" s="253"/>
      <c r="Q809" s="253"/>
      <c r="R809" s="253"/>
    </row>
    <row r="810" ht="15.75" customHeight="1">
      <c r="A810" s="253"/>
      <c r="B810" s="253"/>
      <c r="C810" s="253"/>
      <c r="D810" s="262" t="s">
        <v>11867</v>
      </c>
      <c r="E810" s="253"/>
      <c r="F810" s="253"/>
      <c r="G810" s="253"/>
      <c r="H810" s="253"/>
      <c r="I810" s="253"/>
      <c r="J810" s="253"/>
      <c r="K810" s="253"/>
      <c r="L810" s="253"/>
      <c r="M810" s="253"/>
      <c r="N810" s="253"/>
      <c r="O810" s="253"/>
      <c r="P810" s="253"/>
      <c r="Q810" s="253"/>
      <c r="R810" s="253"/>
    </row>
    <row r="811" ht="15.75" customHeight="1">
      <c r="A811" s="253"/>
      <c r="B811" s="253"/>
      <c r="C811" s="253"/>
      <c r="D811" s="262" t="s">
        <v>11868</v>
      </c>
      <c r="E811" s="253"/>
      <c r="F811" s="253"/>
      <c r="G811" s="253"/>
      <c r="H811" s="253"/>
      <c r="I811" s="253"/>
      <c r="J811" s="253"/>
      <c r="K811" s="253"/>
      <c r="L811" s="253"/>
      <c r="M811" s="253"/>
      <c r="N811" s="253"/>
      <c r="O811" s="253"/>
      <c r="P811" s="253"/>
      <c r="Q811" s="253"/>
      <c r="R811" s="253"/>
    </row>
    <row r="812" ht="15.75" customHeight="1">
      <c r="A812" s="253"/>
      <c r="B812" s="253"/>
      <c r="C812" s="253"/>
      <c r="D812" s="262" t="s">
        <v>11869</v>
      </c>
      <c r="E812" s="253"/>
      <c r="F812" s="253"/>
      <c r="G812" s="253"/>
      <c r="H812" s="253"/>
      <c r="I812" s="253"/>
      <c r="J812" s="253"/>
      <c r="K812" s="253"/>
      <c r="L812" s="253"/>
      <c r="M812" s="253"/>
      <c r="N812" s="253"/>
      <c r="O812" s="253"/>
      <c r="P812" s="253"/>
      <c r="Q812" s="253"/>
      <c r="R812" s="253"/>
    </row>
    <row r="813" ht="15.75" customHeight="1">
      <c r="A813" s="253"/>
      <c r="B813" s="253"/>
      <c r="C813" s="253"/>
      <c r="D813" s="262" t="s">
        <v>2311</v>
      </c>
      <c r="E813" s="253"/>
      <c r="F813" s="253"/>
      <c r="G813" s="253"/>
      <c r="H813" s="253"/>
      <c r="I813" s="253"/>
      <c r="J813" s="253"/>
      <c r="K813" s="253"/>
      <c r="L813" s="253"/>
      <c r="M813" s="253"/>
      <c r="N813" s="253"/>
      <c r="O813" s="253"/>
      <c r="P813" s="253"/>
      <c r="Q813" s="253"/>
      <c r="R813" s="253"/>
    </row>
    <row r="814" ht="15.75" customHeight="1">
      <c r="A814" s="253"/>
      <c r="B814" s="253"/>
      <c r="C814" s="253"/>
      <c r="D814" s="262" t="s">
        <v>3995</v>
      </c>
      <c r="E814" s="253"/>
      <c r="F814" s="253"/>
      <c r="G814" s="253"/>
      <c r="H814" s="253"/>
      <c r="I814" s="253"/>
      <c r="J814" s="253"/>
      <c r="K814" s="253"/>
      <c r="L814" s="253"/>
      <c r="M814" s="253"/>
      <c r="N814" s="253"/>
      <c r="O814" s="253"/>
      <c r="P814" s="253"/>
      <c r="Q814" s="253"/>
      <c r="R814" s="253"/>
    </row>
    <row r="815" ht="15.75" customHeight="1">
      <c r="A815" s="253"/>
      <c r="B815" s="253"/>
      <c r="C815" s="253"/>
      <c r="D815" s="262" t="s">
        <v>4733</v>
      </c>
      <c r="E815" s="253"/>
      <c r="F815" s="253"/>
      <c r="G815" s="253"/>
      <c r="H815" s="253"/>
      <c r="I815" s="253"/>
      <c r="J815" s="253"/>
      <c r="K815" s="253"/>
      <c r="L815" s="253"/>
      <c r="M815" s="253"/>
      <c r="N815" s="253"/>
      <c r="O815" s="253"/>
      <c r="P815" s="253"/>
      <c r="Q815" s="253"/>
      <c r="R815" s="253"/>
    </row>
    <row r="816" ht="15.75" customHeight="1">
      <c r="A816" s="253"/>
      <c r="B816" s="253"/>
      <c r="C816" s="253"/>
      <c r="D816" s="262" t="s">
        <v>11870</v>
      </c>
      <c r="E816" s="253"/>
      <c r="F816" s="253"/>
      <c r="G816" s="253"/>
      <c r="H816" s="253"/>
      <c r="I816" s="253"/>
      <c r="J816" s="253"/>
      <c r="K816" s="253"/>
      <c r="L816" s="253"/>
      <c r="M816" s="253"/>
      <c r="N816" s="253"/>
      <c r="O816" s="253"/>
      <c r="P816" s="253"/>
      <c r="Q816" s="253"/>
      <c r="R816" s="253"/>
    </row>
    <row r="817" ht="15.75" customHeight="1">
      <c r="A817" s="253"/>
      <c r="B817" s="253"/>
      <c r="C817" s="253"/>
      <c r="D817" s="262" t="s">
        <v>975</v>
      </c>
      <c r="E817" s="253"/>
      <c r="F817" s="253"/>
      <c r="G817" s="253"/>
      <c r="H817" s="253"/>
      <c r="I817" s="253"/>
      <c r="J817" s="253"/>
      <c r="K817" s="253"/>
      <c r="L817" s="253"/>
      <c r="M817" s="253"/>
      <c r="N817" s="253"/>
      <c r="O817" s="253"/>
      <c r="P817" s="253"/>
      <c r="Q817" s="253"/>
      <c r="R817" s="253"/>
    </row>
    <row r="818" ht="15.75" customHeight="1">
      <c r="A818" s="253"/>
      <c r="B818" s="253"/>
      <c r="C818" s="253"/>
      <c r="D818" s="262" t="s">
        <v>11060</v>
      </c>
      <c r="E818" s="253"/>
      <c r="F818" s="253"/>
      <c r="G818" s="253"/>
      <c r="H818" s="253"/>
      <c r="I818" s="253"/>
      <c r="J818" s="253"/>
      <c r="K818" s="253"/>
      <c r="L818" s="253"/>
      <c r="M818" s="253"/>
      <c r="N818" s="253"/>
      <c r="O818" s="253"/>
      <c r="P818" s="253"/>
      <c r="Q818" s="253"/>
      <c r="R818" s="253"/>
    </row>
    <row r="819" ht="15.75" customHeight="1">
      <c r="A819" s="253"/>
      <c r="B819" s="253"/>
      <c r="C819" s="253"/>
      <c r="D819" s="262" t="s">
        <v>11871</v>
      </c>
      <c r="E819" s="253"/>
      <c r="F819" s="253"/>
      <c r="G819" s="253"/>
      <c r="H819" s="253"/>
      <c r="I819" s="253"/>
      <c r="J819" s="253"/>
      <c r="K819" s="253"/>
      <c r="L819" s="253"/>
      <c r="M819" s="253"/>
      <c r="N819" s="253"/>
      <c r="O819" s="253"/>
      <c r="P819" s="253"/>
      <c r="Q819" s="253"/>
      <c r="R819" s="253"/>
    </row>
    <row r="820" ht="15.75" customHeight="1">
      <c r="A820" s="253"/>
      <c r="B820" s="253"/>
      <c r="C820" s="253"/>
      <c r="D820" s="262" t="s">
        <v>11872</v>
      </c>
      <c r="E820" s="253"/>
      <c r="F820" s="253"/>
      <c r="G820" s="253"/>
      <c r="H820" s="253"/>
      <c r="I820" s="253"/>
      <c r="J820" s="253"/>
      <c r="K820" s="253"/>
      <c r="L820" s="253"/>
      <c r="M820" s="253"/>
      <c r="N820" s="253"/>
      <c r="O820" s="253"/>
      <c r="P820" s="253"/>
      <c r="Q820" s="253"/>
      <c r="R820" s="253"/>
    </row>
    <row r="821" ht="15.75" customHeight="1">
      <c r="A821" s="253"/>
      <c r="B821" s="253"/>
      <c r="C821" s="253"/>
      <c r="D821" s="262" t="s">
        <v>11873</v>
      </c>
      <c r="E821" s="253"/>
      <c r="F821" s="253"/>
      <c r="G821" s="253"/>
      <c r="H821" s="253"/>
      <c r="I821" s="253"/>
      <c r="J821" s="253"/>
      <c r="K821" s="253"/>
      <c r="L821" s="253"/>
      <c r="M821" s="253"/>
      <c r="N821" s="253"/>
      <c r="O821" s="253"/>
      <c r="P821" s="253"/>
      <c r="Q821" s="253"/>
      <c r="R821" s="253"/>
    </row>
    <row r="822" ht="15.75" customHeight="1">
      <c r="A822" s="253"/>
      <c r="B822" s="253"/>
      <c r="C822" s="253"/>
      <c r="D822" s="262" t="s">
        <v>1673</v>
      </c>
      <c r="E822" s="253"/>
      <c r="F822" s="253"/>
      <c r="G822" s="253"/>
      <c r="H822" s="253"/>
      <c r="I822" s="253"/>
      <c r="J822" s="253"/>
      <c r="K822" s="253"/>
      <c r="L822" s="253"/>
      <c r="M822" s="253"/>
      <c r="N822" s="253"/>
      <c r="O822" s="253"/>
      <c r="P822" s="253"/>
      <c r="Q822" s="253"/>
      <c r="R822" s="253"/>
    </row>
    <row r="823" ht="15.75" customHeight="1">
      <c r="A823" s="253"/>
      <c r="B823" s="253"/>
      <c r="C823" s="253"/>
      <c r="D823" s="262" t="s">
        <v>11874</v>
      </c>
      <c r="E823" s="253"/>
      <c r="F823" s="253"/>
      <c r="G823" s="253"/>
      <c r="H823" s="253"/>
      <c r="I823" s="253"/>
      <c r="J823" s="253"/>
      <c r="K823" s="253"/>
      <c r="L823" s="253"/>
      <c r="M823" s="253"/>
      <c r="N823" s="253"/>
      <c r="O823" s="253"/>
      <c r="P823" s="253"/>
      <c r="Q823" s="253"/>
      <c r="R823" s="253"/>
    </row>
    <row r="824" ht="15.75" customHeight="1">
      <c r="A824" s="253"/>
      <c r="B824" s="253"/>
      <c r="C824" s="253"/>
      <c r="D824" s="262" t="s">
        <v>664</v>
      </c>
      <c r="E824" s="253"/>
      <c r="F824" s="253"/>
      <c r="G824" s="253"/>
      <c r="H824" s="253"/>
      <c r="I824" s="253"/>
      <c r="J824" s="253"/>
      <c r="K824" s="253"/>
      <c r="L824" s="253"/>
      <c r="M824" s="253"/>
      <c r="N824" s="253"/>
      <c r="O824" s="253"/>
      <c r="P824" s="253"/>
      <c r="Q824" s="253"/>
      <c r="R824" s="253"/>
    </row>
    <row r="825" ht="15.75" customHeight="1">
      <c r="A825" s="253"/>
      <c r="B825" s="253"/>
      <c r="C825" s="253"/>
      <c r="D825" s="262" t="s">
        <v>11875</v>
      </c>
      <c r="E825" s="253"/>
      <c r="F825" s="253"/>
      <c r="G825" s="253"/>
      <c r="H825" s="253"/>
      <c r="I825" s="253"/>
      <c r="J825" s="253"/>
      <c r="K825" s="253"/>
      <c r="L825" s="253"/>
      <c r="M825" s="253"/>
      <c r="N825" s="253"/>
      <c r="O825" s="253"/>
      <c r="P825" s="253"/>
      <c r="Q825" s="253"/>
      <c r="R825" s="253"/>
    </row>
    <row r="826" ht="15.75" customHeight="1">
      <c r="A826" s="253"/>
      <c r="B826" s="253"/>
      <c r="C826" s="253"/>
      <c r="D826" s="262" t="s">
        <v>2914</v>
      </c>
      <c r="E826" s="253"/>
      <c r="F826" s="253"/>
      <c r="G826" s="253"/>
      <c r="H826" s="253"/>
      <c r="I826" s="253"/>
      <c r="J826" s="253"/>
      <c r="K826" s="253"/>
      <c r="L826" s="253"/>
      <c r="M826" s="253"/>
      <c r="N826" s="253"/>
      <c r="O826" s="253"/>
      <c r="P826" s="253"/>
      <c r="Q826" s="253"/>
      <c r="R826" s="253"/>
    </row>
    <row r="827" ht="15.75" customHeight="1">
      <c r="A827" s="253"/>
      <c r="B827" s="253"/>
      <c r="C827" s="253"/>
      <c r="D827" s="262" t="s">
        <v>11876</v>
      </c>
      <c r="E827" s="253"/>
      <c r="F827" s="253"/>
      <c r="G827" s="253"/>
      <c r="H827" s="253"/>
      <c r="I827" s="253"/>
      <c r="J827" s="253"/>
      <c r="K827" s="253"/>
      <c r="L827" s="253"/>
      <c r="M827" s="253"/>
      <c r="N827" s="253"/>
      <c r="O827" s="253"/>
      <c r="P827" s="253"/>
      <c r="Q827" s="253"/>
      <c r="R827" s="253"/>
    </row>
    <row r="828" ht="15.75" customHeight="1">
      <c r="A828" s="253"/>
      <c r="B828" s="253"/>
      <c r="C828" s="253"/>
      <c r="D828" s="262" t="s">
        <v>11877</v>
      </c>
      <c r="E828" s="253"/>
      <c r="F828" s="253"/>
      <c r="G828" s="253"/>
      <c r="H828" s="253"/>
      <c r="I828" s="253"/>
      <c r="J828" s="253"/>
      <c r="K828" s="253"/>
      <c r="L828" s="253"/>
      <c r="M828" s="253"/>
      <c r="N828" s="253"/>
      <c r="O828" s="253"/>
      <c r="P828" s="253"/>
      <c r="Q828" s="253"/>
      <c r="R828" s="253"/>
    </row>
    <row r="829" ht="15.75" customHeight="1">
      <c r="A829" s="253"/>
      <c r="B829" s="253"/>
      <c r="C829" s="253"/>
      <c r="D829" s="262" t="s">
        <v>11878</v>
      </c>
      <c r="E829" s="253"/>
      <c r="F829" s="253"/>
      <c r="G829" s="253"/>
      <c r="H829" s="253"/>
      <c r="I829" s="253"/>
      <c r="J829" s="253"/>
      <c r="K829" s="253"/>
      <c r="L829" s="253"/>
      <c r="M829" s="253"/>
      <c r="N829" s="253"/>
      <c r="O829" s="253"/>
      <c r="P829" s="253"/>
      <c r="Q829" s="253"/>
      <c r="R829" s="253"/>
    </row>
    <row r="830" ht="15.75" customHeight="1">
      <c r="A830" s="253"/>
      <c r="B830" s="253"/>
      <c r="C830" s="253"/>
      <c r="D830" s="262" t="s">
        <v>6155</v>
      </c>
      <c r="E830" s="253"/>
      <c r="F830" s="253"/>
      <c r="G830" s="253"/>
      <c r="H830" s="253"/>
      <c r="I830" s="253"/>
      <c r="J830" s="253"/>
      <c r="K830" s="253"/>
      <c r="L830" s="253"/>
      <c r="M830" s="253"/>
      <c r="N830" s="253"/>
      <c r="O830" s="253"/>
      <c r="P830" s="253"/>
      <c r="Q830" s="253"/>
      <c r="R830" s="253"/>
    </row>
    <row r="831" ht="15.75" customHeight="1">
      <c r="A831" s="253"/>
      <c r="B831" s="253"/>
      <c r="C831" s="253"/>
      <c r="D831" s="262" t="s">
        <v>11879</v>
      </c>
      <c r="E831" s="253"/>
      <c r="F831" s="253"/>
      <c r="G831" s="253"/>
      <c r="H831" s="253"/>
      <c r="I831" s="253"/>
      <c r="J831" s="253"/>
      <c r="K831" s="253"/>
      <c r="L831" s="253"/>
      <c r="M831" s="253"/>
      <c r="N831" s="253"/>
      <c r="O831" s="253"/>
      <c r="P831" s="253"/>
      <c r="Q831" s="253"/>
      <c r="R831" s="253"/>
    </row>
    <row r="832" ht="15.75" customHeight="1">
      <c r="A832" s="253"/>
      <c r="B832" s="253"/>
      <c r="C832" s="253"/>
      <c r="D832" s="262" t="s">
        <v>6438</v>
      </c>
      <c r="E832" s="253"/>
      <c r="F832" s="253"/>
      <c r="G832" s="253"/>
      <c r="H832" s="253"/>
      <c r="I832" s="253"/>
      <c r="J832" s="253"/>
      <c r="K832" s="253"/>
      <c r="L832" s="253"/>
      <c r="M832" s="253"/>
      <c r="N832" s="253"/>
      <c r="O832" s="253"/>
      <c r="P832" s="253"/>
      <c r="Q832" s="253"/>
      <c r="R832" s="253"/>
    </row>
    <row r="833" ht="15.75" customHeight="1">
      <c r="A833" s="253"/>
      <c r="B833" s="253"/>
      <c r="C833" s="253"/>
      <c r="D833" s="262" t="s">
        <v>11880</v>
      </c>
      <c r="E833" s="253"/>
      <c r="F833" s="253"/>
      <c r="G833" s="253"/>
      <c r="H833" s="253"/>
      <c r="I833" s="253"/>
      <c r="J833" s="253"/>
      <c r="K833" s="253"/>
      <c r="L833" s="253"/>
      <c r="M833" s="253"/>
      <c r="N833" s="253"/>
      <c r="O833" s="253"/>
      <c r="P833" s="253"/>
      <c r="Q833" s="253"/>
      <c r="R833" s="253"/>
    </row>
    <row r="834" ht="15.75" customHeight="1">
      <c r="A834" s="253"/>
      <c r="B834" s="253"/>
      <c r="C834" s="253"/>
      <c r="D834" s="262" t="s">
        <v>11881</v>
      </c>
      <c r="E834" s="253"/>
      <c r="F834" s="253"/>
      <c r="G834" s="253"/>
      <c r="H834" s="253"/>
      <c r="I834" s="253"/>
      <c r="J834" s="253"/>
      <c r="K834" s="253"/>
      <c r="L834" s="253"/>
      <c r="M834" s="253"/>
      <c r="N834" s="253"/>
      <c r="O834" s="253"/>
      <c r="P834" s="253"/>
      <c r="Q834" s="253"/>
      <c r="R834" s="253"/>
    </row>
    <row r="835" ht="15.75" customHeight="1">
      <c r="A835" s="253"/>
      <c r="B835" s="253"/>
      <c r="C835" s="253"/>
      <c r="D835" s="262" t="s">
        <v>1020</v>
      </c>
      <c r="E835" s="253"/>
      <c r="F835" s="253"/>
      <c r="G835" s="253"/>
      <c r="H835" s="253"/>
      <c r="I835" s="253"/>
      <c r="J835" s="253"/>
      <c r="K835" s="253"/>
      <c r="L835" s="253"/>
      <c r="M835" s="253"/>
      <c r="N835" s="253"/>
      <c r="O835" s="253"/>
      <c r="P835" s="253"/>
      <c r="Q835" s="253"/>
      <c r="R835" s="253"/>
    </row>
    <row r="836" ht="15.75" customHeight="1">
      <c r="A836" s="253"/>
      <c r="B836" s="253"/>
      <c r="C836" s="253"/>
      <c r="D836" s="262" t="s">
        <v>11882</v>
      </c>
      <c r="E836" s="253"/>
      <c r="F836" s="253"/>
      <c r="G836" s="253"/>
      <c r="H836" s="253"/>
      <c r="I836" s="253"/>
      <c r="J836" s="253"/>
      <c r="K836" s="253"/>
      <c r="L836" s="253"/>
      <c r="M836" s="253"/>
      <c r="N836" s="253"/>
      <c r="O836" s="253"/>
      <c r="P836" s="253"/>
      <c r="Q836" s="253"/>
      <c r="R836" s="253"/>
    </row>
    <row r="837" ht="15.75" customHeight="1">
      <c r="A837" s="253"/>
      <c r="B837" s="253"/>
      <c r="C837" s="253"/>
      <c r="D837" s="262" t="s">
        <v>11883</v>
      </c>
      <c r="E837" s="253"/>
      <c r="F837" s="253"/>
      <c r="G837" s="253"/>
      <c r="H837" s="253"/>
      <c r="I837" s="253"/>
      <c r="J837" s="253"/>
      <c r="K837" s="253"/>
      <c r="L837" s="253"/>
      <c r="M837" s="253"/>
      <c r="N837" s="253"/>
      <c r="O837" s="253"/>
      <c r="P837" s="253"/>
      <c r="Q837" s="253"/>
      <c r="R837" s="253"/>
    </row>
    <row r="838" ht="15.75" customHeight="1">
      <c r="A838" s="253"/>
      <c r="B838" s="253"/>
      <c r="C838" s="253"/>
      <c r="D838" s="262" t="s">
        <v>11884</v>
      </c>
      <c r="E838" s="253"/>
      <c r="F838" s="253"/>
      <c r="G838" s="253"/>
      <c r="H838" s="253"/>
      <c r="I838" s="253"/>
      <c r="J838" s="253"/>
      <c r="K838" s="253"/>
      <c r="L838" s="253"/>
      <c r="M838" s="253"/>
      <c r="N838" s="253"/>
      <c r="O838" s="253"/>
      <c r="P838" s="253"/>
      <c r="Q838" s="253"/>
      <c r="R838" s="253"/>
    </row>
    <row r="839" ht="15.75" customHeight="1">
      <c r="A839" s="253"/>
      <c r="B839" s="253"/>
      <c r="C839" s="253"/>
      <c r="D839" s="262" t="s">
        <v>6503</v>
      </c>
      <c r="E839" s="253"/>
      <c r="F839" s="253"/>
      <c r="G839" s="253"/>
      <c r="H839" s="253"/>
      <c r="I839" s="253"/>
      <c r="J839" s="253"/>
      <c r="K839" s="253"/>
      <c r="L839" s="253"/>
      <c r="M839" s="253"/>
      <c r="N839" s="253"/>
      <c r="O839" s="253"/>
      <c r="P839" s="253"/>
      <c r="Q839" s="253"/>
      <c r="R839" s="253"/>
    </row>
    <row r="840" ht="15.75" customHeight="1">
      <c r="A840" s="253"/>
      <c r="B840" s="253"/>
      <c r="C840" s="253"/>
      <c r="D840" s="262" t="s">
        <v>6171</v>
      </c>
      <c r="E840" s="253"/>
      <c r="F840" s="253"/>
      <c r="G840" s="253"/>
      <c r="H840" s="253"/>
      <c r="I840" s="253"/>
      <c r="J840" s="253"/>
      <c r="K840" s="253"/>
      <c r="L840" s="253"/>
      <c r="M840" s="253"/>
      <c r="N840" s="253"/>
      <c r="O840" s="253"/>
      <c r="P840" s="253"/>
      <c r="Q840" s="253"/>
      <c r="R840" s="253"/>
    </row>
    <row r="841" ht="15.75" customHeight="1">
      <c r="A841" s="253"/>
      <c r="B841" s="253"/>
      <c r="C841" s="253"/>
      <c r="D841" s="262" t="s">
        <v>11327</v>
      </c>
      <c r="E841" s="253"/>
      <c r="F841" s="253"/>
      <c r="G841" s="253"/>
      <c r="H841" s="253"/>
      <c r="I841" s="253"/>
      <c r="J841" s="253"/>
      <c r="K841" s="253"/>
      <c r="L841" s="253"/>
      <c r="M841" s="253"/>
      <c r="N841" s="253"/>
      <c r="O841" s="253"/>
      <c r="P841" s="253"/>
      <c r="Q841" s="253"/>
      <c r="R841" s="253"/>
    </row>
    <row r="842" ht="15.75" customHeight="1">
      <c r="A842" s="253"/>
      <c r="B842" s="253"/>
      <c r="C842" s="253"/>
      <c r="D842" s="262" t="s">
        <v>2334</v>
      </c>
      <c r="E842" s="253"/>
      <c r="F842" s="253"/>
      <c r="G842" s="253"/>
      <c r="H842" s="253"/>
      <c r="I842" s="253"/>
      <c r="J842" s="253"/>
      <c r="K842" s="253"/>
      <c r="L842" s="253"/>
      <c r="M842" s="253"/>
      <c r="N842" s="253"/>
      <c r="O842" s="253"/>
      <c r="P842" s="253"/>
      <c r="Q842" s="253"/>
      <c r="R842" s="253"/>
    </row>
    <row r="843" ht="15.75" customHeight="1">
      <c r="A843" s="253"/>
      <c r="B843" s="253"/>
      <c r="C843" s="253"/>
      <c r="D843" s="262" t="s">
        <v>11885</v>
      </c>
      <c r="E843" s="253"/>
      <c r="F843" s="253"/>
      <c r="G843" s="253"/>
      <c r="H843" s="253"/>
      <c r="I843" s="253"/>
      <c r="J843" s="253"/>
      <c r="K843" s="253"/>
      <c r="L843" s="253"/>
      <c r="M843" s="253"/>
      <c r="N843" s="253"/>
      <c r="O843" s="253"/>
      <c r="P843" s="253"/>
      <c r="Q843" s="253"/>
      <c r="R843" s="253"/>
    </row>
    <row r="844" ht="15.75" customHeight="1">
      <c r="A844" s="253"/>
      <c r="B844" s="253"/>
      <c r="C844" s="253"/>
      <c r="D844" s="262" t="s">
        <v>2074</v>
      </c>
      <c r="E844" s="253"/>
      <c r="F844" s="253"/>
      <c r="G844" s="253"/>
      <c r="H844" s="253"/>
      <c r="I844" s="253"/>
      <c r="J844" s="253"/>
      <c r="K844" s="253"/>
      <c r="L844" s="253"/>
      <c r="M844" s="253"/>
      <c r="N844" s="253"/>
      <c r="O844" s="253"/>
      <c r="P844" s="253"/>
      <c r="Q844" s="253"/>
      <c r="R844" s="253"/>
    </row>
    <row r="845" ht="15.75" customHeight="1">
      <c r="A845" s="253"/>
      <c r="B845" s="253"/>
      <c r="C845" s="253"/>
      <c r="D845" s="262" t="s">
        <v>11886</v>
      </c>
      <c r="E845" s="253"/>
      <c r="F845" s="253"/>
      <c r="G845" s="253"/>
      <c r="H845" s="253"/>
      <c r="I845" s="253"/>
      <c r="J845" s="253"/>
      <c r="K845" s="253"/>
      <c r="L845" s="253"/>
      <c r="M845" s="253"/>
      <c r="N845" s="253"/>
      <c r="O845" s="253"/>
      <c r="P845" s="253"/>
      <c r="Q845" s="253"/>
      <c r="R845" s="253"/>
    </row>
    <row r="846" ht="15.75" customHeight="1">
      <c r="A846" s="253"/>
      <c r="B846" s="253"/>
      <c r="C846" s="253"/>
      <c r="D846" s="262" t="s">
        <v>11887</v>
      </c>
      <c r="E846" s="253"/>
      <c r="F846" s="253"/>
      <c r="G846" s="253"/>
      <c r="H846" s="253"/>
      <c r="I846" s="253"/>
      <c r="J846" s="253"/>
      <c r="K846" s="253"/>
      <c r="L846" s="253"/>
      <c r="M846" s="253"/>
      <c r="N846" s="253"/>
      <c r="O846" s="253"/>
      <c r="P846" s="253"/>
      <c r="Q846" s="253"/>
      <c r="R846" s="253"/>
    </row>
    <row r="847" ht="15.75" customHeight="1">
      <c r="A847" s="253"/>
      <c r="B847" s="253"/>
      <c r="C847" s="253"/>
      <c r="D847" s="262" t="s">
        <v>11888</v>
      </c>
      <c r="E847" s="253"/>
      <c r="F847" s="253"/>
      <c r="G847" s="253"/>
      <c r="H847" s="253"/>
      <c r="I847" s="253"/>
      <c r="J847" s="253"/>
      <c r="K847" s="253"/>
      <c r="L847" s="253"/>
      <c r="M847" s="253"/>
      <c r="N847" s="253"/>
      <c r="O847" s="253"/>
      <c r="P847" s="253"/>
      <c r="Q847" s="253"/>
      <c r="R847" s="253"/>
    </row>
    <row r="848" ht="15.75" customHeight="1">
      <c r="A848" s="253"/>
      <c r="B848" s="253"/>
      <c r="C848" s="253"/>
      <c r="D848" s="262" t="s">
        <v>7310</v>
      </c>
      <c r="E848" s="253"/>
      <c r="F848" s="253"/>
      <c r="G848" s="253"/>
      <c r="H848" s="253"/>
      <c r="I848" s="253"/>
      <c r="J848" s="253"/>
      <c r="K848" s="253"/>
      <c r="L848" s="253"/>
      <c r="M848" s="253"/>
      <c r="N848" s="253"/>
      <c r="O848" s="253"/>
      <c r="P848" s="253"/>
      <c r="Q848" s="253"/>
      <c r="R848" s="253"/>
    </row>
    <row r="849" ht="15.75" customHeight="1">
      <c r="A849" s="253"/>
      <c r="B849" s="253"/>
      <c r="C849" s="253"/>
      <c r="D849" s="262" t="s">
        <v>3193</v>
      </c>
      <c r="E849" s="253"/>
      <c r="F849" s="253"/>
      <c r="G849" s="253"/>
      <c r="H849" s="253"/>
      <c r="I849" s="253"/>
      <c r="J849" s="253"/>
      <c r="K849" s="253"/>
      <c r="L849" s="253"/>
      <c r="M849" s="253"/>
      <c r="N849" s="253"/>
      <c r="O849" s="253"/>
      <c r="P849" s="253"/>
      <c r="Q849" s="253"/>
      <c r="R849" s="253"/>
    </row>
    <row r="850" ht="15.75" customHeight="1">
      <c r="A850" s="253"/>
      <c r="B850" s="253"/>
      <c r="C850" s="253"/>
      <c r="D850" s="262" t="s">
        <v>2778</v>
      </c>
      <c r="E850" s="253"/>
      <c r="F850" s="253"/>
      <c r="G850" s="253"/>
      <c r="H850" s="253"/>
      <c r="I850" s="253"/>
      <c r="J850" s="253"/>
      <c r="K850" s="253"/>
      <c r="L850" s="253"/>
      <c r="M850" s="253"/>
      <c r="N850" s="253"/>
      <c r="O850" s="253"/>
      <c r="P850" s="253"/>
      <c r="Q850" s="253"/>
      <c r="R850" s="253"/>
    </row>
    <row r="851" ht="15.75" customHeight="1">
      <c r="A851" s="253"/>
      <c r="B851" s="253"/>
      <c r="C851" s="253"/>
      <c r="D851" s="262" t="s">
        <v>11889</v>
      </c>
      <c r="E851" s="253"/>
      <c r="F851" s="253"/>
      <c r="G851" s="253"/>
      <c r="H851" s="253"/>
      <c r="I851" s="253"/>
      <c r="J851" s="253"/>
      <c r="K851" s="253"/>
      <c r="L851" s="253"/>
      <c r="M851" s="253"/>
      <c r="N851" s="253"/>
      <c r="O851" s="253"/>
      <c r="P851" s="253"/>
      <c r="Q851" s="253"/>
      <c r="R851" s="253"/>
    </row>
    <row r="852" ht="15.75" customHeight="1">
      <c r="A852" s="253"/>
      <c r="B852" s="253"/>
      <c r="C852" s="253"/>
      <c r="D852" s="262" t="s">
        <v>651</v>
      </c>
      <c r="E852" s="253"/>
      <c r="F852" s="253"/>
      <c r="G852" s="253"/>
      <c r="H852" s="253"/>
      <c r="I852" s="253"/>
      <c r="J852" s="253"/>
      <c r="K852" s="253"/>
      <c r="L852" s="253"/>
      <c r="M852" s="253"/>
      <c r="N852" s="253"/>
      <c r="O852" s="253"/>
      <c r="P852" s="253"/>
      <c r="Q852" s="253"/>
      <c r="R852" s="253"/>
    </row>
    <row r="853" ht="15.75" customHeight="1">
      <c r="A853" s="253"/>
      <c r="B853" s="253"/>
      <c r="C853" s="253"/>
      <c r="D853" s="262" t="s">
        <v>11890</v>
      </c>
      <c r="E853" s="253"/>
      <c r="F853" s="253"/>
      <c r="G853" s="253"/>
      <c r="H853" s="253"/>
      <c r="I853" s="253"/>
      <c r="J853" s="253"/>
      <c r="K853" s="253"/>
      <c r="L853" s="253"/>
      <c r="M853" s="253"/>
      <c r="N853" s="253"/>
      <c r="O853" s="253"/>
      <c r="P853" s="253"/>
      <c r="Q853" s="253"/>
      <c r="R853" s="253"/>
    </row>
    <row r="854" ht="15.75" customHeight="1">
      <c r="A854" s="253"/>
      <c r="B854" s="253"/>
      <c r="C854" s="253"/>
      <c r="D854" s="262" t="s">
        <v>11891</v>
      </c>
      <c r="E854" s="253"/>
      <c r="F854" s="253"/>
      <c r="G854" s="253"/>
      <c r="H854" s="253"/>
      <c r="I854" s="253"/>
      <c r="J854" s="253"/>
      <c r="K854" s="253"/>
      <c r="L854" s="253"/>
      <c r="M854" s="253"/>
      <c r="N854" s="253"/>
      <c r="O854" s="253"/>
      <c r="P854" s="253"/>
      <c r="Q854" s="253"/>
      <c r="R854" s="253"/>
    </row>
    <row r="855" ht="15.75" customHeight="1">
      <c r="A855" s="253"/>
      <c r="B855" s="253"/>
      <c r="C855" s="253"/>
      <c r="D855" s="262" t="s">
        <v>4509</v>
      </c>
      <c r="E855" s="253"/>
      <c r="F855" s="253"/>
      <c r="G855" s="253"/>
      <c r="H855" s="253"/>
      <c r="I855" s="253"/>
      <c r="J855" s="253"/>
      <c r="K855" s="253"/>
      <c r="L855" s="253"/>
      <c r="M855" s="253"/>
      <c r="N855" s="253"/>
      <c r="O855" s="253"/>
      <c r="P855" s="253"/>
      <c r="Q855" s="253"/>
      <c r="R855" s="253"/>
    </row>
    <row r="856" ht="15.75" customHeight="1">
      <c r="A856" s="253"/>
      <c r="B856" s="253"/>
      <c r="C856" s="253"/>
      <c r="D856" s="262" t="s">
        <v>11892</v>
      </c>
      <c r="E856" s="253"/>
      <c r="F856" s="253"/>
      <c r="G856" s="253"/>
      <c r="H856" s="253"/>
      <c r="I856" s="253"/>
      <c r="J856" s="253"/>
      <c r="K856" s="253"/>
      <c r="L856" s="253"/>
      <c r="M856" s="253"/>
      <c r="N856" s="253"/>
      <c r="O856" s="253"/>
      <c r="P856" s="253"/>
      <c r="Q856" s="253"/>
      <c r="R856" s="253"/>
    </row>
    <row r="857" ht="15.75" customHeight="1">
      <c r="A857" s="253"/>
      <c r="B857" s="253"/>
      <c r="C857" s="253"/>
      <c r="D857" s="262" t="s">
        <v>11893</v>
      </c>
      <c r="E857" s="253"/>
      <c r="F857" s="253"/>
      <c r="G857" s="253"/>
      <c r="H857" s="253"/>
      <c r="I857" s="253"/>
      <c r="J857" s="253"/>
      <c r="K857" s="253"/>
      <c r="L857" s="253"/>
      <c r="M857" s="253"/>
      <c r="N857" s="253"/>
      <c r="O857" s="253"/>
      <c r="P857" s="253"/>
      <c r="Q857" s="253"/>
      <c r="R857" s="253"/>
    </row>
    <row r="858" ht="15.75" customHeight="1">
      <c r="A858" s="253"/>
      <c r="B858" s="253"/>
      <c r="C858" s="253"/>
      <c r="D858" s="262" t="s">
        <v>11894</v>
      </c>
      <c r="E858" s="253"/>
      <c r="F858" s="253"/>
      <c r="G858" s="253"/>
      <c r="H858" s="253"/>
      <c r="I858" s="253"/>
      <c r="J858" s="253"/>
      <c r="K858" s="253"/>
      <c r="L858" s="253"/>
      <c r="M858" s="253"/>
      <c r="N858" s="253"/>
      <c r="O858" s="253"/>
      <c r="P858" s="253"/>
      <c r="Q858" s="253"/>
      <c r="R858" s="253"/>
    </row>
    <row r="859" ht="15.75" customHeight="1">
      <c r="A859" s="253"/>
      <c r="B859" s="253"/>
      <c r="C859" s="253"/>
      <c r="D859" s="262" t="s">
        <v>11895</v>
      </c>
      <c r="E859" s="253"/>
      <c r="F859" s="253"/>
      <c r="G859" s="253"/>
      <c r="H859" s="253"/>
      <c r="I859" s="253"/>
      <c r="J859" s="253"/>
      <c r="K859" s="253"/>
      <c r="L859" s="253"/>
      <c r="M859" s="253"/>
      <c r="N859" s="253"/>
      <c r="O859" s="253"/>
      <c r="P859" s="253"/>
      <c r="Q859" s="253"/>
      <c r="R859" s="253"/>
    </row>
    <row r="860" ht="15.75" customHeight="1">
      <c r="A860" s="253"/>
      <c r="B860" s="253"/>
      <c r="C860" s="253"/>
      <c r="D860" s="262" t="s">
        <v>11896</v>
      </c>
      <c r="E860" s="253"/>
      <c r="F860" s="253"/>
      <c r="G860" s="253"/>
      <c r="H860" s="253"/>
      <c r="I860" s="253"/>
      <c r="J860" s="253"/>
      <c r="K860" s="253"/>
      <c r="L860" s="253"/>
      <c r="M860" s="253"/>
      <c r="N860" s="253"/>
      <c r="O860" s="253"/>
      <c r="P860" s="253"/>
      <c r="Q860" s="253"/>
      <c r="R860" s="253"/>
    </row>
    <row r="861" ht="15.75" customHeight="1">
      <c r="A861" s="253"/>
      <c r="B861" s="253"/>
      <c r="C861" s="253"/>
      <c r="D861" s="262" t="s">
        <v>11897</v>
      </c>
      <c r="E861" s="253"/>
      <c r="F861" s="253"/>
      <c r="G861" s="253"/>
      <c r="H861" s="253"/>
      <c r="I861" s="253"/>
      <c r="J861" s="253"/>
      <c r="K861" s="253"/>
      <c r="L861" s="253"/>
      <c r="M861" s="253"/>
      <c r="N861" s="253"/>
      <c r="O861" s="253"/>
      <c r="P861" s="253"/>
      <c r="Q861" s="253"/>
      <c r="R861" s="253"/>
    </row>
    <row r="862" ht="15.75" customHeight="1">
      <c r="A862" s="253"/>
      <c r="B862" s="253"/>
      <c r="C862" s="253"/>
      <c r="D862" s="262" t="s">
        <v>11898</v>
      </c>
      <c r="E862" s="253"/>
      <c r="F862" s="253"/>
      <c r="G862" s="253"/>
      <c r="H862" s="253"/>
      <c r="I862" s="253"/>
      <c r="J862" s="253"/>
      <c r="K862" s="253"/>
      <c r="L862" s="253"/>
      <c r="M862" s="253"/>
      <c r="N862" s="253"/>
      <c r="O862" s="253"/>
      <c r="P862" s="253"/>
      <c r="Q862" s="253"/>
      <c r="R862" s="253"/>
    </row>
    <row r="863" ht="15.75" customHeight="1">
      <c r="A863" s="253"/>
      <c r="B863" s="253"/>
      <c r="C863" s="253"/>
      <c r="D863" s="262" t="s">
        <v>11899</v>
      </c>
      <c r="E863" s="253"/>
      <c r="F863" s="253"/>
      <c r="G863" s="253"/>
      <c r="H863" s="253"/>
      <c r="I863" s="253"/>
      <c r="J863" s="253"/>
      <c r="K863" s="253"/>
      <c r="L863" s="253"/>
      <c r="M863" s="253"/>
      <c r="N863" s="253"/>
      <c r="O863" s="253"/>
      <c r="P863" s="253"/>
      <c r="Q863" s="253"/>
      <c r="R863" s="253"/>
    </row>
    <row r="864" ht="15.75" customHeight="1">
      <c r="A864" s="253"/>
      <c r="B864" s="253"/>
      <c r="C864" s="253"/>
      <c r="D864" s="262" t="s">
        <v>11900</v>
      </c>
      <c r="E864" s="253"/>
      <c r="F864" s="253"/>
      <c r="G864" s="253"/>
      <c r="H864" s="253"/>
      <c r="I864" s="253"/>
      <c r="J864" s="253"/>
      <c r="K864" s="253"/>
      <c r="L864" s="253"/>
      <c r="M864" s="253"/>
      <c r="N864" s="253"/>
      <c r="O864" s="253"/>
      <c r="P864" s="253"/>
      <c r="Q864" s="253"/>
      <c r="R864" s="253"/>
    </row>
    <row r="865" ht="15.75" customHeight="1">
      <c r="A865" s="253"/>
      <c r="B865" s="253"/>
      <c r="C865" s="253"/>
      <c r="D865" s="262" t="s">
        <v>6692</v>
      </c>
      <c r="E865" s="253"/>
      <c r="F865" s="253"/>
      <c r="G865" s="253"/>
      <c r="H865" s="253"/>
      <c r="I865" s="253"/>
      <c r="J865" s="253"/>
      <c r="K865" s="253"/>
      <c r="L865" s="253"/>
      <c r="M865" s="253"/>
      <c r="N865" s="253"/>
      <c r="O865" s="253"/>
      <c r="P865" s="253"/>
      <c r="Q865" s="253"/>
      <c r="R865" s="253"/>
    </row>
    <row r="866" ht="15.75" customHeight="1">
      <c r="A866" s="253"/>
      <c r="B866" s="253"/>
      <c r="C866" s="253"/>
      <c r="D866" s="262" t="s">
        <v>11901</v>
      </c>
      <c r="E866" s="253"/>
      <c r="F866" s="253"/>
      <c r="G866" s="253"/>
      <c r="H866" s="253"/>
      <c r="I866" s="253"/>
      <c r="J866" s="253"/>
      <c r="K866" s="253"/>
      <c r="L866" s="253"/>
      <c r="M866" s="253"/>
      <c r="N866" s="253"/>
      <c r="O866" s="253"/>
      <c r="P866" s="253"/>
      <c r="Q866" s="253"/>
      <c r="R866" s="253"/>
    </row>
    <row r="867" ht="15.75" customHeight="1">
      <c r="A867" s="253"/>
      <c r="B867" s="253"/>
      <c r="C867" s="253"/>
      <c r="D867" s="262" t="s">
        <v>11902</v>
      </c>
      <c r="E867" s="253"/>
      <c r="F867" s="253"/>
      <c r="G867" s="253"/>
      <c r="H867" s="253"/>
      <c r="I867" s="253"/>
      <c r="J867" s="253"/>
      <c r="K867" s="253"/>
      <c r="L867" s="253"/>
      <c r="M867" s="253"/>
      <c r="N867" s="253"/>
      <c r="O867" s="253"/>
      <c r="P867" s="253"/>
      <c r="Q867" s="253"/>
      <c r="R867" s="253"/>
    </row>
    <row r="868" ht="15.75" customHeight="1">
      <c r="A868" s="253"/>
      <c r="B868" s="253"/>
      <c r="C868" s="253"/>
      <c r="D868" s="262" t="s">
        <v>11903</v>
      </c>
      <c r="E868" s="253"/>
      <c r="F868" s="253"/>
      <c r="G868" s="253"/>
      <c r="H868" s="253"/>
      <c r="I868" s="253"/>
      <c r="J868" s="253"/>
      <c r="K868" s="253"/>
      <c r="L868" s="253"/>
      <c r="M868" s="253"/>
      <c r="N868" s="253"/>
      <c r="O868" s="253"/>
      <c r="P868" s="253"/>
      <c r="Q868" s="253"/>
      <c r="R868" s="253"/>
    </row>
    <row r="869" ht="15.75" customHeight="1">
      <c r="A869" s="253"/>
      <c r="B869" s="253"/>
      <c r="C869" s="253"/>
      <c r="D869" s="262" t="s">
        <v>3742</v>
      </c>
      <c r="E869" s="253"/>
      <c r="F869" s="253"/>
      <c r="G869" s="253"/>
      <c r="H869" s="253"/>
      <c r="I869" s="253"/>
      <c r="J869" s="253"/>
      <c r="K869" s="253"/>
      <c r="L869" s="253"/>
      <c r="M869" s="253"/>
      <c r="N869" s="253"/>
      <c r="O869" s="253"/>
      <c r="P869" s="253"/>
      <c r="Q869" s="253"/>
      <c r="R869" s="253"/>
    </row>
    <row r="870" ht="15.75" customHeight="1">
      <c r="A870" s="253"/>
      <c r="B870" s="253"/>
      <c r="C870" s="253"/>
      <c r="D870" s="262" t="s">
        <v>9189</v>
      </c>
      <c r="E870" s="253"/>
      <c r="F870" s="253"/>
      <c r="G870" s="253"/>
      <c r="H870" s="253"/>
      <c r="I870" s="253"/>
      <c r="J870" s="253"/>
      <c r="K870" s="253"/>
      <c r="L870" s="253"/>
      <c r="M870" s="253"/>
      <c r="N870" s="253"/>
      <c r="O870" s="253"/>
      <c r="P870" s="253"/>
      <c r="Q870" s="253"/>
      <c r="R870" s="253"/>
    </row>
    <row r="871" ht="15.75" customHeight="1">
      <c r="A871" s="253"/>
      <c r="B871" s="253"/>
      <c r="C871" s="253"/>
      <c r="D871" s="262" t="s">
        <v>11904</v>
      </c>
      <c r="E871" s="253"/>
      <c r="F871" s="253"/>
      <c r="G871" s="253"/>
      <c r="H871" s="253"/>
      <c r="I871" s="253"/>
      <c r="J871" s="253"/>
      <c r="K871" s="253"/>
      <c r="L871" s="253"/>
      <c r="M871" s="253"/>
      <c r="N871" s="253"/>
      <c r="O871" s="253"/>
      <c r="P871" s="253"/>
      <c r="Q871" s="253"/>
      <c r="R871" s="253"/>
    </row>
    <row r="872" ht="15.75" customHeight="1">
      <c r="A872" s="253"/>
      <c r="B872" s="253"/>
      <c r="C872" s="253"/>
      <c r="D872" s="262" t="s">
        <v>11905</v>
      </c>
      <c r="E872" s="253"/>
      <c r="F872" s="253"/>
      <c r="G872" s="253"/>
      <c r="H872" s="253"/>
      <c r="I872" s="253"/>
      <c r="J872" s="253"/>
      <c r="K872" s="253"/>
      <c r="L872" s="253"/>
      <c r="M872" s="253"/>
      <c r="N872" s="253"/>
      <c r="O872" s="253"/>
      <c r="P872" s="253"/>
      <c r="Q872" s="253"/>
      <c r="R872" s="253"/>
    </row>
    <row r="873" ht="15.75" customHeight="1">
      <c r="A873" s="253"/>
      <c r="B873" s="253"/>
      <c r="C873" s="253"/>
      <c r="D873" s="262" t="s">
        <v>11906</v>
      </c>
      <c r="E873" s="253"/>
      <c r="F873" s="253"/>
      <c r="G873" s="253"/>
      <c r="H873" s="253"/>
      <c r="I873" s="253"/>
      <c r="J873" s="253"/>
      <c r="K873" s="253"/>
      <c r="L873" s="253"/>
      <c r="M873" s="253"/>
      <c r="N873" s="253"/>
      <c r="O873" s="253"/>
      <c r="P873" s="253"/>
      <c r="Q873" s="253"/>
      <c r="R873" s="253"/>
    </row>
    <row r="874" ht="15.75" customHeight="1">
      <c r="A874" s="253"/>
      <c r="B874" s="253"/>
      <c r="C874" s="253"/>
      <c r="D874" s="262" t="s">
        <v>11907</v>
      </c>
      <c r="E874" s="253"/>
      <c r="F874" s="253"/>
      <c r="G874" s="253"/>
      <c r="H874" s="253"/>
      <c r="I874" s="253"/>
      <c r="J874" s="253"/>
      <c r="K874" s="253"/>
      <c r="L874" s="253"/>
      <c r="M874" s="253"/>
      <c r="N874" s="253"/>
      <c r="O874" s="253"/>
      <c r="P874" s="253"/>
      <c r="Q874" s="253"/>
      <c r="R874" s="253"/>
    </row>
    <row r="875" ht="15.75" customHeight="1">
      <c r="A875" s="253"/>
      <c r="B875" s="253"/>
      <c r="C875" s="253"/>
      <c r="D875" s="262" t="s">
        <v>11908</v>
      </c>
      <c r="E875" s="253"/>
      <c r="F875" s="253"/>
      <c r="G875" s="253"/>
      <c r="H875" s="253"/>
      <c r="I875" s="253"/>
      <c r="J875" s="253"/>
      <c r="K875" s="253"/>
      <c r="L875" s="253"/>
      <c r="M875" s="253"/>
      <c r="N875" s="253"/>
      <c r="O875" s="253"/>
      <c r="P875" s="253"/>
      <c r="Q875" s="253"/>
      <c r="R875" s="253"/>
    </row>
    <row r="876" ht="15.75" customHeight="1">
      <c r="A876" s="253"/>
      <c r="B876" s="253"/>
      <c r="C876" s="253"/>
      <c r="D876" s="262" t="s">
        <v>7524</v>
      </c>
      <c r="E876" s="253"/>
      <c r="F876" s="253"/>
      <c r="G876" s="253"/>
      <c r="H876" s="253"/>
      <c r="I876" s="253"/>
      <c r="J876" s="253"/>
      <c r="K876" s="253"/>
      <c r="L876" s="253"/>
      <c r="M876" s="253"/>
      <c r="N876" s="253"/>
      <c r="O876" s="253"/>
      <c r="P876" s="253"/>
      <c r="Q876" s="253"/>
      <c r="R876" s="253"/>
    </row>
    <row r="877" ht="15.75" customHeight="1">
      <c r="A877" s="253"/>
      <c r="B877" s="253"/>
      <c r="C877" s="253"/>
      <c r="D877" s="262" t="s">
        <v>11909</v>
      </c>
      <c r="E877" s="253"/>
      <c r="F877" s="253"/>
      <c r="G877" s="253"/>
      <c r="H877" s="253"/>
      <c r="I877" s="253"/>
      <c r="J877" s="253"/>
      <c r="K877" s="253"/>
      <c r="L877" s="253"/>
      <c r="M877" s="253"/>
      <c r="N877" s="253"/>
      <c r="O877" s="253"/>
      <c r="P877" s="253"/>
      <c r="Q877" s="253"/>
      <c r="R877" s="253"/>
    </row>
    <row r="878" ht="15.75" customHeight="1">
      <c r="A878" s="253"/>
      <c r="B878" s="253"/>
      <c r="C878" s="253"/>
      <c r="D878" s="262" t="s">
        <v>5344</v>
      </c>
      <c r="E878" s="253"/>
      <c r="F878" s="253"/>
      <c r="G878" s="253"/>
      <c r="H878" s="253"/>
      <c r="I878" s="253"/>
      <c r="J878" s="253"/>
      <c r="K878" s="253"/>
      <c r="L878" s="253"/>
      <c r="M878" s="253"/>
      <c r="N878" s="253"/>
      <c r="O878" s="253"/>
      <c r="P878" s="253"/>
      <c r="Q878" s="253"/>
      <c r="R878" s="253"/>
    </row>
    <row r="879" ht="15.75" customHeight="1">
      <c r="A879" s="253"/>
      <c r="B879" s="253"/>
      <c r="C879" s="253"/>
      <c r="D879" s="262" t="s">
        <v>11910</v>
      </c>
      <c r="E879" s="253"/>
      <c r="F879" s="253"/>
      <c r="G879" s="253"/>
      <c r="H879" s="253"/>
      <c r="I879" s="253"/>
      <c r="J879" s="253"/>
      <c r="K879" s="253"/>
      <c r="L879" s="253"/>
      <c r="M879" s="253"/>
      <c r="N879" s="253"/>
      <c r="O879" s="253"/>
      <c r="P879" s="253"/>
      <c r="Q879" s="253"/>
      <c r="R879" s="253"/>
    </row>
    <row r="880" ht="15.75" customHeight="1">
      <c r="A880" s="253"/>
      <c r="B880" s="253"/>
      <c r="C880" s="253"/>
      <c r="D880" s="262" t="s">
        <v>11911</v>
      </c>
      <c r="E880" s="253"/>
      <c r="F880" s="253"/>
      <c r="G880" s="253"/>
      <c r="H880" s="253"/>
      <c r="I880" s="253"/>
      <c r="J880" s="253"/>
      <c r="K880" s="253"/>
      <c r="L880" s="253"/>
      <c r="M880" s="253"/>
      <c r="N880" s="253"/>
      <c r="O880" s="253"/>
      <c r="P880" s="253"/>
      <c r="Q880" s="253"/>
      <c r="R880" s="253"/>
    </row>
    <row r="881" ht="15.75" customHeight="1">
      <c r="A881" s="253"/>
      <c r="B881" s="253"/>
      <c r="C881" s="253"/>
      <c r="D881" s="262" t="s">
        <v>2553</v>
      </c>
      <c r="E881" s="253"/>
      <c r="F881" s="253"/>
      <c r="G881" s="253"/>
      <c r="H881" s="253"/>
      <c r="I881" s="253"/>
      <c r="J881" s="253"/>
      <c r="K881" s="253"/>
      <c r="L881" s="253"/>
      <c r="M881" s="253"/>
      <c r="N881" s="253"/>
      <c r="O881" s="253"/>
      <c r="P881" s="253"/>
      <c r="Q881" s="253"/>
      <c r="R881" s="253"/>
    </row>
    <row r="882" ht="15.75" customHeight="1">
      <c r="A882" s="253"/>
      <c r="B882" s="253"/>
      <c r="C882" s="253"/>
      <c r="D882" s="262" t="s">
        <v>2799</v>
      </c>
      <c r="E882" s="253"/>
      <c r="F882" s="253"/>
      <c r="G882" s="253"/>
      <c r="H882" s="253"/>
      <c r="I882" s="253"/>
      <c r="J882" s="253"/>
      <c r="K882" s="253"/>
      <c r="L882" s="253"/>
      <c r="M882" s="253"/>
      <c r="N882" s="253"/>
      <c r="O882" s="253"/>
      <c r="P882" s="253"/>
      <c r="Q882" s="253"/>
      <c r="R882" s="253"/>
    </row>
    <row r="883" ht="15.75" customHeight="1">
      <c r="A883" s="253"/>
      <c r="B883" s="253"/>
      <c r="C883" s="253"/>
      <c r="D883" s="262" t="s">
        <v>11912</v>
      </c>
      <c r="E883" s="253"/>
      <c r="F883" s="253"/>
      <c r="G883" s="253"/>
      <c r="H883" s="253"/>
      <c r="I883" s="253"/>
      <c r="J883" s="253"/>
      <c r="K883" s="253"/>
      <c r="L883" s="253"/>
      <c r="M883" s="253"/>
      <c r="N883" s="253"/>
      <c r="O883" s="253"/>
      <c r="P883" s="253"/>
      <c r="Q883" s="253"/>
      <c r="R883" s="253"/>
    </row>
    <row r="884" ht="15.75" customHeight="1">
      <c r="A884" s="253"/>
      <c r="B884" s="253"/>
      <c r="C884" s="253"/>
      <c r="D884" s="262" t="s">
        <v>11913</v>
      </c>
      <c r="E884" s="253"/>
      <c r="F884" s="253"/>
      <c r="G884" s="253"/>
      <c r="H884" s="253"/>
      <c r="I884" s="253"/>
      <c r="J884" s="253"/>
      <c r="K884" s="253"/>
      <c r="L884" s="253"/>
      <c r="M884" s="253"/>
      <c r="N884" s="253"/>
      <c r="O884" s="253"/>
      <c r="P884" s="253"/>
      <c r="Q884" s="253"/>
      <c r="R884" s="253"/>
    </row>
    <row r="885" ht="15.75" customHeight="1">
      <c r="A885" s="253"/>
      <c r="B885" s="253"/>
      <c r="C885" s="253"/>
      <c r="D885" s="262" t="s">
        <v>6854</v>
      </c>
      <c r="E885" s="253"/>
      <c r="F885" s="253"/>
      <c r="G885" s="253"/>
      <c r="H885" s="253"/>
      <c r="I885" s="253"/>
      <c r="J885" s="253"/>
      <c r="K885" s="253"/>
      <c r="L885" s="253"/>
      <c r="M885" s="253"/>
      <c r="N885" s="253"/>
      <c r="O885" s="253"/>
      <c r="P885" s="253"/>
      <c r="Q885" s="253"/>
      <c r="R885" s="253"/>
    </row>
    <row r="886" ht="15.75" customHeight="1">
      <c r="A886" s="253"/>
      <c r="B886" s="253"/>
      <c r="C886" s="253"/>
      <c r="D886" s="262" t="s">
        <v>11914</v>
      </c>
      <c r="E886" s="253"/>
      <c r="F886" s="253"/>
      <c r="G886" s="253"/>
      <c r="H886" s="253"/>
      <c r="I886" s="253"/>
      <c r="J886" s="253"/>
      <c r="K886" s="253"/>
      <c r="L886" s="253"/>
      <c r="M886" s="253"/>
      <c r="N886" s="253"/>
      <c r="O886" s="253"/>
      <c r="P886" s="253"/>
      <c r="Q886" s="253"/>
      <c r="R886" s="253"/>
    </row>
    <row r="887" ht="15.75" customHeight="1">
      <c r="A887" s="253"/>
      <c r="B887" s="253"/>
      <c r="C887" s="253"/>
      <c r="D887" s="262" t="s">
        <v>11915</v>
      </c>
      <c r="E887" s="253"/>
      <c r="F887" s="253"/>
      <c r="G887" s="253"/>
      <c r="H887" s="253"/>
      <c r="I887" s="253"/>
      <c r="J887" s="253"/>
      <c r="K887" s="253"/>
      <c r="L887" s="253"/>
      <c r="M887" s="253"/>
      <c r="N887" s="253"/>
      <c r="O887" s="253"/>
      <c r="P887" s="253"/>
      <c r="Q887" s="253"/>
      <c r="R887" s="253"/>
    </row>
    <row r="888" ht="15.75" customHeight="1">
      <c r="A888" s="253"/>
      <c r="B888" s="253"/>
      <c r="C888" s="253"/>
      <c r="D888" s="262" t="s">
        <v>11916</v>
      </c>
      <c r="E888" s="253"/>
      <c r="F888" s="253"/>
      <c r="G888" s="253"/>
      <c r="H888" s="253"/>
      <c r="I888" s="253"/>
      <c r="J888" s="253"/>
      <c r="K888" s="253"/>
      <c r="L888" s="253"/>
      <c r="M888" s="253"/>
      <c r="N888" s="253"/>
      <c r="O888" s="253"/>
      <c r="P888" s="253"/>
      <c r="Q888" s="253"/>
      <c r="R888" s="253"/>
    </row>
    <row r="889" ht="15.75" customHeight="1">
      <c r="A889" s="253"/>
      <c r="B889" s="253"/>
      <c r="C889" s="253"/>
      <c r="D889" s="262" t="s">
        <v>11917</v>
      </c>
      <c r="E889" s="253"/>
      <c r="F889" s="253"/>
      <c r="G889" s="253"/>
      <c r="H889" s="253"/>
      <c r="I889" s="253"/>
      <c r="J889" s="253"/>
      <c r="K889" s="253"/>
      <c r="L889" s="253"/>
      <c r="M889" s="253"/>
      <c r="N889" s="253"/>
      <c r="O889" s="253"/>
      <c r="P889" s="253"/>
      <c r="Q889" s="253"/>
      <c r="R889" s="253"/>
    </row>
    <row r="890" ht="15.75" customHeight="1">
      <c r="A890" s="253"/>
      <c r="B890" s="253"/>
      <c r="C890" s="253"/>
      <c r="D890" s="262" t="s">
        <v>11918</v>
      </c>
      <c r="E890" s="253"/>
      <c r="F890" s="253"/>
      <c r="G890" s="253"/>
      <c r="H890" s="253"/>
      <c r="I890" s="253"/>
      <c r="J890" s="253"/>
      <c r="K890" s="253"/>
      <c r="L890" s="253"/>
      <c r="M890" s="253"/>
      <c r="N890" s="253"/>
      <c r="O890" s="253"/>
      <c r="P890" s="253"/>
      <c r="Q890" s="253"/>
      <c r="R890" s="253"/>
    </row>
    <row r="891" ht="15.75" customHeight="1">
      <c r="A891" s="253"/>
      <c r="B891" s="253"/>
      <c r="C891" s="253"/>
      <c r="D891" s="262" t="s">
        <v>11919</v>
      </c>
      <c r="E891" s="253"/>
      <c r="F891" s="253"/>
      <c r="G891" s="253"/>
      <c r="H891" s="253"/>
      <c r="I891" s="253"/>
      <c r="J891" s="253"/>
      <c r="K891" s="253"/>
      <c r="L891" s="253"/>
      <c r="M891" s="253"/>
      <c r="N891" s="253"/>
      <c r="O891" s="253"/>
      <c r="P891" s="253"/>
      <c r="Q891" s="253"/>
      <c r="R891" s="253"/>
    </row>
    <row r="892" ht="15.75" customHeight="1">
      <c r="A892" s="253"/>
      <c r="B892" s="253"/>
      <c r="C892" s="253"/>
      <c r="D892" s="262" t="s">
        <v>11920</v>
      </c>
      <c r="E892" s="253"/>
      <c r="F892" s="253"/>
      <c r="G892" s="253"/>
      <c r="H892" s="253"/>
      <c r="I892" s="253"/>
      <c r="J892" s="253"/>
      <c r="K892" s="253"/>
      <c r="L892" s="253"/>
      <c r="M892" s="253"/>
      <c r="N892" s="253"/>
      <c r="O892" s="253"/>
      <c r="P892" s="253"/>
      <c r="Q892" s="253"/>
      <c r="R892" s="253"/>
    </row>
    <row r="893" ht="15.75" customHeight="1">
      <c r="A893" s="253"/>
      <c r="B893" s="253"/>
      <c r="C893" s="253"/>
      <c r="D893" s="262" t="s">
        <v>11921</v>
      </c>
      <c r="E893" s="253"/>
      <c r="F893" s="253"/>
      <c r="G893" s="253"/>
      <c r="H893" s="253"/>
      <c r="I893" s="253"/>
      <c r="J893" s="253"/>
      <c r="K893" s="253"/>
      <c r="L893" s="253"/>
      <c r="M893" s="253"/>
      <c r="N893" s="253"/>
      <c r="O893" s="253"/>
      <c r="P893" s="253"/>
      <c r="Q893" s="253"/>
      <c r="R893" s="253"/>
    </row>
    <row r="894" ht="15.75" customHeight="1">
      <c r="A894" s="253"/>
      <c r="B894" s="253"/>
      <c r="C894" s="253"/>
      <c r="D894" s="262" t="s">
        <v>11922</v>
      </c>
      <c r="E894" s="253"/>
      <c r="F894" s="253"/>
      <c r="G894" s="253"/>
      <c r="H894" s="253"/>
      <c r="I894" s="253"/>
      <c r="J894" s="253"/>
      <c r="K894" s="253"/>
      <c r="L894" s="253"/>
      <c r="M894" s="253"/>
      <c r="N894" s="253"/>
      <c r="O894" s="253"/>
      <c r="P894" s="253"/>
      <c r="Q894" s="253"/>
      <c r="R894" s="253"/>
    </row>
    <row r="895" ht="15.75" customHeight="1">
      <c r="A895" s="253"/>
      <c r="B895" s="253"/>
      <c r="C895" s="253"/>
      <c r="D895" s="262" t="s">
        <v>11923</v>
      </c>
      <c r="E895" s="253"/>
      <c r="F895" s="253"/>
      <c r="G895" s="253"/>
      <c r="H895" s="253"/>
      <c r="I895" s="253"/>
      <c r="J895" s="253"/>
      <c r="K895" s="253"/>
      <c r="L895" s="253"/>
      <c r="M895" s="253"/>
      <c r="N895" s="253"/>
      <c r="O895" s="253"/>
      <c r="P895" s="253"/>
      <c r="Q895" s="253"/>
      <c r="R895" s="253"/>
    </row>
    <row r="896" ht="15.75" customHeight="1">
      <c r="A896" s="253"/>
      <c r="B896" s="253"/>
      <c r="C896" s="253"/>
      <c r="D896" s="262" t="s">
        <v>8282</v>
      </c>
      <c r="E896" s="253"/>
      <c r="F896" s="253"/>
      <c r="G896" s="253"/>
      <c r="H896" s="253"/>
      <c r="I896" s="253"/>
      <c r="J896" s="253"/>
      <c r="K896" s="253"/>
      <c r="L896" s="253"/>
      <c r="M896" s="253"/>
      <c r="N896" s="253"/>
      <c r="O896" s="253"/>
      <c r="P896" s="253"/>
      <c r="Q896" s="253"/>
      <c r="R896" s="253"/>
    </row>
    <row r="897" ht="15.75" customHeight="1">
      <c r="A897" s="253"/>
      <c r="B897" s="253"/>
      <c r="C897" s="253"/>
      <c r="D897" s="262" t="s">
        <v>2813</v>
      </c>
      <c r="E897" s="253"/>
      <c r="F897" s="253"/>
      <c r="G897" s="253"/>
      <c r="H897" s="253"/>
      <c r="I897" s="253"/>
      <c r="J897" s="253"/>
      <c r="K897" s="253"/>
      <c r="L897" s="253"/>
      <c r="M897" s="253"/>
      <c r="N897" s="253"/>
      <c r="O897" s="253"/>
      <c r="P897" s="253"/>
      <c r="Q897" s="253"/>
      <c r="R897" s="253"/>
    </row>
    <row r="898" ht="15.75" customHeight="1">
      <c r="A898" s="253"/>
      <c r="B898" s="253"/>
      <c r="C898" s="253"/>
      <c r="D898" s="262" t="s">
        <v>11924</v>
      </c>
      <c r="E898" s="253"/>
      <c r="F898" s="253"/>
      <c r="G898" s="253"/>
      <c r="H898" s="253"/>
      <c r="I898" s="253"/>
      <c r="J898" s="253"/>
      <c r="K898" s="253"/>
      <c r="L898" s="253"/>
      <c r="M898" s="253"/>
      <c r="N898" s="253"/>
      <c r="O898" s="253"/>
      <c r="P898" s="253"/>
      <c r="Q898" s="253"/>
      <c r="R898" s="253"/>
    </row>
    <row r="899" ht="15.75" customHeight="1">
      <c r="A899" s="253"/>
      <c r="B899" s="253"/>
      <c r="C899" s="253"/>
      <c r="D899" s="262" t="s">
        <v>11925</v>
      </c>
      <c r="E899" s="253"/>
      <c r="F899" s="253"/>
      <c r="G899" s="253"/>
      <c r="H899" s="253"/>
      <c r="I899" s="253"/>
      <c r="J899" s="253"/>
      <c r="K899" s="253"/>
      <c r="L899" s="253"/>
      <c r="M899" s="253"/>
      <c r="N899" s="253"/>
      <c r="O899" s="253"/>
      <c r="P899" s="253"/>
      <c r="Q899" s="253"/>
      <c r="R899" s="253"/>
    </row>
    <row r="900" ht="15.75" customHeight="1">
      <c r="A900" s="253"/>
      <c r="B900" s="253"/>
      <c r="C900" s="253"/>
      <c r="D900" s="262" t="s">
        <v>11926</v>
      </c>
      <c r="E900" s="253"/>
      <c r="F900" s="253"/>
      <c r="G900" s="253"/>
      <c r="H900" s="253"/>
      <c r="I900" s="253"/>
      <c r="J900" s="253"/>
      <c r="K900" s="253"/>
      <c r="L900" s="253"/>
      <c r="M900" s="253"/>
      <c r="N900" s="253"/>
      <c r="O900" s="253"/>
      <c r="P900" s="253"/>
      <c r="Q900" s="253"/>
      <c r="R900" s="253"/>
    </row>
    <row r="901" ht="15.75" customHeight="1">
      <c r="A901" s="253"/>
      <c r="B901" s="253"/>
      <c r="C901" s="253"/>
      <c r="D901" s="262" t="s">
        <v>6522</v>
      </c>
      <c r="E901" s="253"/>
      <c r="F901" s="253"/>
      <c r="G901" s="253"/>
      <c r="H901" s="253"/>
      <c r="I901" s="253"/>
      <c r="J901" s="253"/>
      <c r="K901" s="253"/>
      <c r="L901" s="253"/>
      <c r="M901" s="253"/>
      <c r="N901" s="253"/>
      <c r="O901" s="253"/>
      <c r="P901" s="253"/>
      <c r="Q901" s="253"/>
      <c r="R901" s="253"/>
    </row>
    <row r="902" ht="15.75" customHeight="1">
      <c r="A902" s="253"/>
      <c r="B902" s="253"/>
      <c r="C902" s="253"/>
      <c r="D902" s="262" t="s">
        <v>3924</v>
      </c>
      <c r="E902" s="253"/>
      <c r="F902" s="253"/>
      <c r="G902" s="253"/>
      <c r="H902" s="253"/>
      <c r="I902" s="253"/>
      <c r="J902" s="253"/>
      <c r="K902" s="253"/>
      <c r="L902" s="253"/>
      <c r="M902" s="253"/>
      <c r="N902" s="253"/>
      <c r="O902" s="253"/>
      <c r="P902" s="253"/>
      <c r="Q902" s="253"/>
      <c r="R902" s="253"/>
    </row>
    <row r="903" ht="15.75" customHeight="1">
      <c r="A903" s="253"/>
      <c r="B903" s="253"/>
      <c r="C903" s="253"/>
      <c r="D903" s="262" t="s">
        <v>11927</v>
      </c>
      <c r="E903" s="253"/>
      <c r="F903" s="253"/>
      <c r="G903" s="253"/>
      <c r="H903" s="253"/>
      <c r="I903" s="253"/>
      <c r="J903" s="253"/>
      <c r="K903" s="253"/>
      <c r="L903" s="253"/>
      <c r="M903" s="253"/>
      <c r="N903" s="253"/>
      <c r="O903" s="253"/>
      <c r="P903" s="253"/>
      <c r="Q903" s="253"/>
      <c r="R903" s="253"/>
    </row>
    <row r="904" ht="15.75" customHeight="1">
      <c r="A904" s="253"/>
      <c r="B904" s="253"/>
      <c r="C904" s="253"/>
      <c r="D904" s="262" t="s">
        <v>11928</v>
      </c>
      <c r="E904" s="253"/>
      <c r="F904" s="253"/>
      <c r="G904" s="253"/>
      <c r="H904" s="253"/>
      <c r="I904" s="253"/>
      <c r="J904" s="253"/>
      <c r="K904" s="253"/>
      <c r="L904" s="253"/>
      <c r="M904" s="253"/>
      <c r="N904" s="253"/>
      <c r="O904" s="253"/>
      <c r="P904" s="253"/>
      <c r="Q904" s="253"/>
      <c r="R904" s="253"/>
    </row>
    <row r="905" ht="15.75" customHeight="1">
      <c r="A905" s="253"/>
      <c r="B905" s="253"/>
      <c r="C905" s="253"/>
      <c r="D905" s="262" t="s">
        <v>11929</v>
      </c>
      <c r="E905" s="253"/>
      <c r="F905" s="253"/>
      <c r="G905" s="253"/>
      <c r="H905" s="253"/>
      <c r="I905" s="253"/>
      <c r="J905" s="253"/>
      <c r="K905" s="253"/>
      <c r="L905" s="253"/>
      <c r="M905" s="253"/>
      <c r="N905" s="253"/>
      <c r="O905" s="253"/>
      <c r="P905" s="253"/>
      <c r="Q905" s="253"/>
      <c r="R905" s="253"/>
    </row>
    <row r="906" ht="15.75" customHeight="1">
      <c r="A906" s="253"/>
      <c r="B906" s="253"/>
      <c r="C906" s="253"/>
      <c r="D906" s="262" t="s">
        <v>11930</v>
      </c>
      <c r="E906" s="253"/>
      <c r="F906" s="253"/>
      <c r="G906" s="253"/>
      <c r="H906" s="253"/>
      <c r="I906" s="253"/>
      <c r="J906" s="253"/>
      <c r="K906" s="253"/>
      <c r="L906" s="253"/>
      <c r="M906" s="253"/>
      <c r="N906" s="253"/>
      <c r="O906" s="253"/>
      <c r="P906" s="253"/>
      <c r="Q906" s="253"/>
      <c r="R906" s="253"/>
    </row>
    <row r="907" ht="15.75" customHeight="1">
      <c r="A907" s="253"/>
      <c r="B907" s="253"/>
      <c r="C907" s="253"/>
      <c r="D907" s="262" t="s">
        <v>11931</v>
      </c>
      <c r="E907" s="253"/>
      <c r="F907" s="253"/>
      <c r="G907" s="253"/>
      <c r="H907" s="253"/>
      <c r="I907" s="253"/>
      <c r="J907" s="253"/>
      <c r="K907" s="253"/>
      <c r="L907" s="253"/>
      <c r="M907" s="253"/>
      <c r="N907" s="253"/>
      <c r="O907" s="253"/>
      <c r="P907" s="253"/>
      <c r="Q907" s="253"/>
      <c r="R907" s="253"/>
    </row>
    <row r="908" ht="15.75" customHeight="1">
      <c r="A908" s="253"/>
      <c r="B908" s="253"/>
      <c r="C908" s="253"/>
      <c r="D908" s="262" t="s">
        <v>3265</v>
      </c>
      <c r="E908" s="253"/>
      <c r="F908" s="253"/>
      <c r="G908" s="253"/>
      <c r="H908" s="253"/>
      <c r="I908" s="253"/>
      <c r="J908" s="253"/>
      <c r="K908" s="253"/>
      <c r="L908" s="253"/>
      <c r="M908" s="253"/>
      <c r="N908" s="253"/>
      <c r="O908" s="253"/>
      <c r="P908" s="253"/>
      <c r="Q908" s="253"/>
      <c r="R908" s="253"/>
    </row>
    <row r="909" ht="15.75" customHeight="1">
      <c r="A909" s="253"/>
      <c r="B909" s="253"/>
      <c r="C909" s="253"/>
      <c r="D909" s="262" t="s">
        <v>11932</v>
      </c>
      <c r="E909" s="253"/>
      <c r="F909" s="253"/>
      <c r="G909" s="253"/>
      <c r="H909" s="253"/>
      <c r="I909" s="253"/>
      <c r="J909" s="253"/>
      <c r="K909" s="253"/>
      <c r="L909" s="253"/>
      <c r="M909" s="253"/>
      <c r="N909" s="253"/>
      <c r="O909" s="253"/>
      <c r="P909" s="253"/>
      <c r="Q909" s="253"/>
      <c r="R909" s="253"/>
    </row>
    <row r="910" ht="15.75" customHeight="1">
      <c r="A910" s="253"/>
      <c r="B910" s="253"/>
      <c r="C910" s="253"/>
      <c r="D910" s="262" t="s">
        <v>11933</v>
      </c>
      <c r="E910" s="253"/>
      <c r="F910" s="253"/>
      <c r="G910" s="253"/>
      <c r="H910" s="253"/>
      <c r="I910" s="253"/>
      <c r="J910" s="253"/>
      <c r="K910" s="253"/>
      <c r="L910" s="253"/>
      <c r="M910" s="253"/>
      <c r="N910" s="253"/>
      <c r="O910" s="253"/>
      <c r="P910" s="253"/>
      <c r="Q910" s="253"/>
      <c r="R910" s="253"/>
    </row>
    <row r="911" ht="15.75" customHeight="1">
      <c r="A911" s="253"/>
      <c r="B911" s="253"/>
      <c r="C911" s="253"/>
      <c r="D911" s="262" t="s">
        <v>11934</v>
      </c>
      <c r="E911" s="253"/>
      <c r="F911" s="253"/>
      <c r="G911" s="253"/>
      <c r="H911" s="253"/>
      <c r="I911" s="253"/>
      <c r="J911" s="253"/>
      <c r="K911" s="253"/>
      <c r="L911" s="253"/>
      <c r="M911" s="253"/>
      <c r="N911" s="253"/>
      <c r="O911" s="253"/>
      <c r="P911" s="253"/>
      <c r="Q911" s="253"/>
      <c r="R911" s="253"/>
    </row>
    <row r="912" ht="15.75" customHeight="1">
      <c r="A912" s="253"/>
      <c r="B912" s="253"/>
      <c r="C912" s="253"/>
      <c r="D912" s="262" t="s">
        <v>11935</v>
      </c>
      <c r="E912" s="253"/>
      <c r="F912" s="253"/>
      <c r="G912" s="253"/>
      <c r="H912" s="253"/>
      <c r="I912" s="253"/>
      <c r="J912" s="253"/>
      <c r="K912" s="253"/>
      <c r="L912" s="253"/>
      <c r="M912" s="253"/>
      <c r="N912" s="253"/>
      <c r="O912" s="253"/>
      <c r="P912" s="253"/>
      <c r="Q912" s="253"/>
      <c r="R912" s="253"/>
    </row>
    <row r="913" ht="15.75" customHeight="1">
      <c r="A913" s="253"/>
      <c r="B913" s="253"/>
      <c r="C913" s="253"/>
      <c r="D913" s="262" t="s">
        <v>7073</v>
      </c>
      <c r="E913" s="253"/>
      <c r="F913" s="253"/>
      <c r="G913" s="253"/>
      <c r="H913" s="253"/>
      <c r="I913" s="253"/>
      <c r="J913" s="253"/>
      <c r="K913" s="253"/>
      <c r="L913" s="253"/>
      <c r="M913" s="253"/>
      <c r="N913" s="253"/>
      <c r="O913" s="253"/>
      <c r="P913" s="253"/>
      <c r="Q913" s="253"/>
      <c r="R913" s="253"/>
    </row>
    <row r="914" ht="15.75" customHeight="1">
      <c r="A914" s="253"/>
      <c r="B914" s="253"/>
      <c r="C914" s="253"/>
      <c r="D914" s="262" t="s">
        <v>9197</v>
      </c>
      <c r="E914" s="253"/>
      <c r="F914" s="253"/>
      <c r="G914" s="253"/>
      <c r="H914" s="253"/>
      <c r="I914" s="253"/>
      <c r="J914" s="253"/>
      <c r="K914" s="253"/>
      <c r="L914" s="253"/>
      <c r="M914" s="253"/>
      <c r="N914" s="253"/>
      <c r="O914" s="253"/>
      <c r="P914" s="253"/>
      <c r="Q914" s="253"/>
      <c r="R914" s="253"/>
    </row>
    <row r="915" ht="15.75" customHeight="1">
      <c r="A915" s="253"/>
      <c r="B915" s="253"/>
      <c r="C915" s="253"/>
      <c r="D915" s="262" t="s">
        <v>1238</v>
      </c>
      <c r="E915" s="253"/>
      <c r="F915" s="253"/>
      <c r="G915" s="253"/>
      <c r="H915" s="253"/>
      <c r="I915" s="253"/>
      <c r="J915" s="253"/>
      <c r="K915" s="253"/>
      <c r="L915" s="253"/>
      <c r="M915" s="253"/>
      <c r="N915" s="253"/>
      <c r="O915" s="253"/>
      <c r="P915" s="253"/>
      <c r="Q915" s="253"/>
      <c r="R915" s="253"/>
    </row>
    <row r="916" ht="15.75" customHeight="1">
      <c r="A916" s="253"/>
      <c r="B916" s="253"/>
      <c r="C916" s="253"/>
      <c r="D916" s="262" t="s">
        <v>11936</v>
      </c>
      <c r="E916" s="253"/>
      <c r="F916" s="253"/>
      <c r="G916" s="253"/>
      <c r="H916" s="253"/>
      <c r="I916" s="253"/>
      <c r="J916" s="253"/>
      <c r="K916" s="253"/>
      <c r="L916" s="253"/>
      <c r="M916" s="253"/>
      <c r="N916" s="253"/>
      <c r="O916" s="253"/>
      <c r="P916" s="253"/>
      <c r="Q916" s="253"/>
      <c r="R916" s="253"/>
    </row>
    <row r="917" ht="15.75" customHeight="1">
      <c r="A917" s="253"/>
      <c r="B917" s="253"/>
      <c r="C917" s="253"/>
      <c r="D917" s="262" t="s">
        <v>3462</v>
      </c>
      <c r="E917" s="253"/>
      <c r="F917" s="253"/>
      <c r="G917" s="253"/>
      <c r="H917" s="253"/>
      <c r="I917" s="253"/>
      <c r="J917" s="253"/>
      <c r="K917" s="253"/>
      <c r="L917" s="253"/>
      <c r="M917" s="253"/>
      <c r="N917" s="253"/>
      <c r="O917" s="253"/>
      <c r="P917" s="253"/>
      <c r="Q917" s="253"/>
      <c r="R917" s="253"/>
    </row>
    <row r="918" ht="15.75" customHeight="1">
      <c r="A918" s="253"/>
      <c r="B918" s="253"/>
      <c r="C918" s="253"/>
      <c r="D918" s="262" t="s">
        <v>11937</v>
      </c>
      <c r="E918" s="253"/>
      <c r="F918" s="253"/>
      <c r="G918" s="253"/>
      <c r="H918" s="253"/>
      <c r="I918" s="253"/>
      <c r="J918" s="253"/>
      <c r="K918" s="253"/>
      <c r="L918" s="253"/>
      <c r="M918" s="253"/>
      <c r="N918" s="253"/>
      <c r="O918" s="253"/>
      <c r="P918" s="253"/>
      <c r="Q918" s="253"/>
      <c r="R918" s="253"/>
    </row>
    <row r="919" ht="15.75" customHeight="1">
      <c r="A919" s="253"/>
      <c r="B919" s="253"/>
      <c r="C919" s="253"/>
      <c r="D919" s="262" t="s">
        <v>11938</v>
      </c>
      <c r="E919" s="253"/>
      <c r="F919" s="253"/>
      <c r="G919" s="253"/>
      <c r="H919" s="253"/>
      <c r="I919" s="253"/>
      <c r="J919" s="253"/>
      <c r="K919" s="253"/>
      <c r="L919" s="253"/>
      <c r="M919" s="253"/>
      <c r="N919" s="253"/>
      <c r="O919" s="253"/>
      <c r="P919" s="253"/>
      <c r="Q919" s="253"/>
      <c r="R919" s="253"/>
    </row>
    <row r="920" ht="15.75" customHeight="1">
      <c r="A920" s="253"/>
      <c r="B920" s="253"/>
      <c r="C920" s="253"/>
      <c r="D920" s="262" t="s">
        <v>702</v>
      </c>
      <c r="E920" s="253"/>
      <c r="F920" s="253"/>
      <c r="G920" s="253"/>
      <c r="H920" s="253"/>
      <c r="I920" s="253"/>
      <c r="J920" s="253"/>
      <c r="K920" s="253"/>
      <c r="L920" s="253"/>
      <c r="M920" s="253"/>
      <c r="N920" s="253"/>
      <c r="O920" s="253"/>
      <c r="P920" s="253"/>
      <c r="Q920" s="253"/>
      <c r="R920" s="253"/>
    </row>
    <row r="921" ht="15.75" customHeight="1">
      <c r="A921" s="253"/>
      <c r="B921" s="253"/>
      <c r="C921" s="253"/>
      <c r="D921" s="262" t="s">
        <v>5354</v>
      </c>
      <c r="E921" s="253"/>
      <c r="F921" s="253"/>
      <c r="G921" s="253"/>
      <c r="H921" s="253"/>
      <c r="I921" s="253"/>
      <c r="J921" s="253"/>
      <c r="K921" s="253"/>
      <c r="L921" s="253"/>
      <c r="M921" s="253"/>
      <c r="N921" s="253"/>
      <c r="O921" s="253"/>
      <c r="P921" s="253"/>
      <c r="Q921" s="253"/>
      <c r="R921" s="253"/>
    </row>
    <row r="922" ht="15.75" customHeight="1">
      <c r="A922" s="253"/>
      <c r="B922" s="253"/>
      <c r="C922" s="253"/>
      <c r="D922" s="262" t="s">
        <v>11939</v>
      </c>
      <c r="E922" s="253"/>
      <c r="F922" s="253"/>
      <c r="G922" s="253"/>
      <c r="H922" s="253"/>
      <c r="I922" s="253"/>
      <c r="J922" s="253"/>
      <c r="K922" s="253"/>
      <c r="L922" s="253"/>
      <c r="M922" s="253"/>
      <c r="N922" s="253"/>
      <c r="O922" s="253"/>
      <c r="P922" s="253"/>
      <c r="Q922" s="253"/>
      <c r="R922" s="253"/>
    </row>
    <row r="923" ht="15.75" customHeight="1">
      <c r="A923" s="253"/>
      <c r="B923" s="253"/>
      <c r="C923" s="253"/>
      <c r="D923" s="262" t="s">
        <v>4158</v>
      </c>
      <c r="E923" s="253"/>
      <c r="F923" s="253"/>
      <c r="G923" s="253"/>
      <c r="H923" s="253"/>
      <c r="I923" s="253"/>
      <c r="J923" s="253"/>
      <c r="K923" s="253"/>
      <c r="L923" s="253"/>
      <c r="M923" s="253"/>
      <c r="N923" s="253"/>
      <c r="O923" s="253"/>
      <c r="P923" s="253"/>
      <c r="Q923" s="253"/>
      <c r="R923" s="253"/>
    </row>
    <row r="924" ht="15.75" customHeight="1">
      <c r="A924" s="253"/>
      <c r="B924" s="253"/>
      <c r="C924" s="253"/>
      <c r="D924" s="262" t="s">
        <v>384</v>
      </c>
      <c r="E924" s="253"/>
      <c r="F924" s="253"/>
      <c r="G924" s="253"/>
      <c r="H924" s="253"/>
      <c r="I924" s="253"/>
      <c r="J924" s="253"/>
      <c r="K924" s="253"/>
      <c r="L924" s="253"/>
      <c r="M924" s="253"/>
      <c r="N924" s="253"/>
      <c r="O924" s="253"/>
      <c r="P924" s="253"/>
      <c r="Q924" s="253"/>
      <c r="R924" s="253"/>
    </row>
    <row r="925" ht="15.75" customHeight="1">
      <c r="A925" s="253"/>
      <c r="B925" s="253"/>
      <c r="C925" s="253"/>
      <c r="D925" s="262" t="s">
        <v>11940</v>
      </c>
      <c r="E925" s="253"/>
      <c r="F925" s="253"/>
      <c r="G925" s="253"/>
      <c r="H925" s="253"/>
      <c r="I925" s="253"/>
      <c r="J925" s="253"/>
      <c r="K925" s="253"/>
      <c r="L925" s="253"/>
      <c r="M925" s="253"/>
      <c r="N925" s="253"/>
      <c r="O925" s="253"/>
      <c r="P925" s="253"/>
      <c r="Q925" s="253"/>
      <c r="R925" s="253"/>
    </row>
    <row r="926" ht="15.75" customHeight="1">
      <c r="A926" s="253"/>
      <c r="B926" s="253"/>
      <c r="C926" s="253"/>
      <c r="D926" s="262" t="s">
        <v>3137</v>
      </c>
      <c r="E926" s="253"/>
      <c r="F926" s="253"/>
      <c r="G926" s="253"/>
      <c r="H926" s="253"/>
      <c r="I926" s="253"/>
      <c r="J926" s="253"/>
      <c r="K926" s="253"/>
      <c r="L926" s="253"/>
      <c r="M926" s="253"/>
      <c r="N926" s="253"/>
      <c r="O926" s="253"/>
      <c r="P926" s="253"/>
      <c r="Q926" s="253"/>
      <c r="R926" s="253"/>
    </row>
    <row r="927" ht="15.75" customHeight="1">
      <c r="A927" s="253"/>
      <c r="B927" s="253"/>
      <c r="C927" s="253"/>
      <c r="D927" s="262" t="s">
        <v>704</v>
      </c>
      <c r="E927" s="253"/>
      <c r="F927" s="253"/>
      <c r="G927" s="253"/>
      <c r="H927" s="253"/>
      <c r="I927" s="253"/>
      <c r="J927" s="253"/>
      <c r="K927" s="253"/>
      <c r="L927" s="253"/>
      <c r="M927" s="253"/>
      <c r="N927" s="253"/>
      <c r="O927" s="253"/>
      <c r="P927" s="253"/>
      <c r="Q927" s="253"/>
      <c r="R927" s="253"/>
    </row>
    <row r="928" ht="15.75" customHeight="1">
      <c r="A928" s="253"/>
      <c r="B928" s="253"/>
      <c r="C928" s="253"/>
      <c r="D928" s="262" t="s">
        <v>11941</v>
      </c>
      <c r="E928" s="253"/>
      <c r="F928" s="253"/>
      <c r="G928" s="253"/>
      <c r="H928" s="253"/>
      <c r="I928" s="253"/>
      <c r="J928" s="253"/>
      <c r="K928" s="253"/>
      <c r="L928" s="253"/>
      <c r="M928" s="253"/>
      <c r="N928" s="253"/>
      <c r="O928" s="253"/>
      <c r="P928" s="253"/>
      <c r="Q928" s="253"/>
      <c r="R928" s="253"/>
    </row>
    <row r="929" ht="15.75" customHeight="1">
      <c r="A929" s="253"/>
      <c r="B929" s="253"/>
      <c r="C929" s="253"/>
      <c r="D929" s="262" t="s">
        <v>11942</v>
      </c>
      <c r="E929" s="253"/>
      <c r="F929" s="253"/>
      <c r="G929" s="253"/>
      <c r="H929" s="253"/>
      <c r="I929" s="253"/>
      <c r="J929" s="253"/>
      <c r="K929" s="253"/>
      <c r="L929" s="253"/>
      <c r="M929" s="253"/>
      <c r="N929" s="253"/>
      <c r="O929" s="253"/>
      <c r="P929" s="253"/>
      <c r="Q929" s="253"/>
      <c r="R929" s="253"/>
    </row>
    <row r="930" ht="15.75" customHeight="1">
      <c r="A930" s="253"/>
      <c r="B930" s="253"/>
      <c r="C930" s="253"/>
      <c r="D930" s="262" t="s">
        <v>5486</v>
      </c>
      <c r="E930" s="253"/>
      <c r="F930" s="253"/>
      <c r="G930" s="253"/>
      <c r="H930" s="253"/>
      <c r="I930" s="253"/>
      <c r="J930" s="253"/>
      <c r="K930" s="253"/>
      <c r="L930" s="253"/>
      <c r="M930" s="253"/>
      <c r="N930" s="253"/>
      <c r="O930" s="253"/>
      <c r="P930" s="253"/>
      <c r="Q930" s="253"/>
      <c r="R930" s="253"/>
    </row>
    <row r="931" ht="15.75" customHeight="1">
      <c r="A931" s="253"/>
      <c r="B931" s="253"/>
      <c r="C931" s="253"/>
      <c r="D931" s="262" t="s">
        <v>7749</v>
      </c>
      <c r="E931" s="253"/>
      <c r="F931" s="253"/>
      <c r="G931" s="253"/>
      <c r="H931" s="253"/>
      <c r="I931" s="253"/>
      <c r="J931" s="253"/>
      <c r="K931" s="253"/>
      <c r="L931" s="253"/>
      <c r="M931" s="253"/>
      <c r="N931" s="253"/>
      <c r="O931" s="253"/>
      <c r="P931" s="253"/>
      <c r="Q931" s="253"/>
      <c r="R931" s="253"/>
    </row>
    <row r="932" ht="15.75" customHeight="1">
      <c r="A932" s="253"/>
      <c r="B932" s="253"/>
      <c r="C932" s="253"/>
      <c r="D932" s="262" t="s">
        <v>11943</v>
      </c>
      <c r="E932" s="253"/>
      <c r="F932" s="253"/>
      <c r="G932" s="253"/>
      <c r="H932" s="253"/>
      <c r="I932" s="253"/>
      <c r="J932" s="253"/>
      <c r="K932" s="253"/>
      <c r="L932" s="253"/>
      <c r="M932" s="253"/>
      <c r="N932" s="253"/>
      <c r="O932" s="253"/>
      <c r="P932" s="253"/>
      <c r="Q932" s="253"/>
      <c r="R932" s="253"/>
    </row>
    <row r="933" ht="15.75" customHeight="1">
      <c r="A933" s="253"/>
      <c r="B933" s="253"/>
      <c r="C933" s="253"/>
      <c r="D933" s="262" t="s">
        <v>11944</v>
      </c>
      <c r="E933" s="253"/>
      <c r="F933" s="253"/>
      <c r="G933" s="253"/>
      <c r="H933" s="253"/>
      <c r="I933" s="253"/>
      <c r="J933" s="253"/>
      <c r="K933" s="253"/>
      <c r="L933" s="253"/>
      <c r="M933" s="253"/>
      <c r="N933" s="253"/>
      <c r="O933" s="253"/>
      <c r="P933" s="253"/>
      <c r="Q933" s="253"/>
      <c r="R933" s="253"/>
    </row>
    <row r="934" ht="15.75" customHeight="1">
      <c r="A934" s="253"/>
      <c r="B934" s="253"/>
      <c r="C934" s="253"/>
      <c r="D934" s="262" t="s">
        <v>11945</v>
      </c>
      <c r="E934" s="253"/>
      <c r="F934" s="253"/>
      <c r="G934" s="253"/>
      <c r="H934" s="253"/>
      <c r="I934" s="253"/>
      <c r="J934" s="253"/>
      <c r="K934" s="253"/>
      <c r="L934" s="253"/>
      <c r="M934" s="253"/>
      <c r="N934" s="253"/>
      <c r="O934" s="253"/>
      <c r="P934" s="253"/>
      <c r="Q934" s="253"/>
      <c r="R934" s="253"/>
    </row>
    <row r="935" ht="15.75" customHeight="1">
      <c r="A935" s="253"/>
      <c r="B935" s="253"/>
      <c r="C935" s="253"/>
      <c r="D935" s="262" t="s">
        <v>11946</v>
      </c>
      <c r="E935" s="253"/>
      <c r="F935" s="253"/>
      <c r="G935" s="253"/>
      <c r="H935" s="253"/>
      <c r="I935" s="253"/>
      <c r="J935" s="253"/>
      <c r="K935" s="253"/>
      <c r="L935" s="253"/>
      <c r="M935" s="253"/>
      <c r="N935" s="253"/>
      <c r="O935" s="253"/>
      <c r="P935" s="253"/>
      <c r="Q935" s="253"/>
      <c r="R935" s="253"/>
    </row>
    <row r="936" ht="15.75" customHeight="1">
      <c r="A936" s="253"/>
      <c r="B936" s="253"/>
      <c r="C936" s="253"/>
      <c r="D936" s="262" t="s">
        <v>6980</v>
      </c>
      <c r="E936" s="253"/>
      <c r="F936" s="253"/>
      <c r="G936" s="253"/>
      <c r="H936" s="253"/>
      <c r="I936" s="253"/>
      <c r="J936" s="253"/>
      <c r="K936" s="253"/>
      <c r="L936" s="253"/>
      <c r="M936" s="253"/>
      <c r="N936" s="253"/>
      <c r="O936" s="253"/>
      <c r="P936" s="253"/>
      <c r="Q936" s="253"/>
      <c r="R936" s="253"/>
    </row>
    <row r="937" ht="15.75" customHeight="1">
      <c r="A937" s="253"/>
      <c r="B937" s="253"/>
      <c r="C937" s="253"/>
      <c r="D937" s="262" t="s">
        <v>11947</v>
      </c>
      <c r="E937" s="253"/>
      <c r="F937" s="253"/>
      <c r="G937" s="253"/>
      <c r="H937" s="253"/>
      <c r="I937" s="253"/>
      <c r="J937" s="253"/>
      <c r="K937" s="253"/>
      <c r="L937" s="253"/>
      <c r="M937" s="253"/>
      <c r="N937" s="253"/>
      <c r="O937" s="253"/>
      <c r="P937" s="253"/>
      <c r="Q937" s="253"/>
      <c r="R937" s="253"/>
    </row>
    <row r="938" ht="15.75" customHeight="1">
      <c r="A938" s="253"/>
      <c r="B938" s="253"/>
      <c r="C938" s="253"/>
      <c r="D938" s="262" t="s">
        <v>2005</v>
      </c>
      <c r="E938" s="253"/>
      <c r="F938" s="253"/>
      <c r="G938" s="253"/>
      <c r="H938" s="253"/>
      <c r="I938" s="253"/>
      <c r="J938" s="253"/>
      <c r="K938" s="253"/>
      <c r="L938" s="253"/>
      <c r="M938" s="253"/>
      <c r="N938" s="253"/>
      <c r="O938" s="253"/>
      <c r="P938" s="253"/>
      <c r="Q938" s="253"/>
      <c r="R938" s="253"/>
    </row>
    <row r="939" ht="15.75" customHeight="1">
      <c r="A939" s="253"/>
      <c r="B939" s="253"/>
      <c r="C939" s="253"/>
      <c r="D939" s="262" t="s">
        <v>5373</v>
      </c>
      <c r="E939" s="253"/>
      <c r="F939" s="253"/>
      <c r="G939" s="253"/>
      <c r="H939" s="253"/>
      <c r="I939" s="253"/>
      <c r="J939" s="253"/>
      <c r="K939" s="253"/>
      <c r="L939" s="253"/>
      <c r="M939" s="253"/>
      <c r="N939" s="253"/>
      <c r="O939" s="253"/>
      <c r="P939" s="253"/>
      <c r="Q939" s="253"/>
      <c r="R939" s="253"/>
    </row>
    <row r="940" ht="15.75" customHeight="1">
      <c r="A940" s="253"/>
      <c r="B940" s="253"/>
      <c r="C940" s="253"/>
      <c r="D940" s="262" t="s">
        <v>11948</v>
      </c>
      <c r="E940" s="253"/>
      <c r="F940" s="253"/>
      <c r="G940" s="253"/>
      <c r="H940" s="253"/>
      <c r="I940" s="253"/>
      <c r="J940" s="253"/>
      <c r="K940" s="253"/>
      <c r="L940" s="253"/>
      <c r="M940" s="253"/>
      <c r="N940" s="253"/>
      <c r="O940" s="253"/>
      <c r="P940" s="253"/>
      <c r="Q940" s="253"/>
      <c r="R940" s="253"/>
    </row>
    <row r="941" ht="15.75" customHeight="1">
      <c r="A941" s="253"/>
      <c r="B941" s="253"/>
      <c r="C941" s="253"/>
      <c r="D941" s="262" t="s">
        <v>11949</v>
      </c>
      <c r="E941" s="253"/>
      <c r="F941" s="253"/>
      <c r="G941" s="253"/>
      <c r="H941" s="253"/>
      <c r="I941" s="253"/>
      <c r="J941" s="253"/>
      <c r="K941" s="253"/>
      <c r="L941" s="253"/>
      <c r="M941" s="253"/>
      <c r="N941" s="253"/>
      <c r="O941" s="253"/>
      <c r="P941" s="253"/>
      <c r="Q941" s="253"/>
      <c r="R941" s="253"/>
    </row>
    <row r="942" ht="15.75" customHeight="1">
      <c r="A942" s="253"/>
      <c r="B942" s="253"/>
      <c r="C942" s="253"/>
      <c r="D942" s="262" t="s">
        <v>11950</v>
      </c>
      <c r="E942" s="253"/>
      <c r="F942" s="253"/>
      <c r="G942" s="253"/>
      <c r="H942" s="253"/>
      <c r="I942" s="253"/>
      <c r="J942" s="253"/>
      <c r="K942" s="253"/>
      <c r="L942" s="253"/>
      <c r="M942" s="253"/>
      <c r="N942" s="253"/>
      <c r="O942" s="253"/>
      <c r="P942" s="253"/>
      <c r="Q942" s="253"/>
      <c r="R942" s="253"/>
    </row>
    <row r="943" ht="15.75" customHeight="1">
      <c r="A943" s="253"/>
      <c r="B943" s="253"/>
      <c r="C943" s="253"/>
      <c r="D943" s="262" t="s">
        <v>11951</v>
      </c>
      <c r="E943" s="253"/>
      <c r="F943" s="253"/>
      <c r="G943" s="253"/>
      <c r="H943" s="253"/>
      <c r="I943" s="253"/>
      <c r="J943" s="253"/>
      <c r="K943" s="253"/>
      <c r="L943" s="253"/>
      <c r="M943" s="253"/>
      <c r="N943" s="253"/>
      <c r="O943" s="253"/>
      <c r="P943" s="253"/>
      <c r="Q943" s="253"/>
      <c r="R943" s="253"/>
    </row>
    <row r="944" ht="15.75" customHeight="1">
      <c r="A944" s="253"/>
      <c r="B944" s="253"/>
      <c r="C944" s="253"/>
      <c r="D944" s="262" t="s">
        <v>11952</v>
      </c>
      <c r="E944" s="253"/>
      <c r="F944" s="253"/>
      <c r="G944" s="253"/>
      <c r="H944" s="253"/>
      <c r="I944" s="253"/>
      <c r="J944" s="253"/>
      <c r="K944" s="253"/>
      <c r="L944" s="253"/>
      <c r="M944" s="253"/>
      <c r="N944" s="253"/>
      <c r="O944" s="253"/>
      <c r="P944" s="253"/>
      <c r="Q944" s="253"/>
      <c r="R944" s="253"/>
    </row>
    <row r="945" ht="15.75" customHeight="1">
      <c r="A945" s="253"/>
      <c r="B945" s="253"/>
      <c r="C945" s="253"/>
      <c r="D945" s="262" t="s">
        <v>11953</v>
      </c>
      <c r="E945" s="253"/>
      <c r="F945" s="253"/>
      <c r="G945" s="253"/>
      <c r="H945" s="253"/>
      <c r="I945" s="253"/>
      <c r="J945" s="253"/>
      <c r="K945" s="253"/>
      <c r="L945" s="253"/>
      <c r="M945" s="253"/>
      <c r="N945" s="253"/>
      <c r="O945" s="253"/>
      <c r="P945" s="253"/>
      <c r="Q945" s="253"/>
      <c r="R945" s="253"/>
    </row>
    <row r="946" ht="15.75" customHeight="1">
      <c r="A946" s="253"/>
      <c r="B946" s="253"/>
      <c r="C946" s="253"/>
      <c r="D946" s="262" t="s">
        <v>11954</v>
      </c>
      <c r="E946" s="253"/>
      <c r="F946" s="253"/>
      <c r="G946" s="253"/>
      <c r="H946" s="253"/>
      <c r="I946" s="253"/>
      <c r="J946" s="253"/>
      <c r="K946" s="253"/>
      <c r="L946" s="253"/>
      <c r="M946" s="253"/>
      <c r="N946" s="253"/>
      <c r="O946" s="253"/>
      <c r="P946" s="253"/>
      <c r="Q946" s="253"/>
      <c r="R946" s="253"/>
    </row>
    <row r="947" ht="15.75" customHeight="1">
      <c r="A947" s="253"/>
      <c r="B947" s="253"/>
      <c r="C947" s="253"/>
      <c r="D947" s="262" t="s">
        <v>4207</v>
      </c>
      <c r="E947" s="253"/>
      <c r="F947" s="253"/>
      <c r="G947" s="253"/>
      <c r="H947" s="253"/>
      <c r="I947" s="253"/>
      <c r="J947" s="253"/>
      <c r="K947" s="253"/>
      <c r="L947" s="253"/>
      <c r="M947" s="253"/>
      <c r="N947" s="253"/>
      <c r="O947" s="253"/>
      <c r="P947" s="253"/>
      <c r="Q947" s="253"/>
      <c r="R947" s="253"/>
    </row>
    <row r="948" ht="15.75" customHeight="1">
      <c r="A948" s="253"/>
      <c r="B948" s="253"/>
      <c r="C948" s="253"/>
      <c r="D948" s="262" t="s">
        <v>2901</v>
      </c>
      <c r="E948" s="253"/>
      <c r="F948" s="253"/>
      <c r="G948" s="253"/>
      <c r="H948" s="253"/>
      <c r="I948" s="253"/>
      <c r="J948" s="253"/>
      <c r="K948" s="253"/>
      <c r="L948" s="253"/>
      <c r="M948" s="253"/>
      <c r="N948" s="253"/>
      <c r="O948" s="253"/>
      <c r="P948" s="253"/>
      <c r="Q948" s="253"/>
      <c r="R948" s="253"/>
    </row>
    <row r="949" ht="15.75" customHeight="1">
      <c r="A949" s="253"/>
      <c r="B949" s="253"/>
      <c r="C949" s="253"/>
      <c r="D949" s="262" t="s">
        <v>11955</v>
      </c>
      <c r="E949" s="253"/>
      <c r="F949" s="253"/>
      <c r="G949" s="253"/>
      <c r="H949" s="253"/>
      <c r="I949" s="253"/>
      <c r="J949" s="253"/>
      <c r="K949" s="253"/>
      <c r="L949" s="253"/>
      <c r="M949" s="253"/>
      <c r="N949" s="253"/>
      <c r="O949" s="253"/>
      <c r="P949" s="253"/>
      <c r="Q949" s="253"/>
      <c r="R949" s="253"/>
    </row>
    <row r="950" ht="15.75" customHeight="1">
      <c r="A950" s="253"/>
      <c r="B950" s="253"/>
      <c r="C950" s="253"/>
      <c r="D950" s="262" t="s">
        <v>11956</v>
      </c>
      <c r="E950" s="253"/>
      <c r="F950" s="253"/>
      <c r="G950" s="253"/>
      <c r="H950" s="253"/>
      <c r="I950" s="253"/>
      <c r="J950" s="253"/>
      <c r="K950" s="253"/>
      <c r="L950" s="253"/>
      <c r="M950" s="253"/>
      <c r="N950" s="253"/>
      <c r="O950" s="253"/>
      <c r="P950" s="253"/>
      <c r="Q950" s="253"/>
      <c r="R950" s="253"/>
    </row>
    <row r="951" ht="15.75" customHeight="1">
      <c r="A951" s="253"/>
      <c r="B951" s="253"/>
      <c r="C951" s="253"/>
      <c r="D951" s="262" t="s">
        <v>11957</v>
      </c>
      <c r="E951" s="253"/>
      <c r="F951" s="253"/>
      <c r="G951" s="253"/>
      <c r="H951" s="253"/>
      <c r="I951" s="253"/>
      <c r="J951" s="253"/>
      <c r="K951" s="253"/>
      <c r="L951" s="253"/>
      <c r="M951" s="253"/>
      <c r="N951" s="253"/>
      <c r="O951" s="253"/>
      <c r="P951" s="253"/>
      <c r="Q951" s="253"/>
      <c r="R951" s="253"/>
    </row>
    <row r="952" ht="15.75" customHeight="1">
      <c r="A952" s="253"/>
      <c r="B952" s="253"/>
      <c r="C952" s="253"/>
      <c r="D952" s="262" t="s">
        <v>1860</v>
      </c>
      <c r="E952" s="253"/>
      <c r="F952" s="253"/>
      <c r="G952" s="253"/>
      <c r="H952" s="253"/>
      <c r="I952" s="253"/>
      <c r="J952" s="253"/>
      <c r="K952" s="253"/>
      <c r="L952" s="253"/>
      <c r="M952" s="253"/>
      <c r="N952" s="253"/>
      <c r="O952" s="253"/>
      <c r="P952" s="253"/>
      <c r="Q952" s="253"/>
      <c r="R952" s="253"/>
    </row>
    <row r="953" ht="15.75" customHeight="1">
      <c r="A953" s="253"/>
      <c r="B953" s="253"/>
      <c r="C953" s="253"/>
      <c r="D953" s="262" t="s">
        <v>7995</v>
      </c>
      <c r="E953" s="253"/>
      <c r="F953" s="253"/>
      <c r="G953" s="253"/>
      <c r="H953" s="253"/>
      <c r="I953" s="253"/>
      <c r="J953" s="253"/>
      <c r="K953" s="253"/>
      <c r="L953" s="253"/>
      <c r="M953" s="253"/>
      <c r="N953" s="253"/>
      <c r="O953" s="253"/>
      <c r="P953" s="253"/>
      <c r="Q953" s="253"/>
      <c r="R953" s="253"/>
    </row>
    <row r="954" ht="15.75" customHeight="1">
      <c r="A954" s="253"/>
      <c r="B954" s="253"/>
      <c r="C954" s="253"/>
      <c r="D954" s="262" t="s">
        <v>2012</v>
      </c>
      <c r="E954" s="253"/>
      <c r="F954" s="253"/>
      <c r="G954" s="253"/>
      <c r="H954" s="253"/>
      <c r="I954" s="253"/>
      <c r="J954" s="253"/>
      <c r="K954" s="253"/>
      <c r="L954" s="253"/>
      <c r="M954" s="253"/>
      <c r="N954" s="253"/>
      <c r="O954" s="253"/>
      <c r="P954" s="253"/>
      <c r="Q954" s="253"/>
      <c r="R954" s="253"/>
    </row>
    <row r="955" ht="15.75" customHeight="1">
      <c r="A955" s="253"/>
      <c r="B955" s="253"/>
      <c r="C955" s="253"/>
      <c r="D955" s="262" t="s">
        <v>5613</v>
      </c>
      <c r="E955" s="253"/>
      <c r="F955" s="253"/>
      <c r="G955" s="253"/>
      <c r="H955" s="253"/>
      <c r="I955" s="253"/>
      <c r="J955" s="253"/>
      <c r="K955" s="253"/>
      <c r="L955" s="253"/>
      <c r="M955" s="253"/>
      <c r="N955" s="253"/>
      <c r="O955" s="253"/>
      <c r="P955" s="253"/>
      <c r="Q955" s="253"/>
      <c r="R955" s="253"/>
    </row>
    <row r="956" ht="15.75" customHeight="1">
      <c r="A956" s="253"/>
      <c r="B956" s="253"/>
      <c r="C956" s="253"/>
      <c r="D956" s="262" t="s">
        <v>6296</v>
      </c>
      <c r="E956" s="253"/>
      <c r="F956" s="253"/>
      <c r="G956" s="253"/>
      <c r="H956" s="253"/>
      <c r="I956" s="253"/>
      <c r="J956" s="253"/>
      <c r="K956" s="253"/>
      <c r="L956" s="253"/>
      <c r="M956" s="253"/>
      <c r="N956" s="253"/>
      <c r="O956" s="253"/>
      <c r="P956" s="253"/>
      <c r="Q956" s="253"/>
      <c r="R956" s="253"/>
    </row>
    <row r="957" ht="15.75" customHeight="1">
      <c r="A957" s="253"/>
      <c r="B957" s="253"/>
      <c r="C957" s="253"/>
      <c r="D957" s="262" t="s">
        <v>11958</v>
      </c>
      <c r="E957" s="253"/>
      <c r="F957" s="253"/>
      <c r="G957" s="253"/>
      <c r="H957" s="253"/>
      <c r="I957" s="253"/>
      <c r="J957" s="253"/>
      <c r="K957" s="253"/>
      <c r="L957" s="253"/>
      <c r="M957" s="253"/>
      <c r="N957" s="253"/>
      <c r="O957" s="253"/>
      <c r="P957" s="253"/>
      <c r="Q957" s="253"/>
      <c r="R957" s="253"/>
    </row>
    <row r="958" ht="15.75" customHeight="1">
      <c r="A958" s="253"/>
      <c r="B958" s="253"/>
      <c r="C958" s="253"/>
      <c r="D958" s="262" t="s">
        <v>11959</v>
      </c>
      <c r="E958" s="253"/>
      <c r="F958" s="253"/>
      <c r="G958" s="253"/>
      <c r="H958" s="253"/>
      <c r="I958" s="253"/>
      <c r="J958" s="253"/>
      <c r="K958" s="253"/>
      <c r="L958" s="253"/>
      <c r="M958" s="253"/>
      <c r="N958" s="253"/>
      <c r="O958" s="253"/>
      <c r="P958" s="253"/>
      <c r="Q958" s="253"/>
      <c r="R958" s="253"/>
    </row>
    <row r="959" ht="15.75" customHeight="1">
      <c r="A959" s="253"/>
      <c r="B959" s="253"/>
      <c r="C959" s="253"/>
      <c r="D959" s="262" t="s">
        <v>2359</v>
      </c>
      <c r="E959" s="253"/>
      <c r="F959" s="253"/>
      <c r="G959" s="253"/>
      <c r="H959" s="253"/>
      <c r="I959" s="253"/>
      <c r="J959" s="253"/>
      <c r="K959" s="253"/>
      <c r="L959" s="253"/>
      <c r="M959" s="253"/>
      <c r="N959" s="253"/>
      <c r="O959" s="253"/>
      <c r="P959" s="253"/>
      <c r="Q959" s="253"/>
      <c r="R959" s="253"/>
    </row>
    <row r="960" ht="15.75" customHeight="1">
      <c r="A960" s="253"/>
      <c r="B960" s="253"/>
      <c r="C960" s="253"/>
      <c r="D960" s="262" t="s">
        <v>9494</v>
      </c>
      <c r="E960" s="253"/>
      <c r="F960" s="253"/>
      <c r="G960" s="253"/>
      <c r="H960" s="253"/>
      <c r="I960" s="253"/>
      <c r="J960" s="253"/>
      <c r="K960" s="253"/>
      <c r="L960" s="253"/>
      <c r="M960" s="253"/>
      <c r="N960" s="253"/>
      <c r="O960" s="253"/>
      <c r="P960" s="253"/>
      <c r="Q960" s="253"/>
      <c r="R960" s="253"/>
    </row>
    <row r="961" ht="15.75" customHeight="1">
      <c r="A961" s="253"/>
      <c r="B961" s="253"/>
      <c r="C961" s="253"/>
      <c r="D961" s="262" t="s">
        <v>11960</v>
      </c>
      <c r="E961" s="253"/>
      <c r="F961" s="253"/>
      <c r="G961" s="253"/>
      <c r="H961" s="253"/>
      <c r="I961" s="253"/>
      <c r="J961" s="253"/>
      <c r="K961" s="253"/>
      <c r="L961" s="253"/>
      <c r="M961" s="253"/>
      <c r="N961" s="253"/>
      <c r="O961" s="253"/>
      <c r="P961" s="253"/>
      <c r="Q961" s="253"/>
      <c r="R961" s="253"/>
    </row>
    <row r="962" ht="15.75" customHeight="1">
      <c r="A962" s="253"/>
      <c r="B962" s="253"/>
      <c r="C962" s="253"/>
      <c r="D962" s="262" t="s">
        <v>11961</v>
      </c>
      <c r="E962" s="253"/>
      <c r="F962" s="253"/>
      <c r="G962" s="253"/>
      <c r="H962" s="253"/>
      <c r="I962" s="253"/>
      <c r="J962" s="253"/>
      <c r="K962" s="253"/>
      <c r="L962" s="253"/>
      <c r="M962" s="253"/>
      <c r="N962" s="253"/>
      <c r="O962" s="253"/>
      <c r="P962" s="253"/>
      <c r="Q962" s="253"/>
      <c r="R962" s="253"/>
    </row>
    <row r="963" ht="15.75" customHeight="1">
      <c r="A963" s="253"/>
      <c r="B963" s="253"/>
      <c r="C963" s="253"/>
      <c r="D963" s="262" t="s">
        <v>11962</v>
      </c>
      <c r="E963" s="253"/>
      <c r="F963" s="253"/>
      <c r="G963" s="253"/>
      <c r="H963" s="253"/>
      <c r="I963" s="253"/>
      <c r="J963" s="253"/>
      <c r="K963" s="253"/>
      <c r="L963" s="253"/>
      <c r="M963" s="253"/>
      <c r="N963" s="253"/>
      <c r="O963" s="253"/>
      <c r="P963" s="253"/>
      <c r="Q963" s="253"/>
      <c r="R963" s="253"/>
    </row>
    <row r="964" ht="15.75" customHeight="1">
      <c r="A964" s="253"/>
      <c r="B964" s="253"/>
      <c r="C964" s="253"/>
      <c r="D964" s="262" t="s">
        <v>6033</v>
      </c>
      <c r="E964" s="253"/>
      <c r="F964" s="253"/>
      <c r="G964" s="253"/>
      <c r="H964" s="253"/>
      <c r="I964" s="253"/>
      <c r="J964" s="253"/>
      <c r="K964" s="253"/>
      <c r="L964" s="253"/>
      <c r="M964" s="253"/>
      <c r="N964" s="253"/>
      <c r="O964" s="253"/>
      <c r="P964" s="253"/>
      <c r="Q964" s="253"/>
      <c r="R964" s="253"/>
    </row>
    <row r="965" ht="15.75" customHeight="1">
      <c r="A965" s="253"/>
      <c r="B965" s="253"/>
      <c r="C965" s="253"/>
      <c r="D965" s="262" t="s">
        <v>11963</v>
      </c>
      <c r="E965" s="253"/>
      <c r="F965" s="253"/>
      <c r="G965" s="253"/>
      <c r="H965" s="253"/>
      <c r="I965" s="253"/>
      <c r="J965" s="253"/>
      <c r="K965" s="253"/>
      <c r="L965" s="253"/>
      <c r="M965" s="253"/>
      <c r="N965" s="253"/>
      <c r="O965" s="253"/>
      <c r="P965" s="253"/>
      <c r="Q965" s="253"/>
      <c r="R965" s="253"/>
    </row>
    <row r="966" ht="15.75" customHeight="1">
      <c r="A966" s="253"/>
      <c r="B966" s="253"/>
      <c r="C966" s="253"/>
      <c r="D966" s="262" t="s">
        <v>11964</v>
      </c>
      <c r="E966" s="253"/>
      <c r="F966" s="253"/>
      <c r="G966" s="253"/>
      <c r="H966" s="253"/>
      <c r="I966" s="253"/>
      <c r="J966" s="253"/>
      <c r="K966" s="253"/>
      <c r="L966" s="253"/>
      <c r="M966" s="253"/>
      <c r="N966" s="253"/>
      <c r="O966" s="253"/>
      <c r="P966" s="253"/>
      <c r="Q966" s="253"/>
      <c r="R966" s="253"/>
    </row>
    <row r="967" ht="15.75" customHeight="1">
      <c r="A967" s="253"/>
      <c r="B967" s="253"/>
      <c r="C967" s="253"/>
      <c r="D967" s="262" t="s">
        <v>11965</v>
      </c>
      <c r="E967" s="253"/>
      <c r="F967" s="253"/>
      <c r="G967" s="253"/>
      <c r="H967" s="253"/>
      <c r="I967" s="253"/>
      <c r="J967" s="253"/>
      <c r="K967" s="253"/>
      <c r="L967" s="253"/>
      <c r="M967" s="253"/>
      <c r="N967" s="253"/>
      <c r="O967" s="253"/>
      <c r="P967" s="253"/>
      <c r="Q967" s="253"/>
      <c r="R967" s="253"/>
    </row>
    <row r="968" ht="15.75" customHeight="1">
      <c r="A968" s="253"/>
      <c r="B968" s="253"/>
      <c r="C968" s="253"/>
      <c r="D968" s="262" t="s">
        <v>11966</v>
      </c>
      <c r="E968" s="253"/>
      <c r="F968" s="253"/>
      <c r="G968" s="253"/>
      <c r="H968" s="253"/>
      <c r="I968" s="253"/>
      <c r="J968" s="253"/>
      <c r="K968" s="253"/>
      <c r="L968" s="253"/>
      <c r="M968" s="253"/>
      <c r="N968" s="253"/>
      <c r="O968" s="253"/>
      <c r="P968" s="253"/>
      <c r="Q968" s="253"/>
      <c r="R968" s="253"/>
    </row>
    <row r="969" ht="15.75" customHeight="1">
      <c r="A969" s="253"/>
      <c r="B969" s="253"/>
      <c r="C969" s="253"/>
      <c r="D969" s="262" t="s">
        <v>11967</v>
      </c>
      <c r="E969" s="253"/>
      <c r="F969" s="253"/>
      <c r="G969" s="253"/>
      <c r="H969" s="253"/>
      <c r="I969" s="253"/>
      <c r="J969" s="253"/>
      <c r="K969" s="253"/>
      <c r="L969" s="253"/>
      <c r="M969" s="253"/>
      <c r="N969" s="253"/>
      <c r="O969" s="253"/>
      <c r="P969" s="253"/>
      <c r="Q969" s="253"/>
      <c r="R969" s="253"/>
    </row>
    <row r="970" ht="15.75" customHeight="1">
      <c r="A970" s="253"/>
      <c r="B970" s="253"/>
      <c r="C970" s="253"/>
      <c r="D970" s="262" t="s">
        <v>5784</v>
      </c>
      <c r="E970" s="253"/>
      <c r="F970" s="253"/>
      <c r="G970" s="253"/>
      <c r="H970" s="253"/>
      <c r="I970" s="253"/>
      <c r="J970" s="253"/>
      <c r="K970" s="253"/>
      <c r="L970" s="253"/>
      <c r="M970" s="253"/>
      <c r="N970" s="253"/>
      <c r="O970" s="253"/>
      <c r="P970" s="253"/>
      <c r="Q970" s="253"/>
      <c r="R970" s="253"/>
    </row>
    <row r="971" ht="15.75" customHeight="1">
      <c r="A971" s="253"/>
      <c r="B971" s="253"/>
      <c r="C971" s="253"/>
      <c r="D971" s="262" t="s">
        <v>11968</v>
      </c>
      <c r="E971" s="253"/>
      <c r="F971" s="253"/>
      <c r="G971" s="253"/>
      <c r="H971" s="253"/>
      <c r="I971" s="253"/>
      <c r="J971" s="253"/>
      <c r="K971" s="253"/>
      <c r="L971" s="253"/>
      <c r="M971" s="253"/>
      <c r="N971" s="253"/>
      <c r="O971" s="253"/>
      <c r="P971" s="253"/>
      <c r="Q971" s="253"/>
      <c r="R971" s="253"/>
    </row>
    <row r="972" ht="15.75" customHeight="1">
      <c r="A972" s="253"/>
      <c r="B972" s="253"/>
      <c r="C972" s="253"/>
      <c r="D972" s="262" t="s">
        <v>3477</v>
      </c>
      <c r="E972" s="253"/>
      <c r="F972" s="253"/>
      <c r="G972" s="253"/>
      <c r="H972" s="253"/>
      <c r="I972" s="253"/>
      <c r="J972" s="253"/>
      <c r="K972" s="253"/>
      <c r="L972" s="253"/>
      <c r="M972" s="253"/>
      <c r="N972" s="253"/>
      <c r="O972" s="253"/>
      <c r="P972" s="253"/>
      <c r="Q972" s="253"/>
      <c r="R972" s="253"/>
    </row>
    <row r="973" ht="15.75" customHeight="1">
      <c r="A973" s="253"/>
      <c r="B973" s="253"/>
      <c r="C973" s="253"/>
      <c r="D973" s="262" t="s">
        <v>11969</v>
      </c>
      <c r="E973" s="253"/>
      <c r="F973" s="253"/>
      <c r="G973" s="253"/>
      <c r="H973" s="253"/>
      <c r="I973" s="253"/>
      <c r="J973" s="253"/>
      <c r="K973" s="253"/>
      <c r="L973" s="253"/>
      <c r="M973" s="253"/>
      <c r="N973" s="253"/>
      <c r="O973" s="253"/>
      <c r="P973" s="253"/>
      <c r="Q973" s="253"/>
      <c r="R973" s="253"/>
    </row>
    <row r="974" ht="15.75" customHeight="1">
      <c r="A974" s="253"/>
      <c r="B974" s="253"/>
      <c r="C974" s="253"/>
      <c r="D974" s="262" t="s">
        <v>11970</v>
      </c>
      <c r="E974" s="253"/>
      <c r="F974" s="253"/>
      <c r="G974" s="253"/>
      <c r="H974" s="253"/>
      <c r="I974" s="253"/>
      <c r="J974" s="253"/>
      <c r="K974" s="253"/>
      <c r="L974" s="253"/>
      <c r="M974" s="253"/>
      <c r="N974" s="253"/>
      <c r="O974" s="253"/>
      <c r="P974" s="253"/>
      <c r="Q974" s="253"/>
      <c r="R974" s="253"/>
    </row>
    <row r="975" ht="15.75" customHeight="1">
      <c r="A975" s="253"/>
      <c r="B975" s="253"/>
      <c r="C975" s="253"/>
      <c r="D975" s="262" t="s">
        <v>11971</v>
      </c>
      <c r="E975" s="253"/>
      <c r="F975" s="253"/>
      <c r="G975" s="253"/>
      <c r="H975" s="253"/>
      <c r="I975" s="253"/>
      <c r="J975" s="253"/>
      <c r="K975" s="253"/>
      <c r="L975" s="253"/>
      <c r="M975" s="253"/>
      <c r="N975" s="253"/>
      <c r="O975" s="253"/>
      <c r="P975" s="253"/>
      <c r="Q975" s="253"/>
      <c r="R975" s="253"/>
    </row>
    <row r="976" ht="15.75" customHeight="1">
      <c r="A976" s="253"/>
      <c r="B976" s="253"/>
      <c r="C976" s="253"/>
      <c r="D976" s="262" t="s">
        <v>11972</v>
      </c>
      <c r="E976" s="253"/>
      <c r="F976" s="253"/>
      <c r="G976" s="253"/>
      <c r="H976" s="253"/>
      <c r="I976" s="253"/>
      <c r="J976" s="253"/>
      <c r="K976" s="253"/>
      <c r="L976" s="253"/>
      <c r="M976" s="253"/>
      <c r="N976" s="253"/>
      <c r="O976" s="253"/>
      <c r="P976" s="253"/>
      <c r="Q976" s="253"/>
      <c r="R976" s="253"/>
    </row>
    <row r="977" ht="15.75" customHeight="1">
      <c r="A977" s="253"/>
      <c r="B977" s="253"/>
      <c r="C977" s="253"/>
      <c r="D977" s="262" t="s">
        <v>11973</v>
      </c>
      <c r="E977" s="253"/>
      <c r="F977" s="253"/>
      <c r="G977" s="253"/>
      <c r="H977" s="253"/>
      <c r="I977" s="253"/>
      <c r="J977" s="253"/>
      <c r="K977" s="253"/>
      <c r="L977" s="253"/>
      <c r="M977" s="253"/>
      <c r="N977" s="253"/>
      <c r="O977" s="253"/>
      <c r="P977" s="253"/>
      <c r="Q977" s="253"/>
      <c r="R977" s="253"/>
    </row>
    <row r="978" ht="15.75" customHeight="1">
      <c r="A978" s="253"/>
      <c r="B978" s="253"/>
      <c r="C978" s="253"/>
      <c r="D978" s="262" t="s">
        <v>11974</v>
      </c>
      <c r="E978" s="253"/>
      <c r="F978" s="253"/>
      <c r="G978" s="253"/>
      <c r="H978" s="253"/>
      <c r="I978" s="253"/>
      <c r="J978" s="253"/>
      <c r="K978" s="253"/>
      <c r="L978" s="253"/>
      <c r="M978" s="253"/>
      <c r="N978" s="253"/>
      <c r="O978" s="253"/>
      <c r="P978" s="253"/>
      <c r="Q978" s="253"/>
      <c r="R978" s="253"/>
    </row>
    <row r="979" ht="15.75" customHeight="1">
      <c r="A979" s="253"/>
      <c r="B979" s="253"/>
      <c r="C979" s="253"/>
      <c r="D979" s="262" t="s">
        <v>1768</v>
      </c>
      <c r="E979" s="253"/>
      <c r="F979" s="253"/>
      <c r="G979" s="253"/>
      <c r="H979" s="253"/>
      <c r="I979" s="253"/>
      <c r="J979" s="253"/>
      <c r="K979" s="253"/>
      <c r="L979" s="253"/>
      <c r="M979" s="253"/>
      <c r="N979" s="253"/>
      <c r="O979" s="253"/>
      <c r="P979" s="253"/>
      <c r="Q979" s="253"/>
      <c r="R979" s="253"/>
    </row>
    <row r="980" ht="15.75" customHeight="1">
      <c r="A980" s="253"/>
      <c r="B980" s="253"/>
      <c r="C980" s="253"/>
      <c r="D980" s="262" t="s">
        <v>11975</v>
      </c>
      <c r="E980" s="253"/>
      <c r="F980" s="253"/>
      <c r="G980" s="253"/>
      <c r="H980" s="253"/>
      <c r="I980" s="253"/>
      <c r="J980" s="253"/>
      <c r="K980" s="253"/>
      <c r="L980" s="253"/>
      <c r="M980" s="253"/>
      <c r="N980" s="253"/>
      <c r="O980" s="253"/>
      <c r="P980" s="253"/>
      <c r="Q980" s="253"/>
      <c r="R980" s="253"/>
    </row>
    <row r="981" ht="15.75" customHeight="1">
      <c r="A981" s="253"/>
      <c r="B981" s="253"/>
      <c r="C981" s="253"/>
      <c r="D981" s="262" t="s">
        <v>11976</v>
      </c>
      <c r="E981" s="253"/>
      <c r="F981" s="253"/>
      <c r="G981" s="253"/>
      <c r="H981" s="253"/>
      <c r="I981" s="253"/>
      <c r="J981" s="253"/>
      <c r="K981" s="253"/>
      <c r="L981" s="253"/>
      <c r="M981" s="253"/>
      <c r="N981" s="253"/>
      <c r="O981" s="253"/>
      <c r="P981" s="253"/>
      <c r="Q981" s="253"/>
      <c r="R981" s="253"/>
    </row>
    <row r="982" ht="15.75" customHeight="1">
      <c r="A982" s="253"/>
      <c r="B982" s="253"/>
      <c r="C982" s="253"/>
      <c r="D982" s="262" t="s">
        <v>8073</v>
      </c>
      <c r="E982" s="253"/>
      <c r="F982" s="253"/>
      <c r="G982" s="253"/>
      <c r="H982" s="253"/>
      <c r="I982" s="253"/>
      <c r="J982" s="253"/>
      <c r="K982" s="253"/>
      <c r="L982" s="253"/>
      <c r="M982" s="253"/>
      <c r="N982" s="253"/>
      <c r="O982" s="253"/>
      <c r="P982" s="253"/>
      <c r="Q982" s="253"/>
      <c r="R982" s="253"/>
    </row>
    <row r="983" ht="15.75" customHeight="1">
      <c r="A983" s="253"/>
      <c r="B983" s="253"/>
      <c r="C983" s="253"/>
      <c r="D983" s="262" t="s">
        <v>11977</v>
      </c>
      <c r="E983" s="253"/>
      <c r="F983" s="253"/>
      <c r="G983" s="253"/>
      <c r="H983" s="253"/>
      <c r="I983" s="253"/>
      <c r="J983" s="253"/>
      <c r="K983" s="253"/>
      <c r="L983" s="253"/>
      <c r="M983" s="253"/>
      <c r="N983" s="253"/>
      <c r="O983" s="253"/>
      <c r="P983" s="253"/>
      <c r="Q983" s="253"/>
      <c r="R983" s="253"/>
    </row>
    <row r="984" ht="15.75" customHeight="1">
      <c r="A984" s="253"/>
      <c r="B984" s="253"/>
      <c r="C984" s="253"/>
      <c r="D984" s="262" t="s">
        <v>9205</v>
      </c>
      <c r="E984" s="253"/>
      <c r="F984" s="253"/>
      <c r="G984" s="253"/>
      <c r="H984" s="253"/>
      <c r="I984" s="253"/>
      <c r="J984" s="253"/>
      <c r="K984" s="253"/>
      <c r="L984" s="253"/>
      <c r="M984" s="253"/>
      <c r="N984" s="253"/>
      <c r="O984" s="253"/>
      <c r="P984" s="253"/>
      <c r="Q984" s="253"/>
      <c r="R984" s="253"/>
    </row>
    <row r="985" ht="15.75" customHeight="1">
      <c r="A985" s="253"/>
      <c r="B985" s="253"/>
      <c r="C985" s="253"/>
      <c r="D985" s="262" t="s">
        <v>11978</v>
      </c>
      <c r="E985" s="253"/>
      <c r="F985" s="253"/>
      <c r="G985" s="253"/>
      <c r="H985" s="253"/>
      <c r="I985" s="253"/>
      <c r="J985" s="253"/>
      <c r="K985" s="253"/>
      <c r="L985" s="253"/>
      <c r="M985" s="253"/>
      <c r="N985" s="253"/>
      <c r="O985" s="253"/>
      <c r="P985" s="253"/>
      <c r="Q985" s="253"/>
      <c r="R985" s="253"/>
    </row>
    <row r="986" ht="15.75" customHeight="1">
      <c r="A986" s="253"/>
      <c r="B986" s="253"/>
      <c r="C986" s="253"/>
      <c r="D986" s="262" t="s">
        <v>11979</v>
      </c>
      <c r="E986" s="253"/>
      <c r="F986" s="253"/>
      <c r="G986" s="253"/>
      <c r="H986" s="253"/>
      <c r="I986" s="253"/>
      <c r="J986" s="253"/>
      <c r="K986" s="253"/>
      <c r="L986" s="253"/>
      <c r="M986" s="253"/>
      <c r="N986" s="253"/>
      <c r="O986" s="253"/>
      <c r="P986" s="253"/>
      <c r="Q986" s="253"/>
      <c r="R986" s="253"/>
    </row>
    <row r="987" ht="15.75" customHeight="1">
      <c r="A987" s="253"/>
      <c r="B987" s="253"/>
      <c r="C987" s="253"/>
      <c r="D987" s="262" t="s">
        <v>11980</v>
      </c>
      <c r="E987" s="253"/>
      <c r="F987" s="253"/>
      <c r="G987" s="253"/>
      <c r="H987" s="253"/>
      <c r="I987" s="253"/>
      <c r="J987" s="253"/>
      <c r="K987" s="253"/>
      <c r="L987" s="253"/>
      <c r="M987" s="253"/>
      <c r="N987" s="253"/>
      <c r="O987" s="253"/>
      <c r="P987" s="253"/>
      <c r="Q987" s="253"/>
      <c r="R987" s="253"/>
    </row>
    <row r="988" ht="15.75" customHeight="1">
      <c r="A988" s="253"/>
      <c r="B988" s="253"/>
      <c r="C988" s="253"/>
      <c r="D988" s="262" t="s">
        <v>11981</v>
      </c>
      <c r="E988" s="253"/>
      <c r="F988" s="253"/>
      <c r="G988" s="253"/>
      <c r="H988" s="253"/>
      <c r="I988" s="253"/>
      <c r="J988" s="253"/>
      <c r="K988" s="253"/>
      <c r="L988" s="253"/>
      <c r="M988" s="253"/>
      <c r="N988" s="253"/>
      <c r="O988" s="253"/>
      <c r="P988" s="253"/>
      <c r="Q988" s="253"/>
      <c r="R988" s="253"/>
    </row>
    <row r="989" ht="15.75" customHeight="1">
      <c r="A989" s="253"/>
      <c r="B989" s="253"/>
      <c r="C989" s="253"/>
      <c r="D989" s="262" t="s">
        <v>11982</v>
      </c>
      <c r="E989" s="253"/>
      <c r="F989" s="253"/>
      <c r="G989" s="253"/>
      <c r="H989" s="253"/>
      <c r="I989" s="253"/>
      <c r="J989" s="253"/>
      <c r="K989" s="253"/>
      <c r="L989" s="253"/>
      <c r="M989" s="253"/>
      <c r="N989" s="253"/>
      <c r="O989" s="253"/>
      <c r="P989" s="253"/>
      <c r="Q989" s="253"/>
      <c r="R989" s="253"/>
    </row>
    <row r="990" ht="15.75" customHeight="1">
      <c r="A990" s="253"/>
      <c r="B990" s="253"/>
      <c r="C990" s="253"/>
      <c r="D990" s="262" t="s">
        <v>4418</v>
      </c>
      <c r="E990" s="253"/>
      <c r="F990" s="253"/>
      <c r="G990" s="253"/>
      <c r="H990" s="253"/>
      <c r="I990" s="253"/>
      <c r="J990" s="253"/>
      <c r="K990" s="253"/>
      <c r="L990" s="253"/>
      <c r="M990" s="253"/>
      <c r="N990" s="253"/>
      <c r="O990" s="253"/>
      <c r="P990" s="253"/>
      <c r="Q990" s="253"/>
      <c r="R990" s="253"/>
    </row>
    <row r="991" ht="15.75" customHeight="1">
      <c r="A991" s="253"/>
      <c r="B991" s="253"/>
      <c r="C991" s="253"/>
      <c r="D991" s="262" t="s">
        <v>11983</v>
      </c>
      <c r="E991" s="253"/>
      <c r="F991" s="253"/>
      <c r="G991" s="253"/>
      <c r="H991" s="253"/>
      <c r="I991" s="253"/>
      <c r="J991" s="253"/>
      <c r="K991" s="253"/>
      <c r="L991" s="253"/>
      <c r="M991" s="253"/>
      <c r="N991" s="253"/>
      <c r="O991" s="253"/>
      <c r="P991" s="253"/>
      <c r="Q991" s="253"/>
      <c r="R991" s="253"/>
    </row>
    <row r="992" ht="15.75" customHeight="1">
      <c r="A992" s="253"/>
      <c r="B992" s="253"/>
      <c r="C992" s="253"/>
      <c r="D992" s="262" t="s">
        <v>11984</v>
      </c>
      <c r="E992" s="253"/>
      <c r="F992" s="253"/>
      <c r="G992" s="253"/>
      <c r="H992" s="253"/>
      <c r="I992" s="253"/>
      <c r="J992" s="253"/>
      <c r="K992" s="253"/>
      <c r="L992" s="253"/>
      <c r="M992" s="253"/>
      <c r="N992" s="253"/>
      <c r="O992" s="253"/>
      <c r="P992" s="253"/>
      <c r="Q992" s="253"/>
      <c r="R992" s="253"/>
    </row>
    <row r="993" ht="15.75" customHeight="1">
      <c r="A993" s="253"/>
      <c r="B993" s="253"/>
      <c r="C993" s="253"/>
      <c r="D993" s="262" t="s">
        <v>8749</v>
      </c>
      <c r="E993" s="253"/>
      <c r="F993" s="253"/>
      <c r="G993" s="253"/>
      <c r="H993" s="253"/>
      <c r="I993" s="253"/>
      <c r="J993" s="253"/>
      <c r="K993" s="253"/>
      <c r="L993" s="253"/>
      <c r="M993" s="253"/>
      <c r="N993" s="253"/>
      <c r="O993" s="253"/>
      <c r="P993" s="253"/>
      <c r="Q993" s="253"/>
      <c r="R993" s="253"/>
    </row>
    <row r="994" ht="15.75" customHeight="1">
      <c r="A994" s="253"/>
      <c r="B994" s="253"/>
      <c r="C994" s="253"/>
      <c r="D994" s="262" t="s">
        <v>11985</v>
      </c>
      <c r="E994" s="253"/>
      <c r="F994" s="253"/>
      <c r="G994" s="253"/>
      <c r="H994" s="253"/>
      <c r="I994" s="253"/>
      <c r="J994" s="253"/>
      <c r="K994" s="253"/>
      <c r="L994" s="253"/>
      <c r="M994" s="253"/>
      <c r="N994" s="253"/>
      <c r="O994" s="253"/>
      <c r="P994" s="253"/>
      <c r="Q994" s="253"/>
      <c r="R994" s="253"/>
    </row>
    <row r="995" ht="15.75" customHeight="1">
      <c r="A995" s="253"/>
      <c r="B995" s="253"/>
      <c r="C995" s="253"/>
      <c r="D995" s="262" t="s">
        <v>11986</v>
      </c>
      <c r="E995" s="253"/>
      <c r="F995" s="253"/>
      <c r="G995" s="253"/>
      <c r="H995" s="253"/>
      <c r="I995" s="253"/>
      <c r="J995" s="253"/>
      <c r="K995" s="253"/>
      <c r="L995" s="253"/>
      <c r="M995" s="253"/>
      <c r="N995" s="253"/>
      <c r="O995" s="253"/>
      <c r="P995" s="253"/>
      <c r="Q995" s="253"/>
      <c r="R995" s="253"/>
    </row>
    <row r="996" ht="15.75" customHeight="1">
      <c r="A996" s="253"/>
      <c r="B996" s="253"/>
      <c r="C996" s="253"/>
      <c r="D996" s="262" t="s">
        <v>11987</v>
      </c>
      <c r="E996" s="253"/>
      <c r="F996" s="253"/>
      <c r="G996" s="253"/>
      <c r="H996" s="253"/>
      <c r="I996" s="253"/>
      <c r="J996" s="253"/>
      <c r="K996" s="253"/>
      <c r="L996" s="253"/>
      <c r="M996" s="253"/>
      <c r="N996" s="253"/>
      <c r="O996" s="253"/>
      <c r="P996" s="253"/>
      <c r="Q996" s="253"/>
      <c r="R996" s="253"/>
    </row>
    <row r="997" ht="15.75" customHeight="1">
      <c r="A997" s="253"/>
      <c r="B997" s="253"/>
      <c r="C997" s="253"/>
      <c r="D997" s="262" t="s">
        <v>11988</v>
      </c>
      <c r="E997" s="253"/>
      <c r="F997" s="253"/>
      <c r="G997" s="253"/>
      <c r="H997" s="253"/>
      <c r="I997" s="253"/>
      <c r="J997" s="253"/>
      <c r="K997" s="253"/>
      <c r="L997" s="253"/>
      <c r="M997" s="253"/>
      <c r="N997" s="253"/>
      <c r="O997" s="253"/>
      <c r="P997" s="253"/>
      <c r="Q997" s="253"/>
      <c r="R997" s="253"/>
    </row>
    <row r="998" ht="15.75" customHeight="1">
      <c r="A998" s="253"/>
      <c r="B998" s="253"/>
      <c r="C998" s="253"/>
      <c r="D998" s="262" t="s">
        <v>11989</v>
      </c>
      <c r="E998" s="253"/>
      <c r="F998" s="253"/>
      <c r="G998" s="253"/>
      <c r="H998" s="253"/>
      <c r="I998" s="253"/>
      <c r="J998" s="253"/>
      <c r="K998" s="253"/>
      <c r="L998" s="253"/>
      <c r="M998" s="253"/>
      <c r="N998" s="253"/>
      <c r="O998" s="253"/>
      <c r="P998" s="253"/>
      <c r="Q998" s="253"/>
      <c r="R998" s="253"/>
    </row>
    <row r="999" ht="15.75" customHeight="1">
      <c r="A999" s="253"/>
      <c r="B999" s="253"/>
      <c r="C999" s="253"/>
      <c r="D999" s="262" t="s">
        <v>11990</v>
      </c>
      <c r="E999" s="253"/>
      <c r="F999" s="253"/>
      <c r="G999" s="253"/>
      <c r="H999" s="253"/>
      <c r="I999" s="253"/>
      <c r="J999" s="253"/>
      <c r="K999" s="253"/>
      <c r="L999" s="253"/>
      <c r="M999" s="253"/>
      <c r="N999" s="253"/>
      <c r="O999" s="253"/>
      <c r="P999" s="253"/>
      <c r="Q999" s="253"/>
      <c r="R999" s="253"/>
    </row>
    <row r="1000" ht="15.75" customHeight="1">
      <c r="A1000" s="253"/>
      <c r="B1000" s="253"/>
      <c r="C1000" s="253"/>
      <c r="D1000" s="262" t="s">
        <v>4188</v>
      </c>
      <c r="E1000" s="253"/>
      <c r="F1000" s="253"/>
      <c r="G1000" s="253"/>
      <c r="H1000" s="253"/>
      <c r="I1000" s="253"/>
      <c r="J1000" s="253"/>
      <c r="K1000" s="253"/>
      <c r="L1000" s="253"/>
      <c r="M1000" s="253"/>
      <c r="N1000" s="253"/>
      <c r="O1000" s="253"/>
      <c r="P1000" s="253"/>
      <c r="Q1000" s="253"/>
      <c r="R1000" s="253"/>
    </row>
    <row r="1001" ht="15.75" customHeight="1">
      <c r="A1001" s="253"/>
      <c r="B1001" s="253"/>
      <c r="C1001" s="253"/>
      <c r="D1001" s="262" t="s">
        <v>11991</v>
      </c>
      <c r="E1001" s="253"/>
      <c r="F1001" s="253"/>
      <c r="G1001" s="253"/>
      <c r="H1001" s="253"/>
      <c r="I1001" s="253"/>
      <c r="J1001" s="253"/>
      <c r="K1001" s="253"/>
      <c r="L1001" s="253"/>
      <c r="M1001" s="253"/>
      <c r="N1001" s="253"/>
      <c r="O1001" s="253"/>
      <c r="P1001" s="253"/>
      <c r="Q1001" s="253"/>
      <c r="R1001" s="253"/>
    </row>
    <row r="1002" ht="15.75" customHeight="1">
      <c r="A1002" s="253"/>
      <c r="B1002" s="253"/>
      <c r="C1002" s="253"/>
      <c r="D1002" s="262" t="s">
        <v>11992</v>
      </c>
      <c r="E1002" s="253"/>
      <c r="F1002" s="253"/>
      <c r="G1002" s="253"/>
      <c r="H1002" s="253"/>
      <c r="I1002" s="253"/>
      <c r="J1002" s="253"/>
      <c r="K1002" s="253"/>
      <c r="L1002" s="253"/>
      <c r="M1002" s="253"/>
      <c r="N1002" s="253"/>
      <c r="O1002" s="253"/>
      <c r="P1002" s="253"/>
      <c r="Q1002" s="253"/>
      <c r="R1002" s="253"/>
    </row>
    <row r="1003" ht="15.75" customHeight="1">
      <c r="A1003" s="253"/>
      <c r="B1003" s="253"/>
      <c r="C1003" s="253"/>
      <c r="D1003" s="262" t="s">
        <v>11993</v>
      </c>
      <c r="E1003" s="253"/>
      <c r="F1003" s="253"/>
      <c r="G1003" s="253"/>
      <c r="H1003" s="253"/>
      <c r="I1003" s="253"/>
      <c r="J1003" s="253"/>
      <c r="K1003" s="253"/>
      <c r="L1003" s="253"/>
      <c r="M1003" s="253"/>
      <c r="N1003" s="253"/>
      <c r="O1003" s="253"/>
      <c r="P1003" s="253"/>
      <c r="Q1003" s="253"/>
      <c r="R1003" s="253"/>
    </row>
    <row r="1004" ht="15.75" customHeight="1">
      <c r="A1004" s="253"/>
      <c r="B1004" s="253"/>
      <c r="C1004" s="253"/>
      <c r="D1004" s="262" t="s">
        <v>11994</v>
      </c>
      <c r="E1004" s="253"/>
      <c r="F1004" s="253"/>
      <c r="G1004" s="253"/>
      <c r="H1004" s="253"/>
      <c r="I1004" s="253"/>
      <c r="J1004" s="253"/>
      <c r="K1004" s="253"/>
      <c r="L1004" s="253"/>
      <c r="M1004" s="253"/>
      <c r="N1004" s="253"/>
      <c r="O1004" s="253"/>
      <c r="P1004" s="253"/>
      <c r="Q1004" s="253"/>
      <c r="R1004" s="253"/>
    </row>
    <row r="1005" ht="15.75" customHeight="1">
      <c r="A1005" s="253"/>
      <c r="B1005" s="253"/>
      <c r="C1005" s="253"/>
      <c r="D1005" s="262" t="s">
        <v>6537</v>
      </c>
      <c r="E1005" s="253"/>
      <c r="F1005" s="253"/>
      <c r="G1005" s="253"/>
      <c r="H1005" s="253"/>
      <c r="I1005" s="253"/>
      <c r="J1005" s="253"/>
      <c r="K1005" s="253"/>
      <c r="L1005" s="253"/>
      <c r="M1005" s="253"/>
      <c r="N1005" s="253"/>
      <c r="O1005" s="253"/>
      <c r="P1005" s="253"/>
      <c r="Q1005" s="253"/>
      <c r="R1005" s="253"/>
    </row>
    <row r="1006" ht="15.75" customHeight="1">
      <c r="A1006" s="253"/>
      <c r="B1006" s="253"/>
      <c r="C1006" s="253"/>
      <c r="D1006" s="262" t="s">
        <v>11995</v>
      </c>
      <c r="E1006" s="253"/>
      <c r="F1006" s="253"/>
      <c r="G1006" s="253"/>
      <c r="H1006" s="253"/>
      <c r="I1006" s="253"/>
      <c r="J1006" s="253"/>
      <c r="K1006" s="253"/>
      <c r="L1006" s="253"/>
      <c r="M1006" s="253"/>
      <c r="N1006" s="253"/>
      <c r="O1006" s="253"/>
      <c r="P1006" s="253"/>
      <c r="Q1006" s="253"/>
      <c r="R1006" s="253"/>
    </row>
    <row r="1007" ht="15.75" customHeight="1">
      <c r="A1007" s="253"/>
      <c r="B1007" s="253"/>
      <c r="C1007" s="253"/>
      <c r="D1007" s="262" t="s">
        <v>8634</v>
      </c>
      <c r="E1007" s="253"/>
      <c r="F1007" s="253"/>
      <c r="G1007" s="253"/>
      <c r="H1007" s="253"/>
      <c r="I1007" s="253"/>
      <c r="J1007" s="253"/>
      <c r="K1007" s="253"/>
      <c r="L1007" s="253"/>
      <c r="M1007" s="253"/>
      <c r="N1007" s="253"/>
      <c r="O1007" s="253"/>
      <c r="P1007" s="253"/>
      <c r="Q1007" s="253"/>
      <c r="R1007" s="253"/>
    </row>
    <row r="1008" ht="15.75" customHeight="1">
      <c r="A1008" s="253"/>
      <c r="B1008" s="253"/>
      <c r="C1008" s="253"/>
      <c r="D1008" s="262" t="s">
        <v>2904</v>
      </c>
      <c r="E1008" s="253"/>
      <c r="F1008" s="253"/>
      <c r="G1008" s="253"/>
      <c r="H1008" s="253"/>
      <c r="I1008" s="253"/>
      <c r="J1008" s="253"/>
      <c r="K1008" s="253"/>
      <c r="L1008" s="253"/>
      <c r="M1008" s="253"/>
      <c r="N1008" s="253"/>
      <c r="O1008" s="253"/>
      <c r="P1008" s="253"/>
      <c r="Q1008" s="253"/>
      <c r="R1008" s="253"/>
    </row>
    <row r="1009" ht="15.75" customHeight="1">
      <c r="A1009" s="253"/>
      <c r="B1009" s="253"/>
      <c r="C1009" s="253"/>
      <c r="D1009" s="262" t="s">
        <v>11996</v>
      </c>
      <c r="E1009" s="253"/>
      <c r="F1009" s="253"/>
      <c r="G1009" s="253"/>
      <c r="H1009" s="253"/>
      <c r="I1009" s="253"/>
      <c r="J1009" s="253"/>
      <c r="K1009" s="253"/>
      <c r="L1009" s="253"/>
      <c r="M1009" s="253"/>
      <c r="N1009" s="253"/>
      <c r="O1009" s="253"/>
      <c r="P1009" s="253"/>
      <c r="Q1009" s="253"/>
      <c r="R1009" s="253"/>
    </row>
    <row r="1010" ht="15.75" customHeight="1">
      <c r="A1010" s="253"/>
      <c r="B1010" s="253"/>
      <c r="C1010" s="253"/>
      <c r="D1010" s="262" t="s">
        <v>8824</v>
      </c>
      <c r="E1010" s="253"/>
      <c r="F1010" s="253"/>
      <c r="G1010" s="253"/>
      <c r="H1010" s="253"/>
      <c r="I1010" s="253"/>
      <c r="J1010" s="253"/>
      <c r="K1010" s="253"/>
      <c r="L1010" s="253"/>
      <c r="M1010" s="253"/>
      <c r="N1010" s="253"/>
      <c r="O1010" s="253"/>
      <c r="P1010" s="253"/>
      <c r="Q1010" s="253"/>
      <c r="R1010" s="253"/>
    </row>
    <row r="1011" ht="15.75" customHeight="1">
      <c r="A1011" s="253"/>
      <c r="B1011" s="253"/>
      <c r="C1011" s="253"/>
      <c r="D1011" s="262" t="s">
        <v>11997</v>
      </c>
      <c r="E1011" s="253"/>
      <c r="F1011" s="253"/>
      <c r="G1011" s="253"/>
      <c r="H1011" s="253"/>
      <c r="I1011" s="253"/>
      <c r="J1011" s="253"/>
      <c r="K1011" s="253"/>
      <c r="L1011" s="253"/>
      <c r="M1011" s="253"/>
      <c r="N1011" s="253"/>
      <c r="O1011" s="253"/>
      <c r="P1011" s="253"/>
      <c r="Q1011" s="253"/>
      <c r="R1011" s="253"/>
    </row>
    <row r="1012" ht="15.75" customHeight="1">
      <c r="A1012" s="253"/>
      <c r="B1012" s="253"/>
      <c r="C1012" s="253"/>
      <c r="D1012" s="262" t="s">
        <v>11998</v>
      </c>
      <c r="E1012" s="253"/>
      <c r="F1012" s="253"/>
      <c r="G1012" s="253"/>
      <c r="H1012" s="253"/>
      <c r="I1012" s="253"/>
      <c r="J1012" s="253"/>
      <c r="K1012" s="253"/>
      <c r="L1012" s="253"/>
      <c r="M1012" s="253"/>
      <c r="N1012" s="253"/>
      <c r="O1012" s="253"/>
      <c r="P1012" s="253"/>
      <c r="Q1012" s="253"/>
      <c r="R1012" s="253"/>
    </row>
    <row r="1013" ht="15.75" customHeight="1">
      <c r="A1013" s="253"/>
      <c r="B1013" s="253"/>
      <c r="C1013" s="253"/>
      <c r="D1013" s="262" t="s">
        <v>5897</v>
      </c>
      <c r="E1013" s="253"/>
      <c r="F1013" s="253"/>
      <c r="G1013" s="253"/>
      <c r="H1013" s="253"/>
      <c r="I1013" s="253"/>
      <c r="J1013" s="253"/>
      <c r="K1013" s="253"/>
      <c r="L1013" s="253"/>
      <c r="M1013" s="253"/>
      <c r="N1013" s="253"/>
      <c r="O1013" s="253"/>
      <c r="P1013" s="253"/>
      <c r="Q1013" s="253"/>
      <c r="R1013" s="253"/>
    </row>
    <row r="1014" ht="15.75" customHeight="1">
      <c r="A1014" s="253"/>
      <c r="B1014" s="253"/>
      <c r="C1014" s="253"/>
      <c r="D1014" s="262" t="s">
        <v>11999</v>
      </c>
      <c r="E1014" s="253"/>
      <c r="F1014" s="253"/>
      <c r="G1014" s="253"/>
      <c r="H1014" s="253"/>
      <c r="I1014" s="253"/>
      <c r="J1014" s="253"/>
      <c r="K1014" s="253"/>
      <c r="L1014" s="253"/>
      <c r="M1014" s="253"/>
      <c r="N1014" s="253"/>
      <c r="O1014" s="253"/>
      <c r="P1014" s="253"/>
      <c r="Q1014" s="253"/>
      <c r="R1014" s="253"/>
    </row>
    <row r="1015" ht="15.75" customHeight="1">
      <c r="A1015" s="253"/>
      <c r="B1015" s="253"/>
      <c r="C1015" s="253"/>
      <c r="D1015" s="262" t="s">
        <v>3313</v>
      </c>
      <c r="E1015" s="253"/>
      <c r="F1015" s="253"/>
      <c r="G1015" s="253"/>
      <c r="H1015" s="253"/>
      <c r="I1015" s="253"/>
      <c r="J1015" s="253"/>
      <c r="K1015" s="253"/>
      <c r="L1015" s="253"/>
      <c r="M1015" s="253"/>
      <c r="N1015" s="253"/>
      <c r="O1015" s="253"/>
      <c r="P1015" s="253"/>
      <c r="Q1015" s="253"/>
      <c r="R1015" s="253"/>
    </row>
    <row r="1016" ht="15.75" customHeight="1">
      <c r="A1016" s="253"/>
      <c r="B1016" s="253"/>
      <c r="C1016" s="253"/>
      <c r="D1016" s="262" t="s">
        <v>7854</v>
      </c>
      <c r="E1016" s="253"/>
      <c r="F1016" s="253"/>
      <c r="G1016" s="253"/>
      <c r="H1016" s="253"/>
      <c r="I1016" s="253"/>
      <c r="J1016" s="253"/>
      <c r="K1016" s="253"/>
      <c r="L1016" s="253"/>
      <c r="M1016" s="253"/>
      <c r="N1016" s="253"/>
      <c r="O1016" s="253"/>
      <c r="P1016" s="253"/>
      <c r="Q1016" s="253"/>
      <c r="R1016" s="253"/>
    </row>
    <row r="1017" ht="15.75" customHeight="1">
      <c r="A1017" s="253"/>
      <c r="B1017" s="253"/>
      <c r="C1017" s="253"/>
      <c r="D1017" s="262" t="s">
        <v>12000</v>
      </c>
      <c r="E1017" s="253"/>
      <c r="F1017" s="253"/>
      <c r="G1017" s="253"/>
      <c r="H1017" s="253"/>
      <c r="I1017" s="253"/>
      <c r="J1017" s="253"/>
      <c r="K1017" s="253"/>
      <c r="L1017" s="253"/>
      <c r="M1017" s="253"/>
      <c r="N1017" s="253"/>
      <c r="O1017" s="253"/>
      <c r="P1017" s="253"/>
      <c r="Q1017" s="253"/>
      <c r="R1017" s="253"/>
    </row>
    <row r="1018" ht="15.75" customHeight="1">
      <c r="A1018" s="253"/>
      <c r="B1018" s="253"/>
      <c r="C1018" s="253"/>
      <c r="D1018" s="262" t="s">
        <v>5042</v>
      </c>
      <c r="E1018" s="253"/>
      <c r="F1018" s="253"/>
      <c r="G1018" s="253"/>
      <c r="H1018" s="253"/>
      <c r="I1018" s="253"/>
      <c r="J1018" s="253"/>
      <c r="K1018" s="253"/>
      <c r="L1018" s="253"/>
      <c r="M1018" s="253"/>
      <c r="N1018" s="253"/>
      <c r="O1018" s="253"/>
      <c r="P1018" s="253"/>
      <c r="Q1018" s="253"/>
      <c r="R1018" s="253"/>
    </row>
    <row r="1019" ht="15.75" customHeight="1">
      <c r="A1019" s="253"/>
      <c r="B1019" s="253"/>
      <c r="C1019" s="253"/>
      <c r="D1019" s="262" t="s">
        <v>12001</v>
      </c>
      <c r="E1019" s="253"/>
      <c r="F1019" s="253"/>
      <c r="G1019" s="253"/>
      <c r="H1019" s="253"/>
      <c r="I1019" s="253"/>
      <c r="J1019" s="253"/>
      <c r="K1019" s="253"/>
      <c r="L1019" s="253"/>
      <c r="M1019" s="253"/>
      <c r="N1019" s="253"/>
      <c r="O1019" s="253"/>
      <c r="P1019" s="253"/>
      <c r="Q1019" s="253"/>
      <c r="R1019" s="253"/>
    </row>
    <row r="1020" ht="15.75" customHeight="1">
      <c r="A1020" s="253"/>
      <c r="B1020" s="253"/>
      <c r="C1020" s="253"/>
      <c r="D1020" s="262" t="s">
        <v>12002</v>
      </c>
      <c r="E1020" s="253"/>
      <c r="F1020" s="253"/>
      <c r="G1020" s="253"/>
      <c r="H1020" s="253"/>
      <c r="I1020" s="253"/>
      <c r="J1020" s="253"/>
      <c r="K1020" s="253"/>
      <c r="L1020" s="253"/>
      <c r="M1020" s="253"/>
      <c r="N1020" s="253"/>
      <c r="O1020" s="253"/>
      <c r="P1020" s="253"/>
      <c r="Q1020" s="253"/>
      <c r="R1020" s="253"/>
    </row>
    <row r="1021" ht="15.75" customHeight="1">
      <c r="A1021" s="253"/>
      <c r="B1021" s="253"/>
      <c r="C1021" s="253"/>
      <c r="D1021" s="262" t="s">
        <v>12003</v>
      </c>
      <c r="E1021" s="253"/>
      <c r="F1021" s="253"/>
      <c r="G1021" s="253"/>
      <c r="H1021" s="253"/>
      <c r="I1021" s="253"/>
      <c r="J1021" s="253"/>
      <c r="K1021" s="253"/>
      <c r="L1021" s="253"/>
      <c r="M1021" s="253"/>
      <c r="N1021" s="253"/>
      <c r="O1021" s="253"/>
      <c r="P1021" s="253"/>
      <c r="Q1021" s="253"/>
      <c r="R1021" s="253"/>
    </row>
    <row r="1022" ht="15.75" customHeight="1">
      <c r="A1022" s="253"/>
      <c r="B1022" s="253"/>
      <c r="C1022" s="253"/>
      <c r="D1022" s="262" t="s">
        <v>10688</v>
      </c>
      <c r="E1022" s="253"/>
      <c r="F1022" s="253"/>
      <c r="G1022" s="253"/>
      <c r="H1022" s="253"/>
      <c r="I1022" s="253"/>
      <c r="J1022" s="253"/>
      <c r="K1022" s="253"/>
      <c r="L1022" s="253"/>
      <c r="M1022" s="253"/>
      <c r="N1022" s="253"/>
      <c r="O1022" s="253"/>
      <c r="P1022" s="253"/>
      <c r="Q1022" s="253"/>
      <c r="R1022" s="253"/>
    </row>
    <row r="1023" ht="15.75" customHeight="1">
      <c r="A1023" s="253"/>
      <c r="B1023" s="253"/>
      <c r="C1023" s="253"/>
      <c r="D1023" s="262" t="s">
        <v>12004</v>
      </c>
      <c r="E1023" s="253"/>
      <c r="F1023" s="253"/>
      <c r="G1023" s="253"/>
      <c r="H1023" s="253"/>
      <c r="I1023" s="253"/>
      <c r="J1023" s="253"/>
      <c r="K1023" s="253"/>
      <c r="L1023" s="253"/>
      <c r="M1023" s="253"/>
      <c r="N1023" s="253"/>
      <c r="O1023" s="253"/>
      <c r="P1023" s="253"/>
      <c r="Q1023" s="253"/>
      <c r="R1023" s="253"/>
    </row>
    <row r="1024" ht="15.75" customHeight="1">
      <c r="A1024" s="253"/>
      <c r="B1024" s="253"/>
      <c r="C1024" s="253"/>
      <c r="D1024" s="262" t="s">
        <v>12005</v>
      </c>
      <c r="E1024" s="253"/>
      <c r="F1024" s="253"/>
      <c r="G1024" s="253"/>
      <c r="H1024" s="253"/>
      <c r="I1024" s="253"/>
      <c r="J1024" s="253"/>
      <c r="K1024" s="253"/>
      <c r="L1024" s="253"/>
      <c r="M1024" s="253"/>
      <c r="N1024" s="253"/>
      <c r="O1024" s="253"/>
      <c r="P1024" s="253"/>
      <c r="Q1024" s="253"/>
      <c r="R1024" s="253"/>
    </row>
    <row r="1025" ht="15.75" customHeight="1">
      <c r="A1025" s="253"/>
      <c r="B1025" s="253"/>
      <c r="C1025" s="253"/>
      <c r="D1025" s="262" t="s">
        <v>12006</v>
      </c>
      <c r="E1025" s="253"/>
      <c r="F1025" s="253"/>
      <c r="G1025" s="253"/>
      <c r="H1025" s="253"/>
      <c r="I1025" s="253"/>
      <c r="J1025" s="253"/>
      <c r="K1025" s="253"/>
      <c r="L1025" s="253"/>
      <c r="M1025" s="253"/>
      <c r="N1025" s="253"/>
      <c r="O1025" s="253"/>
      <c r="P1025" s="253"/>
      <c r="Q1025" s="253"/>
      <c r="R1025" s="253"/>
    </row>
    <row r="1026" ht="15.75" customHeight="1">
      <c r="A1026" s="253"/>
      <c r="B1026" s="253"/>
      <c r="C1026" s="253"/>
      <c r="D1026" s="262" t="s">
        <v>12007</v>
      </c>
      <c r="E1026" s="253"/>
      <c r="F1026" s="253"/>
      <c r="G1026" s="253"/>
      <c r="H1026" s="253"/>
      <c r="I1026" s="253"/>
      <c r="J1026" s="253"/>
      <c r="K1026" s="253"/>
      <c r="L1026" s="253"/>
      <c r="M1026" s="253"/>
      <c r="N1026" s="253"/>
      <c r="O1026" s="253"/>
      <c r="P1026" s="253"/>
      <c r="Q1026" s="253"/>
      <c r="R1026" s="253"/>
    </row>
    <row r="1027" ht="15.75" customHeight="1">
      <c r="A1027" s="253"/>
      <c r="B1027" s="253"/>
      <c r="C1027" s="253"/>
      <c r="D1027" s="262" t="s">
        <v>12008</v>
      </c>
      <c r="E1027" s="253"/>
      <c r="F1027" s="253"/>
      <c r="G1027" s="253"/>
      <c r="H1027" s="253"/>
      <c r="I1027" s="253"/>
      <c r="J1027" s="253"/>
      <c r="K1027" s="253"/>
      <c r="L1027" s="253"/>
      <c r="M1027" s="253"/>
      <c r="N1027" s="253"/>
      <c r="O1027" s="253"/>
      <c r="P1027" s="253"/>
      <c r="Q1027" s="253"/>
      <c r="R1027" s="253"/>
    </row>
    <row r="1028" ht="15.75" customHeight="1">
      <c r="A1028" s="253"/>
      <c r="B1028" s="253"/>
      <c r="C1028" s="253"/>
      <c r="D1028" s="262" t="s">
        <v>12009</v>
      </c>
      <c r="E1028" s="253"/>
      <c r="F1028" s="253"/>
      <c r="G1028" s="253"/>
      <c r="H1028" s="253"/>
      <c r="I1028" s="253"/>
      <c r="J1028" s="253"/>
      <c r="K1028" s="253"/>
      <c r="L1028" s="253"/>
      <c r="M1028" s="253"/>
      <c r="N1028" s="253"/>
      <c r="O1028" s="253"/>
      <c r="P1028" s="253"/>
      <c r="Q1028" s="253"/>
      <c r="R1028" s="253"/>
    </row>
    <row r="1029" ht="15.75" customHeight="1">
      <c r="A1029" s="253"/>
      <c r="B1029" s="253"/>
      <c r="C1029" s="253"/>
      <c r="D1029" s="262" t="s">
        <v>12010</v>
      </c>
      <c r="E1029" s="253"/>
      <c r="F1029" s="253"/>
      <c r="G1029" s="253"/>
      <c r="H1029" s="253"/>
      <c r="I1029" s="253"/>
      <c r="J1029" s="253"/>
      <c r="K1029" s="253"/>
      <c r="L1029" s="253"/>
      <c r="M1029" s="253"/>
      <c r="N1029" s="253"/>
      <c r="O1029" s="253"/>
      <c r="P1029" s="253"/>
      <c r="Q1029" s="253"/>
      <c r="R1029" s="253"/>
    </row>
    <row r="1030" ht="15.75" customHeight="1">
      <c r="A1030" s="253"/>
      <c r="B1030" s="253"/>
      <c r="C1030" s="253"/>
      <c r="D1030" s="262" t="s">
        <v>12011</v>
      </c>
      <c r="E1030" s="253"/>
      <c r="F1030" s="253"/>
      <c r="G1030" s="253"/>
      <c r="H1030" s="253"/>
      <c r="I1030" s="253"/>
      <c r="J1030" s="253"/>
      <c r="K1030" s="253"/>
      <c r="L1030" s="253"/>
      <c r="M1030" s="253"/>
      <c r="N1030" s="253"/>
      <c r="O1030" s="253"/>
      <c r="P1030" s="253"/>
      <c r="Q1030" s="253"/>
      <c r="R1030" s="253"/>
    </row>
    <row r="1031" ht="15.75" customHeight="1">
      <c r="A1031" s="253"/>
      <c r="B1031" s="253"/>
      <c r="C1031" s="253"/>
      <c r="D1031" s="262" t="s">
        <v>12012</v>
      </c>
      <c r="E1031" s="253"/>
      <c r="F1031" s="253"/>
      <c r="G1031" s="253"/>
      <c r="H1031" s="253"/>
      <c r="I1031" s="253"/>
      <c r="J1031" s="253"/>
      <c r="K1031" s="253"/>
      <c r="L1031" s="253"/>
      <c r="M1031" s="253"/>
      <c r="N1031" s="253"/>
      <c r="O1031" s="253"/>
      <c r="P1031" s="253"/>
      <c r="Q1031" s="253"/>
      <c r="R1031" s="253"/>
    </row>
    <row r="1032" ht="15.75" customHeight="1">
      <c r="A1032" s="253"/>
      <c r="B1032" s="253"/>
      <c r="C1032" s="253"/>
      <c r="D1032" s="262" t="s">
        <v>12013</v>
      </c>
      <c r="E1032" s="253"/>
      <c r="F1032" s="253"/>
      <c r="G1032" s="253"/>
      <c r="H1032" s="253"/>
      <c r="I1032" s="253"/>
      <c r="J1032" s="253"/>
      <c r="K1032" s="253"/>
      <c r="L1032" s="253"/>
      <c r="M1032" s="253"/>
      <c r="N1032" s="253"/>
      <c r="O1032" s="253"/>
      <c r="P1032" s="253"/>
      <c r="Q1032" s="253"/>
      <c r="R1032" s="253"/>
    </row>
    <row r="1033" ht="15.75" customHeight="1">
      <c r="A1033" s="253"/>
      <c r="B1033" s="253"/>
      <c r="C1033" s="253"/>
      <c r="D1033" s="262" t="s">
        <v>1379</v>
      </c>
      <c r="E1033" s="253"/>
      <c r="F1033" s="253"/>
      <c r="G1033" s="253"/>
      <c r="H1033" s="253"/>
      <c r="I1033" s="253"/>
      <c r="J1033" s="253"/>
      <c r="K1033" s="253"/>
      <c r="L1033" s="253"/>
      <c r="M1033" s="253"/>
      <c r="N1033" s="253"/>
      <c r="O1033" s="253"/>
      <c r="P1033" s="253"/>
      <c r="Q1033" s="253"/>
      <c r="R1033" s="253"/>
    </row>
    <row r="1034" ht="15.75" customHeight="1">
      <c r="A1034" s="253"/>
      <c r="B1034" s="253"/>
      <c r="C1034" s="253"/>
      <c r="D1034" s="262" t="s">
        <v>12014</v>
      </c>
      <c r="E1034" s="253"/>
      <c r="F1034" s="253"/>
      <c r="G1034" s="253"/>
      <c r="H1034" s="253"/>
      <c r="I1034" s="253"/>
      <c r="J1034" s="253"/>
      <c r="K1034" s="253"/>
      <c r="L1034" s="253"/>
      <c r="M1034" s="253"/>
      <c r="N1034" s="253"/>
      <c r="O1034" s="253"/>
      <c r="P1034" s="253"/>
      <c r="Q1034" s="253"/>
      <c r="R1034" s="253"/>
    </row>
    <row r="1035" ht="15.75" customHeight="1">
      <c r="A1035" s="253"/>
      <c r="B1035" s="253"/>
      <c r="C1035" s="253"/>
      <c r="D1035" s="262" t="s">
        <v>12015</v>
      </c>
      <c r="E1035" s="253"/>
      <c r="F1035" s="253"/>
      <c r="G1035" s="253"/>
      <c r="H1035" s="253"/>
      <c r="I1035" s="253"/>
      <c r="J1035" s="253"/>
      <c r="K1035" s="253"/>
      <c r="L1035" s="253"/>
      <c r="M1035" s="253"/>
      <c r="N1035" s="253"/>
      <c r="O1035" s="253"/>
      <c r="P1035" s="253"/>
      <c r="Q1035" s="253"/>
      <c r="R1035" s="253"/>
    </row>
    <row r="1036" ht="15.75" customHeight="1">
      <c r="A1036" s="253"/>
      <c r="B1036" s="253"/>
      <c r="C1036" s="253"/>
      <c r="D1036" s="262" t="s">
        <v>12016</v>
      </c>
      <c r="E1036" s="253"/>
      <c r="F1036" s="253"/>
      <c r="G1036" s="253"/>
      <c r="H1036" s="253"/>
      <c r="I1036" s="253"/>
      <c r="J1036" s="253"/>
      <c r="K1036" s="253"/>
      <c r="L1036" s="253"/>
      <c r="M1036" s="253"/>
      <c r="N1036" s="253"/>
      <c r="O1036" s="253"/>
      <c r="P1036" s="253"/>
      <c r="Q1036" s="253"/>
      <c r="R1036" s="253"/>
    </row>
    <row r="1037" ht="15.75" customHeight="1">
      <c r="A1037" s="253"/>
      <c r="B1037" s="253"/>
      <c r="C1037" s="253"/>
      <c r="D1037" s="262" t="s">
        <v>12017</v>
      </c>
      <c r="E1037" s="253"/>
      <c r="F1037" s="253"/>
      <c r="G1037" s="253"/>
      <c r="H1037" s="253"/>
      <c r="I1037" s="253"/>
      <c r="J1037" s="253"/>
      <c r="K1037" s="253"/>
      <c r="L1037" s="253"/>
      <c r="M1037" s="253"/>
      <c r="N1037" s="253"/>
      <c r="O1037" s="253"/>
      <c r="P1037" s="253"/>
      <c r="Q1037" s="253"/>
      <c r="R1037" s="253"/>
    </row>
    <row r="1038" ht="15.75" customHeight="1">
      <c r="A1038" s="253"/>
      <c r="B1038" s="253"/>
      <c r="C1038" s="253"/>
      <c r="D1038" s="262" t="s">
        <v>9712</v>
      </c>
      <c r="E1038" s="253"/>
      <c r="F1038" s="253"/>
      <c r="G1038" s="253"/>
      <c r="H1038" s="253"/>
      <c r="I1038" s="253"/>
      <c r="J1038" s="253"/>
      <c r="K1038" s="253"/>
      <c r="L1038" s="253"/>
      <c r="M1038" s="253"/>
      <c r="N1038" s="253"/>
      <c r="O1038" s="253"/>
      <c r="P1038" s="253"/>
      <c r="Q1038" s="253"/>
      <c r="R1038" s="253"/>
    </row>
    <row r="1039" ht="15.75" customHeight="1">
      <c r="A1039" s="253"/>
      <c r="B1039" s="253"/>
      <c r="C1039" s="253"/>
      <c r="D1039" s="262" t="s">
        <v>12018</v>
      </c>
      <c r="E1039" s="253"/>
      <c r="F1039" s="253"/>
      <c r="G1039" s="253"/>
      <c r="H1039" s="253"/>
      <c r="I1039" s="253"/>
      <c r="J1039" s="253"/>
      <c r="K1039" s="253"/>
      <c r="L1039" s="253"/>
      <c r="M1039" s="253"/>
      <c r="N1039" s="253"/>
      <c r="O1039" s="253"/>
      <c r="P1039" s="253"/>
      <c r="Q1039" s="253"/>
      <c r="R1039" s="253"/>
    </row>
    <row r="1040" ht="15.75" customHeight="1">
      <c r="A1040" s="253"/>
      <c r="B1040" s="253"/>
      <c r="C1040" s="253"/>
      <c r="D1040" s="262" t="s">
        <v>2036</v>
      </c>
      <c r="E1040" s="253"/>
      <c r="F1040" s="253"/>
      <c r="G1040" s="253"/>
      <c r="H1040" s="253"/>
      <c r="I1040" s="253"/>
      <c r="J1040" s="253"/>
      <c r="K1040" s="253"/>
      <c r="L1040" s="253"/>
      <c r="M1040" s="253"/>
      <c r="N1040" s="253"/>
      <c r="O1040" s="253"/>
      <c r="P1040" s="253"/>
      <c r="Q1040" s="253"/>
      <c r="R1040" s="253"/>
    </row>
    <row r="1041" ht="15.75" customHeight="1">
      <c r="A1041" s="253"/>
      <c r="B1041" s="253"/>
      <c r="C1041" s="253"/>
      <c r="D1041" s="262" t="s">
        <v>12019</v>
      </c>
      <c r="E1041" s="253"/>
      <c r="F1041" s="253"/>
      <c r="G1041" s="253"/>
      <c r="H1041" s="253"/>
      <c r="I1041" s="253"/>
      <c r="J1041" s="253"/>
      <c r="K1041" s="253"/>
      <c r="L1041" s="253"/>
      <c r="M1041" s="253"/>
      <c r="N1041" s="253"/>
      <c r="O1041" s="253"/>
      <c r="P1041" s="253"/>
      <c r="Q1041" s="253"/>
      <c r="R1041" s="253"/>
    </row>
    <row r="1042" ht="15.75" customHeight="1">
      <c r="A1042" s="253"/>
      <c r="B1042" s="253"/>
      <c r="C1042" s="253"/>
      <c r="D1042" s="262" t="s">
        <v>12020</v>
      </c>
      <c r="E1042" s="253"/>
      <c r="F1042" s="253"/>
      <c r="G1042" s="253"/>
      <c r="H1042" s="253"/>
      <c r="I1042" s="253"/>
      <c r="J1042" s="253"/>
      <c r="K1042" s="253"/>
      <c r="L1042" s="253"/>
      <c r="M1042" s="253"/>
      <c r="N1042" s="253"/>
      <c r="O1042" s="253"/>
      <c r="P1042" s="253"/>
      <c r="Q1042" s="253"/>
      <c r="R1042" s="253"/>
    </row>
    <row r="1043" ht="15.75" customHeight="1">
      <c r="A1043" s="253"/>
      <c r="B1043" s="253"/>
      <c r="C1043" s="253"/>
      <c r="D1043" s="262" t="s">
        <v>12021</v>
      </c>
      <c r="E1043" s="253"/>
      <c r="F1043" s="253"/>
      <c r="G1043" s="253"/>
      <c r="H1043" s="253"/>
      <c r="I1043" s="253"/>
      <c r="J1043" s="253"/>
      <c r="K1043" s="253"/>
      <c r="L1043" s="253"/>
      <c r="M1043" s="253"/>
      <c r="N1043" s="253"/>
      <c r="O1043" s="253"/>
      <c r="P1043" s="253"/>
      <c r="Q1043" s="253"/>
      <c r="R1043" s="253"/>
    </row>
    <row r="1044" ht="15.75" customHeight="1">
      <c r="A1044" s="253"/>
      <c r="B1044" s="253"/>
      <c r="C1044" s="253"/>
      <c r="D1044" s="262" t="s">
        <v>4060</v>
      </c>
      <c r="E1044" s="253"/>
      <c r="F1044" s="253"/>
      <c r="G1044" s="253"/>
      <c r="H1044" s="253"/>
      <c r="I1044" s="253"/>
      <c r="J1044" s="253"/>
      <c r="K1044" s="253"/>
      <c r="L1044" s="253"/>
      <c r="M1044" s="253"/>
      <c r="N1044" s="253"/>
      <c r="O1044" s="253"/>
      <c r="P1044" s="253"/>
      <c r="Q1044" s="253"/>
      <c r="R1044" s="253"/>
    </row>
    <row r="1045" ht="15.75" customHeight="1">
      <c r="A1045" s="253"/>
      <c r="B1045" s="253"/>
      <c r="C1045" s="253"/>
      <c r="D1045" s="262" t="s">
        <v>12022</v>
      </c>
      <c r="E1045" s="253"/>
      <c r="F1045" s="253"/>
      <c r="G1045" s="253"/>
      <c r="H1045" s="253"/>
      <c r="I1045" s="253"/>
      <c r="J1045" s="253"/>
      <c r="K1045" s="253"/>
      <c r="L1045" s="253"/>
      <c r="M1045" s="253"/>
      <c r="N1045" s="253"/>
      <c r="O1045" s="253"/>
      <c r="P1045" s="253"/>
      <c r="Q1045" s="253"/>
      <c r="R1045" s="253"/>
    </row>
    <row r="1046" ht="15.75" customHeight="1">
      <c r="A1046" s="253"/>
      <c r="B1046" s="253"/>
      <c r="C1046" s="253"/>
      <c r="D1046" s="262" t="s">
        <v>12023</v>
      </c>
      <c r="E1046" s="253"/>
      <c r="F1046" s="253"/>
      <c r="G1046" s="253"/>
      <c r="H1046" s="253"/>
      <c r="I1046" s="253"/>
      <c r="J1046" s="253"/>
      <c r="K1046" s="253"/>
      <c r="L1046" s="253"/>
      <c r="M1046" s="253"/>
      <c r="N1046" s="253"/>
      <c r="O1046" s="253"/>
      <c r="P1046" s="253"/>
      <c r="Q1046" s="253"/>
      <c r="R1046" s="253"/>
    </row>
    <row r="1047" ht="15.75" customHeight="1">
      <c r="A1047" s="253"/>
      <c r="B1047" s="253"/>
      <c r="C1047" s="253"/>
      <c r="D1047" s="262" t="s">
        <v>12024</v>
      </c>
      <c r="E1047" s="253"/>
      <c r="F1047" s="253"/>
      <c r="G1047" s="253"/>
      <c r="H1047" s="253"/>
      <c r="I1047" s="253"/>
      <c r="J1047" s="253"/>
      <c r="K1047" s="253"/>
      <c r="L1047" s="253"/>
      <c r="M1047" s="253"/>
      <c r="N1047" s="253"/>
      <c r="O1047" s="253"/>
      <c r="P1047" s="253"/>
      <c r="Q1047" s="253"/>
      <c r="R1047" s="253"/>
    </row>
    <row r="1048" ht="15.75" customHeight="1">
      <c r="A1048" s="253"/>
      <c r="B1048" s="253"/>
      <c r="C1048" s="253"/>
      <c r="D1048" s="262" t="s">
        <v>12025</v>
      </c>
      <c r="E1048" s="253"/>
      <c r="F1048" s="253"/>
      <c r="G1048" s="253"/>
      <c r="H1048" s="253"/>
      <c r="I1048" s="253"/>
      <c r="J1048" s="253"/>
      <c r="K1048" s="253"/>
      <c r="L1048" s="253"/>
      <c r="M1048" s="253"/>
      <c r="N1048" s="253"/>
      <c r="O1048" s="253"/>
      <c r="P1048" s="253"/>
      <c r="Q1048" s="253"/>
      <c r="R1048" s="253"/>
    </row>
    <row r="1049" ht="15.75" customHeight="1">
      <c r="A1049" s="253"/>
      <c r="B1049" s="253"/>
      <c r="C1049" s="253"/>
      <c r="D1049" s="262" t="s">
        <v>12026</v>
      </c>
      <c r="E1049" s="253"/>
      <c r="F1049" s="253"/>
      <c r="G1049" s="253"/>
      <c r="H1049" s="253"/>
      <c r="I1049" s="253"/>
      <c r="J1049" s="253"/>
      <c r="K1049" s="253"/>
      <c r="L1049" s="253"/>
      <c r="M1049" s="253"/>
      <c r="N1049" s="253"/>
      <c r="O1049" s="253"/>
      <c r="P1049" s="253"/>
      <c r="Q1049" s="253"/>
      <c r="R1049" s="253"/>
    </row>
    <row r="1050" ht="15.75" customHeight="1">
      <c r="A1050" s="253"/>
      <c r="B1050" s="253"/>
      <c r="C1050" s="253"/>
      <c r="D1050" s="262" t="s">
        <v>12027</v>
      </c>
      <c r="E1050" s="253"/>
      <c r="F1050" s="253"/>
      <c r="G1050" s="253"/>
      <c r="H1050" s="253"/>
      <c r="I1050" s="253"/>
      <c r="J1050" s="253"/>
      <c r="K1050" s="253"/>
      <c r="L1050" s="253"/>
      <c r="M1050" s="253"/>
      <c r="N1050" s="253"/>
      <c r="O1050" s="253"/>
      <c r="P1050" s="253"/>
      <c r="Q1050" s="253"/>
      <c r="R1050" s="253"/>
    </row>
    <row r="1051" ht="15.75" customHeight="1">
      <c r="A1051" s="253"/>
      <c r="B1051" s="253"/>
      <c r="C1051" s="253"/>
      <c r="D1051" s="262" t="s">
        <v>12028</v>
      </c>
      <c r="E1051" s="253"/>
      <c r="F1051" s="253"/>
      <c r="G1051" s="253"/>
      <c r="H1051" s="253"/>
      <c r="I1051" s="253"/>
      <c r="J1051" s="253"/>
      <c r="K1051" s="253"/>
      <c r="L1051" s="253"/>
      <c r="M1051" s="253"/>
      <c r="N1051" s="253"/>
      <c r="O1051" s="253"/>
      <c r="P1051" s="253"/>
      <c r="Q1051" s="253"/>
      <c r="R1051" s="253"/>
    </row>
    <row r="1052" ht="15.75" customHeight="1">
      <c r="A1052" s="253"/>
      <c r="B1052" s="253"/>
      <c r="C1052" s="253"/>
      <c r="D1052" s="262" t="s">
        <v>12029</v>
      </c>
      <c r="E1052" s="253"/>
      <c r="F1052" s="253"/>
      <c r="G1052" s="253"/>
      <c r="H1052" s="253"/>
      <c r="I1052" s="253"/>
      <c r="J1052" s="253"/>
      <c r="K1052" s="253"/>
      <c r="L1052" s="253"/>
      <c r="M1052" s="253"/>
      <c r="N1052" s="253"/>
      <c r="O1052" s="253"/>
      <c r="P1052" s="253"/>
      <c r="Q1052" s="253"/>
      <c r="R1052" s="253"/>
    </row>
    <row r="1053" ht="15.75" customHeight="1">
      <c r="A1053" s="253"/>
      <c r="B1053" s="253"/>
      <c r="C1053" s="253"/>
      <c r="D1053" s="262" t="s">
        <v>7201</v>
      </c>
      <c r="E1053" s="253"/>
      <c r="F1053" s="253"/>
      <c r="G1053" s="253"/>
      <c r="H1053" s="253"/>
      <c r="I1053" s="253"/>
      <c r="J1053" s="253"/>
      <c r="K1053" s="253"/>
      <c r="L1053" s="253"/>
      <c r="M1053" s="253"/>
      <c r="N1053" s="253"/>
      <c r="O1053" s="253"/>
      <c r="P1053" s="253"/>
      <c r="Q1053" s="253"/>
      <c r="R1053" s="253"/>
    </row>
    <row r="1054" ht="15.75" customHeight="1">
      <c r="A1054" s="253"/>
      <c r="B1054" s="253"/>
      <c r="C1054" s="253"/>
      <c r="D1054" s="262" t="s">
        <v>2928</v>
      </c>
      <c r="E1054" s="253"/>
      <c r="F1054" s="253"/>
      <c r="G1054" s="253"/>
      <c r="H1054" s="253"/>
      <c r="I1054" s="253"/>
      <c r="J1054" s="253"/>
      <c r="K1054" s="253"/>
      <c r="L1054" s="253"/>
      <c r="M1054" s="253"/>
      <c r="N1054" s="253"/>
      <c r="O1054" s="253"/>
      <c r="P1054" s="253"/>
      <c r="Q1054" s="253"/>
      <c r="R1054" s="253"/>
    </row>
    <row r="1055" ht="15.75" customHeight="1">
      <c r="A1055" s="253"/>
      <c r="B1055" s="253"/>
      <c r="C1055" s="253"/>
      <c r="D1055" s="262" t="s">
        <v>12030</v>
      </c>
      <c r="E1055" s="253"/>
      <c r="F1055" s="253"/>
      <c r="G1055" s="253"/>
      <c r="H1055" s="253"/>
      <c r="I1055" s="253"/>
      <c r="J1055" s="253"/>
      <c r="K1055" s="253"/>
      <c r="L1055" s="253"/>
      <c r="M1055" s="253"/>
      <c r="N1055" s="253"/>
      <c r="O1055" s="253"/>
      <c r="P1055" s="253"/>
      <c r="Q1055" s="253"/>
      <c r="R1055" s="253"/>
    </row>
    <row r="1056" ht="15.75" customHeight="1">
      <c r="A1056" s="253"/>
      <c r="B1056" s="253"/>
      <c r="C1056" s="253"/>
      <c r="D1056" s="262" t="s">
        <v>12031</v>
      </c>
      <c r="E1056" s="253"/>
      <c r="F1056" s="253"/>
      <c r="G1056" s="253"/>
      <c r="H1056" s="253"/>
      <c r="I1056" s="253"/>
      <c r="J1056" s="253"/>
      <c r="K1056" s="253"/>
      <c r="L1056" s="253"/>
      <c r="M1056" s="253"/>
      <c r="N1056" s="253"/>
      <c r="O1056" s="253"/>
      <c r="P1056" s="253"/>
      <c r="Q1056" s="253"/>
      <c r="R1056" s="253"/>
    </row>
    <row r="1057" ht="15.75" customHeight="1">
      <c r="A1057" s="253"/>
      <c r="B1057" s="253"/>
      <c r="C1057" s="253"/>
      <c r="D1057" s="262" t="s">
        <v>12032</v>
      </c>
      <c r="E1057" s="253"/>
      <c r="F1057" s="253"/>
      <c r="G1057" s="253"/>
      <c r="H1057" s="253"/>
      <c r="I1057" s="253"/>
      <c r="J1057" s="253"/>
      <c r="K1057" s="253"/>
      <c r="L1057" s="253"/>
      <c r="M1057" s="253"/>
      <c r="N1057" s="253"/>
      <c r="O1057" s="253"/>
      <c r="P1057" s="253"/>
      <c r="Q1057" s="253"/>
      <c r="R1057" s="253"/>
    </row>
    <row r="1058" ht="15.75" customHeight="1">
      <c r="A1058" s="253"/>
      <c r="B1058" s="253"/>
      <c r="C1058" s="253"/>
      <c r="D1058" s="262" t="s">
        <v>12033</v>
      </c>
      <c r="E1058" s="253"/>
      <c r="F1058" s="253"/>
      <c r="G1058" s="253"/>
      <c r="H1058" s="253"/>
      <c r="I1058" s="253"/>
      <c r="J1058" s="253"/>
      <c r="K1058" s="253"/>
      <c r="L1058" s="253"/>
      <c r="M1058" s="253"/>
      <c r="N1058" s="253"/>
      <c r="O1058" s="253"/>
      <c r="P1058" s="253"/>
      <c r="Q1058" s="253"/>
      <c r="R1058" s="253"/>
    </row>
    <row r="1059" ht="15.75" customHeight="1">
      <c r="A1059" s="253"/>
      <c r="B1059" s="253"/>
      <c r="C1059" s="253"/>
      <c r="D1059" s="262" t="s">
        <v>7003</v>
      </c>
      <c r="E1059" s="253"/>
      <c r="F1059" s="253"/>
      <c r="G1059" s="253"/>
      <c r="H1059" s="253"/>
      <c r="I1059" s="253"/>
      <c r="J1059" s="253"/>
      <c r="K1059" s="253"/>
      <c r="L1059" s="253"/>
      <c r="M1059" s="253"/>
      <c r="N1059" s="253"/>
      <c r="O1059" s="253"/>
      <c r="P1059" s="253"/>
      <c r="Q1059" s="253"/>
      <c r="R1059" s="253"/>
    </row>
    <row r="1060" ht="15.75" customHeight="1">
      <c r="A1060" s="253"/>
      <c r="B1060" s="253"/>
      <c r="C1060" s="253"/>
      <c r="D1060" s="262" t="s">
        <v>4752</v>
      </c>
      <c r="E1060" s="253"/>
      <c r="F1060" s="253"/>
      <c r="G1060" s="253"/>
      <c r="H1060" s="253"/>
      <c r="I1060" s="253"/>
      <c r="J1060" s="253"/>
      <c r="K1060" s="253"/>
      <c r="L1060" s="253"/>
      <c r="M1060" s="253"/>
      <c r="N1060" s="253"/>
      <c r="O1060" s="253"/>
      <c r="P1060" s="253"/>
      <c r="Q1060" s="253"/>
      <c r="R1060" s="253"/>
    </row>
    <row r="1061" ht="15.75" customHeight="1">
      <c r="A1061" s="253"/>
      <c r="B1061" s="253"/>
      <c r="C1061" s="253"/>
      <c r="D1061" s="262" t="s">
        <v>12034</v>
      </c>
      <c r="E1061" s="253"/>
      <c r="F1061" s="253"/>
      <c r="G1061" s="253"/>
      <c r="H1061" s="253"/>
      <c r="I1061" s="253"/>
      <c r="J1061" s="253"/>
      <c r="K1061" s="253"/>
      <c r="L1061" s="253"/>
      <c r="M1061" s="253"/>
      <c r="N1061" s="253"/>
      <c r="O1061" s="253"/>
      <c r="P1061" s="253"/>
      <c r="Q1061" s="253"/>
      <c r="R1061" s="253"/>
    </row>
    <row r="1062" ht="15.75" customHeight="1">
      <c r="A1062" s="253"/>
      <c r="B1062" s="253"/>
      <c r="C1062" s="253"/>
      <c r="D1062" s="262" t="s">
        <v>12035</v>
      </c>
      <c r="E1062" s="253"/>
      <c r="F1062" s="253"/>
      <c r="G1062" s="253"/>
      <c r="H1062" s="253"/>
      <c r="I1062" s="253"/>
      <c r="J1062" s="253"/>
      <c r="K1062" s="253"/>
      <c r="L1062" s="253"/>
      <c r="M1062" s="253"/>
      <c r="N1062" s="253"/>
      <c r="O1062" s="253"/>
      <c r="P1062" s="253"/>
      <c r="Q1062" s="253"/>
      <c r="R1062" s="253"/>
    </row>
    <row r="1063" ht="15.75" customHeight="1">
      <c r="A1063" s="253"/>
      <c r="B1063" s="253"/>
      <c r="C1063" s="253"/>
      <c r="D1063" s="262" t="s">
        <v>2580</v>
      </c>
      <c r="E1063" s="253"/>
      <c r="F1063" s="253"/>
      <c r="G1063" s="253"/>
      <c r="H1063" s="253"/>
      <c r="I1063" s="253"/>
      <c r="J1063" s="253"/>
      <c r="K1063" s="253"/>
      <c r="L1063" s="253"/>
      <c r="M1063" s="253"/>
      <c r="N1063" s="253"/>
      <c r="O1063" s="253"/>
      <c r="P1063" s="253"/>
      <c r="Q1063" s="253"/>
      <c r="R1063" s="253"/>
    </row>
    <row r="1064" ht="15.75" customHeight="1">
      <c r="A1064" s="253"/>
      <c r="B1064" s="253"/>
      <c r="C1064" s="253"/>
      <c r="D1064" s="262" t="s">
        <v>12036</v>
      </c>
      <c r="E1064" s="253"/>
      <c r="F1064" s="253"/>
      <c r="G1064" s="253"/>
      <c r="H1064" s="253"/>
      <c r="I1064" s="253"/>
      <c r="J1064" s="253"/>
      <c r="K1064" s="253"/>
      <c r="L1064" s="253"/>
      <c r="M1064" s="253"/>
      <c r="N1064" s="253"/>
      <c r="O1064" s="253"/>
      <c r="P1064" s="253"/>
      <c r="Q1064" s="253"/>
      <c r="R1064" s="253"/>
    </row>
    <row r="1065" ht="15.75" customHeight="1">
      <c r="A1065" s="253"/>
      <c r="B1065" s="253"/>
      <c r="C1065" s="253"/>
      <c r="D1065" s="262" t="s">
        <v>5057</v>
      </c>
      <c r="E1065" s="253"/>
      <c r="F1065" s="253"/>
      <c r="G1065" s="253"/>
      <c r="H1065" s="253"/>
      <c r="I1065" s="253"/>
      <c r="J1065" s="253"/>
      <c r="K1065" s="253"/>
      <c r="L1065" s="253"/>
      <c r="M1065" s="253"/>
      <c r="N1065" s="253"/>
      <c r="O1065" s="253"/>
      <c r="P1065" s="253"/>
      <c r="Q1065" s="253"/>
      <c r="R1065" s="253"/>
    </row>
    <row r="1066" ht="15.75" customHeight="1">
      <c r="A1066" s="253"/>
      <c r="B1066" s="253"/>
      <c r="C1066" s="253"/>
      <c r="D1066" s="262" t="s">
        <v>1047</v>
      </c>
      <c r="E1066" s="253"/>
      <c r="F1066" s="253"/>
      <c r="G1066" s="253"/>
      <c r="H1066" s="253"/>
      <c r="I1066" s="253"/>
      <c r="J1066" s="253"/>
      <c r="K1066" s="253"/>
      <c r="L1066" s="253"/>
      <c r="M1066" s="253"/>
      <c r="N1066" s="253"/>
      <c r="O1066" s="253"/>
      <c r="P1066" s="253"/>
      <c r="Q1066" s="253"/>
      <c r="R1066" s="253"/>
    </row>
    <row r="1067" ht="15.75" customHeight="1">
      <c r="A1067" s="253"/>
      <c r="B1067" s="253"/>
      <c r="C1067" s="253"/>
      <c r="D1067" s="262" t="s">
        <v>12037</v>
      </c>
      <c r="E1067" s="253"/>
      <c r="F1067" s="253"/>
      <c r="G1067" s="253"/>
      <c r="H1067" s="253"/>
      <c r="I1067" s="253"/>
      <c r="J1067" s="253"/>
      <c r="K1067" s="253"/>
      <c r="L1067" s="253"/>
      <c r="M1067" s="253"/>
      <c r="N1067" s="253"/>
      <c r="O1067" s="253"/>
      <c r="P1067" s="253"/>
      <c r="Q1067" s="253"/>
      <c r="R1067" s="253"/>
    </row>
    <row r="1068" ht="15.75" customHeight="1">
      <c r="A1068" s="253"/>
      <c r="B1068" s="253"/>
      <c r="C1068" s="253"/>
      <c r="D1068" s="262" t="s">
        <v>12038</v>
      </c>
      <c r="E1068" s="253"/>
      <c r="F1068" s="253"/>
      <c r="G1068" s="253"/>
      <c r="H1068" s="253"/>
      <c r="I1068" s="253"/>
      <c r="J1068" s="253"/>
      <c r="K1068" s="253"/>
      <c r="L1068" s="253"/>
      <c r="M1068" s="253"/>
      <c r="N1068" s="253"/>
      <c r="O1068" s="253"/>
      <c r="P1068" s="253"/>
      <c r="Q1068" s="253"/>
      <c r="R1068" s="253"/>
    </row>
    <row r="1069" ht="15.75" customHeight="1">
      <c r="A1069" s="253"/>
      <c r="B1069" s="253"/>
      <c r="C1069" s="253"/>
      <c r="D1069" s="262" t="s">
        <v>9960</v>
      </c>
      <c r="E1069" s="253"/>
      <c r="F1069" s="253"/>
      <c r="G1069" s="253"/>
      <c r="H1069" s="253"/>
      <c r="I1069" s="253"/>
      <c r="J1069" s="253"/>
      <c r="K1069" s="253"/>
      <c r="L1069" s="253"/>
      <c r="M1069" s="253"/>
      <c r="N1069" s="253"/>
      <c r="O1069" s="253"/>
      <c r="P1069" s="253"/>
      <c r="Q1069" s="253"/>
      <c r="R1069" s="253"/>
    </row>
    <row r="1070" ht="15.75" customHeight="1">
      <c r="A1070" s="253"/>
      <c r="B1070" s="253"/>
      <c r="C1070" s="253"/>
      <c r="D1070" s="262" t="s">
        <v>12039</v>
      </c>
      <c r="E1070" s="253"/>
      <c r="F1070" s="253"/>
      <c r="G1070" s="253"/>
      <c r="H1070" s="253"/>
      <c r="I1070" s="253"/>
      <c r="J1070" s="253"/>
      <c r="K1070" s="253"/>
      <c r="L1070" s="253"/>
      <c r="M1070" s="253"/>
      <c r="N1070" s="253"/>
      <c r="O1070" s="253"/>
      <c r="P1070" s="253"/>
      <c r="Q1070" s="253"/>
      <c r="R1070" s="253"/>
    </row>
    <row r="1071" ht="15.75" customHeight="1">
      <c r="A1071" s="253"/>
      <c r="B1071" s="253"/>
      <c r="C1071" s="253"/>
      <c r="D1071" s="262" t="s">
        <v>12040</v>
      </c>
      <c r="E1071" s="253"/>
      <c r="F1071" s="253"/>
      <c r="G1071" s="253"/>
      <c r="H1071" s="253"/>
      <c r="I1071" s="253"/>
      <c r="J1071" s="253"/>
      <c r="K1071" s="253"/>
      <c r="L1071" s="253"/>
      <c r="M1071" s="253"/>
      <c r="N1071" s="253"/>
      <c r="O1071" s="253"/>
      <c r="P1071" s="253"/>
      <c r="Q1071" s="253"/>
      <c r="R1071" s="253"/>
    </row>
    <row r="1072" ht="15.75" customHeight="1">
      <c r="A1072" s="253"/>
      <c r="B1072" s="253"/>
      <c r="C1072" s="253"/>
      <c r="D1072" s="262" t="s">
        <v>7145</v>
      </c>
      <c r="E1072" s="253"/>
      <c r="F1072" s="253"/>
      <c r="G1072" s="253"/>
      <c r="H1072" s="253"/>
      <c r="I1072" s="253"/>
      <c r="J1072" s="253"/>
      <c r="K1072" s="253"/>
      <c r="L1072" s="253"/>
      <c r="M1072" s="253"/>
      <c r="N1072" s="253"/>
      <c r="O1072" s="253"/>
      <c r="P1072" s="253"/>
      <c r="Q1072" s="253"/>
      <c r="R1072" s="253"/>
    </row>
    <row r="1073" ht="15.75" customHeight="1">
      <c r="A1073" s="253"/>
      <c r="B1073" s="253"/>
      <c r="C1073" s="253"/>
      <c r="D1073" s="262" t="s">
        <v>12041</v>
      </c>
      <c r="E1073" s="253"/>
      <c r="F1073" s="253"/>
      <c r="G1073" s="253"/>
      <c r="H1073" s="253"/>
      <c r="I1073" s="253"/>
      <c r="J1073" s="253"/>
      <c r="K1073" s="253"/>
      <c r="L1073" s="253"/>
      <c r="M1073" s="253"/>
      <c r="N1073" s="253"/>
      <c r="O1073" s="253"/>
      <c r="P1073" s="253"/>
      <c r="Q1073" s="253"/>
      <c r="R1073" s="253"/>
    </row>
    <row r="1074" ht="15.75" customHeight="1">
      <c r="A1074" s="253"/>
      <c r="B1074" s="253"/>
      <c r="C1074" s="253"/>
      <c r="D1074" s="262" t="s">
        <v>12042</v>
      </c>
      <c r="E1074" s="253"/>
      <c r="F1074" s="253"/>
      <c r="G1074" s="253"/>
      <c r="H1074" s="253"/>
      <c r="I1074" s="253"/>
      <c r="J1074" s="253"/>
      <c r="K1074" s="253"/>
      <c r="L1074" s="253"/>
      <c r="M1074" s="253"/>
      <c r="N1074" s="253"/>
      <c r="O1074" s="253"/>
      <c r="P1074" s="253"/>
      <c r="Q1074" s="253"/>
      <c r="R1074" s="253"/>
    </row>
    <row r="1075" ht="15.75" customHeight="1">
      <c r="A1075" s="253"/>
      <c r="B1075" s="253"/>
      <c r="C1075" s="253"/>
      <c r="D1075" s="262" t="s">
        <v>12043</v>
      </c>
      <c r="E1075" s="253"/>
      <c r="F1075" s="253"/>
      <c r="G1075" s="253"/>
      <c r="H1075" s="253"/>
      <c r="I1075" s="253"/>
      <c r="J1075" s="253"/>
      <c r="K1075" s="253"/>
      <c r="L1075" s="253"/>
      <c r="M1075" s="253"/>
      <c r="N1075" s="253"/>
      <c r="O1075" s="253"/>
      <c r="P1075" s="253"/>
      <c r="Q1075" s="253"/>
      <c r="R1075" s="253"/>
    </row>
    <row r="1076" ht="15.75" customHeight="1">
      <c r="A1076" s="253"/>
      <c r="B1076" s="253"/>
      <c r="C1076" s="253"/>
      <c r="D1076" s="262" t="s">
        <v>1135</v>
      </c>
      <c r="E1076" s="253"/>
      <c r="F1076" s="253"/>
      <c r="G1076" s="253"/>
      <c r="H1076" s="253"/>
      <c r="I1076" s="253"/>
      <c r="J1076" s="253"/>
      <c r="K1076" s="253"/>
      <c r="L1076" s="253"/>
      <c r="M1076" s="253"/>
      <c r="N1076" s="253"/>
      <c r="O1076" s="253"/>
      <c r="P1076" s="253"/>
      <c r="Q1076" s="253"/>
      <c r="R1076" s="253"/>
    </row>
    <row r="1077" ht="15.75" customHeight="1">
      <c r="A1077" s="253"/>
      <c r="B1077" s="253"/>
      <c r="C1077" s="253"/>
      <c r="D1077" s="262" t="s">
        <v>12044</v>
      </c>
      <c r="E1077" s="253"/>
      <c r="F1077" s="253"/>
      <c r="G1077" s="253"/>
      <c r="H1077" s="253"/>
      <c r="I1077" s="253"/>
      <c r="J1077" s="253"/>
      <c r="K1077" s="253"/>
      <c r="L1077" s="253"/>
      <c r="M1077" s="253"/>
      <c r="N1077" s="253"/>
      <c r="O1077" s="253"/>
      <c r="P1077" s="253"/>
      <c r="Q1077" s="253"/>
      <c r="R1077" s="253"/>
    </row>
    <row r="1078" ht="15.75" customHeight="1">
      <c r="A1078" s="253"/>
      <c r="B1078" s="253"/>
      <c r="C1078" s="253"/>
      <c r="D1078" s="262" t="s">
        <v>2997</v>
      </c>
      <c r="E1078" s="253"/>
      <c r="F1078" s="253"/>
      <c r="G1078" s="253"/>
      <c r="H1078" s="253"/>
      <c r="I1078" s="253"/>
      <c r="J1078" s="253"/>
      <c r="K1078" s="253"/>
      <c r="L1078" s="253"/>
      <c r="M1078" s="253"/>
      <c r="N1078" s="253"/>
      <c r="O1078" s="253"/>
      <c r="P1078" s="253"/>
      <c r="Q1078" s="253"/>
      <c r="R1078" s="253"/>
    </row>
    <row r="1079" ht="15.75" customHeight="1">
      <c r="A1079" s="253"/>
      <c r="B1079" s="253"/>
      <c r="C1079" s="253"/>
      <c r="D1079" s="262" t="s">
        <v>12045</v>
      </c>
      <c r="E1079" s="253"/>
      <c r="F1079" s="253"/>
      <c r="G1079" s="253"/>
      <c r="H1079" s="253"/>
      <c r="I1079" s="253"/>
      <c r="J1079" s="253"/>
      <c r="K1079" s="253"/>
      <c r="L1079" s="253"/>
      <c r="M1079" s="253"/>
      <c r="N1079" s="253"/>
      <c r="O1079" s="253"/>
      <c r="P1079" s="253"/>
      <c r="Q1079" s="253"/>
      <c r="R1079" s="253"/>
    </row>
    <row r="1080" ht="15.75" customHeight="1">
      <c r="A1080" s="253"/>
      <c r="B1080" s="253"/>
      <c r="C1080" s="253"/>
      <c r="D1080" s="262" t="s">
        <v>12046</v>
      </c>
      <c r="E1080" s="253"/>
      <c r="F1080" s="253"/>
      <c r="G1080" s="253"/>
      <c r="H1080" s="253"/>
      <c r="I1080" s="253"/>
      <c r="J1080" s="253"/>
      <c r="K1080" s="253"/>
      <c r="L1080" s="253"/>
      <c r="M1080" s="253"/>
      <c r="N1080" s="253"/>
      <c r="O1080" s="253"/>
      <c r="P1080" s="253"/>
      <c r="Q1080" s="253"/>
      <c r="R1080" s="253"/>
    </row>
    <row r="1081" ht="15.75" customHeight="1">
      <c r="A1081" s="253"/>
      <c r="B1081" s="253"/>
      <c r="C1081" s="253"/>
      <c r="D1081" s="262" t="s">
        <v>1054</v>
      </c>
      <c r="E1081" s="253"/>
      <c r="F1081" s="253"/>
      <c r="G1081" s="253"/>
      <c r="H1081" s="253"/>
      <c r="I1081" s="253"/>
      <c r="J1081" s="253"/>
      <c r="K1081" s="253"/>
      <c r="L1081" s="253"/>
      <c r="M1081" s="253"/>
      <c r="N1081" s="253"/>
      <c r="O1081" s="253"/>
      <c r="P1081" s="253"/>
      <c r="Q1081" s="253"/>
      <c r="R1081" s="253"/>
    </row>
    <row r="1082" ht="15.75" customHeight="1">
      <c r="A1082" s="253"/>
      <c r="B1082" s="253"/>
      <c r="C1082" s="253"/>
      <c r="D1082" s="262" t="s">
        <v>3419</v>
      </c>
      <c r="E1082" s="253"/>
      <c r="F1082" s="253"/>
      <c r="G1082" s="253"/>
      <c r="H1082" s="253"/>
      <c r="I1082" s="253"/>
      <c r="J1082" s="253"/>
      <c r="K1082" s="253"/>
      <c r="L1082" s="253"/>
      <c r="M1082" s="253"/>
      <c r="N1082" s="253"/>
      <c r="O1082" s="253"/>
      <c r="P1082" s="253"/>
      <c r="Q1082" s="253"/>
      <c r="R1082" s="253"/>
    </row>
    <row r="1083" ht="15.75" customHeight="1">
      <c r="A1083" s="253"/>
      <c r="B1083" s="253"/>
      <c r="C1083" s="253"/>
      <c r="D1083" s="262" t="s">
        <v>12047</v>
      </c>
      <c r="E1083" s="253"/>
      <c r="F1083" s="253"/>
      <c r="G1083" s="253"/>
      <c r="H1083" s="253"/>
      <c r="I1083" s="253"/>
      <c r="J1083" s="253"/>
      <c r="K1083" s="253"/>
      <c r="L1083" s="253"/>
      <c r="M1083" s="253"/>
      <c r="N1083" s="253"/>
      <c r="O1083" s="253"/>
      <c r="P1083" s="253"/>
      <c r="Q1083" s="253"/>
      <c r="R1083" s="253"/>
    </row>
    <row r="1084" ht="15.75" customHeight="1">
      <c r="A1084" s="253"/>
      <c r="B1084" s="253"/>
      <c r="C1084" s="253"/>
      <c r="D1084" s="262" t="s">
        <v>1724</v>
      </c>
      <c r="E1084" s="253"/>
      <c r="F1084" s="253"/>
      <c r="G1084" s="253"/>
      <c r="H1084" s="253"/>
      <c r="I1084" s="253"/>
      <c r="J1084" s="253"/>
      <c r="K1084" s="253"/>
      <c r="L1084" s="253"/>
      <c r="M1084" s="253"/>
      <c r="N1084" s="253"/>
      <c r="O1084" s="253"/>
      <c r="P1084" s="253"/>
      <c r="Q1084" s="253"/>
      <c r="R1084" s="253"/>
    </row>
    <row r="1085" ht="15.75" customHeight="1">
      <c r="A1085" s="253"/>
      <c r="B1085" s="253"/>
      <c r="C1085" s="253"/>
      <c r="D1085" s="262" t="s">
        <v>12048</v>
      </c>
      <c r="E1085" s="253"/>
      <c r="F1085" s="253"/>
      <c r="G1085" s="253"/>
      <c r="H1085" s="253"/>
      <c r="I1085" s="253"/>
      <c r="J1085" s="253"/>
      <c r="K1085" s="253"/>
      <c r="L1085" s="253"/>
      <c r="M1085" s="253"/>
      <c r="N1085" s="253"/>
      <c r="O1085" s="253"/>
      <c r="P1085" s="253"/>
      <c r="Q1085" s="253"/>
      <c r="R1085" s="253"/>
    </row>
    <row r="1086" ht="15.75" customHeight="1">
      <c r="A1086" s="253"/>
      <c r="B1086" s="253"/>
      <c r="C1086" s="253"/>
      <c r="D1086" s="262" t="s">
        <v>12049</v>
      </c>
      <c r="E1086" s="253"/>
      <c r="F1086" s="253"/>
      <c r="G1086" s="253"/>
      <c r="H1086" s="253"/>
      <c r="I1086" s="253"/>
      <c r="J1086" s="253"/>
      <c r="K1086" s="253"/>
      <c r="L1086" s="253"/>
      <c r="M1086" s="253"/>
      <c r="N1086" s="253"/>
      <c r="O1086" s="253"/>
      <c r="P1086" s="253"/>
      <c r="Q1086" s="253"/>
      <c r="R1086" s="253"/>
    </row>
    <row r="1087" ht="15.75" customHeight="1">
      <c r="A1087" s="253"/>
      <c r="B1087" s="253"/>
      <c r="C1087" s="253"/>
      <c r="D1087" s="262" t="s">
        <v>12050</v>
      </c>
      <c r="E1087" s="253"/>
      <c r="F1087" s="253"/>
      <c r="G1087" s="253"/>
      <c r="H1087" s="253"/>
      <c r="I1087" s="253"/>
      <c r="J1087" s="253"/>
      <c r="K1087" s="253"/>
      <c r="L1087" s="253"/>
      <c r="M1087" s="253"/>
      <c r="N1087" s="253"/>
      <c r="O1087" s="253"/>
      <c r="P1087" s="253"/>
      <c r="Q1087" s="253"/>
      <c r="R1087" s="253"/>
    </row>
    <row r="1088" ht="15.75" customHeight="1">
      <c r="A1088" s="253"/>
      <c r="B1088" s="253"/>
      <c r="C1088" s="253"/>
      <c r="D1088" s="262" t="s">
        <v>4098</v>
      </c>
      <c r="E1088" s="253"/>
      <c r="F1088" s="253"/>
      <c r="G1088" s="253"/>
      <c r="H1088" s="253"/>
      <c r="I1088" s="253"/>
      <c r="J1088" s="253"/>
      <c r="K1088" s="253"/>
      <c r="L1088" s="253"/>
      <c r="M1088" s="253"/>
      <c r="N1088" s="253"/>
      <c r="O1088" s="253"/>
      <c r="P1088" s="253"/>
      <c r="Q1088" s="253"/>
      <c r="R1088" s="253"/>
    </row>
    <row r="1089" ht="15.75" customHeight="1">
      <c r="A1089" s="253"/>
      <c r="B1089" s="253"/>
      <c r="C1089" s="253"/>
      <c r="D1089" s="262" t="s">
        <v>12051</v>
      </c>
      <c r="E1089" s="253"/>
      <c r="F1089" s="253"/>
      <c r="G1089" s="253"/>
      <c r="H1089" s="253"/>
      <c r="I1089" s="253"/>
      <c r="J1089" s="253"/>
      <c r="K1089" s="253"/>
      <c r="L1089" s="253"/>
      <c r="M1089" s="253"/>
      <c r="N1089" s="253"/>
      <c r="O1089" s="253"/>
      <c r="P1089" s="253"/>
      <c r="Q1089" s="253"/>
      <c r="R1089" s="253"/>
    </row>
    <row r="1090" ht="15.75" customHeight="1">
      <c r="A1090" s="253"/>
      <c r="B1090" s="253"/>
      <c r="C1090" s="253"/>
      <c r="D1090" s="262" t="s">
        <v>4311</v>
      </c>
      <c r="E1090" s="253"/>
      <c r="F1090" s="253"/>
      <c r="G1090" s="253"/>
      <c r="H1090" s="253"/>
      <c r="I1090" s="253"/>
      <c r="J1090" s="253"/>
      <c r="K1090" s="253"/>
      <c r="L1090" s="253"/>
      <c r="M1090" s="253"/>
      <c r="N1090" s="253"/>
      <c r="O1090" s="253"/>
      <c r="P1090" s="253"/>
      <c r="Q1090" s="253"/>
      <c r="R1090" s="253"/>
    </row>
    <row r="1091" ht="15.75" customHeight="1">
      <c r="A1091" s="253"/>
      <c r="B1091" s="253"/>
      <c r="C1091" s="253"/>
      <c r="D1091" s="262" t="s">
        <v>12052</v>
      </c>
      <c r="E1091" s="253"/>
      <c r="F1091" s="253"/>
      <c r="G1091" s="253"/>
      <c r="H1091" s="253"/>
      <c r="I1091" s="253"/>
      <c r="J1091" s="253"/>
      <c r="K1091" s="253"/>
      <c r="L1091" s="253"/>
      <c r="M1091" s="253"/>
      <c r="N1091" s="253"/>
      <c r="O1091" s="253"/>
      <c r="P1091" s="253"/>
      <c r="Q1091" s="253"/>
      <c r="R1091" s="253"/>
    </row>
    <row r="1092" ht="15.75" customHeight="1">
      <c r="A1092" s="253"/>
      <c r="B1092" s="253"/>
      <c r="C1092" s="253"/>
      <c r="D1092" s="262" t="s">
        <v>12053</v>
      </c>
      <c r="E1092" s="253"/>
      <c r="F1092" s="253"/>
      <c r="G1092" s="253"/>
      <c r="H1092" s="253"/>
      <c r="I1092" s="253"/>
      <c r="J1092" s="253"/>
      <c r="K1092" s="253"/>
      <c r="L1092" s="253"/>
      <c r="M1092" s="253"/>
      <c r="N1092" s="253"/>
      <c r="O1092" s="253"/>
      <c r="P1092" s="253"/>
      <c r="Q1092" s="253"/>
      <c r="R1092" s="253"/>
    </row>
    <row r="1093" ht="15.75" customHeight="1">
      <c r="A1093" s="253"/>
      <c r="B1093" s="253"/>
      <c r="C1093" s="253"/>
      <c r="D1093" s="262" t="s">
        <v>12054</v>
      </c>
      <c r="E1093" s="253"/>
      <c r="F1093" s="253"/>
      <c r="G1093" s="253"/>
      <c r="H1093" s="253"/>
      <c r="I1093" s="253"/>
      <c r="J1093" s="253"/>
      <c r="K1093" s="253"/>
      <c r="L1093" s="253"/>
      <c r="M1093" s="253"/>
      <c r="N1093" s="253"/>
      <c r="O1093" s="253"/>
      <c r="P1093" s="253"/>
      <c r="Q1093" s="253"/>
      <c r="R1093" s="253"/>
    </row>
    <row r="1094" ht="15.75" customHeight="1">
      <c r="A1094" s="253"/>
      <c r="B1094" s="253"/>
      <c r="C1094" s="253"/>
      <c r="D1094" s="262" t="s">
        <v>3806</v>
      </c>
      <c r="E1094" s="253"/>
      <c r="F1094" s="253"/>
      <c r="G1094" s="253"/>
      <c r="H1094" s="253"/>
      <c r="I1094" s="253"/>
      <c r="J1094" s="253"/>
      <c r="K1094" s="253"/>
      <c r="L1094" s="253"/>
      <c r="M1094" s="253"/>
      <c r="N1094" s="253"/>
      <c r="O1094" s="253"/>
      <c r="P1094" s="253"/>
      <c r="Q1094" s="253"/>
      <c r="R1094" s="253"/>
    </row>
    <row r="1095" ht="15.75" customHeight="1">
      <c r="A1095" s="253"/>
      <c r="B1095" s="253"/>
      <c r="C1095" s="253"/>
      <c r="D1095" s="262" t="s">
        <v>3940</v>
      </c>
      <c r="E1095" s="253"/>
      <c r="F1095" s="253"/>
      <c r="G1095" s="253"/>
      <c r="H1095" s="253"/>
      <c r="I1095" s="253"/>
      <c r="J1095" s="253"/>
      <c r="K1095" s="253"/>
      <c r="L1095" s="253"/>
      <c r="M1095" s="253"/>
      <c r="N1095" s="253"/>
      <c r="O1095" s="253"/>
      <c r="P1095" s="253"/>
      <c r="Q1095" s="253"/>
      <c r="R1095" s="253"/>
    </row>
    <row r="1096" ht="15.75" customHeight="1">
      <c r="A1096" s="253"/>
      <c r="B1096" s="253"/>
      <c r="C1096" s="253"/>
      <c r="D1096" s="262" t="s">
        <v>4206</v>
      </c>
      <c r="E1096" s="253"/>
      <c r="F1096" s="253"/>
      <c r="G1096" s="253"/>
      <c r="H1096" s="253"/>
      <c r="I1096" s="253"/>
      <c r="J1096" s="253"/>
      <c r="K1096" s="253"/>
      <c r="L1096" s="253"/>
      <c r="M1096" s="253"/>
      <c r="N1096" s="253"/>
      <c r="O1096" s="253"/>
      <c r="P1096" s="253"/>
      <c r="Q1096" s="253"/>
      <c r="R1096" s="253"/>
    </row>
    <row r="1097" ht="15.75" customHeight="1">
      <c r="A1097" s="253"/>
      <c r="B1097" s="253"/>
      <c r="C1097" s="253"/>
      <c r="D1097" s="262" t="s">
        <v>12055</v>
      </c>
      <c r="E1097" s="253"/>
      <c r="F1097" s="253"/>
      <c r="G1097" s="253"/>
      <c r="H1097" s="253"/>
      <c r="I1097" s="253"/>
      <c r="J1097" s="253"/>
      <c r="K1097" s="253"/>
      <c r="L1097" s="253"/>
      <c r="M1097" s="253"/>
      <c r="N1097" s="253"/>
      <c r="O1097" s="253"/>
      <c r="P1097" s="253"/>
      <c r="Q1097" s="253"/>
      <c r="R1097" s="253"/>
    </row>
    <row r="1098" ht="15.75" customHeight="1">
      <c r="A1098" s="253"/>
      <c r="B1098" s="253"/>
      <c r="C1098" s="253"/>
      <c r="D1098" s="262" t="s">
        <v>263</v>
      </c>
      <c r="E1098" s="253"/>
      <c r="F1098" s="253"/>
      <c r="G1098" s="253"/>
      <c r="H1098" s="253"/>
      <c r="I1098" s="253"/>
      <c r="J1098" s="253"/>
      <c r="K1098" s="253"/>
      <c r="L1098" s="253"/>
      <c r="M1098" s="253"/>
      <c r="N1098" s="253"/>
      <c r="O1098" s="253"/>
      <c r="P1098" s="253"/>
      <c r="Q1098" s="253"/>
      <c r="R1098" s="253"/>
    </row>
    <row r="1099" ht="15.75" customHeight="1">
      <c r="A1099" s="253"/>
      <c r="B1099" s="253"/>
      <c r="C1099" s="253"/>
      <c r="D1099" s="262" t="s">
        <v>728</v>
      </c>
      <c r="E1099" s="253"/>
      <c r="F1099" s="253"/>
      <c r="G1099" s="253"/>
      <c r="H1099" s="253"/>
      <c r="I1099" s="253"/>
      <c r="J1099" s="253"/>
      <c r="K1099" s="253"/>
      <c r="L1099" s="253"/>
      <c r="M1099" s="253"/>
      <c r="N1099" s="253"/>
      <c r="O1099" s="253"/>
      <c r="P1099" s="253"/>
      <c r="Q1099" s="253"/>
      <c r="R1099" s="253"/>
    </row>
    <row r="1100" ht="15.75" customHeight="1">
      <c r="A1100" s="253"/>
      <c r="B1100" s="253"/>
      <c r="C1100" s="253"/>
      <c r="D1100" s="262" t="s">
        <v>8400</v>
      </c>
      <c r="E1100" s="253"/>
      <c r="F1100" s="253"/>
      <c r="G1100" s="253"/>
      <c r="H1100" s="253"/>
      <c r="I1100" s="253"/>
      <c r="J1100" s="253"/>
      <c r="K1100" s="253"/>
      <c r="L1100" s="253"/>
      <c r="M1100" s="253"/>
      <c r="N1100" s="253"/>
      <c r="O1100" s="253"/>
      <c r="P1100" s="253"/>
      <c r="Q1100" s="253"/>
      <c r="R1100" s="253"/>
    </row>
    <row r="1101" ht="15.75" customHeight="1">
      <c r="A1101" s="253"/>
      <c r="B1101" s="253"/>
      <c r="C1101" s="253"/>
      <c r="D1101" s="265" t="s">
        <v>1471</v>
      </c>
      <c r="E1101" s="253"/>
      <c r="F1101" s="253"/>
      <c r="G1101" s="253"/>
      <c r="H1101" s="253"/>
      <c r="I1101" s="253"/>
      <c r="J1101" s="253"/>
      <c r="K1101" s="253"/>
      <c r="L1101" s="253"/>
      <c r="M1101" s="253"/>
      <c r="N1101" s="253"/>
      <c r="O1101" s="253"/>
      <c r="P1101" s="253"/>
      <c r="Q1101" s="253"/>
      <c r="R1101" s="253"/>
    </row>
    <row r="1102" ht="15.75" customHeight="1">
      <c r="A1102" s="253"/>
      <c r="B1102" s="253"/>
      <c r="C1102" s="253"/>
      <c r="D1102" s="262" t="s">
        <v>4771</v>
      </c>
      <c r="E1102" s="253"/>
      <c r="F1102" s="253"/>
      <c r="G1102" s="253"/>
      <c r="H1102" s="253"/>
      <c r="I1102" s="253"/>
      <c r="J1102" s="253"/>
      <c r="K1102" s="253"/>
      <c r="L1102" s="253"/>
      <c r="M1102" s="253"/>
      <c r="N1102" s="253"/>
      <c r="O1102" s="253"/>
      <c r="P1102" s="253"/>
      <c r="Q1102" s="253"/>
      <c r="R1102" s="253"/>
    </row>
    <row r="1103" ht="15.75" customHeight="1">
      <c r="A1103" s="253"/>
      <c r="B1103" s="253"/>
      <c r="C1103" s="253"/>
      <c r="D1103" s="262" t="s">
        <v>12056</v>
      </c>
      <c r="E1103" s="253"/>
      <c r="F1103" s="253"/>
      <c r="G1103" s="253"/>
      <c r="H1103" s="253"/>
      <c r="I1103" s="253"/>
      <c r="J1103" s="253"/>
      <c r="K1103" s="253"/>
      <c r="L1103" s="253"/>
      <c r="M1103" s="253"/>
      <c r="N1103" s="253"/>
      <c r="O1103" s="253"/>
      <c r="P1103" s="253"/>
      <c r="Q1103" s="253"/>
      <c r="R1103" s="253"/>
    </row>
    <row r="1104" ht="15.75" customHeight="1">
      <c r="A1104" s="253"/>
      <c r="B1104" s="253"/>
      <c r="C1104" s="253"/>
      <c r="D1104" s="262" t="s">
        <v>12057</v>
      </c>
      <c r="E1104" s="253"/>
      <c r="F1104" s="253"/>
      <c r="G1104" s="253"/>
      <c r="H1104" s="253"/>
      <c r="I1104" s="253"/>
      <c r="J1104" s="253"/>
      <c r="K1104" s="253"/>
      <c r="L1104" s="253"/>
      <c r="M1104" s="253"/>
      <c r="N1104" s="253"/>
      <c r="O1104" s="253"/>
      <c r="P1104" s="253"/>
      <c r="Q1104" s="253"/>
      <c r="R1104" s="253"/>
    </row>
    <row r="1105" ht="15.75" customHeight="1">
      <c r="A1105" s="253"/>
      <c r="B1105" s="253"/>
      <c r="C1105" s="253"/>
      <c r="D1105" s="262" t="s">
        <v>4011</v>
      </c>
      <c r="E1105" s="253"/>
      <c r="F1105" s="253"/>
      <c r="G1105" s="253"/>
      <c r="H1105" s="253"/>
      <c r="I1105" s="253"/>
      <c r="J1105" s="253"/>
      <c r="K1105" s="253"/>
      <c r="L1105" s="253"/>
      <c r="M1105" s="253"/>
      <c r="N1105" s="253"/>
      <c r="O1105" s="253"/>
      <c r="P1105" s="253"/>
      <c r="Q1105" s="253"/>
      <c r="R1105" s="253"/>
    </row>
    <row r="1106" ht="15.75" customHeight="1">
      <c r="A1106" s="253"/>
      <c r="B1106" s="253"/>
      <c r="C1106" s="253"/>
      <c r="D1106" s="262" t="s">
        <v>12058</v>
      </c>
      <c r="E1106" s="253"/>
      <c r="F1106" s="253"/>
      <c r="G1106" s="253"/>
      <c r="H1106" s="253"/>
      <c r="I1106" s="253"/>
      <c r="J1106" s="253"/>
      <c r="K1106" s="253"/>
      <c r="L1106" s="253"/>
      <c r="M1106" s="253"/>
      <c r="N1106" s="253"/>
      <c r="O1106" s="253"/>
      <c r="P1106" s="253"/>
      <c r="Q1106" s="253"/>
      <c r="R1106" s="253"/>
    </row>
    <row r="1107" ht="15.75" customHeight="1">
      <c r="A1107" s="253"/>
      <c r="B1107" s="253"/>
      <c r="C1107" s="253"/>
      <c r="D1107" s="262" t="s">
        <v>12059</v>
      </c>
      <c r="E1107" s="253"/>
      <c r="F1107" s="253"/>
      <c r="G1107" s="253"/>
      <c r="H1107" s="253"/>
      <c r="I1107" s="253"/>
      <c r="J1107" s="253"/>
      <c r="K1107" s="253"/>
      <c r="L1107" s="253"/>
      <c r="M1107" s="253"/>
      <c r="N1107" s="253"/>
      <c r="O1107" s="253"/>
      <c r="P1107" s="253"/>
      <c r="Q1107" s="253"/>
      <c r="R1107" s="253"/>
    </row>
    <row r="1108" ht="15.75" customHeight="1">
      <c r="A1108" s="253"/>
      <c r="B1108" s="253"/>
      <c r="C1108" s="253"/>
      <c r="D1108" s="262" t="s">
        <v>11314</v>
      </c>
      <c r="E1108" s="253"/>
      <c r="F1108" s="253"/>
      <c r="G1108" s="253"/>
      <c r="H1108" s="253"/>
      <c r="I1108" s="253"/>
      <c r="J1108" s="253"/>
      <c r="K1108" s="253"/>
      <c r="L1108" s="253"/>
      <c r="M1108" s="253"/>
      <c r="N1108" s="253"/>
      <c r="O1108" s="253"/>
      <c r="P1108" s="253"/>
      <c r="Q1108" s="253"/>
      <c r="R1108" s="253"/>
    </row>
    <row r="1109" ht="15.75" customHeight="1">
      <c r="A1109" s="253"/>
      <c r="B1109" s="253"/>
      <c r="C1109" s="253"/>
      <c r="D1109" s="262" t="s">
        <v>8410</v>
      </c>
      <c r="E1109" s="253"/>
      <c r="F1109" s="253"/>
      <c r="G1109" s="253"/>
      <c r="H1109" s="253"/>
      <c r="I1109" s="253"/>
      <c r="J1109" s="253"/>
      <c r="K1109" s="253"/>
      <c r="L1109" s="253"/>
      <c r="M1109" s="253"/>
      <c r="N1109" s="253"/>
      <c r="O1109" s="253"/>
      <c r="P1109" s="253"/>
      <c r="Q1109" s="253"/>
      <c r="R1109" s="253"/>
    </row>
    <row r="1110" ht="15.75" customHeight="1">
      <c r="A1110" s="253"/>
      <c r="B1110" s="253"/>
      <c r="C1110" s="253"/>
      <c r="D1110" s="262" t="s">
        <v>12060</v>
      </c>
      <c r="E1110" s="253"/>
      <c r="F1110" s="253"/>
      <c r="G1110" s="253"/>
      <c r="H1110" s="253"/>
      <c r="I1110" s="253"/>
      <c r="J1110" s="253"/>
      <c r="K1110" s="253"/>
      <c r="L1110" s="253"/>
      <c r="M1110" s="253"/>
      <c r="N1110" s="253"/>
      <c r="O1110" s="253"/>
      <c r="P1110" s="253"/>
      <c r="Q1110" s="253"/>
      <c r="R1110" s="253"/>
    </row>
    <row r="1111" ht="15.75" customHeight="1">
      <c r="A1111" s="253"/>
      <c r="B1111" s="253"/>
      <c r="C1111" s="253"/>
      <c r="D1111" s="262" t="s">
        <v>12061</v>
      </c>
      <c r="E1111" s="253"/>
      <c r="F1111" s="253"/>
      <c r="G1111" s="253"/>
      <c r="H1111" s="253"/>
      <c r="I1111" s="253"/>
      <c r="J1111" s="253"/>
      <c r="K1111" s="253"/>
      <c r="L1111" s="253"/>
      <c r="M1111" s="253"/>
      <c r="N1111" s="253"/>
      <c r="O1111" s="253"/>
      <c r="P1111" s="253"/>
      <c r="Q1111" s="253"/>
      <c r="R1111" s="253"/>
    </row>
    <row r="1112" ht="15.75" customHeight="1">
      <c r="A1112" s="253"/>
      <c r="B1112" s="253"/>
      <c r="C1112" s="253"/>
      <c r="D1112" s="262" t="s">
        <v>12062</v>
      </c>
      <c r="E1112" s="253"/>
      <c r="F1112" s="253"/>
      <c r="G1112" s="253"/>
      <c r="H1112" s="253"/>
      <c r="I1112" s="253"/>
      <c r="J1112" s="253"/>
      <c r="K1112" s="253"/>
      <c r="L1112" s="253"/>
      <c r="M1112" s="253"/>
      <c r="N1112" s="253"/>
      <c r="O1112" s="253"/>
      <c r="P1112" s="253"/>
      <c r="Q1112" s="253"/>
      <c r="R1112" s="253"/>
    </row>
    <row r="1113" ht="15.75" customHeight="1">
      <c r="A1113" s="253"/>
      <c r="B1113" s="253"/>
      <c r="C1113" s="253"/>
      <c r="D1113" s="262" t="s">
        <v>12063</v>
      </c>
      <c r="E1113" s="253"/>
      <c r="F1113" s="253"/>
      <c r="G1113" s="253"/>
      <c r="H1113" s="253"/>
      <c r="I1113" s="253"/>
      <c r="J1113" s="253"/>
      <c r="K1113" s="253"/>
      <c r="L1113" s="253"/>
      <c r="M1113" s="253"/>
      <c r="N1113" s="253"/>
      <c r="O1113" s="253"/>
      <c r="P1113" s="253"/>
      <c r="Q1113" s="253"/>
      <c r="R1113" s="253"/>
    </row>
    <row r="1114" ht="15.75" customHeight="1">
      <c r="A1114" s="253"/>
      <c r="B1114" s="253"/>
      <c r="C1114" s="253"/>
      <c r="D1114" s="262" t="s">
        <v>12064</v>
      </c>
      <c r="E1114" s="253"/>
      <c r="F1114" s="253"/>
      <c r="G1114" s="253"/>
      <c r="H1114" s="253"/>
      <c r="I1114" s="253"/>
      <c r="J1114" s="253"/>
      <c r="K1114" s="253"/>
      <c r="L1114" s="253"/>
      <c r="M1114" s="253"/>
      <c r="N1114" s="253"/>
      <c r="O1114" s="253"/>
      <c r="P1114" s="253"/>
      <c r="Q1114" s="253"/>
      <c r="R1114" s="253"/>
    </row>
    <row r="1115" ht="15.75" customHeight="1">
      <c r="A1115" s="253"/>
      <c r="B1115" s="253"/>
      <c r="C1115" s="253"/>
      <c r="D1115" s="262" t="s">
        <v>12065</v>
      </c>
      <c r="E1115" s="253"/>
      <c r="F1115" s="253"/>
      <c r="G1115" s="253"/>
      <c r="H1115" s="253"/>
      <c r="I1115" s="253"/>
      <c r="J1115" s="253"/>
      <c r="K1115" s="253"/>
      <c r="L1115" s="253"/>
      <c r="M1115" s="253"/>
      <c r="N1115" s="253"/>
      <c r="O1115" s="253"/>
      <c r="P1115" s="253"/>
      <c r="Q1115" s="253"/>
      <c r="R1115" s="253"/>
    </row>
    <row r="1116" ht="15.75" customHeight="1">
      <c r="A1116" s="253"/>
      <c r="B1116" s="253"/>
      <c r="C1116" s="253"/>
      <c r="D1116" s="262" t="s">
        <v>8019</v>
      </c>
      <c r="E1116" s="253"/>
      <c r="F1116" s="253"/>
      <c r="G1116" s="253"/>
      <c r="H1116" s="253"/>
      <c r="I1116" s="253"/>
      <c r="J1116" s="253"/>
      <c r="K1116" s="253"/>
      <c r="L1116" s="253"/>
      <c r="M1116" s="253"/>
      <c r="N1116" s="253"/>
      <c r="O1116" s="253"/>
      <c r="P1116" s="253"/>
      <c r="Q1116" s="253"/>
      <c r="R1116" s="253"/>
    </row>
    <row r="1117" ht="15.75" customHeight="1">
      <c r="A1117" s="253"/>
      <c r="B1117" s="253"/>
      <c r="C1117" s="253"/>
      <c r="D1117" s="262" t="s">
        <v>12066</v>
      </c>
      <c r="E1117" s="253"/>
      <c r="F1117" s="253"/>
      <c r="G1117" s="253"/>
      <c r="H1117" s="253"/>
      <c r="I1117" s="253"/>
      <c r="J1117" s="253"/>
      <c r="K1117" s="253"/>
      <c r="L1117" s="253"/>
      <c r="M1117" s="253"/>
      <c r="N1117" s="253"/>
      <c r="O1117" s="253"/>
      <c r="P1117" s="253"/>
      <c r="Q1117" s="253"/>
      <c r="R1117" s="253"/>
    </row>
    <row r="1118" ht="15.75" customHeight="1">
      <c r="A1118" s="253"/>
      <c r="B1118" s="253"/>
      <c r="C1118" s="253"/>
      <c r="D1118" s="262" t="s">
        <v>12067</v>
      </c>
      <c r="E1118" s="253"/>
      <c r="F1118" s="253"/>
      <c r="G1118" s="253"/>
      <c r="H1118" s="253"/>
      <c r="I1118" s="253"/>
      <c r="J1118" s="253"/>
      <c r="K1118" s="253"/>
      <c r="L1118" s="253"/>
      <c r="M1118" s="253"/>
      <c r="N1118" s="253"/>
      <c r="O1118" s="253"/>
      <c r="P1118" s="253"/>
      <c r="Q1118" s="253"/>
      <c r="R1118" s="253"/>
    </row>
    <row r="1119" ht="15.75" customHeight="1">
      <c r="A1119" s="253"/>
      <c r="B1119" s="253"/>
      <c r="C1119" s="253"/>
      <c r="D1119" s="262" t="s">
        <v>12068</v>
      </c>
      <c r="E1119" s="253"/>
      <c r="F1119" s="253"/>
      <c r="G1119" s="253"/>
      <c r="H1119" s="253"/>
      <c r="I1119" s="253"/>
      <c r="J1119" s="253"/>
      <c r="K1119" s="253"/>
      <c r="L1119" s="253"/>
      <c r="M1119" s="253"/>
      <c r="N1119" s="253"/>
      <c r="O1119" s="253"/>
      <c r="P1119" s="253"/>
      <c r="Q1119" s="253"/>
      <c r="R1119" s="253"/>
    </row>
    <row r="1120" ht="15.75" customHeight="1">
      <c r="A1120" s="253"/>
      <c r="B1120" s="253"/>
      <c r="C1120" s="253"/>
      <c r="D1120" s="262" t="s">
        <v>12069</v>
      </c>
      <c r="E1120" s="253"/>
      <c r="F1120" s="253"/>
      <c r="G1120" s="253"/>
      <c r="H1120" s="253"/>
      <c r="I1120" s="253"/>
      <c r="J1120" s="253"/>
      <c r="K1120" s="253"/>
      <c r="L1120" s="253"/>
      <c r="M1120" s="253"/>
      <c r="N1120" s="253"/>
      <c r="O1120" s="253"/>
      <c r="P1120" s="253"/>
      <c r="Q1120" s="253"/>
      <c r="R1120" s="253"/>
    </row>
    <row r="1121" ht="15.75" customHeight="1">
      <c r="A1121" s="253"/>
      <c r="B1121" s="253"/>
      <c r="C1121" s="253"/>
      <c r="D1121" s="262" t="s">
        <v>6593</v>
      </c>
      <c r="E1121" s="253"/>
      <c r="F1121" s="253"/>
      <c r="G1121" s="253"/>
      <c r="H1121" s="253"/>
      <c r="I1121" s="253"/>
      <c r="J1121" s="253"/>
      <c r="K1121" s="253"/>
      <c r="L1121" s="253"/>
      <c r="M1121" s="253"/>
      <c r="N1121" s="253"/>
      <c r="O1121" s="253"/>
      <c r="P1121" s="253"/>
      <c r="Q1121" s="253"/>
      <c r="R1121" s="253"/>
    </row>
    <row r="1122" ht="15.75" customHeight="1">
      <c r="A1122" s="253"/>
      <c r="B1122" s="253"/>
      <c r="C1122" s="253"/>
      <c r="D1122" s="262" t="s">
        <v>12070</v>
      </c>
      <c r="E1122" s="253"/>
      <c r="F1122" s="253"/>
      <c r="G1122" s="253"/>
      <c r="H1122" s="253"/>
      <c r="I1122" s="253"/>
      <c r="J1122" s="253"/>
      <c r="K1122" s="253"/>
      <c r="L1122" s="253"/>
      <c r="M1122" s="253"/>
      <c r="N1122" s="253"/>
      <c r="O1122" s="253"/>
      <c r="P1122" s="253"/>
      <c r="Q1122" s="253"/>
      <c r="R1122" s="253"/>
    </row>
    <row r="1123" ht="15.75" customHeight="1">
      <c r="A1123" s="253"/>
      <c r="B1123" s="253"/>
      <c r="C1123" s="253"/>
      <c r="D1123" s="262" t="s">
        <v>12071</v>
      </c>
      <c r="E1123" s="253"/>
      <c r="F1123" s="253"/>
      <c r="G1123" s="253"/>
      <c r="H1123" s="253"/>
      <c r="I1123" s="253"/>
      <c r="J1123" s="253"/>
      <c r="K1123" s="253"/>
      <c r="L1123" s="253"/>
      <c r="M1123" s="253"/>
      <c r="N1123" s="253"/>
      <c r="O1123" s="253"/>
      <c r="P1123" s="253"/>
      <c r="Q1123" s="253"/>
      <c r="R1123" s="253"/>
    </row>
    <row r="1124" ht="15.75" customHeight="1">
      <c r="A1124" s="253"/>
      <c r="B1124" s="253"/>
      <c r="C1124" s="253"/>
      <c r="D1124" s="265" t="s">
        <v>11444</v>
      </c>
      <c r="E1124" s="253"/>
      <c r="F1124" s="253"/>
      <c r="G1124" s="253"/>
      <c r="H1124" s="253"/>
      <c r="I1124" s="253"/>
      <c r="J1124" s="253"/>
      <c r="K1124" s="253"/>
      <c r="L1124" s="253"/>
      <c r="M1124" s="253"/>
      <c r="N1124" s="253"/>
      <c r="O1124" s="253"/>
      <c r="P1124" s="253"/>
      <c r="Q1124" s="253"/>
      <c r="R1124" s="253"/>
    </row>
    <row r="1125" ht="15.75" customHeight="1">
      <c r="A1125" s="253"/>
      <c r="B1125" s="253"/>
      <c r="C1125" s="253"/>
      <c r="D1125" s="262" t="s">
        <v>874</v>
      </c>
      <c r="E1125" s="253"/>
      <c r="F1125" s="253"/>
      <c r="G1125" s="253"/>
      <c r="H1125" s="253"/>
      <c r="I1125" s="253"/>
      <c r="J1125" s="253"/>
      <c r="K1125" s="253"/>
      <c r="L1125" s="253"/>
      <c r="M1125" s="253"/>
      <c r="N1125" s="253"/>
      <c r="O1125" s="253"/>
      <c r="P1125" s="253"/>
      <c r="Q1125" s="253"/>
      <c r="R1125" s="253"/>
    </row>
    <row r="1126" ht="15.75" customHeight="1">
      <c r="A1126" s="253"/>
      <c r="B1126" s="253"/>
      <c r="C1126" s="253"/>
      <c r="D1126" s="262" t="s">
        <v>12072</v>
      </c>
      <c r="E1126" s="253"/>
      <c r="F1126" s="253"/>
      <c r="G1126" s="253"/>
      <c r="H1126" s="253"/>
      <c r="I1126" s="253"/>
      <c r="J1126" s="253"/>
      <c r="K1126" s="253"/>
      <c r="L1126" s="253"/>
      <c r="M1126" s="253"/>
      <c r="N1126" s="253"/>
      <c r="O1126" s="253"/>
      <c r="P1126" s="253"/>
      <c r="Q1126" s="253"/>
      <c r="R1126" s="253"/>
    </row>
    <row r="1127" ht="15.75" customHeight="1">
      <c r="A1127" s="253"/>
      <c r="B1127" s="253"/>
      <c r="C1127" s="253"/>
      <c r="D1127" s="262" t="s">
        <v>4435</v>
      </c>
      <c r="E1127" s="253"/>
      <c r="F1127" s="253"/>
      <c r="G1127" s="253"/>
      <c r="H1127" s="253"/>
      <c r="I1127" s="253"/>
      <c r="J1127" s="253"/>
      <c r="K1127" s="253"/>
      <c r="L1127" s="253"/>
      <c r="M1127" s="253"/>
      <c r="N1127" s="253"/>
      <c r="O1127" s="253"/>
      <c r="P1127" s="253"/>
      <c r="Q1127" s="253"/>
      <c r="R1127" s="253"/>
    </row>
    <row r="1128" ht="15.75" customHeight="1">
      <c r="A1128" s="253"/>
      <c r="B1128" s="253"/>
      <c r="C1128" s="253"/>
      <c r="D1128" s="262" t="s">
        <v>1581</v>
      </c>
      <c r="E1128" s="253"/>
      <c r="F1128" s="253"/>
      <c r="G1128" s="253"/>
      <c r="H1128" s="253"/>
      <c r="I1128" s="253"/>
      <c r="J1128" s="253"/>
      <c r="K1128" s="253"/>
      <c r="L1128" s="253"/>
      <c r="M1128" s="253"/>
      <c r="N1128" s="253"/>
      <c r="O1128" s="253"/>
      <c r="P1128" s="253"/>
      <c r="Q1128" s="253"/>
      <c r="R1128" s="253"/>
    </row>
    <row r="1129" ht="15.75" customHeight="1">
      <c r="A1129" s="253"/>
      <c r="B1129" s="253"/>
      <c r="C1129" s="253"/>
      <c r="D1129" s="262" t="s">
        <v>12073</v>
      </c>
      <c r="E1129" s="253"/>
      <c r="F1129" s="253"/>
      <c r="G1129" s="253"/>
      <c r="H1129" s="253"/>
      <c r="I1129" s="253"/>
      <c r="J1129" s="253"/>
      <c r="K1129" s="253"/>
      <c r="L1129" s="253"/>
      <c r="M1129" s="253"/>
      <c r="N1129" s="253"/>
      <c r="O1129" s="253"/>
      <c r="P1129" s="253"/>
      <c r="Q1129" s="253"/>
      <c r="R1129" s="253"/>
    </row>
    <row r="1130" ht="15.75" customHeight="1">
      <c r="A1130" s="253"/>
      <c r="B1130" s="253"/>
      <c r="C1130" s="253"/>
      <c r="D1130" s="262" t="s">
        <v>744</v>
      </c>
      <c r="E1130" s="253"/>
      <c r="F1130" s="253"/>
      <c r="G1130" s="253"/>
      <c r="H1130" s="253"/>
      <c r="I1130" s="253"/>
      <c r="J1130" s="253"/>
      <c r="K1130" s="253"/>
      <c r="L1130" s="253"/>
      <c r="M1130" s="253"/>
      <c r="N1130" s="253"/>
      <c r="O1130" s="253"/>
      <c r="P1130" s="253"/>
      <c r="Q1130" s="253"/>
      <c r="R1130" s="253"/>
    </row>
    <row r="1131" ht="15.75" customHeight="1">
      <c r="A1131" s="253"/>
      <c r="B1131" s="253"/>
      <c r="C1131" s="253"/>
      <c r="D1131" s="262" t="s">
        <v>12074</v>
      </c>
      <c r="E1131" s="253"/>
      <c r="F1131" s="253"/>
      <c r="G1131" s="253"/>
      <c r="H1131" s="253"/>
      <c r="I1131" s="253"/>
      <c r="J1131" s="253"/>
      <c r="K1131" s="253"/>
      <c r="L1131" s="253"/>
      <c r="M1131" s="253"/>
      <c r="N1131" s="253"/>
      <c r="O1131" s="253"/>
      <c r="P1131" s="253"/>
      <c r="Q1131" s="253"/>
      <c r="R1131" s="253"/>
    </row>
    <row r="1132" ht="15.75" customHeight="1">
      <c r="A1132" s="253"/>
      <c r="B1132" s="253"/>
      <c r="C1132" s="253"/>
      <c r="D1132" s="262" t="s">
        <v>12075</v>
      </c>
      <c r="E1132" s="253"/>
      <c r="F1132" s="253"/>
      <c r="G1132" s="253"/>
      <c r="H1132" s="253"/>
      <c r="I1132" s="253"/>
      <c r="J1132" s="253"/>
      <c r="K1132" s="253"/>
      <c r="L1132" s="253"/>
      <c r="M1132" s="253"/>
      <c r="N1132" s="253"/>
      <c r="O1132" s="253"/>
      <c r="P1132" s="253"/>
      <c r="Q1132" s="253"/>
      <c r="R1132" s="253"/>
    </row>
    <row r="1133" ht="15.75" customHeight="1">
      <c r="A1133" s="253"/>
      <c r="B1133" s="253"/>
      <c r="C1133" s="253"/>
      <c r="D1133" s="262" t="s">
        <v>12076</v>
      </c>
      <c r="E1133" s="253"/>
      <c r="F1133" s="253"/>
      <c r="G1133" s="253"/>
      <c r="H1133" s="253"/>
      <c r="I1133" s="253"/>
      <c r="J1133" s="253"/>
      <c r="K1133" s="253"/>
      <c r="L1133" s="253"/>
      <c r="M1133" s="253"/>
      <c r="N1133" s="253"/>
      <c r="O1133" s="253"/>
      <c r="P1133" s="253"/>
      <c r="Q1133" s="253"/>
      <c r="R1133" s="253"/>
    </row>
    <row r="1134" ht="15.75" customHeight="1">
      <c r="A1134" s="253"/>
      <c r="B1134" s="253"/>
      <c r="C1134" s="253"/>
      <c r="D1134" s="262" t="s">
        <v>12077</v>
      </c>
      <c r="E1134" s="253"/>
      <c r="F1134" s="253"/>
      <c r="G1134" s="253"/>
      <c r="H1134" s="253"/>
      <c r="I1134" s="253"/>
      <c r="J1134" s="253"/>
      <c r="K1134" s="253"/>
      <c r="L1134" s="253"/>
      <c r="M1134" s="253"/>
      <c r="N1134" s="253"/>
      <c r="O1134" s="253"/>
      <c r="P1134" s="253"/>
      <c r="Q1134" s="253"/>
      <c r="R1134" s="253"/>
    </row>
    <row r="1135" ht="15.75" customHeight="1">
      <c r="A1135" s="253"/>
      <c r="B1135" s="253"/>
      <c r="C1135" s="253"/>
      <c r="D1135" s="262" t="s">
        <v>12078</v>
      </c>
      <c r="E1135" s="253"/>
      <c r="F1135" s="253"/>
      <c r="G1135" s="253"/>
      <c r="H1135" s="253"/>
      <c r="I1135" s="253"/>
      <c r="J1135" s="253"/>
      <c r="K1135" s="253"/>
      <c r="L1135" s="253"/>
      <c r="M1135" s="253"/>
      <c r="N1135" s="253"/>
      <c r="O1135" s="253"/>
      <c r="P1135" s="253"/>
      <c r="Q1135" s="253"/>
      <c r="R1135" s="253"/>
    </row>
    <row r="1136" ht="15.75" customHeight="1">
      <c r="A1136" s="253"/>
      <c r="B1136" s="253"/>
      <c r="C1136" s="253"/>
      <c r="D1136" s="262" t="s">
        <v>12079</v>
      </c>
      <c r="E1136" s="253"/>
      <c r="F1136" s="253"/>
      <c r="G1136" s="253"/>
      <c r="H1136" s="253"/>
      <c r="I1136" s="253"/>
      <c r="J1136" s="253"/>
      <c r="K1136" s="253"/>
      <c r="L1136" s="253"/>
      <c r="M1136" s="253"/>
      <c r="N1136" s="253"/>
      <c r="O1136" s="253"/>
      <c r="P1136" s="253"/>
      <c r="Q1136" s="253"/>
      <c r="R1136" s="253"/>
    </row>
    <row r="1137" ht="15.75" customHeight="1">
      <c r="A1137" s="253"/>
      <c r="B1137" s="253"/>
      <c r="C1137" s="253"/>
      <c r="D1137" s="262" t="s">
        <v>12080</v>
      </c>
      <c r="E1137" s="253"/>
      <c r="F1137" s="253"/>
      <c r="G1137" s="253"/>
      <c r="H1137" s="253"/>
      <c r="I1137" s="253"/>
      <c r="J1137" s="253"/>
      <c r="K1137" s="253"/>
      <c r="L1137" s="253"/>
      <c r="M1137" s="253"/>
      <c r="N1137" s="253"/>
      <c r="O1137" s="253"/>
      <c r="P1137" s="253"/>
      <c r="Q1137" s="253"/>
      <c r="R1137" s="253"/>
    </row>
    <row r="1138" ht="15.75" customHeight="1">
      <c r="A1138" s="253"/>
      <c r="B1138" s="253"/>
      <c r="C1138" s="253"/>
      <c r="D1138" s="262" t="s">
        <v>168</v>
      </c>
      <c r="E1138" s="253"/>
      <c r="F1138" s="253"/>
      <c r="G1138" s="253"/>
      <c r="H1138" s="253"/>
      <c r="I1138" s="253"/>
      <c r="J1138" s="253"/>
      <c r="K1138" s="253"/>
      <c r="L1138" s="253"/>
      <c r="M1138" s="253"/>
      <c r="N1138" s="253"/>
      <c r="O1138" s="253"/>
      <c r="P1138" s="253"/>
      <c r="Q1138" s="253"/>
      <c r="R1138" s="253"/>
    </row>
    <row r="1139" ht="15.75" customHeight="1">
      <c r="A1139" s="253"/>
      <c r="B1139" s="253"/>
      <c r="C1139" s="253"/>
      <c r="D1139" s="262" t="s">
        <v>3760</v>
      </c>
      <c r="E1139" s="253"/>
      <c r="F1139" s="253"/>
      <c r="G1139" s="253"/>
      <c r="H1139" s="253"/>
      <c r="I1139" s="253"/>
      <c r="J1139" s="253"/>
      <c r="K1139" s="253"/>
      <c r="L1139" s="253"/>
      <c r="M1139" s="253"/>
      <c r="N1139" s="253"/>
      <c r="O1139" s="253"/>
      <c r="P1139" s="253"/>
      <c r="Q1139" s="253"/>
      <c r="R1139" s="253"/>
    </row>
    <row r="1140" ht="15.75" customHeight="1">
      <c r="A1140" s="253"/>
      <c r="B1140" s="253"/>
      <c r="C1140" s="253"/>
      <c r="D1140" s="262" t="s">
        <v>12081</v>
      </c>
      <c r="E1140" s="253"/>
      <c r="F1140" s="253"/>
      <c r="G1140" s="253"/>
      <c r="H1140" s="253"/>
      <c r="I1140" s="253"/>
      <c r="J1140" s="253"/>
      <c r="K1140" s="253"/>
      <c r="L1140" s="253"/>
      <c r="M1140" s="253"/>
      <c r="N1140" s="253"/>
      <c r="O1140" s="253"/>
      <c r="P1140" s="253"/>
      <c r="Q1140" s="253"/>
      <c r="R1140" s="253"/>
    </row>
    <row r="1141" ht="15.75" customHeight="1">
      <c r="A1141" s="253"/>
      <c r="B1141" s="253"/>
      <c r="C1141" s="253"/>
      <c r="D1141" s="262" t="s">
        <v>12082</v>
      </c>
      <c r="E1141" s="253"/>
      <c r="F1141" s="253"/>
      <c r="G1141" s="253"/>
      <c r="H1141" s="253"/>
      <c r="I1141" s="253"/>
      <c r="J1141" s="253"/>
      <c r="K1141" s="253"/>
      <c r="L1141" s="253"/>
      <c r="M1141" s="253"/>
      <c r="N1141" s="253"/>
      <c r="O1141" s="253"/>
      <c r="P1141" s="253"/>
      <c r="Q1141" s="253"/>
      <c r="R1141" s="253"/>
    </row>
    <row r="1142" ht="15.75" customHeight="1">
      <c r="A1142" s="253"/>
      <c r="B1142" s="253"/>
      <c r="C1142" s="253"/>
      <c r="D1142" s="262" t="s">
        <v>3037</v>
      </c>
      <c r="E1142" s="253"/>
      <c r="F1142" s="253"/>
      <c r="G1142" s="253"/>
      <c r="H1142" s="253"/>
      <c r="I1142" s="253"/>
      <c r="J1142" s="253"/>
      <c r="K1142" s="253"/>
      <c r="L1142" s="253"/>
      <c r="M1142" s="253"/>
      <c r="N1142" s="253"/>
      <c r="O1142" s="253"/>
      <c r="P1142" s="253"/>
      <c r="Q1142" s="253"/>
      <c r="R1142" s="253"/>
    </row>
    <row r="1143" ht="15.75" customHeight="1">
      <c r="A1143" s="253"/>
      <c r="B1143" s="253"/>
      <c r="C1143" s="253"/>
      <c r="D1143" s="262" t="s">
        <v>3420</v>
      </c>
      <c r="E1143" s="253"/>
      <c r="F1143" s="253"/>
      <c r="G1143" s="253"/>
      <c r="H1143" s="253"/>
      <c r="I1143" s="253"/>
      <c r="J1143" s="253"/>
      <c r="K1143" s="253"/>
      <c r="L1143" s="253"/>
      <c r="M1143" s="253"/>
      <c r="N1143" s="253"/>
      <c r="O1143" s="253"/>
      <c r="P1143" s="253"/>
      <c r="Q1143" s="253"/>
      <c r="R1143" s="253"/>
    </row>
    <row r="1144" ht="15.75" customHeight="1">
      <c r="A1144" s="253"/>
      <c r="B1144" s="253"/>
      <c r="C1144" s="253"/>
      <c r="D1144" s="262" t="s">
        <v>12083</v>
      </c>
      <c r="E1144" s="253"/>
      <c r="F1144" s="253"/>
      <c r="G1144" s="253"/>
      <c r="H1144" s="253"/>
      <c r="I1144" s="253"/>
      <c r="J1144" s="253"/>
      <c r="K1144" s="253"/>
      <c r="L1144" s="253"/>
      <c r="M1144" s="253"/>
      <c r="N1144" s="253"/>
      <c r="O1144" s="253"/>
      <c r="P1144" s="253"/>
      <c r="Q1144" s="253"/>
      <c r="R1144" s="253"/>
    </row>
    <row r="1145" ht="15.75" customHeight="1">
      <c r="A1145" s="253"/>
      <c r="B1145" s="253"/>
      <c r="C1145" s="253"/>
      <c r="D1145" s="262" t="s">
        <v>12084</v>
      </c>
      <c r="E1145" s="253"/>
      <c r="F1145" s="253"/>
      <c r="G1145" s="253"/>
      <c r="H1145" s="253"/>
      <c r="I1145" s="253"/>
      <c r="J1145" s="253"/>
      <c r="K1145" s="253"/>
      <c r="L1145" s="253"/>
      <c r="M1145" s="253"/>
      <c r="N1145" s="253"/>
      <c r="O1145" s="253"/>
      <c r="P1145" s="253"/>
      <c r="Q1145" s="253"/>
      <c r="R1145" s="253"/>
    </row>
    <row r="1146" ht="15.75" customHeight="1">
      <c r="A1146" s="253"/>
      <c r="B1146" s="253"/>
      <c r="C1146" s="253"/>
      <c r="D1146" s="262" t="s">
        <v>12085</v>
      </c>
      <c r="E1146" s="253"/>
      <c r="F1146" s="253"/>
      <c r="G1146" s="253"/>
      <c r="H1146" s="253"/>
      <c r="I1146" s="253"/>
      <c r="J1146" s="253"/>
      <c r="K1146" s="253"/>
      <c r="L1146" s="253"/>
      <c r="M1146" s="253"/>
      <c r="N1146" s="253"/>
      <c r="O1146" s="253"/>
      <c r="P1146" s="253"/>
      <c r="Q1146" s="253"/>
      <c r="R1146" s="253"/>
    </row>
    <row r="1147" ht="15.75" customHeight="1">
      <c r="A1147" s="253"/>
      <c r="B1147" s="253"/>
      <c r="C1147" s="253"/>
      <c r="D1147" s="262" t="s">
        <v>2193</v>
      </c>
      <c r="E1147" s="253"/>
      <c r="F1147" s="253"/>
      <c r="G1147" s="253"/>
      <c r="H1147" s="253"/>
      <c r="I1147" s="253"/>
      <c r="J1147" s="253"/>
      <c r="K1147" s="253"/>
      <c r="L1147" s="253"/>
      <c r="M1147" s="253"/>
      <c r="N1147" s="253"/>
      <c r="O1147" s="253"/>
      <c r="P1147" s="253"/>
      <c r="Q1147" s="253"/>
      <c r="R1147" s="253"/>
    </row>
    <row r="1148" ht="15.75" customHeight="1">
      <c r="A1148" s="253"/>
      <c r="B1148" s="253"/>
      <c r="C1148" s="253"/>
      <c r="D1148" s="262" t="s">
        <v>12086</v>
      </c>
      <c r="E1148" s="253"/>
      <c r="F1148" s="253"/>
      <c r="G1148" s="253"/>
      <c r="H1148" s="253"/>
      <c r="I1148" s="253"/>
      <c r="J1148" s="253"/>
      <c r="K1148" s="253"/>
      <c r="L1148" s="253"/>
      <c r="M1148" s="253"/>
      <c r="N1148" s="253"/>
      <c r="O1148" s="253"/>
      <c r="P1148" s="253"/>
      <c r="Q1148" s="253"/>
      <c r="R1148" s="253"/>
    </row>
    <row r="1149" ht="15.75" customHeight="1">
      <c r="A1149" s="253"/>
      <c r="B1149" s="253"/>
      <c r="C1149" s="253"/>
      <c r="D1149" s="262" t="s">
        <v>4680</v>
      </c>
      <c r="E1149" s="253"/>
      <c r="F1149" s="253"/>
      <c r="G1149" s="253"/>
      <c r="H1149" s="253"/>
      <c r="I1149" s="253"/>
      <c r="J1149" s="253"/>
      <c r="K1149" s="253"/>
      <c r="L1149" s="253"/>
      <c r="M1149" s="253"/>
      <c r="N1149" s="253"/>
      <c r="O1149" s="253"/>
      <c r="P1149" s="253"/>
      <c r="Q1149" s="253"/>
      <c r="R1149" s="253"/>
    </row>
    <row r="1150" ht="15.75" customHeight="1">
      <c r="A1150" s="253"/>
      <c r="B1150" s="253"/>
      <c r="C1150" s="253"/>
      <c r="D1150" s="262" t="s">
        <v>2023</v>
      </c>
      <c r="E1150" s="253"/>
      <c r="F1150" s="253"/>
      <c r="G1150" s="253"/>
      <c r="H1150" s="253"/>
      <c r="I1150" s="253"/>
      <c r="J1150" s="253"/>
      <c r="K1150" s="253"/>
      <c r="L1150" s="253"/>
      <c r="M1150" s="253"/>
      <c r="N1150" s="253"/>
      <c r="O1150" s="253"/>
      <c r="P1150" s="253"/>
      <c r="Q1150" s="253"/>
      <c r="R1150" s="253"/>
    </row>
    <row r="1151" ht="15.75" customHeight="1">
      <c r="A1151" s="253"/>
      <c r="B1151" s="253"/>
      <c r="C1151" s="253"/>
      <c r="D1151" s="262" t="s">
        <v>3177</v>
      </c>
      <c r="E1151" s="253"/>
      <c r="F1151" s="253"/>
      <c r="G1151" s="253"/>
      <c r="H1151" s="253"/>
      <c r="I1151" s="253"/>
      <c r="J1151" s="253"/>
      <c r="K1151" s="253"/>
      <c r="L1151" s="253"/>
      <c r="M1151" s="253"/>
      <c r="N1151" s="253"/>
      <c r="O1151" s="253"/>
      <c r="P1151" s="253"/>
      <c r="Q1151" s="253"/>
      <c r="R1151" s="253"/>
    </row>
    <row r="1152" ht="15.75" customHeight="1">
      <c r="A1152" s="253"/>
      <c r="B1152" s="253"/>
      <c r="C1152" s="253"/>
      <c r="D1152" s="262" t="s">
        <v>4778</v>
      </c>
      <c r="E1152" s="253"/>
      <c r="F1152" s="253"/>
      <c r="G1152" s="253"/>
      <c r="H1152" s="253"/>
      <c r="I1152" s="253"/>
      <c r="J1152" s="253"/>
      <c r="K1152" s="253"/>
      <c r="L1152" s="253"/>
      <c r="M1152" s="253"/>
      <c r="N1152" s="253"/>
      <c r="O1152" s="253"/>
      <c r="P1152" s="253"/>
      <c r="Q1152" s="253"/>
      <c r="R1152" s="253"/>
    </row>
    <row r="1153" ht="15.75" customHeight="1">
      <c r="A1153" s="253"/>
      <c r="B1153" s="253"/>
      <c r="C1153" s="253"/>
      <c r="D1153" s="262" t="s">
        <v>12087</v>
      </c>
      <c r="E1153" s="253"/>
      <c r="F1153" s="253"/>
      <c r="G1153" s="253"/>
      <c r="H1153" s="253"/>
      <c r="I1153" s="253"/>
      <c r="J1153" s="253"/>
      <c r="K1153" s="253"/>
      <c r="L1153" s="253"/>
      <c r="M1153" s="253"/>
      <c r="N1153" s="253"/>
      <c r="O1153" s="253"/>
      <c r="P1153" s="253"/>
      <c r="Q1153" s="253"/>
      <c r="R1153" s="253"/>
    </row>
    <row r="1154" ht="15.75" customHeight="1">
      <c r="A1154" s="253"/>
      <c r="B1154" s="253"/>
      <c r="C1154" s="253"/>
      <c r="D1154" s="262" t="s">
        <v>2230</v>
      </c>
      <c r="E1154" s="253"/>
      <c r="F1154" s="253"/>
      <c r="G1154" s="253"/>
      <c r="H1154" s="253"/>
      <c r="I1154" s="253"/>
      <c r="J1154" s="253"/>
      <c r="K1154" s="253"/>
      <c r="L1154" s="253"/>
      <c r="M1154" s="253"/>
      <c r="N1154" s="253"/>
      <c r="O1154" s="253"/>
      <c r="P1154" s="253"/>
      <c r="Q1154" s="253"/>
      <c r="R1154" s="253"/>
    </row>
    <row r="1155" ht="15.75" customHeight="1">
      <c r="A1155" s="253"/>
      <c r="B1155" s="253"/>
      <c r="C1155" s="253"/>
      <c r="D1155" s="262" t="s">
        <v>12088</v>
      </c>
      <c r="E1155" s="253"/>
      <c r="F1155" s="253"/>
      <c r="G1155" s="253"/>
      <c r="H1155" s="253"/>
      <c r="I1155" s="253"/>
      <c r="J1155" s="253"/>
      <c r="K1155" s="253"/>
      <c r="L1155" s="253"/>
      <c r="M1155" s="253"/>
      <c r="N1155" s="253"/>
      <c r="O1155" s="253"/>
      <c r="P1155" s="253"/>
      <c r="Q1155" s="253"/>
      <c r="R1155" s="253"/>
    </row>
    <row r="1156" ht="15.75" customHeight="1">
      <c r="A1156" s="253"/>
      <c r="B1156" s="253"/>
      <c r="C1156" s="253"/>
      <c r="D1156" s="262" t="s">
        <v>12089</v>
      </c>
      <c r="E1156" s="253"/>
      <c r="F1156" s="253"/>
      <c r="G1156" s="253"/>
      <c r="H1156" s="253"/>
      <c r="I1156" s="253"/>
      <c r="J1156" s="253"/>
      <c r="K1156" s="253"/>
      <c r="L1156" s="253"/>
      <c r="M1156" s="253"/>
      <c r="N1156" s="253"/>
      <c r="O1156" s="253"/>
      <c r="P1156" s="253"/>
      <c r="Q1156" s="253"/>
      <c r="R1156" s="253"/>
    </row>
    <row r="1157" ht="15.75" customHeight="1">
      <c r="A1157" s="253"/>
      <c r="B1157" s="253"/>
      <c r="C1157" s="253"/>
      <c r="D1157" s="262" t="s">
        <v>2696</v>
      </c>
      <c r="E1157" s="253"/>
      <c r="F1157" s="253"/>
      <c r="G1157" s="253"/>
      <c r="H1157" s="253"/>
      <c r="I1157" s="253"/>
      <c r="J1157" s="253"/>
      <c r="K1157" s="253"/>
      <c r="L1157" s="253"/>
      <c r="M1157" s="253"/>
      <c r="N1157" s="253"/>
      <c r="O1157" s="253"/>
      <c r="P1157" s="253"/>
      <c r="Q1157" s="253"/>
      <c r="R1157" s="253"/>
    </row>
    <row r="1158" ht="15.75" customHeight="1">
      <c r="A1158" s="253"/>
      <c r="B1158" s="253"/>
      <c r="C1158" s="253"/>
      <c r="D1158" s="262" t="s">
        <v>12090</v>
      </c>
      <c r="E1158" s="253"/>
      <c r="F1158" s="253"/>
      <c r="G1158" s="253"/>
      <c r="H1158" s="253"/>
      <c r="I1158" s="253"/>
      <c r="J1158" s="253"/>
      <c r="K1158" s="253"/>
      <c r="L1158" s="253"/>
      <c r="M1158" s="253"/>
      <c r="N1158" s="253"/>
      <c r="O1158" s="253"/>
      <c r="P1158" s="253"/>
      <c r="Q1158" s="253"/>
      <c r="R1158" s="253"/>
    </row>
    <row r="1159" ht="15.75" customHeight="1">
      <c r="A1159" s="253"/>
      <c r="B1159" s="253"/>
      <c r="C1159" s="253"/>
      <c r="D1159" s="262" t="s">
        <v>2924</v>
      </c>
      <c r="E1159" s="253"/>
      <c r="F1159" s="253"/>
      <c r="G1159" s="253"/>
      <c r="H1159" s="253"/>
      <c r="I1159" s="253"/>
      <c r="J1159" s="253"/>
      <c r="K1159" s="253"/>
      <c r="L1159" s="253"/>
      <c r="M1159" s="253"/>
      <c r="N1159" s="253"/>
      <c r="O1159" s="253"/>
      <c r="P1159" s="253"/>
      <c r="Q1159" s="253"/>
      <c r="R1159" s="253"/>
    </row>
    <row r="1160" ht="15.75" customHeight="1">
      <c r="A1160" s="253"/>
      <c r="B1160" s="253"/>
      <c r="C1160" s="253"/>
      <c r="D1160" s="262" t="s">
        <v>1601</v>
      </c>
      <c r="E1160" s="253"/>
      <c r="F1160" s="253"/>
      <c r="G1160" s="253"/>
      <c r="H1160" s="253"/>
      <c r="I1160" s="253"/>
      <c r="J1160" s="253"/>
      <c r="K1160" s="253"/>
      <c r="L1160" s="253"/>
      <c r="M1160" s="253"/>
      <c r="N1160" s="253"/>
      <c r="O1160" s="253"/>
      <c r="P1160" s="253"/>
      <c r="Q1160" s="253"/>
      <c r="R1160" s="253"/>
    </row>
    <row r="1161" ht="15.75" customHeight="1">
      <c r="A1161" s="253"/>
      <c r="B1161" s="253"/>
      <c r="C1161" s="253"/>
      <c r="D1161" s="262" t="s">
        <v>1584</v>
      </c>
      <c r="E1161" s="253"/>
      <c r="F1161" s="253"/>
      <c r="G1161" s="253"/>
      <c r="H1161" s="253"/>
      <c r="I1161" s="253"/>
      <c r="J1161" s="253"/>
      <c r="K1161" s="253"/>
      <c r="L1161" s="253"/>
      <c r="M1161" s="253"/>
      <c r="N1161" s="253"/>
      <c r="O1161" s="253"/>
      <c r="P1161" s="253"/>
      <c r="Q1161" s="253"/>
      <c r="R1161" s="253"/>
    </row>
    <row r="1162" ht="15.75" customHeight="1">
      <c r="A1162" s="253"/>
      <c r="B1162" s="253"/>
      <c r="C1162" s="253"/>
      <c r="D1162" s="262" t="s">
        <v>2044</v>
      </c>
      <c r="E1162" s="253"/>
      <c r="F1162" s="253"/>
      <c r="G1162" s="253"/>
      <c r="H1162" s="253"/>
      <c r="I1162" s="253"/>
      <c r="J1162" s="253"/>
      <c r="K1162" s="253"/>
      <c r="L1162" s="253"/>
      <c r="M1162" s="253"/>
      <c r="N1162" s="253"/>
      <c r="O1162" s="253"/>
      <c r="P1162" s="253"/>
      <c r="Q1162" s="253"/>
      <c r="R1162" s="253"/>
    </row>
    <row r="1163" ht="15.75" customHeight="1">
      <c r="A1163" s="253"/>
      <c r="B1163" s="253"/>
      <c r="C1163" s="253"/>
      <c r="D1163" s="262" t="s">
        <v>12091</v>
      </c>
      <c r="E1163" s="253"/>
      <c r="F1163" s="253"/>
      <c r="G1163" s="253"/>
      <c r="H1163" s="253"/>
      <c r="I1163" s="253"/>
      <c r="J1163" s="253"/>
      <c r="K1163" s="253"/>
      <c r="L1163" s="253"/>
      <c r="M1163" s="253"/>
      <c r="N1163" s="253"/>
      <c r="O1163" s="253"/>
      <c r="P1163" s="253"/>
      <c r="Q1163" s="253"/>
      <c r="R1163" s="253"/>
    </row>
    <row r="1164" ht="15.75" customHeight="1">
      <c r="A1164" s="253"/>
      <c r="B1164" s="253"/>
      <c r="C1164" s="253"/>
      <c r="D1164" s="262" t="s">
        <v>105</v>
      </c>
      <c r="E1164" s="253"/>
      <c r="F1164" s="253"/>
      <c r="G1164" s="253"/>
      <c r="H1164" s="253"/>
      <c r="I1164" s="253"/>
      <c r="J1164" s="253"/>
      <c r="K1164" s="253"/>
      <c r="L1164" s="253"/>
      <c r="M1164" s="253"/>
      <c r="N1164" s="253"/>
      <c r="O1164" s="253"/>
      <c r="P1164" s="253"/>
      <c r="Q1164" s="253"/>
      <c r="R1164" s="253"/>
    </row>
    <row r="1165" ht="15.75" customHeight="1">
      <c r="A1165" s="253"/>
      <c r="B1165" s="253"/>
      <c r="C1165" s="253"/>
      <c r="D1165" s="262" t="s">
        <v>3495</v>
      </c>
      <c r="E1165" s="253"/>
      <c r="F1165" s="253"/>
      <c r="G1165" s="253"/>
      <c r="H1165" s="253"/>
      <c r="I1165" s="253"/>
      <c r="J1165" s="253"/>
      <c r="K1165" s="253"/>
      <c r="L1165" s="253"/>
      <c r="M1165" s="253"/>
      <c r="N1165" s="253"/>
      <c r="O1165" s="253"/>
      <c r="P1165" s="253"/>
      <c r="Q1165" s="253"/>
      <c r="R1165" s="253"/>
    </row>
    <row r="1166" ht="15.75" customHeight="1">
      <c r="A1166" s="253"/>
      <c r="B1166" s="253"/>
      <c r="C1166" s="253"/>
      <c r="D1166" s="262" t="s">
        <v>4791</v>
      </c>
      <c r="E1166" s="253"/>
      <c r="F1166" s="253"/>
      <c r="G1166" s="253"/>
      <c r="H1166" s="253"/>
      <c r="I1166" s="253"/>
      <c r="J1166" s="253"/>
      <c r="K1166" s="253"/>
      <c r="L1166" s="253"/>
      <c r="M1166" s="253"/>
      <c r="N1166" s="253"/>
      <c r="O1166" s="253"/>
      <c r="P1166" s="253"/>
      <c r="Q1166" s="253"/>
      <c r="R1166" s="253"/>
    </row>
    <row r="1167" ht="15.75" customHeight="1">
      <c r="A1167" s="253"/>
      <c r="B1167" s="253"/>
      <c r="C1167" s="253"/>
      <c r="D1167" s="262" t="s">
        <v>3528</v>
      </c>
      <c r="E1167" s="253"/>
      <c r="F1167" s="253"/>
      <c r="G1167" s="253"/>
      <c r="H1167" s="253"/>
      <c r="I1167" s="253"/>
      <c r="J1167" s="253"/>
      <c r="K1167" s="253"/>
      <c r="L1167" s="253"/>
      <c r="M1167" s="253"/>
      <c r="N1167" s="253"/>
      <c r="O1167" s="253"/>
      <c r="P1167" s="253"/>
      <c r="Q1167" s="253"/>
      <c r="R1167" s="253"/>
    </row>
    <row r="1168" ht="15.75" customHeight="1">
      <c r="A1168" s="253"/>
      <c r="B1168" s="253"/>
      <c r="C1168" s="253"/>
      <c r="D1168" s="262" t="s">
        <v>12092</v>
      </c>
      <c r="E1168" s="253"/>
      <c r="F1168" s="253"/>
      <c r="G1168" s="253"/>
      <c r="H1168" s="253"/>
      <c r="I1168" s="253"/>
      <c r="J1168" s="253"/>
      <c r="K1168" s="253"/>
      <c r="L1168" s="253"/>
      <c r="M1168" s="253"/>
      <c r="N1168" s="253"/>
      <c r="O1168" s="253"/>
      <c r="P1168" s="253"/>
      <c r="Q1168" s="253"/>
      <c r="R1168" s="253"/>
    </row>
    <row r="1169" ht="15.75" customHeight="1">
      <c r="A1169" s="253"/>
      <c r="B1169" s="253"/>
      <c r="C1169" s="253"/>
      <c r="D1169" s="262" t="s">
        <v>12093</v>
      </c>
      <c r="E1169" s="253"/>
      <c r="F1169" s="253"/>
      <c r="G1169" s="253"/>
      <c r="H1169" s="253"/>
      <c r="I1169" s="253"/>
      <c r="J1169" s="253"/>
      <c r="K1169" s="253"/>
      <c r="L1169" s="253"/>
      <c r="M1169" s="253"/>
      <c r="N1169" s="253"/>
      <c r="O1169" s="253"/>
      <c r="P1169" s="253"/>
      <c r="Q1169" s="253"/>
      <c r="R1169" s="253"/>
    </row>
    <row r="1170" ht="15.75" customHeight="1">
      <c r="A1170" s="253"/>
      <c r="B1170" s="253"/>
      <c r="C1170" s="253"/>
      <c r="D1170" s="262" t="s">
        <v>12094</v>
      </c>
      <c r="E1170" s="253"/>
      <c r="F1170" s="253"/>
      <c r="G1170" s="253"/>
      <c r="H1170" s="253"/>
      <c r="I1170" s="253"/>
      <c r="J1170" s="253"/>
      <c r="K1170" s="253"/>
      <c r="L1170" s="253"/>
      <c r="M1170" s="253"/>
      <c r="N1170" s="253"/>
      <c r="O1170" s="253"/>
      <c r="P1170" s="253"/>
      <c r="Q1170" s="253"/>
      <c r="R1170" s="253"/>
    </row>
    <row r="1171" ht="15.75" customHeight="1">
      <c r="A1171" s="253"/>
      <c r="B1171" s="253"/>
      <c r="C1171" s="253"/>
      <c r="D1171" s="262" t="s">
        <v>12095</v>
      </c>
      <c r="E1171" s="253"/>
      <c r="F1171" s="253"/>
      <c r="G1171" s="253"/>
      <c r="H1171" s="253"/>
      <c r="I1171" s="253"/>
      <c r="J1171" s="253"/>
      <c r="K1171" s="253"/>
      <c r="L1171" s="253"/>
      <c r="M1171" s="253"/>
      <c r="N1171" s="253"/>
      <c r="O1171" s="253"/>
      <c r="P1171" s="253"/>
      <c r="Q1171" s="253"/>
      <c r="R1171" s="253"/>
    </row>
    <row r="1172" ht="15.75" customHeight="1">
      <c r="A1172" s="253"/>
      <c r="B1172" s="253"/>
      <c r="C1172" s="253"/>
      <c r="D1172" s="262" t="s">
        <v>12096</v>
      </c>
      <c r="E1172" s="253"/>
      <c r="F1172" s="253"/>
      <c r="G1172" s="253"/>
      <c r="H1172" s="253"/>
      <c r="I1172" s="253"/>
      <c r="J1172" s="253"/>
      <c r="K1172" s="253"/>
      <c r="L1172" s="253"/>
      <c r="M1172" s="253"/>
      <c r="N1172" s="253"/>
      <c r="O1172" s="253"/>
      <c r="P1172" s="253"/>
      <c r="Q1172" s="253"/>
      <c r="R1172" s="253"/>
    </row>
    <row r="1173" ht="15.75" customHeight="1">
      <c r="A1173" s="253"/>
      <c r="B1173" s="253"/>
      <c r="C1173" s="253"/>
      <c r="D1173" s="262" t="s">
        <v>3891</v>
      </c>
      <c r="E1173" s="253"/>
      <c r="F1173" s="253"/>
      <c r="G1173" s="253"/>
      <c r="H1173" s="253"/>
      <c r="I1173" s="253"/>
      <c r="J1173" s="253"/>
      <c r="K1173" s="253"/>
      <c r="L1173" s="253"/>
      <c r="M1173" s="253"/>
      <c r="N1173" s="253"/>
      <c r="O1173" s="253"/>
      <c r="P1173" s="253"/>
      <c r="Q1173" s="253"/>
      <c r="R1173" s="253"/>
    </row>
    <row r="1174" ht="15.75" customHeight="1">
      <c r="A1174" s="253"/>
      <c r="B1174" s="253"/>
      <c r="C1174" s="253"/>
      <c r="D1174" s="262" t="s">
        <v>12097</v>
      </c>
      <c r="E1174" s="253"/>
      <c r="F1174" s="253"/>
      <c r="G1174" s="253"/>
      <c r="H1174" s="253"/>
      <c r="I1174" s="253"/>
      <c r="J1174" s="253"/>
      <c r="K1174" s="253"/>
      <c r="L1174" s="253"/>
      <c r="M1174" s="253"/>
      <c r="N1174" s="253"/>
      <c r="O1174" s="253"/>
      <c r="P1174" s="253"/>
      <c r="Q1174" s="253"/>
      <c r="R1174" s="253"/>
    </row>
    <row r="1175" ht="15.75" customHeight="1">
      <c r="A1175" s="253"/>
      <c r="B1175" s="253"/>
      <c r="C1175" s="253"/>
      <c r="D1175" s="262" t="s">
        <v>12098</v>
      </c>
      <c r="E1175" s="253"/>
      <c r="F1175" s="253"/>
      <c r="G1175" s="253"/>
      <c r="H1175" s="253"/>
      <c r="I1175" s="253"/>
      <c r="J1175" s="253"/>
      <c r="K1175" s="253"/>
      <c r="L1175" s="253"/>
      <c r="M1175" s="253"/>
      <c r="N1175" s="253"/>
      <c r="O1175" s="253"/>
      <c r="P1175" s="253"/>
      <c r="Q1175" s="253"/>
      <c r="R1175" s="253"/>
    </row>
    <row r="1176" ht="15.75" customHeight="1">
      <c r="A1176" s="253"/>
      <c r="B1176" s="253"/>
      <c r="C1176" s="253"/>
      <c r="D1176" s="262" t="s">
        <v>12099</v>
      </c>
      <c r="E1176" s="253"/>
      <c r="F1176" s="253"/>
      <c r="G1176" s="253"/>
      <c r="H1176" s="253"/>
      <c r="I1176" s="253"/>
      <c r="J1176" s="253"/>
      <c r="K1176" s="253"/>
      <c r="L1176" s="253"/>
      <c r="M1176" s="253"/>
      <c r="N1176" s="253"/>
      <c r="O1176" s="253"/>
      <c r="P1176" s="253"/>
      <c r="Q1176" s="253"/>
      <c r="R1176" s="253"/>
    </row>
    <row r="1177" ht="15.75" customHeight="1">
      <c r="A1177" s="253"/>
      <c r="B1177" s="253"/>
      <c r="C1177" s="253"/>
      <c r="D1177" s="262" t="s">
        <v>12100</v>
      </c>
      <c r="E1177" s="253"/>
      <c r="F1177" s="253"/>
      <c r="G1177" s="253"/>
      <c r="H1177" s="253"/>
      <c r="I1177" s="253"/>
      <c r="J1177" s="253"/>
      <c r="K1177" s="253"/>
      <c r="L1177" s="253"/>
      <c r="M1177" s="253"/>
      <c r="N1177" s="253"/>
      <c r="O1177" s="253"/>
      <c r="P1177" s="253"/>
      <c r="Q1177" s="253"/>
      <c r="R1177" s="253"/>
    </row>
    <row r="1178" ht="15.75" customHeight="1">
      <c r="A1178" s="253"/>
      <c r="B1178" s="253"/>
      <c r="C1178" s="253"/>
      <c r="D1178" s="262" t="s">
        <v>12101</v>
      </c>
      <c r="E1178" s="253"/>
      <c r="F1178" s="253"/>
      <c r="G1178" s="253"/>
      <c r="H1178" s="253"/>
      <c r="I1178" s="253"/>
      <c r="J1178" s="253"/>
      <c r="K1178" s="253"/>
      <c r="L1178" s="253"/>
      <c r="M1178" s="253"/>
      <c r="N1178" s="253"/>
      <c r="O1178" s="253"/>
      <c r="P1178" s="253"/>
      <c r="Q1178" s="253"/>
      <c r="R1178" s="253"/>
    </row>
    <row r="1179" ht="15.75" customHeight="1">
      <c r="A1179" s="253"/>
      <c r="B1179" s="253"/>
      <c r="C1179" s="253"/>
      <c r="D1179" s="262" t="s">
        <v>12102</v>
      </c>
      <c r="E1179" s="253"/>
      <c r="F1179" s="253"/>
      <c r="G1179" s="253"/>
      <c r="H1179" s="253"/>
      <c r="I1179" s="253"/>
      <c r="J1179" s="253"/>
      <c r="K1179" s="253"/>
      <c r="L1179" s="253"/>
      <c r="M1179" s="253"/>
      <c r="N1179" s="253"/>
      <c r="O1179" s="253"/>
      <c r="P1179" s="253"/>
      <c r="Q1179" s="253"/>
      <c r="R1179" s="253"/>
    </row>
    <row r="1180" ht="15.75" customHeight="1">
      <c r="A1180" s="253"/>
      <c r="B1180" s="253"/>
      <c r="C1180" s="253"/>
      <c r="D1180" s="262" t="s">
        <v>12103</v>
      </c>
      <c r="E1180" s="253"/>
      <c r="F1180" s="253"/>
      <c r="G1180" s="253"/>
      <c r="H1180" s="253"/>
      <c r="I1180" s="253"/>
      <c r="J1180" s="253"/>
      <c r="K1180" s="253"/>
      <c r="L1180" s="253"/>
      <c r="M1180" s="253"/>
      <c r="N1180" s="253"/>
      <c r="O1180" s="253"/>
      <c r="P1180" s="253"/>
      <c r="Q1180" s="253"/>
      <c r="R1180" s="253"/>
    </row>
    <row r="1181" ht="15.75" customHeight="1">
      <c r="A1181" s="253"/>
      <c r="B1181" s="253"/>
      <c r="C1181" s="253"/>
      <c r="D1181" s="262" t="s">
        <v>1363</v>
      </c>
      <c r="E1181" s="253"/>
      <c r="F1181" s="253"/>
      <c r="G1181" s="253"/>
      <c r="H1181" s="253"/>
      <c r="I1181" s="253"/>
      <c r="J1181" s="253"/>
      <c r="K1181" s="253"/>
      <c r="L1181" s="253"/>
      <c r="M1181" s="253"/>
      <c r="N1181" s="253"/>
      <c r="O1181" s="253"/>
      <c r="P1181" s="253"/>
      <c r="Q1181" s="253"/>
      <c r="R1181" s="253"/>
    </row>
    <row r="1182" ht="15.75" customHeight="1">
      <c r="A1182" s="253"/>
      <c r="B1182" s="253"/>
      <c r="C1182" s="253"/>
      <c r="D1182" s="262" t="s">
        <v>12104</v>
      </c>
      <c r="E1182" s="253"/>
      <c r="F1182" s="253"/>
      <c r="G1182" s="253"/>
      <c r="H1182" s="253"/>
      <c r="I1182" s="253"/>
      <c r="J1182" s="253"/>
      <c r="K1182" s="253"/>
      <c r="L1182" s="253"/>
      <c r="M1182" s="253"/>
      <c r="N1182" s="253"/>
      <c r="O1182" s="253"/>
      <c r="P1182" s="253"/>
      <c r="Q1182" s="253"/>
      <c r="R1182" s="253"/>
    </row>
    <row r="1183" ht="15.75" customHeight="1">
      <c r="A1183" s="253"/>
      <c r="B1183" s="253"/>
      <c r="C1183" s="253"/>
      <c r="D1183" s="262" t="s">
        <v>2945</v>
      </c>
      <c r="E1183" s="253"/>
      <c r="F1183" s="253"/>
      <c r="G1183" s="253"/>
      <c r="H1183" s="253"/>
      <c r="I1183" s="253"/>
      <c r="J1183" s="253"/>
      <c r="K1183" s="253"/>
      <c r="L1183" s="253"/>
      <c r="M1183" s="253"/>
      <c r="N1183" s="253"/>
      <c r="O1183" s="253"/>
      <c r="P1183" s="253"/>
      <c r="Q1183" s="253"/>
      <c r="R1183" s="253"/>
    </row>
    <row r="1184" ht="15.75" customHeight="1">
      <c r="A1184" s="253"/>
      <c r="B1184" s="253"/>
      <c r="C1184" s="253"/>
      <c r="D1184" s="262" t="s">
        <v>6978</v>
      </c>
      <c r="E1184" s="253"/>
      <c r="F1184" s="253"/>
      <c r="G1184" s="253"/>
      <c r="H1184" s="253"/>
      <c r="I1184" s="253"/>
      <c r="J1184" s="253"/>
      <c r="K1184" s="253"/>
      <c r="L1184" s="253"/>
      <c r="M1184" s="253"/>
      <c r="N1184" s="253"/>
      <c r="O1184" s="253"/>
      <c r="P1184" s="253"/>
      <c r="Q1184" s="253"/>
      <c r="R1184" s="253"/>
    </row>
    <row r="1185" ht="15.75" customHeight="1">
      <c r="A1185" s="253"/>
      <c r="B1185" s="253"/>
      <c r="C1185" s="253"/>
      <c r="D1185" s="262" t="s">
        <v>12105</v>
      </c>
      <c r="E1185" s="253"/>
      <c r="F1185" s="253"/>
      <c r="G1185" s="253"/>
      <c r="H1185" s="253"/>
      <c r="I1185" s="253"/>
      <c r="J1185" s="253"/>
      <c r="K1185" s="253"/>
      <c r="L1185" s="253"/>
      <c r="M1185" s="253"/>
      <c r="N1185" s="253"/>
      <c r="O1185" s="253"/>
      <c r="P1185" s="253"/>
      <c r="Q1185" s="253"/>
      <c r="R1185" s="253"/>
    </row>
    <row r="1186" ht="15.75" customHeight="1">
      <c r="A1186" s="253"/>
      <c r="B1186" s="253"/>
      <c r="C1186" s="253"/>
      <c r="D1186" s="262" t="s">
        <v>12106</v>
      </c>
      <c r="E1186" s="253"/>
      <c r="F1186" s="253"/>
      <c r="G1186" s="253"/>
      <c r="H1186" s="253"/>
      <c r="I1186" s="253"/>
      <c r="J1186" s="253"/>
      <c r="K1186" s="253"/>
      <c r="L1186" s="253"/>
      <c r="M1186" s="253"/>
      <c r="N1186" s="253"/>
      <c r="O1186" s="253"/>
      <c r="P1186" s="253"/>
      <c r="Q1186" s="253"/>
      <c r="R1186" s="253"/>
    </row>
    <row r="1187" ht="15.75" customHeight="1">
      <c r="A1187" s="253"/>
      <c r="B1187" s="253"/>
      <c r="C1187" s="253"/>
      <c r="D1187" s="262" t="s">
        <v>12107</v>
      </c>
      <c r="E1187" s="253"/>
      <c r="F1187" s="253"/>
      <c r="G1187" s="253"/>
      <c r="H1187" s="253"/>
      <c r="I1187" s="253"/>
      <c r="J1187" s="253"/>
      <c r="K1187" s="253"/>
      <c r="L1187" s="253"/>
      <c r="M1187" s="253"/>
      <c r="N1187" s="253"/>
      <c r="O1187" s="253"/>
      <c r="P1187" s="253"/>
      <c r="Q1187" s="253"/>
      <c r="R1187" s="253"/>
    </row>
    <row r="1188" ht="15.75" customHeight="1">
      <c r="A1188" s="253"/>
      <c r="B1188" s="253"/>
      <c r="C1188" s="253"/>
      <c r="D1188" s="262" t="s">
        <v>410</v>
      </c>
      <c r="E1188" s="253"/>
      <c r="F1188" s="253"/>
      <c r="G1188" s="253"/>
      <c r="H1188" s="253"/>
      <c r="I1188" s="253"/>
      <c r="J1188" s="253"/>
      <c r="K1188" s="253"/>
      <c r="L1188" s="253"/>
      <c r="M1188" s="253"/>
      <c r="N1188" s="253"/>
      <c r="O1188" s="253"/>
      <c r="P1188" s="253"/>
      <c r="Q1188" s="253"/>
      <c r="R1188" s="253"/>
    </row>
    <row r="1189" ht="15.75" customHeight="1">
      <c r="A1189" s="253"/>
      <c r="B1189" s="253"/>
      <c r="C1189" s="253"/>
      <c r="D1189" s="262" t="s">
        <v>12108</v>
      </c>
      <c r="E1189" s="253"/>
      <c r="F1189" s="253"/>
      <c r="G1189" s="253"/>
      <c r="H1189" s="253"/>
      <c r="I1189" s="253"/>
      <c r="J1189" s="253"/>
      <c r="K1189" s="253"/>
      <c r="L1189" s="253"/>
      <c r="M1189" s="253"/>
      <c r="N1189" s="253"/>
      <c r="O1189" s="253"/>
      <c r="P1189" s="253"/>
      <c r="Q1189" s="253"/>
      <c r="R1189" s="253"/>
    </row>
    <row r="1190" ht="15.75" customHeight="1">
      <c r="A1190" s="253"/>
      <c r="B1190" s="253"/>
      <c r="C1190" s="253"/>
      <c r="D1190" s="262" t="s">
        <v>12109</v>
      </c>
      <c r="E1190" s="253"/>
      <c r="F1190" s="253"/>
      <c r="G1190" s="253"/>
      <c r="H1190" s="253"/>
      <c r="I1190" s="253"/>
      <c r="J1190" s="253"/>
      <c r="K1190" s="253"/>
      <c r="L1190" s="253"/>
      <c r="M1190" s="253"/>
      <c r="N1190" s="253"/>
      <c r="O1190" s="253"/>
      <c r="P1190" s="253"/>
      <c r="Q1190" s="253"/>
      <c r="R1190" s="253"/>
    </row>
    <row r="1191" ht="15.75" customHeight="1">
      <c r="A1191" s="253"/>
      <c r="B1191" s="253"/>
      <c r="C1191" s="253"/>
      <c r="D1191" s="262" t="s">
        <v>12110</v>
      </c>
      <c r="E1191" s="253"/>
      <c r="F1191" s="253"/>
      <c r="G1191" s="253"/>
      <c r="H1191" s="253"/>
      <c r="I1191" s="253"/>
      <c r="J1191" s="253"/>
      <c r="K1191" s="253"/>
      <c r="L1191" s="253"/>
      <c r="M1191" s="253"/>
      <c r="N1191" s="253"/>
      <c r="O1191" s="253"/>
      <c r="P1191" s="253"/>
      <c r="Q1191" s="253"/>
      <c r="R1191" s="253"/>
    </row>
    <row r="1192" ht="15.75" customHeight="1">
      <c r="A1192" s="253"/>
      <c r="B1192" s="253"/>
      <c r="C1192" s="253"/>
      <c r="D1192" s="262" t="s">
        <v>2059</v>
      </c>
      <c r="E1192" s="253"/>
      <c r="F1192" s="253"/>
      <c r="G1192" s="253"/>
      <c r="H1192" s="253"/>
      <c r="I1192" s="253"/>
      <c r="J1192" s="253"/>
      <c r="K1192" s="253"/>
      <c r="L1192" s="253"/>
      <c r="M1192" s="253"/>
      <c r="N1192" s="253"/>
      <c r="O1192" s="253"/>
      <c r="P1192" s="253"/>
      <c r="Q1192" s="253"/>
      <c r="R1192" s="253"/>
    </row>
    <row r="1193" ht="15.75" customHeight="1">
      <c r="A1193" s="253"/>
      <c r="B1193" s="253"/>
      <c r="C1193" s="253"/>
      <c r="D1193" s="262" t="s">
        <v>12111</v>
      </c>
      <c r="E1193" s="253"/>
      <c r="F1193" s="253"/>
      <c r="G1193" s="253"/>
      <c r="H1193" s="253"/>
      <c r="I1193" s="253"/>
      <c r="J1193" s="253"/>
      <c r="K1193" s="253"/>
      <c r="L1193" s="253"/>
      <c r="M1193" s="253"/>
      <c r="N1193" s="253"/>
      <c r="O1193" s="253"/>
      <c r="P1193" s="253"/>
      <c r="Q1193" s="253"/>
      <c r="R1193" s="253"/>
    </row>
    <row r="1194" ht="15.75" customHeight="1">
      <c r="A1194" s="253"/>
      <c r="B1194" s="253"/>
      <c r="C1194" s="253"/>
      <c r="D1194" s="262" t="s">
        <v>12112</v>
      </c>
      <c r="E1194" s="253"/>
      <c r="F1194" s="253"/>
      <c r="G1194" s="253"/>
      <c r="H1194" s="253"/>
      <c r="I1194" s="253"/>
      <c r="J1194" s="253"/>
      <c r="K1194" s="253"/>
      <c r="L1194" s="253"/>
      <c r="M1194" s="253"/>
      <c r="N1194" s="253"/>
      <c r="O1194" s="253"/>
      <c r="P1194" s="253"/>
      <c r="Q1194" s="253"/>
      <c r="R1194" s="253"/>
    </row>
    <row r="1195" ht="15.75" customHeight="1">
      <c r="A1195" s="253"/>
      <c r="B1195" s="253"/>
      <c r="C1195" s="253"/>
      <c r="D1195" s="262" t="s">
        <v>12113</v>
      </c>
      <c r="E1195" s="253"/>
      <c r="F1195" s="253"/>
      <c r="G1195" s="253"/>
      <c r="H1195" s="253"/>
      <c r="I1195" s="253"/>
      <c r="J1195" s="253"/>
      <c r="K1195" s="253"/>
      <c r="L1195" s="253"/>
      <c r="M1195" s="253"/>
      <c r="N1195" s="253"/>
      <c r="O1195" s="253"/>
      <c r="P1195" s="253"/>
      <c r="Q1195" s="253"/>
      <c r="R1195" s="253"/>
    </row>
    <row r="1196" ht="15.75" customHeight="1">
      <c r="A1196" s="253"/>
      <c r="B1196" s="253"/>
      <c r="C1196" s="253"/>
      <c r="D1196" s="262" t="s">
        <v>3574</v>
      </c>
      <c r="E1196" s="253"/>
      <c r="F1196" s="253"/>
      <c r="G1196" s="253"/>
      <c r="H1196" s="253"/>
      <c r="I1196" s="253"/>
      <c r="J1196" s="253"/>
      <c r="K1196" s="253"/>
      <c r="L1196" s="253"/>
      <c r="M1196" s="253"/>
      <c r="N1196" s="253"/>
      <c r="O1196" s="253"/>
      <c r="P1196" s="253"/>
      <c r="Q1196" s="253"/>
      <c r="R1196" s="253"/>
    </row>
    <row r="1197" ht="15.75" customHeight="1">
      <c r="A1197" s="253"/>
      <c r="B1197" s="253"/>
      <c r="C1197" s="253"/>
      <c r="D1197" s="262" t="s">
        <v>12114</v>
      </c>
      <c r="E1197" s="253"/>
      <c r="F1197" s="253"/>
      <c r="G1197" s="253"/>
      <c r="H1197" s="253"/>
      <c r="I1197" s="253"/>
      <c r="J1197" s="253"/>
      <c r="K1197" s="253"/>
      <c r="L1197" s="253"/>
      <c r="M1197" s="253"/>
      <c r="N1197" s="253"/>
      <c r="O1197" s="253"/>
      <c r="P1197" s="253"/>
      <c r="Q1197" s="253"/>
      <c r="R1197" s="253"/>
    </row>
    <row r="1198" ht="15.75" customHeight="1">
      <c r="A1198" s="253"/>
      <c r="B1198" s="253"/>
      <c r="C1198" s="253"/>
      <c r="D1198" s="262" t="s">
        <v>12115</v>
      </c>
      <c r="E1198" s="253"/>
      <c r="F1198" s="253"/>
      <c r="G1198" s="253"/>
      <c r="H1198" s="253"/>
      <c r="I1198" s="253"/>
      <c r="J1198" s="253"/>
      <c r="K1198" s="253"/>
      <c r="L1198" s="253"/>
      <c r="M1198" s="253"/>
      <c r="N1198" s="253"/>
      <c r="O1198" s="253"/>
      <c r="P1198" s="253"/>
      <c r="Q1198" s="253"/>
      <c r="R1198" s="253"/>
    </row>
    <row r="1199" ht="15.75" customHeight="1">
      <c r="A1199" s="253"/>
      <c r="B1199" s="253"/>
      <c r="C1199" s="253"/>
      <c r="D1199" s="262" t="s">
        <v>487</v>
      </c>
      <c r="E1199" s="253"/>
      <c r="F1199" s="253"/>
      <c r="G1199" s="253"/>
      <c r="H1199" s="253"/>
      <c r="I1199" s="253"/>
      <c r="J1199" s="253"/>
      <c r="K1199" s="253"/>
      <c r="L1199" s="253"/>
      <c r="M1199" s="253"/>
      <c r="N1199" s="253"/>
      <c r="O1199" s="253"/>
      <c r="P1199" s="253"/>
      <c r="Q1199" s="253"/>
      <c r="R1199" s="253"/>
    </row>
    <row r="1200" ht="15.75" customHeight="1">
      <c r="A1200" s="253"/>
      <c r="B1200" s="253"/>
      <c r="C1200" s="253"/>
      <c r="D1200" s="262" t="s">
        <v>2257</v>
      </c>
      <c r="E1200" s="253"/>
      <c r="F1200" s="253"/>
      <c r="G1200" s="253"/>
      <c r="H1200" s="253"/>
      <c r="I1200" s="253"/>
      <c r="J1200" s="253"/>
      <c r="K1200" s="253"/>
      <c r="L1200" s="253"/>
      <c r="M1200" s="253"/>
      <c r="N1200" s="253"/>
      <c r="O1200" s="253"/>
      <c r="P1200" s="253"/>
      <c r="Q1200" s="253"/>
      <c r="R1200" s="253"/>
    </row>
    <row r="1201" ht="15.75" customHeight="1">
      <c r="A1201" s="253"/>
      <c r="B1201" s="253"/>
      <c r="C1201" s="253"/>
      <c r="D1201" s="262" t="s">
        <v>12116</v>
      </c>
      <c r="E1201" s="253"/>
      <c r="F1201" s="253"/>
      <c r="G1201" s="253"/>
      <c r="H1201" s="253"/>
      <c r="I1201" s="253"/>
      <c r="J1201" s="253"/>
      <c r="K1201" s="253"/>
      <c r="L1201" s="253"/>
      <c r="M1201" s="253"/>
      <c r="N1201" s="253"/>
      <c r="O1201" s="253"/>
      <c r="P1201" s="253"/>
      <c r="Q1201" s="253"/>
      <c r="R1201" s="253"/>
    </row>
    <row r="1202" ht="15.75" customHeight="1">
      <c r="A1202" s="253"/>
      <c r="B1202" s="253"/>
      <c r="C1202" s="253"/>
      <c r="D1202" s="262" t="s">
        <v>5087</v>
      </c>
      <c r="E1202" s="253"/>
      <c r="F1202" s="253"/>
      <c r="G1202" s="253"/>
      <c r="H1202" s="253"/>
      <c r="I1202" s="253"/>
      <c r="J1202" s="253"/>
      <c r="K1202" s="253"/>
      <c r="L1202" s="253"/>
      <c r="M1202" s="253"/>
      <c r="N1202" s="253"/>
      <c r="O1202" s="253"/>
      <c r="P1202" s="253"/>
      <c r="Q1202" s="253"/>
      <c r="R1202" s="253"/>
    </row>
    <row r="1203" ht="15.75" customHeight="1">
      <c r="A1203" s="253"/>
      <c r="B1203" s="253"/>
      <c r="C1203" s="253"/>
      <c r="D1203" s="262" t="s">
        <v>12117</v>
      </c>
      <c r="E1203" s="253"/>
      <c r="F1203" s="253"/>
      <c r="G1203" s="253"/>
      <c r="H1203" s="253"/>
      <c r="I1203" s="253"/>
      <c r="J1203" s="253"/>
      <c r="K1203" s="253"/>
      <c r="L1203" s="253"/>
      <c r="M1203" s="253"/>
      <c r="N1203" s="253"/>
      <c r="O1203" s="253"/>
      <c r="P1203" s="253"/>
      <c r="Q1203" s="253"/>
      <c r="R1203" s="253"/>
    </row>
    <row r="1204" ht="15.75" customHeight="1">
      <c r="A1204" s="253"/>
      <c r="B1204" s="253"/>
      <c r="C1204" s="253"/>
      <c r="D1204" s="262" t="s">
        <v>4699</v>
      </c>
      <c r="E1204" s="253"/>
      <c r="F1204" s="253"/>
      <c r="G1204" s="253"/>
      <c r="H1204" s="253"/>
      <c r="I1204" s="253"/>
      <c r="J1204" s="253"/>
      <c r="K1204" s="253"/>
      <c r="L1204" s="253"/>
      <c r="M1204" s="253"/>
      <c r="N1204" s="253"/>
      <c r="O1204" s="253"/>
      <c r="P1204" s="253"/>
      <c r="Q1204" s="253"/>
      <c r="R1204" s="253"/>
    </row>
    <row r="1205" ht="15.75" customHeight="1">
      <c r="A1205" s="253"/>
      <c r="B1205" s="253"/>
      <c r="C1205" s="253"/>
      <c r="D1205" s="262" t="s">
        <v>11162</v>
      </c>
      <c r="E1205" s="253"/>
      <c r="F1205" s="253"/>
      <c r="G1205" s="253"/>
      <c r="H1205" s="253"/>
      <c r="I1205" s="253"/>
      <c r="J1205" s="253"/>
      <c r="K1205" s="253"/>
      <c r="L1205" s="253"/>
      <c r="M1205" s="253"/>
      <c r="N1205" s="253"/>
      <c r="O1205" s="253"/>
      <c r="P1205" s="253"/>
      <c r="Q1205" s="253"/>
      <c r="R1205" s="253"/>
    </row>
    <row r="1206" ht="15.75" customHeight="1">
      <c r="A1206" s="253"/>
      <c r="B1206" s="253"/>
      <c r="C1206" s="253"/>
      <c r="D1206" s="262" t="s">
        <v>5400</v>
      </c>
      <c r="E1206" s="253"/>
      <c r="F1206" s="253"/>
      <c r="G1206" s="253"/>
      <c r="H1206" s="253"/>
      <c r="I1206" s="253"/>
      <c r="J1206" s="253"/>
      <c r="K1206" s="253"/>
      <c r="L1206" s="253"/>
      <c r="M1206" s="253"/>
      <c r="N1206" s="253"/>
      <c r="O1206" s="253"/>
      <c r="P1206" s="253"/>
      <c r="Q1206" s="253"/>
      <c r="R1206" s="253"/>
    </row>
    <row r="1207" ht="15.75" customHeight="1">
      <c r="A1207" s="253"/>
      <c r="B1207" s="253"/>
      <c r="C1207" s="253"/>
      <c r="D1207" s="265" t="s">
        <v>6623</v>
      </c>
      <c r="E1207" s="253"/>
      <c r="F1207" s="253"/>
      <c r="G1207" s="253"/>
      <c r="H1207" s="253"/>
      <c r="I1207" s="253"/>
      <c r="J1207" s="253"/>
      <c r="K1207" s="253"/>
      <c r="L1207" s="253"/>
      <c r="M1207" s="253"/>
      <c r="N1207" s="253"/>
      <c r="O1207" s="253"/>
      <c r="P1207" s="253"/>
      <c r="Q1207" s="253"/>
      <c r="R1207" s="253"/>
    </row>
    <row r="1208" ht="15.75" customHeight="1">
      <c r="A1208" s="253"/>
      <c r="B1208" s="253"/>
      <c r="C1208" s="253"/>
      <c r="D1208" s="262" t="s">
        <v>12118</v>
      </c>
      <c r="E1208" s="253"/>
      <c r="F1208" s="253"/>
      <c r="G1208" s="253"/>
      <c r="H1208" s="253"/>
      <c r="I1208" s="253"/>
      <c r="J1208" s="253"/>
      <c r="K1208" s="253"/>
      <c r="L1208" s="253"/>
      <c r="M1208" s="253"/>
      <c r="N1208" s="253"/>
      <c r="O1208" s="253"/>
      <c r="P1208" s="253"/>
      <c r="Q1208" s="253"/>
      <c r="R1208" s="253"/>
    </row>
    <row r="1209" ht="15.75" customHeight="1">
      <c r="A1209" s="253"/>
      <c r="B1209" s="253"/>
      <c r="C1209" s="253"/>
      <c r="D1209" s="265" t="s">
        <v>4599</v>
      </c>
      <c r="E1209" s="253"/>
      <c r="F1209" s="253"/>
      <c r="G1209" s="253"/>
      <c r="H1209" s="253"/>
      <c r="I1209" s="253"/>
      <c r="J1209" s="253"/>
      <c r="K1209" s="253"/>
      <c r="L1209" s="253"/>
      <c r="M1209" s="253"/>
      <c r="N1209" s="253"/>
      <c r="O1209" s="253"/>
      <c r="P1209" s="253"/>
      <c r="Q1209" s="253"/>
      <c r="R1209" s="253"/>
    </row>
    <row r="1210" ht="15.75" customHeight="1">
      <c r="A1210" s="253"/>
      <c r="B1210" s="253"/>
      <c r="C1210" s="253"/>
      <c r="D1210" s="262" t="s">
        <v>1791</v>
      </c>
      <c r="E1210" s="253"/>
      <c r="F1210" s="253"/>
      <c r="G1210" s="253"/>
      <c r="H1210" s="253"/>
      <c r="I1210" s="253"/>
      <c r="J1210" s="253"/>
      <c r="K1210" s="253"/>
      <c r="L1210" s="253"/>
      <c r="M1210" s="253"/>
      <c r="N1210" s="253"/>
      <c r="O1210" s="253"/>
      <c r="P1210" s="253"/>
      <c r="Q1210" s="253"/>
      <c r="R1210" s="253"/>
    </row>
    <row r="1211" ht="15.75" customHeight="1">
      <c r="A1211" s="253"/>
      <c r="B1211" s="253"/>
      <c r="C1211" s="253"/>
      <c r="D1211" s="262" t="s">
        <v>971</v>
      </c>
      <c r="E1211" s="253"/>
      <c r="F1211" s="253"/>
      <c r="G1211" s="253"/>
      <c r="H1211" s="253"/>
      <c r="I1211" s="253"/>
      <c r="J1211" s="253"/>
      <c r="K1211" s="253"/>
      <c r="L1211" s="253"/>
      <c r="M1211" s="253"/>
      <c r="N1211" s="253"/>
      <c r="O1211" s="253"/>
      <c r="P1211" s="253"/>
      <c r="Q1211" s="253"/>
      <c r="R1211" s="253"/>
    </row>
    <row r="1212" ht="15.75" customHeight="1">
      <c r="A1212" s="253"/>
      <c r="B1212" s="253"/>
      <c r="C1212" s="253"/>
      <c r="D1212" s="262" t="s">
        <v>283</v>
      </c>
      <c r="E1212" s="253"/>
      <c r="F1212" s="253"/>
      <c r="G1212" s="253"/>
      <c r="H1212" s="253"/>
      <c r="I1212" s="253"/>
      <c r="J1212" s="253"/>
      <c r="K1212" s="253"/>
      <c r="L1212" s="253"/>
      <c r="M1212" s="253"/>
      <c r="N1212" s="253"/>
      <c r="O1212" s="253"/>
      <c r="P1212" s="253"/>
      <c r="Q1212" s="253"/>
      <c r="R1212" s="253"/>
    </row>
    <row r="1213" ht="15.75" customHeight="1">
      <c r="A1213" s="253"/>
      <c r="B1213" s="253"/>
      <c r="C1213" s="253"/>
      <c r="D1213" s="262" t="s">
        <v>4082</v>
      </c>
      <c r="E1213" s="253"/>
      <c r="F1213" s="253"/>
      <c r="G1213" s="253"/>
      <c r="H1213" s="253"/>
      <c r="I1213" s="253"/>
      <c r="J1213" s="253"/>
      <c r="K1213" s="253"/>
      <c r="L1213" s="253"/>
      <c r="M1213" s="253"/>
      <c r="N1213" s="253"/>
      <c r="O1213" s="253"/>
      <c r="P1213" s="253"/>
      <c r="Q1213" s="253"/>
      <c r="R1213" s="253"/>
    </row>
    <row r="1214" ht="15.75" customHeight="1">
      <c r="A1214" s="253"/>
      <c r="B1214" s="253"/>
      <c r="C1214" s="253"/>
      <c r="D1214" s="262" t="s">
        <v>12119</v>
      </c>
      <c r="E1214" s="253"/>
      <c r="F1214" s="253"/>
      <c r="G1214" s="253"/>
      <c r="H1214" s="253"/>
      <c r="I1214" s="253"/>
      <c r="J1214" s="253"/>
      <c r="K1214" s="253"/>
      <c r="L1214" s="253"/>
      <c r="M1214" s="253"/>
      <c r="N1214" s="253"/>
      <c r="O1214" s="253"/>
      <c r="P1214" s="253"/>
      <c r="Q1214" s="253"/>
      <c r="R1214" s="253"/>
    </row>
    <row r="1215" ht="15.75" customHeight="1">
      <c r="A1215" s="253"/>
      <c r="B1215" s="253"/>
      <c r="C1215" s="253"/>
      <c r="D1215" s="262" t="s">
        <v>2663</v>
      </c>
      <c r="E1215" s="253"/>
      <c r="F1215" s="253"/>
      <c r="G1215" s="253"/>
      <c r="H1215" s="253"/>
      <c r="I1215" s="253"/>
      <c r="J1215" s="253"/>
      <c r="K1215" s="253"/>
      <c r="L1215" s="253"/>
      <c r="M1215" s="253"/>
      <c r="N1215" s="253"/>
      <c r="O1215" s="253"/>
      <c r="P1215" s="253"/>
      <c r="Q1215" s="253"/>
      <c r="R1215" s="253"/>
    </row>
    <row r="1216" ht="15.75" customHeight="1">
      <c r="A1216" s="253"/>
      <c r="B1216" s="253"/>
      <c r="C1216" s="253"/>
      <c r="D1216" s="262" t="s">
        <v>4856</v>
      </c>
      <c r="E1216" s="253"/>
      <c r="F1216" s="253"/>
      <c r="G1216" s="253"/>
      <c r="H1216" s="253"/>
      <c r="I1216" s="253"/>
      <c r="J1216" s="253"/>
      <c r="K1216" s="253"/>
      <c r="L1216" s="253"/>
      <c r="M1216" s="253"/>
      <c r="N1216" s="253"/>
      <c r="O1216" s="253"/>
      <c r="P1216" s="253"/>
      <c r="Q1216" s="253"/>
      <c r="R1216" s="253"/>
    </row>
    <row r="1217" ht="15.75" customHeight="1">
      <c r="A1217" s="253"/>
      <c r="B1217" s="253"/>
      <c r="C1217" s="253"/>
      <c r="D1217" s="262" t="s">
        <v>1846</v>
      </c>
      <c r="E1217" s="253"/>
      <c r="F1217" s="253"/>
      <c r="G1217" s="253"/>
      <c r="H1217" s="253"/>
      <c r="I1217" s="253"/>
      <c r="J1217" s="253"/>
      <c r="K1217" s="253"/>
      <c r="L1217" s="253"/>
      <c r="M1217" s="253"/>
      <c r="N1217" s="253"/>
      <c r="O1217" s="253"/>
      <c r="P1217" s="253"/>
      <c r="Q1217" s="253"/>
      <c r="R1217" s="253"/>
    </row>
    <row r="1218" ht="15.75" customHeight="1">
      <c r="A1218" s="253"/>
      <c r="B1218" s="253"/>
      <c r="C1218" s="253"/>
      <c r="D1218" s="262" t="s">
        <v>9970</v>
      </c>
      <c r="E1218" s="253"/>
      <c r="F1218" s="253"/>
      <c r="G1218" s="253"/>
      <c r="H1218" s="253"/>
      <c r="I1218" s="253"/>
      <c r="J1218" s="253"/>
      <c r="K1218" s="253"/>
      <c r="L1218" s="253"/>
      <c r="M1218" s="253"/>
      <c r="N1218" s="253"/>
      <c r="O1218" s="253"/>
      <c r="P1218" s="253"/>
      <c r="Q1218" s="253"/>
      <c r="R1218" s="253"/>
    </row>
    <row r="1219" ht="15.75" customHeight="1">
      <c r="A1219" s="253"/>
      <c r="B1219" s="253"/>
      <c r="C1219" s="253"/>
      <c r="D1219" s="262" t="s">
        <v>12120</v>
      </c>
      <c r="E1219" s="253"/>
      <c r="F1219" s="253"/>
      <c r="G1219" s="253"/>
      <c r="H1219" s="253"/>
      <c r="I1219" s="253"/>
      <c r="J1219" s="253"/>
      <c r="K1219" s="253"/>
      <c r="L1219" s="253"/>
      <c r="M1219" s="253"/>
      <c r="N1219" s="253"/>
      <c r="O1219" s="253"/>
      <c r="P1219" s="253"/>
      <c r="Q1219" s="253"/>
      <c r="R1219" s="253"/>
    </row>
    <row r="1220" ht="15.75" customHeight="1">
      <c r="A1220" s="253"/>
      <c r="B1220" s="253"/>
      <c r="C1220" s="253"/>
      <c r="D1220" s="262" t="s">
        <v>1409</v>
      </c>
      <c r="E1220" s="253"/>
      <c r="F1220" s="253"/>
      <c r="G1220" s="253"/>
      <c r="H1220" s="253"/>
      <c r="I1220" s="253"/>
      <c r="J1220" s="253"/>
      <c r="K1220" s="253"/>
      <c r="L1220" s="253"/>
      <c r="M1220" s="253"/>
      <c r="N1220" s="253"/>
      <c r="O1220" s="253"/>
      <c r="P1220" s="253"/>
      <c r="Q1220" s="253"/>
      <c r="R1220" s="253"/>
    </row>
    <row r="1221" ht="15.75" customHeight="1">
      <c r="A1221" s="253"/>
      <c r="B1221" s="253"/>
      <c r="C1221" s="253"/>
      <c r="D1221" s="262" t="s">
        <v>8164</v>
      </c>
      <c r="E1221" s="253"/>
      <c r="F1221" s="253"/>
      <c r="G1221" s="253"/>
      <c r="H1221" s="253"/>
      <c r="I1221" s="253"/>
      <c r="J1221" s="253"/>
      <c r="K1221" s="253"/>
      <c r="L1221" s="253"/>
      <c r="M1221" s="253"/>
      <c r="N1221" s="253"/>
      <c r="O1221" s="253"/>
      <c r="P1221" s="253"/>
      <c r="Q1221" s="253"/>
      <c r="R1221" s="253"/>
    </row>
    <row r="1222" ht="15.75" customHeight="1">
      <c r="A1222" s="253"/>
      <c r="B1222" s="253"/>
      <c r="C1222" s="253"/>
      <c r="D1222" s="262" t="s">
        <v>2421</v>
      </c>
      <c r="E1222" s="253"/>
      <c r="F1222" s="253"/>
      <c r="G1222" s="253"/>
      <c r="H1222" s="253"/>
      <c r="I1222" s="253"/>
      <c r="J1222" s="253"/>
      <c r="K1222" s="253"/>
      <c r="L1222" s="253"/>
      <c r="M1222" s="253"/>
      <c r="N1222" s="253"/>
      <c r="O1222" s="253"/>
      <c r="P1222" s="253"/>
      <c r="Q1222" s="253"/>
      <c r="R1222" s="253"/>
    </row>
    <row r="1223" ht="15.75" customHeight="1">
      <c r="A1223" s="253"/>
      <c r="B1223" s="253"/>
      <c r="C1223" s="253"/>
      <c r="D1223" s="262" t="s">
        <v>836</v>
      </c>
      <c r="E1223" s="253"/>
      <c r="F1223" s="253"/>
      <c r="G1223" s="253"/>
      <c r="H1223" s="253"/>
      <c r="I1223" s="253"/>
      <c r="J1223" s="253"/>
      <c r="K1223" s="253"/>
      <c r="L1223" s="253"/>
      <c r="M1223" s="253"/>
      <c r="N1223" s="253"/>
      <c r="O1223" s="253"/>
      <c r="P1223" s="253"/>
      <c r="Q1223" s="253"/>
      <c r="R1223" s="253"/>
    </row>
    <row r="1224" ht="15.75" customHeight="1">
      <c r="A1224" s="253"/>
      <c r="B1224" s="253"/>
      <c r="C1224" s="253"/>
      <c r="D1224" s="262" t="s">
        <v>1720</v>
      </c>
      <c r="E1224" s="253"/>
      <c r="F1224" s="253"/>
      <c r="G1224" s="253"/>
      <c r="H1224" s="253"/>
      <c r="I1224" s="253"/>
      <c r="J1224" s="253"/>
      <c r="K1224" s="253"/>
      <c r="L1224" s="253"/>
      <c r="M1224" s="253"/>
      <c r="N1224" s="253"/>
      <c r="O1224" s="253"/>
      <c r="P1224" s="253"/>
      <c r="Q1224" s="253"/>
      <c r="R1224" s="253"/>
    </row>
    <row r="1225" ht="15.75" customHeight="1">
      <c r="A1225" s="253"/>
      <c r="B1225" s="253"/>
      <c r="C1225" s="253"/>
      <c r="D1225" s="262" t="s">
        <v>3196</v>
      </c>
      <c r="E1225" s="253"/>
      <c r="F1225" s="253"/>
      <c r="G1225" s="253"/>
      <c r="H1225" s="253"/>
      <c r="I1225" s="253"/>
      <c r="J1225" s="253"/>
      <c r="K1225" s="253"/>
      <c r="L1225" s="253"/>
      <c r="M1225" s="253"/>
      <c r="N1225" s="253"/>
      <c r="O1225" s="253"/>
      <c r="P1225" s="253"/>
      <c r="Q1225" s="253"/>
      <c r="R1225" s="253"/>
    </row>
    <row r="1226" ht="15.75" customHeight="1">
      <c r="A1226" s="253"/>
      <c r="B1226" s="253"/>
      <c r="C1226" s="253"/>
      <c r="D1226" s="262" t="s">
        <v>2682</v>
      </c>
      <c r="E1226" s="253"/>
      <c r="F1226" s="253"/>
      <c r="G1226" s="253"/>
      <c r="H1226" s="253"/>
      <c r="I1226" s="253"/>
      <c r="J1226" s="253"/>
      <c r="K1226" s="253"/>
      <c r="L1226" s="253"/>
      <c r="M1226" s="253"/>
      <c r="N1226" s="253"/>
      <c r="O1226" s="253"/>
      <c r="P1226" s="253"/>
      <c r="Q1226" s="253"/>
      <c r="R1226" s="253"/>
    </row>
    <row r="1227" ht="15.75" customHeight="1">
      <c r="A1227" s="253"/>
      <c r="B1227" s="253"/>
      <c r="C1227" s="253"/>
      <c r="D1227" s="262" t="s">
        <v>5442</v>
      </c>
      <c r="E1227" s="253"/>
      <c r="F1227" s="253"/>
      <c r="G1227" s="253"/>
      <c r="H1227" s="253"/>
      <c r="I1227" s="253"/>
      <c r="J1227" s="253"/>
      <c r="K1227" s="253"/>
      <c r="L1227" s="253"/>
      <c r="M1227" s="253"/>
      <c r="N1227" s="253"/>
      <c r="O1227" s="253"/>
      <c r="P1227" s="253"/>
      <c r="Q1227" s="253"/>
      <c r="R1227" s="253"/>
    </row>
    <row r="1228" ht="15.75" customHeight="1">
      <c r="A1228" s="253"/>
      <c r="B1228" s="253"/>
      <c r="C1228" s="253"/>
      <c r="D1228" s="262" t="s">
        <v>12121</v>
      </c>
      <c r="E1228" s="253"/>
      <c r="F1228" s="253"/>
      <c r="G1228" s="253"/>
      <c r="H1228" s="253"/>
      <c r="I1228" s="253"/>
      <c r="J1228" s="253"/>
      <c r="K1228" s="253"/>
      <c r="L1228" s="253"/>
      <c r="M1228" s="253"/>
      <c r="N1228" s="253"/>
      <c r="O1228" s="253"/>
      <c r="P1228" s="253"/>
      <c r="Q1228" s="253"/>
      <c r="R1228" s="253"/>
    </row>
    <row r="1229" ht="15.75" customHeight="1">
      <c r="A1229" s="253"/>
      <c r="B1229" s="253"/>
      <c r="C1229" s="253"/>
      <c r="D1229" s="262" t="s">
        <v>600</v>
      </c>
      <c r="E1229" s="253"/>
      <c r="F1229" s="253"/>
      <c r="G1229" s="253"/>
      <c r="H1229" s="253"/>
      <c r="I1229" s="253"/>
      <c r="J1229" s="253"/>
      <c r="K1229" s="253"/>
      <c r="L1229" s="253"/>
      <c r="M1229" s="253"/>
      <c r="N1229" s="253"/>
      <c r="O1229" s="253"/>
      <c r="P1229" s="253"/>
      <c r="Q1229" s="253"/>
      <c r="R1229" s="253"/>
    </row>
    <row r="1230" ht="15.75" customHeight="1">
      <c r="A1230" s="253"/>
      <c r="B1230" s="253"/>
      <c r="C1230" s="253"/>
      <c r="D1230" s="262" t="s">
        <v>2827</v>
      </c>
      <c r="E1230" s="253"/>
      <c r="F1230" s="253"/>
      <c r="G1230" s="253"/>
      <c r="H1230" s="253"/>
      <c r="I1230" s="253"/>
      <c r="J1230" s="253"/>
      <c r="K1230" s="253"/>
      <c r="L1230" s="253"/>
      <c r="M1230" s="253"/>
      <c r="N1230" s="253"/>
      <c r="O1230" s="253"/>
      <c r="P1230" s="253"/>
      <c r="Q1230" s="253"/>
      <c r="R1230" s="253"/>
    </row>
    <row r="1231" ht="15.75" customHeight="1">
      <c r="A1231" s="253"/>
      <c r="B1231" s="253"/>
      <c r="C1231" s="253"/>
      <c r="D1231" s="265" t="s">
        <v>8964</v>
      </c>
      <c r="E1231" s="253"/>
      <c r="F1231" s="253"/>
      <c r="G1231" s="253"/>
      <c r="H1231" s="253"/>
      <c r="I1231" s="253"/>
      <c r="J1231" s="253"/>
      <c r="K1231" s="253"/>
      <c r="L1231" s="253"/>
      <c r="M1231" s="253"/>
      <c r="N1231" s="253"/>
      <c r="O1231" s="253"/>
      <c r="P1231" s="253"/>
      <c r="Q1231" s="253"/>
      <c r="R1231" s="253"/>
    </row>
    <row r="1232" ht="15.75" customHeight="1">
      <c r="A1232" s="253"/>
      <c r="B1232" s="253"/>
      <c r="C1232" s="253"/>
      <c r="D1232" s="262" t="s">
        <v>6180</v>
      </c>
      <c r="E1232" s="253"/>
      <c r="F1232" s="253"/>
      <c r="G1232" s="253"/>
      <c r="H1232" s="253"/>
      <c r="I1232" s="253"/>
      <c r="J1232" s="253"/>
      <c r="K1232" s="253"/>
      <c r="L1232" s="253"/>
      <c r="M1232" s="253"/>
      <c r="N1232" s="253"/>
      <c r="O1232" s="253"/>
      <c r="P1232" s="253"/>
      <c r="Q1232" s="253"/>
      <c r="R1232" s="253"/>
    </row>
    <row r="1233" ht="15.75" customHeight="1">
      <c r="A1233" s="253"/>
      <c r="B1233" s="253"/>
      <c r="C1233" s="253"/>
      <c r="D1233" s="262" t="s">
        <v>832</v>
      </c>
      <c r="E1233" s="253"/>
      <c r="F1233" s="253"/>
      <c r="G1233" s="253"/>
      <c r="H1233" s="253"/>
      <c r="I1233" s="253"/>
      <c r="J1233" s="253"/>
      <c r="K1233" s="253"/>
      <c r="L1233" s="253"/>
      <c r="M1233" s="253"/>
      <c r="N1233" s="253"/>
      <c r="O1233" s="253"/>
      <c r="P1233" s="253"/>
      <c r="Q1233" s="253"/>
      <c r="R1233" s="253"/>
    </row>
    <row r="1234" ht="15.75" customHeight="1">
      <c r="A1234" s="253"/>
      <c r="B1234" s="253"/>
      <c r="C1234" s="253"/>
      <c r="D1234" s="262" t="s">
        <v>3288</v>
      </c>
      <c r="E1234" s="253"/>
      <c r="F1234" s="253"/>
      <c r="G1234" s="253"/>
      <c r="H1234" s="253"/>
      <c r="I1234" s="253"/>
      <c r="J1234" s="253"/>
      <c r="K1234" s="253"/>
      <c r="L1234" s="253"/>
      <c r="M1234" s="253"/>
      <c r="N1234" s="253"/>
      <c r="O1234" s="253"/>
      <c r="P1234" s="253"/>
      <c r="Q1234" s="253"/>
      <c r="R1234" s="253"/>
    </row>
    <row r="1235" ht="15.75" customHeight="1">
      <c r="A1235" s="253"/>
      <c r="B1235" s="253"/>
      <c r="C1235" s="253"/>
      <c r="D1235" s="262" t="s">
        <v>12122</v>
      </c>
      <c r="E1235" s="253"/>
      <c r="F1235" s="253"/>
      <c r="G1235" s="253"/>
      <c r="H1235" s="253"/>
      <c r="I1235" s="253"/>
      <c r="J1235" s="253"/>
      <c r="K1235" s="253"/>
      <c r="L1235" s="253"/>
      <c r="M1235" s="253"/>
      <c r="N1235" s="253"/>
      <c r="O1235" s="253"/>
      <c r="P1235" s="253"/>
      <c r="Q1235" s="253"/>
      <c r="R1235" s="253"/>
    </row>
    <row r="1236" ht="15.75" customHeight="1">
      <c r="A1236" s="253"/>
      <c r="B1236" s="253"/>
      <c r="C1236" s="253"/>
      <c r="D1236" s="262" t="s">
        <v>1402</v>
      </c>
      <c r="E1236" s="253"/>
      <c r="F1236" s="253"/>
      <c r="G1236" s="253"/>
      <c r="H1236" s="253"/>
      <c r="I1236" s="253"/>
      <c r="J1236" s="253"/>
      <c r="K1236" s="253"/>
      <c r="L1236" s="253"/>
      <c r="M1236" s="253"/>
      <c r="N1236" s="253"/>
      <c r="O1236" s="253"/>
      <c r="P1236" s="253"/>
      <c r="Q1236" s="253"/>
      <c r="R1236" s="253"/>
    </row>
    <row r="1237" ht="15.75" customHeight="1">
      <c r="A1237" s="253"/>
      <c r="B1237" s="253"/>
      <c r="C1237" s="253"/>
      <c r="D1237" s="262" t="s">
        <v>368</v>
      </c>
      <c r="E1237" s="253"/>
      <c r="F1237" s="253"/>
      <c r="G1237" s="253"/>
      <c r="H1237" s="253"/>
      <c r="I1237" s="253"/>
      <c r="J1237" s="253"/>
      <c r="K1237" s="253"/>
      <c r="L1237" s="253"/>
      <c r="M1237" s="253"/>
      <c r="N1237" s="253"/>
      <c r="O1237" s="253"/>
      <c r="P1237" s="253"/>
      <c r="Q1237" s="253"/>
      <c r="R1237" s="253"/>
    </row>
    <row r="1238" ht="15.75" customHeight="1">
      <c r="A1238" s="253"/>
      <c r="B1238" s="253"/>
      <c r="C1238" s="253"/>
      <c r="D1238" s="262" t="s">
        <v>1452</v>
      </c>
      <c r="E1238" s="253"/>
      <c r="F1238" s="253"/>
      <c r="G1238" s="253"/>
      <c r="H1238" s="253"/>
      <c r="I1238" s="253"/>
      <c r="J1238" s="253"/>
      <c r="K1238" s="253"/>
      <c r="L1238" s="253"/>
      <c r="M1238" s="253"/>
      <c r="N1238" s="253"/>
      <c r="O1238" s="253"/>
      <c r="P1238" s="253"/>
      <c r="Q1238" s="253"/>
      <c r="R1238" s="253"/>
    </row>
    <row r="1239" ht="15.75" customHeight="1">
      <c r="A1239" s="253"/>
      <c r="B1239" s="253"/>
      <c r="C1239" s="253"/>
      <c r="D1239" s="262" t="s">
        <v>850</v>
      </c>
      <c r="E1239" s="253"/>
      <c r="F1239" s="253"/>
      <c r="G1239" s="253"/>
      <c r="H1239" s="253"/>
      <c r="I1239" s="253"/>
      <c r="J1239" s="253"/>
      <c r="K1239" s="253"/>
      <c r="L1239" s="253"/>
      <c r="M1239" s="253"/>
      <c r="N1239" s="253"/>
      <c r="O1239" s="253"/>
      <c r="P1239" s="253"/>
      <c r="Q1239" s="253"/>
      <c r="R1239" s="253"/>
    </row>
    <row r="1240" ht="15.75" customHeight="1">
      <c r="A1240" s="253"/>
      <c r="B1240" s="253"/>
      <c r="C1240" s="253"/>
      <c r="D1240" s="262" t="s">
        <v>3575</v>
      </c>
      <c r="E1240" s="253"/>
      <c r="F1240" s="253"/>
      <c r="G1240" s="253"/>
      <c r="H1240" s="253"/>
      <c r="I1240" s="253"/>
      <c r="J1240" s="253"/>
      <c r="K1240" s="253"/>
      <c r="L1240" s="253"/>
      <c r="M1240" s="253"/>
      <c r="N1240" s="253"/>
      <c r="O1240" s="253"/>
      <c r="P1240" s="253"/>
      <c r="Q1240" s="253"/>
      <c r="R1240" s="253"/>
    </row>
    <row r="1241" ht="15.75" customHeight="1">
      <c r="A1241" s="253"/>
      <c r="B1241" s="253"/>
      <c r="C1241" s="253"/>
      <c r="D1241" s="262" t="s">
        <v>12123</v>
      </c>
      <c r="E1241" s="253"/>
      <c r="F1241" s="253"/>
      <c r="G1241" s="253"/>
      <c r="H1241" s="253"/>
      <c r="I1241" s="253"/>
      <c r="J1241" s="253"/>
      <c r="K1241" s="253"/>
      <c r="L1241" s="253"/>
      <c r="M1241" s="253"/>
      <c r="N1241" s="253"/>
      <c r="O1241" s="253"/>
      <c r="P1241" s="253"/>
      <c r="Q1241" s="253"/>
      <c r="R1241" s="253"/>
    </row>
    <row r="1242" ht="15.75" customHeight="1">
      <c r="A1242" s="253"/>
      <c r="B1242" s="253"/>
      <c r="C1242" s="253"/>
      <c r="D1242" s="262" t="s">
        <v>298</v>
      </c>
      <c r="E1242" s="253"/>
      <c r="F1242" s="253"/>
      <c r="G1242" s="253"/>
      <c r="H1242" s="253"/>
      <c r="I1242" s="253"/>
      <c r="J1242" s="253"/>
      <c r="K1242" s="253"/>
      <c r="L1242" s="253"/>
      <c r="M1242" s="253"/>
      <c r="N1242" s="253"/>
      <c r="O1242" s="253"/>
      <c r="P1242" s="253"/>
      <c r="Q1242" s="253"/>
      <c r="R1242" s="253"/>
    </row>
    <row r="1243" ht="15.75" customHeight="1">
      <c r="A1243" s="253"/>
      <c r="B1243" s="253"/>
      <c r="C1243" s="253"/>
      <c r="D1243" s="262" t="s">
        <v>4470</v>
      </c>
      <c r="E1243" s="253"/>
      <c r="F1243" s="253"/>
      <c r="G1243" s="253"/>
      <c r="H1243" s="253"/>
      <c r="I1243" s="253"/>
      <c r="J1243" s="253"/>
      <c r="K1243" s="253"/>
      <c r="L1243" s="253"/>
      <c r="M1243" s="253"/>
      <c r="N1243" s="253"/>
      <c r="O1243" s="253"/>
      <c r="P1243" s="253"/>
      <c r="Q1243" s="253"/>
      <c r="R1243" s="253"/>
    </row>
    <row r="1244" ht="15.75" customHeight="1">
      <c r="A1244" s="253"/>
      <c r="B1244" s="253"/>
      <c r="C1244" s="253"/>
      <c r="D1244" s="262" t="s">
        <v>2132</v>
      </c>
      <c r="E1244" s="253"/>
      <c r="F1244" s="253"/>
      <c r="G1244" s="253"/>
      <c r="H1244" s="253"/>
      <c r="I1244" s="253"/>
      <c r="J1244" s="253"/>
      <c r="K1244" s="253"/>
      <c r="L1244" s="253"/>
      <c r="M1244" s="253"/>
      <c r="N1244" s="253"/>
      <c r="O1244" s="253"/>
      <c r="P1244" s="253"/>
      <c r="Q1244" s="253"/>
      <c r="R1244" s="253"/>
    </row>
    <row r="1245" ht="15.75" customHeight="1">
      <c r="A1245" s="253"/>
      <c r="B1245" s="253"/>
      <c r="C1245" s="253"/>
      <c r="D1245" s="280" t="s">
        <v>7768</v>
      </c>
      <c r="E1245" s="253"/>
      <c r="F1245" s="253"/>
      <c r="G1245" s="253"/>
      <c r="H1245" s="253"/>
      <c r="I1245" s="253"/>
      <c r="J1245" s="253"/>
      <c r="K1245" s="253"/>
      <c r="L1245" s="253"/>
      <c r="M1245" s="253"/>
      <c r="N1245" s="253"/>
      <c r="O1245" s="253"/>
      <c r="P1245" s="253"/>
      <c r="Q1245" s="253"/>
      <c r="R1245" s="253"/>
    </row>
    <row r="1246" ht="15.75" customHeight="1">
      <c r="A1246" s="253"/>
      <c r="B1246" s="253"/>
      <c r="C1246" s="253"/>
      <c r="D1246" s="281" t="s">
        <v>2844</v>
      </c>
      <c r="E1246" s="253"/>
      <c r="F1246" s="253"/>
      <c r="G1246" s="253"/>
      <c r="H1246" s="253"/>
      <c r="I1246" s="253"/>
      <c r="J1246" s="253"/>
      <c r="K1246" s="253"/>
      <c r="L1246" s="253"/>
      <c r="M1246" s="253"/>
      <c r="N1246" s="253"/>
      <c r="O1246" s="253"/>
      <c r="P1246" s="253"/>
      <c r="Q1246" s="253"/>
      <c r="R1246" s="253"/>
    </row>
    <row r="1247" ht="15.75" customHeight="1">
      <c r="A1247" s="253"/>
      <c r="B1247" s="253"/>
      <c r="C1247" s="253"/>
      <c r="D1247" s="281" t="s">
        <v>4027</v>
      </c>
      <c r="E1247" s="253"/>
      <c r="F1247" s="253"/>
      <c r="G1247" s="253"/>
      <c r="H1247" s="253"/>
      <c r="I1247" s="253"/>
      <c r="J1247" s="253"/>
      <c r="K1247" s="253"/>
      <c r="L1247" s="253"/>
      <c r="M1247" s="253"/>
      <c r="N1247" s="253"/>
      <c r="O1247" s="253"/>
      <c r="P1247" s="253"/>
      <c r="Q1247" s="253"/>
      <c r="R1247" s="253"/>
    </row>
    <row r="1248" ht="15.75" customHeight="1">
      <c r="A1248" s="253"/>
      <c r="B1248" s="253"/>
      <c r="C1248" s="253"/>
      <c r="D1248" s="281" t="s">
        <v>5992</v>
      </c>
      <c r="E1248" s="253"/>
      <c r="F1248" s="253"/>
      <c r="G1248" s="253"/>
      <c r="H1248" s="253"/>
      <c r="I1248" s="253"/>
      <c r="J1248" s="253"/>
      <c r="K1248" s="253"/>
      <c r="L1248" s="253"/>
      <c r="M1248" s="253"/>
      <c r="N1248" s="253"/>
      <c r="O1248" s="253"/>
      <c r="P1248" s="253"/>
      <c r="Q1248" s="253"/>
      <c r="R1248" s="253"/>
    </row>
    <row r="1249" ht="15.75" customHeight="1">
      <c r="A1249" s="253"/>
      <c r="B1249" s="253"/>
      <c r="C1249" s="253"/>
      <c r="D1249" s="281" t="s">
        <v>5803</v>
      </c>
      <c r="E1249" s="253"/>
      <c r="F1249" s="253"/>
      <c r="G1249" s="253"/>
      <c r="H1249" s="253"/>
      <c r="I1249" s="253"/>
      <c r="J1249" s="253"/>
      <c r="K1249" s="253"/>
      <c r="L1249" s="253"/>
      <c r="M1249" s="253"/>
      <c r="N1249" s="253"/>
      <c r="O1249" s="253"/>
      <c r="P1249" s="253"/>
      <c r="Q1249" s="253"/>
      <c r="R1249" s="253"/>
    </row>
    <row r="1250" ht="15.75" customHeight="1">
      <c r="A1250" s="253"/>
      <c r="B1250" s="253"/>
      <c r="C1250" s="253"/>
      <c r="D1250" s="281" t="s">
        <v>6192</v>
      </c>
      <c r="E1250" s="253"/>
      <c r="F1250" s="253"/>
      <c r="G1250" s="253"/>
      <c r="H1250" s="253"/>
      <c r="I1250" s="253"/>
      <c r="J1250" s="253"/>
      <c r="K1250" s="253"/>
      <c r="L1250" s="253"/>
      <c r="M1250" s="253"/>
      <c r="N1250" s="253"/>
      <c r="O1250" s="253"/>
      <c r="P1250" s="253"/>
      <c r="Q1250" s="253"/>
      <c r="R1250" s="253"/>
    </row>
    <row r="1251" ht="15.75" customHeight="1">
      <c r="A1251" s="253"/>
      <c r="B1251" s="253"/>
      <c r="C1251" s="253"/>
      <c r="D1251" s="282" t="s">
        <v>1056</v>
      </c>
      <c r="E1251" s="253"/>
      <c r="F1251" s="253"/>
      <c r="G1251" s="253"/>
      <c r="H1251" s="253"/>
      <c r="I1251" s="253"/>
      <c r="J1251" s="253"/>
      <c r="K1251" s="253"/>
      <c r="L1251" s="253"/>
      <c r="M1251" s="253"/>
      <c r="N1251" s="253"/>
      <c r="O1251" s="253"/>
      <c r="P1251" s="253"/>
      <c r="Q1251" s="253"/>
      <c r="R1251" s="253"/>
    </row>
    <row r="1252" ht="15.75" customHeight="1">
      <c r="A1252" s="253"/>
      <c r="B1252" s="253"/>
      <c r="C1252" s="253"/>
      <c r="D1252" s="282" t="s">
        <v>6454</v>
      </c>
      <c r="E1252" s="253"/>
      <c r="F1252" s="253"/>
      <c r="G1252" s="253"/>
      <c r="H1252" s="253"/>
      <c r="I1252" s="253"/>
      <c r="J1252" s="253"/>
      <c r="K1252" s="253"/>
      <c r="L1252" s="253"/>
      <c r="M1252" s="253"/>
      <c r="N1252" s="253"/>
      <c r="O1252" s="253"/>
      <c r="P1252" s="253"/>
      <c r="Q1252" s="253"/>
      <c r="R1252" s="253"/>
    </row>
    <row r="1253" ht="15.75" customHeight="1">
      <c r="A1253" s="253"/>
      <c r="B1253" s="253"/>
      <c r="C1253" s="253"/>
      <c r="D1253" s="282" t="s">
        <v>4325</v>
      </c>
      <c r="E1253" s="253"/>
      <c r="F1253" s="253"/>
      <c r="G1253" s="253"/>
      <c r="H1253" s="253"/>
      <c r="I1253" s="253"/>
      <c r="J1253" s="253"/>
      <c r="K1253" s="253"/>
      <c r="L1253" s="253"/>
      <c r="M1253" s="253"/>
      <c r="N1253" s="253"/>
      <c r="O1253" s="253"/>
      <c r="P1253" s="253"/>
      <c r="Q1253" s="253"/>
      <c r="R1253" s="253"/>
    </row>
    <row r="1254" ht="15.75" customHeight="1">
      <c r="A1254" s="253"/>
      <c r="B1254" s="253"/>
      <c r="C1254" s="253"/>
      <c r="D1254" s="282" t="s">
        <v>8761</v>
      </c>
      <c r="E1254" s="253"/>
      <c r="F1254" s="253"/>
      <c r="G1254" s="253"/>
      <c r="H1254" s="253"/>
      <c r="I1254" s="253"/>
      <c r="J1254" s="253"/>
      <c r="K1254" s="253"/>
      <c r="L1254" s="253"/>
      <c r="M1254" s="253"/>
      <c r="N1254" s="253"/>
      <c r="O1254" s="253"/>
      <c r="P1254" s="253"/>
      <c r="Q1254" s="253"/>
      <c r="R1254" s="253"/>
    </row>
    <row r="1255" ht="15.75" customHeight="1">
      <c r="A1255" s="253"/>
      <c r="B1255" s="253"/>
      <c r="C1255" s="253"/>
      <c r="D1255" s="282" t="s">
        <v>3787</v>
      </c>
      <c r="E1255" s="253"/>
      <c r="F1255" s="253"/>
      <c r="G1255" s="253"/>
      <c r="H1255" s="253"/>
      <c r="I1255" s="253"/>
      <c r="J1255" s="253"/>
      <c r="K1255" s="253"/>
      <c r="L1255" s="253"/>
      <c r="M1255" s="253"/>
      <c r="N1255" s="253"/>
      <c r="O1255" s="253"/>
      <c r="P1255" s="253"/>
      <c r="Q1255" s="253"/>
      <c r="R1255" s="253"/>
    </row>
    <row r="1256" ht="15.75" customHeight="1">
      <c r="A1256" s="253"/>
      <c r="B1256" s="253"/>
      <c r="C1256" s="253"/>
      <c r="D1256" s="281" t="s">
        <v>6515</v>
      </c>
      <c r="E1256" s="253"/>
      <c r="F1256" s="253"/>
      <c r="G1256" s="253"/>
      <c r="H1256" s="253"/>
      <c r="I1256" s="253"/>
      <c r="J1256" s="253"/>
      <c r="K1256" s="253"/>
      <c r="L1256" s="253"/>
      <c r="M1256" s="253"/>
      <c r="N1256" s="253"/>
      <c r="O1256" s="253"/>
      <c r="P1256" s="253"/>
      <c r="Q1256" s="253"/>
      <c r="R1256" s="253"/>
    </row>
    <row r="1257" ht="15.75" customHeight="1">
      <c r="A1257" s="253"/>
      <c r="B1257" s="253"/>
      <c r="C1257" s="253"/>
      <c r="D1257" s="281" t="s">
        <v>6572</v>
      </c>
      <c r="E1257" s="253"/>
      <c r="F1257" s="253"/>
      <c r="G1257" s="253"/>
      <c r="H1257" s="253"/>
      <c r="I1257" s="253"/>
      <c r="J1257" s="253"/>
      <c r="K1257" s="253"/>
      <c r="L1257" s="253"/>
      <c r="M1257" s="253"/>
      <c r="N1257" s="253"/>
      <c r="O1257" s="253"/>
      <c r="P1257" s="253"/>
      <c r="Q1257" s="253"/>
      <c r="R1257" s="253"/>
    </row>
    <row r="1258" ht="15.75" customHeight="1">
      <c r="A1258" s="253"/>
      <c r="B1258" s="253"/>
      <c r="C1258" s="253"/>
      <c r="D1258" s="281" t="s">
        <v>6163</v>
      </c>
      <c r="E1258" s="253"/>
      <c r="F1258" s="253"/>
      <c r="G1258" s="253"/>
      <c r="H1258" s="253"/>
      <c r="I1258" s="253"/>
      <c r="J1258" s="253"/>
      <c r="K1258" s="253"/>
      <c r="L1258" s="253"/>
      <c r="M1258" s="253"/>
      <c r="N1258" s="253"/>
      <c r="O1258" s="253"/>
      <c r="P1258" s="253"/>
      <c r="Q1258" s="253"/>
      <c r="R1258" s="253"/>
    </row>
    <row r="1259" ht="15.75" customHeight="1">
      <c r="A1259" s="253"/>
      <c r="B1259" s="253"/>
      <c r="C1259" s="253"/>
      <c r="D1259" s="281" t="s">
        <v>5428</v>
      </c>
      <c r="E1259" s="253"/>
      <c r="F1259" s="253"/>
      <c r="G1259" s="253"/>
      <c r="H1259" s="253"/>
      <c r="I1259" s="253"/>
      <c r="J1259" s="253"/>
      <c r="K1259" s="253"/>
      <c r="L1259" s="253"/>
      <c r="M1259" s="253"/>
      <c r="N1259" s="253"/>
      <c r="O1259" s="253"/>
      <c r="P1259" s="253"/>
      <c r="Q1259" s="253"/>
      <c r="R1259" s="253"/>
    </row>
    <row r="1260" ht="15.75" customHeight="1">
      <c r="A1260" s="253"/>
      <c r="B1260" s="253"/>
      <c r="C1260" s="253"/>
      <c r="D1260" s="281" t="s">
        <v>3958</v>
      </c>
      <c r="E1260" s="253"/>
      <c r="F1260" s="253"/>
      <c r="G1260" s="253"/>
      <c r="H1260" s="253"/>
      <c r="I1260" s="253"/>
      <c r="J1260" s="253"/>
      <c r="K1260" s="253"/>
      <c r="L1260" s="253"/>
      <c r="M1260" s="253"/>
      <c r="N1260" s="253"/>
      <c r="O1260" s="253"/>
      <c r="P1260" s="253"/>
      <c r="Q1260" s="253"/>
      <c r="R1260" s="253"/>
    </row>
    <row r="1261" ht="15.75" customHeight="1">
      <c r="A1261" s="253"/>
      <c r="B1261" s="253"/>
      <c r="C1261" s="253"/>
      <c r="D1261" s="281" t="s">
        <v>7656</v>
      </c>
      <c r="E1261" s="253"/>
      <c r="F1261" s="253"/>
      <c r="G1261" s="253"/>
      <c r="H1261" s="253"/>
      <c r="I1261" s="253"/>
      <c r="J1261" s="253"/>
      <c r="K1261" s="253"/>
      <c r="L1261" s="253"/>
      <c r="M1261" s="253"/>
      <c r="N1261" s="253"/>
      <c r="O1261" s="253"/>
      <c r="P1261" s="253"/>
      <c r="Q1261" s="253"/>
      <c r="R1261" s="253"/>
    </row>
    <row r="1262" ht="15.75" customHeight="1">
      <c r="A1262" s="253"/>
      <c r="B1262" s="253"/>
      <c r="C1262" s="253"/>
      <c r="D1262" s="281" t="s">
        <v>596</v>
      </c>
      <c r="E1262" s="253"/>
      <c r="F1262" s="253"/>
      <c r="G1262" s="253"/>
      <c r="H1262" s="253"/>
      <c r="I1262" s="253"/>
      <c r="J1262" s="253"/>
      <c r="K1262" s="253"/>
      <c r="L1262" s="253"/>
      <c r="M1262" s="253"/>
      <c r="N1262" s="253"/>
      <c r="O1262" s="253"/>
      <c r="P1262" s="253"/>
      <c r="Q1262" s="253"/>
      <c r="R1262" s="253"/>
    </row>
    <row r="1263" ht="15.75" customHeight="1">
      <c r="A1263" s="253"/>
      <c r="B1263" s="253"/>
      <c r="C1263" s="253"/>
      <c r="D1263" s="281" t="s">
        <v>235</v>
      </c>
      <c r="E1263" s="253"/>
      <c r="F1263" s="253"/>
      <c r="G1263" s="253"/>
      <c r="H1263" s="253"/>
      <c r="I1263" s="253"/>
      <c r="J1263" s="253"/>
      <c r="K1263" s="253"/>
      <c r="L1263" s="253"/>
      <c r="M1263" s="253"/>
      <c r="N1263" s="253"/>
      <c r="O1263" s="253"/>
      <c r="P1263" s="253"/>
      <c r="Q1263" s="253"/>
      <c r="R1263" s="253"/>
    </row>
    <row r="1264" ht="15.75" customHeight="1">
      <c r="A1264" s="253"/>
      <c r="B1264" s="253"/>
      <c r="C1264" s="253"/>
      <c r="D1264" s="281" t="s">
        <v>7646</v>
      </c>
      <c r="E1264" s="253"/>
      <c r="F1264" s="253"/>
      <c r="G1264" s="253"/>
      <c r="H1264" s="253"/>
      <c r="I1264" s="253"/>
      <c r="J1264" s="253"/>
      <c r="K1264" s="253"/>
      <c r="L1264" s="253"/>
      <c r="M1264" s="253"/>
      <c r="N1264" s="253"/>
      <c r="O1264" s="253"/>
      <c r="P1264" s="253"/>
      <c r="Q1264" s="253"/>
      <c r="R1264" s="253"/>
    </row>
    <row r="1265" ht="15.75" customHeight="1">
      <c r="A1265" s="253"/>
      <c r="B1265" s="253"/>
      <c r="C1265" s="253"/>
      <c r="D1265" s="281" t="s">
        <v>5210</v>
      </c>
      <c r="E1265" s="253"/>
      <c r="F1265" s="253"/>
      <c r="G1265" s="253"/>
      <c r="H1265" s="253"/>
      <c r="I1265" s="253"/>
      <c r="J1265" s="253"/>
      <c r="K1265" s="253"/>
      <c r="L1265" s="253"/>
      <c r="M1265" s="253"/>
      <c r="N1265" s="253"/>
      <c r="O1265" s="253"/>
      <c r="P1265" s="253"/>
      <c r="Q1265" s="253"/>
      <c r="R1265" s="253"/>
    </row>
    <row r="1266" ht="15.75" customHeight="1">
      <c r="A1266" s="253"/>
      <c r="B1266" s="253"/>
      <c r="C1266" s="253"/>
      <c r="D1266" s="281" t="s">
        <v>8022</v>
      </c>
      <c r="E1266" s="253"/>
      <c r="F1266" s="253"/>
      <c r="G1266" s="253"/>
      <c r="H1266" s="253"/>
      <c r="I1266" s="253"/>
      <c r="J1266" s="253"/>
      <c r="K1266" s="253"/>
      <c r="L1266" s="253"/>
      <c r="M1266" s="253"/>
      <c r="N1266" s="253"/>
      <c r="O1266" s="253"/>
      <c r="P1266" s="253"/>
      <c r="Q1266" s="253"/>
      <c r="R1266" s="253"/>
    </row>
    <row r="1267" ht="15.75" customHeight="1">
      <c r="A1267" s="253"/>
      <c r="B1267" s="253"/>
      <c r="C1267" s="253"/>
      <c r="D1267" s="281" t="s">
        <v>8784</v>
      </c>
      <c r="E1267" s="253"/>
      <c r="F1267" s="253"/>
      <c r="G1267" s="253"/>
      <c r="H1267" s="253"/>
      <c r="I1267" s="253"/>
      <c r="J1267" s="253"/>
      <c r="K1267" s="253"/>
      <c r="L1267" s="253"/>
      <c r="M1267" s="253"/>
      <c r="N1267" s="253"/>
      <c r="O1267" s="253"/>
      <c r="P1267" s="253"/>
      <c r="Q1267" s="253"/>
      <c r="R1267" s="253"/>
    </row>
    <row r="1268" ht="15.75" customHeight="1">
      <c r="A1268" s="253"/>
      <c r="B1268" s="253"/>
      <c r="C1268" s="253"/>
      <c r="D1268" s="281" t="s">
        <v>9720</v>
      </c>
      <c r="E1268" s="253"/>
      <c r="F1268" s="253"/>
      <c r="G1268" s="253"/>
      <c r="H1268" s="253"/>
      <c r="I1268" s="253"/>
      <c r="J1268" s="253"/>
      <c r="K1268" s="253"/>
      <c r="L1268" s="253"/>
      <c r="M1268" s="253"/>
      <c r="N1268" s="253"/>
      <c r="O1268" s="253"/>
      <c r="P1268" s="253"/>
      <c r="Q1268" s="253"/>
      <c r="R1268" s="253"/>
    </row>
    <row r="1269" ht="15.75" customHeight="1">
      <c r="A1269" s="253"/>
      <c r="B1269" s="253"/>
      <c r="C1269" s="253"/>
      <c r="D1269" s="281" t="s">
        <v>2616</v>
      </c>
      <c r="E1269" s="253"/>
      <c r="F1269" s="253"/>
      <c r="G1269" s="253"/>
      <c r="H1269" s="253"/>
      <c r="I1269" s="253"/>
      <c r="J1269" s="253"/>
      <c r="K1269" s="253"/>
      <c r="L1269" s="253"/>
      <c r="M1269" s="253"/>
      <c r="N1269" s="253"/>
      <c r="O1269" s="253"/>
      <c r="P1269" s="253"/>
      <c r="Q1269" s="253"/>
      <c r="R1269" s="253"/>
    </row>
    <row r="1270" ht="15.75" customHeight="1">
      <c r="A1270" s="253"/>
      <c r="B1270" s="253"/>
      <c r="C1270" s="253"/>
      <c r="D1270" s="281" t="s">
        <v>9121</v>
      </c>
      <c r="E1270" s="253"/>
      <c r="F1270" s="253"/>
      <c r="G1270" s="253"/>
      <c r="H1270" s="253"/>
      <c r="I1270" s="253"/>
      <c r="J1270" s="253"/>
      <c r="K1270" s="253"/>
      <c r="L1270" s="253"/>
      <c r="M1270" s="253"/>
      <c r="N1270" s="253"/>
      <c r="O1270" s="253"/>
      <c r="P1270" s="253"/>
      <c r="Q1270" s="253"/>
      <c r="R1270" s="253"/>
    </row>
    <row r="1271" ht="15.75" customHeight="1">
      <c r="A1271" s="253"/>
      <c r="B1271" s="253"/>
      <c r="C1271" s="253"/>
      <c r="D1271" s="281" t="s">
        <v>2539</v>
      </c>
      <c r="E1271" s="253"/>
      <c r="F1271" s="253"/>
      <c r="G1271" s="253"/>
      <c r="H1271" s="253"/>
      <c r="I1271" s="253"/>
      <c r="J1271" s="253"/>
      <c r="K1271" s="253"/>
      <c r="L1271" s="253"/>
      <c r="M1271" s="253"/>
      <c r="N1271" s="253"/>
      <c r="O1271" s="253"/>
      <c r="P1271" s="253"/>
      <c r="Q1271" s="253"/>
      <c r="R1271" s="253"/>
    </row>
    <row r="1272" ht="15.75" customHeight="1">
      <c r="A1272" s="253"/>
      <c r="B1272" s="253"/>
      <c r="C1272" s="253"/>
      <c r="D1272" s="283"/>
      <c r="E1272" s="253"/>
      <c r="F1272" s="253"/>
      <c r="G1272" s="253"/>
      <c r="H1272" s="253"/>
      <c r="I1272" s="253"/>
      <c r="J1272" s="253"/>
      <c r="K1272" s="253"/>
      <c r="L1272" s="253"/>
      <c r="M1272" s="253"/>
      <c r="N1272" s="253"/>
      <c r="O1272" s="253"/>
      <c r="P1272" s="253"/>
      <c r="Q1272" s="253"/>
      <c r="R1272" s="253"/>
    </row>
    <row r="1273" ht="15.75" customHeight="1">
      <c r="A1273" s="253"/>
      <c r="B1273" s="253"/>
      <c r="C1273" s="253"/>
      <c r="D1273" s="283"/>
      <c r="E1273" s="253"/>
      <c r="F1273" s="253"/>
      <c r="G1273" s="253"/>
      <c r="H1273" s="253"/>
      <c r="I1273" s="253"/>
      <c r="J1273" s="253"/>
      <c r="K1273" s="253"/>
      <c r="L1273" s="253"/>
      <c r="M1273" s="253"/>
      <c r="N1273" s="253"/>
      <c r="O1273" s="253"/>
      <c r="P1273" s="253"/>
      <c r="Q1273" s="253"/>
      <c r="R1273" s="253"/>
    </row>
    <row r="1274" ht="15.75" customHeight="1">
      <c r="A1274" s="253"/>
      <c r="B1274" s="253"/>
      <c r="C1274" s="253"/>
      <c r="D1274" s="283"/>
      <c r="E1274" s="253"/>
      <c r="F1274" s="253"/>
      <c r="G1274" s="253"/>
      <c r="H1274" s="253"/>
      <c r="I1274" s="253"/>
      <c r="J1274" s="253"/>
      <c r="K1274" s="253"/>
      <c r="L1274" s="253"/>
      <c r="M1274" s="253"/>
      <c r="N1274" s="253"/>
      <c r="O1274" s="253"/>
      <c r="P1274" s="253"/>
      <c r="Q1274" s="253"/>
      <c r="R1274" s="253"/>
    </row>
    <row r="1275" ht="15.75" customHeight="1">
      <c r="A1275" s="253"/>
      <c r="B1275" s="253"/>
      <c r="C1275" s="253"/>
      <c r="D1275" s="283"/>
      <c r="E1275" s="253"/>
      <c r="F1275" s="253"/>
      <c r="G1275" s="253"/>
      <c r="H1275" s="253"/>
      <c r="I1275" s="253"/>
      <c r="J1275" s="253"/>
      <c r="K1275" s="253"/>
      <c r="L1275" s="253"/>
      <c r="M1275" s="253"/>
      <c r="N1275" s="253"/>
      <c r="O1275" s="253"/>
      <c r="P1275" s="253"/>
      <c r="Q1275" s="253"/>
      <c r="R1275" s="253"/>
    </row>
    <row r="1276" ht="15.75" customHeight="1">
      <c r="A1276" s="253"/>
      <c r="B1276" s="253"/>
      <c r="C1276" s="253"/>
      <c r="D1276" s="283"/>
      <c r="E1276" s="253"/>
      <c r="F1276" s="253"/>
      <c r="G1276" s="253"/>
      <c r="H1276" s="253"/>
      <c r="I1276" s="253"/>
      <c r="J1276" s="253"/>
      <c r="K1276" s="253"/>
      <c r="L1276" s="253"/>
      <c r="M1276" s="253"/>
      <c r="N1276" s="253"/>
      <c r="O1276" s="253"/>
      <c r="P1276" s="253"/>
      <c r="Q1276" s="253"/>
      <c r="R1276" s="253"/>
    </row>
    <row r="1277" ht="15.75" customHeight="1">
      <c r="A1277" s="253"/>
      <c r="B1277" s="253"/>
      <c r="C1277" s="253"/>
      <c r="D1277" s="283"/>
      <c r="E1277" s="253"/>
      <c r="F1277" s="253"/>
      <c r="G1277" s="253"/>
      <c r="H1277" s="253"/>
      <c r="I1277" s="253"/>
      <c r="J1277" s="253"/>
      <c r="K1277" s="253"/>
      <c r="L1277" s="253"/>
      <c r="M1277" s="253"/>
      <c r="N1277" s="253"/>
      <c r="O1277" s="253"/>
      <c r="P1277" s="253"/>
      <c r="Q1277" s="253"/>
      <c r="R1277" s="253"/>
    </row>
    <row r="1278" ht="15.75" customHeight="1">
      <c r="A1278" s="253"/>
      <c r="B1278" s="253"/>
      <c r="C1278" s="253"/>
      <c r="D1278" s="283"/>
      <c r="E1278" s="253"/>
      <c r="F1278" s="253"/>
      <c r="G1278" s="253"/>
      <c r="H1278" s="253"/>
      <c r="I1278" s="253"/>
      <c r="J1278" s="253"/>
      <c r="K1278" s="253"/>
      <c r="L1278" s="253"/>
      <c r="M1278" s="253"/>
      <c r="N1278" s="253"/>
      <c r="O1278" s="253"/>
      <c r="P1278" s="253"/>
      <c r="Q1278" s="253"/>
      <c r="R1278" s="253"/>
    </row>
  </sheetData>
  <mergeCells count="4">
    <mergeCell ref="A1:A4"/>
    <mergeCell ref="B1:B4"/>
    <mergeCell ref="C1:C4"/>
    <mergeCell ref="D1:D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9.38"/>
    <col customWidth="1" min="2" max="2" width="79.63"/>
  </cols>
  <sheetData>
    <row r="1">
      <c r="A1" s="270"/>
      <c r="B1" s="270"/>
    </row>
    <row r="2">
      <c r="A2" s="271"/>
      <c r="B2" s="271"/>
    </row>
    <row r="3">
      <c r="A3" s="271"/>
      <c r="B3" s="271"/>
    </row>
    <row r="4">
      <c r="A4" s="271"/>
      <c r="B4" s="271"/>
    </row>
    <row r="5">
      <c r="A5" s="271"/>
      <c r="B5" s="271"/>
    </row>
    <row r="6">
      <c r="A6" s="271"/>
      <c r="B6" s="271"/>
    </row>
    <row r="7">
      <c r="A7" s="271"/>
      <c r="B7" s="271"/>
    </row>
    <row r="8">
      <c r="A8" s="271"/>
      <c r="B8" s="271"/>
    </row>
    <row r="9">
      <c r="A9" s="271"/>
      <c r="B9" s="271"/>
    </row>
    <row r="10">
      <c r="A10" s="271"/>
      <c r="B10" s="271"/>
    </row>
    <row r="11">
      <c r="A11" s="271"/>
      <c r="B11" s="271"/>
    </row>
    <row r="12">
      <c r="A12" s="271"/>
      <c r="B12" s="271"/>
    </row>
    <row r="13">
      <c r="A13" s="271"/>
      <c r="B13" s="271"/>
    </row>
    <row r="14">
      <c r="A14" s="271"/>
      <c r="B14" s="271"/>
    </row>
    <row r="15">
      <c r="A15" s="271"/>
      <c r="B15" s="271"/>
    </row>
    <row r="16">
      <c r="A16" s="271"/>
      <c r="B16" s="271"/>
    </row>
    <row r="17">
      <c r="A17" s="271"/>
      <c r="B17" s="271"/>
    </row>
    <row r="18">
      <c r="A18" s="271"/>
      <c r="B18" s="271"/>
    </row>
    <row r="19">
      <c r="A19" s="271"/>
      <c r="B19" s="271"/>
    </row>
    <row r="20">
      <c r="A20" s="271"/>
      <c r="B20" s="271"/>
    </row>
    <row r="21" ht="15.75" customHeight="1">
      <c r="A21" s="271"/>
      <c r="B21" s="271"/>
    </row>
    <row r="22" ht="15.75" customHeight="1">
      <c r="A22" s="271"/>
      <c r="B22" s="271"/>
    </row>
    <row r="23" ht="15.75" customHeight="1">
      <c r="A23" s="271"/>
      <c r="B23" s="271"/>
    </row>
    <row r="24" ht="15.75" customHeight="1">
      <c r="A24" s="271"/>
      <c r="B24" s="271"/>
    </row>
    <row r="25" ht="15.75" customHeight="1">
      <c r="A25" s="271"/>
      <c r="B25" s="271"/>
    </row>
    <row r="26" ht="18.75" customHeight="1">
      <c r="A26" s="271"/>
      <c r="B26" s="271"/>
    </row>
    <row r="27" ht="18.75" customHeight="1">
      <c r="A27" s="271"/>
      <c r="B27" s="271"/>
    </row>
    <row r="28" ht="18.75" customHeight="1">
      <c r="A28" s="271"/>
      <c r="B28" s="271"/>
    </row>
    <row r="29" ht="15.75" customHeight="1">
      <c r="A29" s="271"/>
      <c r="B29" s="271"/>
    </row>
    <row r="30" ht="15.75" customHeight="1">
      <c r="A30" s="271"/>
      <c r="B30" s="271"/>
    </row>
    <row r="31" ht="15.75" customHeight="1">
      <c r="A31" s="271"/>
      <c r="B31" s="271"/>
    </row>
    <row r="32" ht="15.75" customHeight="1">
      <c r="A32" s="271"/>
      <c r="B32" s="271"/>
    </row>
    <row r="33" ht="15.75" customHeight="1">
      <c r="A33" s="271"/>
      <c r="B33" s="271"/>
    </row>
    <row r="34" ht="15.75" customHeight="1">
      <c r="A34" s="271"/>
      <c r="B34" s="271"/>
    </row>
    <row r="35" ht="15.75" customHeight="1">
      <c r="A35" s="271"/>
      <c r="B35" s="271"/>
    </row>
    <row r="36" ht="15.75" customHeight="1">
      <c r="A36" s="271"/>
      <c r="B36" s="271"/>
    </row>
    <row r="37" ht="15.75" customHeight="1">
      <c r="A37" s="271"/>
      <c r="B37" s="271"/>
    </row>
    <row r="38" ht="15.75" customHeight="1">
      <c r="A38" s="271"/>
      <c r="B38" s="271"/>
    </row>
    <row r="39" ht="15.75" customHeight="1">
      <c r="A39" s="271"/>
      <c r="B39" s="271"/>
    </row>
    <row r="40" ht="15.75" customHeight="1">
      <c r="A40" s="271"/>
      <c r="B40" s="271"/>
    </row>
    <row r="41" ht="15.75" customHeight="1">
      <c r="A41" s="271"/>
      <c r="B41" s="271"/>
    </row>
    <row r="42" ht="15.75" customHeight="1">
      <c r="A42" s="271"/>
      <c r="B42" s="272"/>
    </row>
    <row r="43" ht="15.75" customHeight="1">
      <c r="A43" s="271"/>
      <c r="B43" s="273" t="s">
        <v>11555</v>
      </c>
    </row>
    <row r="44" ht="15.75" customHeight="1">
      <c r="A44" s="271"/>
      <c r="B44" s="274" t="s">
        <v>11557</v>
      </c>
    </row>
    <row r="45" ht="15.75" customHeight="1">
      <c r="A45" s="271"/>
      <c r="B45" s="274" t="s">
        <v>11558</v>
      </c>
    </row>
    <row r="46" ht="15.75" customHeight="1">
      <c r="A46" s="271"/>
      <c r="B46" s="274" t="s">
        <v>11559</v>
      </c>
    </row>
    <row r="47" ht="15.75" customHeight="1">
      <c r="A47" s="271"/>
      <c r="B47" s="274" t="s">
        <v>11560</v>
      </c>
    </row>
    <row r="48" ht="15.75" customHeight="1">
      <c r="A48" s="271"/>
      <c r="B48" s="274" t="s">
        <v>11561</v>
      </c>
    </row>
    <row r="49" ht="15.75" customHeight="1">
      <c r="A49" s="271"/>
      <c r="B49" s="274" t="s">
        <v>11562</v>
      </c>
    </row>
    <row r="50" ht="15.75" customHeight="1">
      <c r="A50" s="271"/>
      <c r="B50" s="275" t="s">
        <v>11563</v>
      </c>
    </row>
    <row r="51" ht="15.75" customHeight="1">
      <c r="A51" s="271"/>
      <c r="B51" s="276"/>
    </row>
    <row r="52" ht="15.75" customHeight="1">
      <c r="A52" s="271"/>
      <c r="B52" s="275"/>
    </row>
    <row r="53" ht="15.75" customHeight="1">
      <c r="A53" s="271"/>
      <c r="B53" s="277"/>
    </row>
    <row r="54" ht="15.75" customHeight="1">
      <c r="A54" s="271"/>
      <c r="B54" s="277"/>
    </row>
    <row r="55" ht="15.75" customHeight="1">
      <c r="A55" s="271"/>
      <c r="B55" s="277"/>
    </row>
    <row r="56" ht="15.75" customHeight="1">
      <c r="A56" s="271"/>
      <c r="B56" s="277"/>
    </row>
    <row r="57" ht="15.75" customHeight="1">
      <c r="A57" s="271"/>
      <c r="B57" s="273" t="s">
        <v>11567</v>
      </c>
    </row>
    <row r="58" ht="15.75" customHeight="1">
      <c r="A58" s="271"/>
      <c r="B58" s="277"/>
    </row>
    <row r="59" ht="15.75" customHeight="1">
      <c r="A59" s="271"/>
      <c r="B59" s="278" t="s">
        <v>11569</v>
      </c>
    </row>
    <row r="60" ht="15.75" customHeight="1">
      <c r="A60" s="271"/>
      <c r="B60" s="278" t="s">
        <v>11576</v>
      </c>
    </row>
    <row r="61" ht="15.75" customHeight="1">
      <c r="A61" s="271"/>
      <c r="B61" s="278" t="s">
        <v>11578</v>
      </c>
    </row>
    <row r="62" ht="15.75" customHeight="1">
      <c r="A62" s="271"/>
      <c r="B62" s="278" t="s">
        <v>11581</v>
      </c>
    </row>
    <row r="63" ht="15.75" customHeight="1">
      <c r="A63" s="271"/>
      <c r="B63" s="279"/>
    </row>
    <row r="64" ht="15.75" customHeight="1">
      <c r="A64" s="271"/>
      <c r="B64" s="278" t="s">
        <v>11584</v>
      </c>
    </row>
    <row r="65" ht="15.75" customHeight="1">
      <c r="A65" s="271"/>
      <c r="B65" s="279"/>
    </row>
    <row r="66" ht="15.75" customHeight="1">
      <c r="A66" s="271"/>
      <c r="B66" s="279"/>
    </row>
    <row r="67" ht="15.75" customHeight="1">
      <c r="A67" s="271"/>
      <c r="B67" s="279"/>
    </row>
    <row r="68" ht="15.75" customHeight="1">
      <c r="A68" s="271"/>
      <c r="B68" s="279"/>
    </row>
    <row r="69" ht="15.75" customHeight="1">
      <c r="A69" s="271"/>
      <c r="B69" s="279"/>
    </row>
    <row r="70" ht="15.75" customHeight="1">
      <c r="A70" s="271"/>
      <c r="B70" s="279"/>
    </row>
    <row r="71" ht="15.75" customHeight="1">
      <c r="A71" s="271"/>
      <c r="B71" s="279"/>
    </row>
    <row r="72" ht="15.75" customHeight="1">
      <c r="A72" s="271"/>
      <c r="B72" s="279"/>
    </row>
    <row r="73" ht="15.75" customHeight="1">
      <c r="A73" s="271"/>
      <c r="B73" s="279"/>
    </row>
    <row r="74" ht="15.75" customHeight="1">
      <c r="A74" s="271"/>
      <c r="B74" s="279"/>
    </row>
    <row r="75" ht="15.75" customHeight="1">
      <c r="A75" s="271"/>
      <c r="B75" s="279"/>
    </row>
    <row r="76" ht="15.75" customHeight="1">
      <c r="A76" s="271"/>
      <c r="B76" s="279"/>
    </row>
    <row r="77" ht="15.75" customHeight="1">
      <c r="A77" s="271"/>
      <c r="B77" s="279"/>
    </row>
    <row r="78" ht="15.75" customHeight="1">
      <c r="A78" s="271"/>
      <c r="B78" s="279"/>
    </row>
    <row r="79" ht="15.75" customHeight="1">
      <c r="A79" s="271"/>
      <c r="B79" s="279"/>
    </row>
    <row r="80" ht="15.75" customHeight="1">
      <c r="A80" s="271"/>
      <c r="B80" s="279"/>
    </row>
    <row r="81" ht="15.75" customHeight="1">
      <c r="A81" s="271"/>
      <c r="B81" s="279"/>
    </row>
    <row r="82" ht="15.75" customHeight="1">
      <c r="A82" s="271"/>
      <c r="B82" s="279"/>
    </row>
    <row r="83" ht="15.75" customHeight="1">
      <c r="A83" s="271"/>
      <c r="B83" s="279"/>
    </row>
    <row r="84" ht="15.75" customHeight="1">
      <c r="A84" s="271"/>
      <c r="B84" s="279"/>
    </row>
    <row r="85" ht="15.75" customHeight="1">
      <c r="A85" s="271"/>
      <c r="B85" s="279"/>
    </row>
    <row r="86" ht="15.75" customHeight="1">
      <c r="A86" s="271"/>
      <c r="B86" s="279"/>
    </row>
    <row r="87" ht="15.75" customHeight="1">
      <c r="A87" s="271"/>
      <c r="B87" s="279"/>
    </row>
    <row r="88" ht="15.75" customHeight="1">
      <c r="A88" s="271"/>
      <c r="B88" s="279"/>
    </row>
    <row r="89" ht="15.75" customHeight="1">
      <c r="A89" s="271"/>
      <c r="B89" s="279"/>
    </row>
    <row r="90" ht="15.75" customHeight="1">
      <c r="A90" s="271"/>
      <c r="B90" s="279"/>
    </row>
    <row r="91" ht="15.75" customHeight="1">
      <c r="A91" s="271"/>
      <c r="B91" s="279"/>
    </row>
    <row r="92" ht="15.75" customHeight="1">
      <c r="A92" s="271"/>
      <c r="B92" s="279"/>
    </row>
    <row r="93" ht="15.75" customHeight="1">
      <c r="A93" s="271"/>
      <c r="B93" s="279"/>
    </row>
    <row r="94" ht="15.75" customHeight="1">
      <c r="A94" s="271"/>
      <c r="B94" s="279"/>
    </row>
    <row r="95" ht="15.75" customHeight="1">
      <c r="A95" s="271"/>
      <c r="B95" s="279"/>
    </row>
    <row r="96" ht="15.75" customHeight="1">
      <c r="A96" s="271"/>
      <c r="B96" s="279"/>
    </row>
    <row r="97" ht="15.75" customHeight="1">
      <c r="A97" s="271"/>
      <c r="B97" s="279"/>
    </row>
    <row r="98" ht="15.75" customHeight="1">
      <c r="A98" s="272"/>
      <c r="B98" s="279"/>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98"/>
    <mergeCell ref="B1:B42"/>
  </mergeCells>
  <hyperlinks>
    <hyperlink r:id="rId1" ref="B59"/>
    <hyperlink r:id="rId2" ref="B60"/>
    <hyperlink r:id="rId3" ref="B61"/>
    <hyperlink r:id="rId4" ref="B62"/>
    <hyperlink r:id="rId5" ref="B64"/>
  </hyperlinks>
  <printOptions/>
  <pageMargins bottom="0.75" footer="0.0" header="0.0" left="0.7" right="0.7" top="0.75"/>
  <pageSetup orientation="landscape"/>
  <drawing r:id="rId6"/>
</worksheet>
</file>