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Luyckx\My ShareSync\1-Programmes\2-Fishy Business\Report 2\Nutrition report\Journal paper\Calcs and method\"/>
    </mc:Choice>
  </mc:AlternateContent>
  <xr:revisionPtr revIDLastSave="0" documentId="13_ncr:1_{9ED57EAC-8635-49CA-83E2-D78921B29E67}" xr6:coauthVersionLast="45" xr6:coauthVersionMax="45" xr10:uidLastSave="{00000000-0000-0000-0000-000000000000}"/>
  <bookViews>
    <workbookView xWindow="-120" yWindow="-120" windowWidth="20730" windowHeight="11160" xr2:uid="{1356BFCF-332A-4232-B7B2-09A72F26E4B7}"/>
  </bookViews>
  <sheets>
    <sheet name="1. Methodology overview" sheetId="4" r:id="rId1"/>
    <sheet name="2. FMFO species breakdown" sheetId="1" r:id="rId2"/>
    <sheet name="3. FMFO vol for weighting" sheetId="3" r:id="rId3"/>
    <sheet name="4. Seafood nutrients" sheetId="5" r:id="rId4"/>
    <sheet name="5. Fig 4 a. Bar 1 - 2" sheetId="7" r:id="rId5"/>
    <sheet name="6. Fig 4 a. Bar 3" sheetId="8" r:id="rId6"/>
    <sheet name="7. Fig 4 b. Bar 1" sheetId="9" r:id="rId7"/>
    <sheet name="8. Fig 4 b. Bar 2 - 3" sheetId="10" r:id="rId8"/>
    <sheet name="FMFO prod" sheetId="11" r:id="rId9"/>
    <sheet name="Nutrition Data"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1" i="10" l="1"/>
  <c r="P40" i="10"/>
  <c r="D15" i="9"/>
  <c r="F29" i="10"/>
  <c r="C25" i="10"/>
  <c r="F7" i="10"/>
  <c r="D43" i="8"/>
  <c r="H30" i="7"/>
  <c r="H31" i="7"/>
  <c r="H32" i="7"/>
  <c r="H33" i="7"/>
  <c r="H34" i="7"/>
  <c r="H35" i="7"/>
  <c r="H29" i="7"/>
  <c r="B30" i="7"/>
  <c r="B31" i="7"/>
  <c r="B32" i="7"/>
  <c r="B33" i="7"/>
  <c r="B34" i="7"/>
  <c r="B29" i="7"/>
  <c r="G44" i="10" l="1"/>
  <c r="B81" i="8"/>
  <c r="J26" i="7" l="1"/>
  <c r="C26" i="7"/>
  <c r="A68" i="10" l="1"/>
  <c r="B19" i="11" l="1"/>
  <c r="B9" i="11"/>
  <c r="I45" i="10"/>
  <c r="I44" i="10"/>
  <c r="E38" i="10"/>
  <c r="G38" i="10" s="1"/>
  <c r="D4" i="9"/>
  <c r="D5" i="9" s="1"/>
  <c r="D13" i="9" s="1"/>
  <c r="B83" i="8"/>
  <c r="B9" i="8" s="1"/>
  <c r="E43" i="10" s="1"/>
  <c r="B72" i="8"/>
  <c r="B74" i="8" s="1"/>
  <c r="B62" i="8"/>
  <c r="B64" i="8" s="1"/>
  <c r="C55" i="8"/>
  <c r="F55" i="8" s="1"/>
  <c r="F54" i="8"/>
  <c r="F53" i="8"/>
  <c r="F52" i="8"/>
  <c r="F51" i="8"/>
  <c r="B48" i="8"/>
  <c r="D48" i="8" s="1"/>
  <c r="B6" i="8" s="1"/>
  <c r="E40" i="10" s="1"/>
  <c r="D35" i="8"/>
  <c r="D42" i="8" s="1"/>
  <c r="B5" i="8" s="1"/>
  <c r="C35" i="8"/>
  <c r="B35" i="8"/>
  <c r="D34" i="8"/>
  <c r="C34" i="8"/>
  <c r="B34" i="8"/>
  <c r="D19" i="8"/>
  <c r="B3" i="8" s="1"/>
  <c r="E37" i="10" s="1"/>
  <c r="G37" i="10" s="1"/>
  <c r="H24" i="7"/>
  <c r="B23" i="7"/>
  <c r="J38" i="7"/>
  <c r="J37" i="7"/>
  <c r="C36" i="7"/>
  <c r="J36" i="7"/>
  <c r="C35" i="7"/>
  <c r="D4" i="7"/>
  <c r="D5" i="7" s="1"/>
  <c r="J38" i="10" l="1"/>
  <c r="L38" i="10" s="1"/>
  <c r="J40" i="10"/>
  <c r="L40" i="10" s="1"/>
  <c r="G40" i="10"/>
  <c r="J43" i="10"/>
  <c r="L43" i="10" s="1"/>
  <c r="G43" i="10"/>
  <c r="B76" i="8"/>
  <c r="B8" i="8" s="1"/>
  <c r="E42" i="10" s="1"/>
  <c r="F56" i="8"/>
  <c r="B7" i="8" s="1"/>
  <c r="E41" i="10" s="1"/>
  <c r="D48" i="10"/>
  <c r="I48" i="10" s="1"/>
  <c r="K38" i="7"/>
  <c r="D47" i="10"/>
  <c r="I47" i="10" s="1"/>
  <c r="K37" i="7"/>
  <c r="D46" i="10"/>
  <c r="I46" i="10" s="1"/>
  <c r="K36" i="7"/>
  <c r="D35" i="7"/>
  <c r="C23" i="10"/>
  <c r="D23" i="10" s="1"/>
  <c r="D36" i="7"/>
  <c r="C24" i="10"/>
  <c r="D24" i="10" s="1"/>
  <c r="C30" i="7"/>
  <c r="C32" i="7"/>
  <c r="C34" i="7"/>
  <c r="J30" i="7"/>
  <c r="J32" i="7"/>
  <c r="J34" i="7"/>
  <c r="C29" i="7"/>
  <c r="D17" i="10" s="1"/>
  <c r="C31" i="7"/>
  <c r="C33" i="7"/>
  <c r="J29" i="7"/>
  <c r="J31" i="7"/>
  <c r="J33" i="7"/>
  <c r="J35" i="7"/>
  <c r="J37" i="10"/>
  <c r="L37" i="10" s="1"/>
  <c r="E39" i="10"/>
  <c r="F30" i="10"/>
  <c r="F31" i="10" s="1"/>
  <c r="H39" i="7"/>
  <c r="J39" i="7" s="1"/>
  <c r="K39" i="7" s="1"/>
  <c r="B37" i="7"/>
  <c r="C37" i="7" s="1"/>
  <c r="J41" i="10" l="1"/>
  <c r="L41" i="10" s="1"/>
  <c r="G41" i="10"/>
  <c r="J42" i="10"/>
  <c r="L42" i="10" s="1"/>
  <c r="G42" i="10"/>
  <c r="J39" i="10"/>
  <c r="L39" i="10" s="1"/>
  <c r="G39" i="10"/>
  <c r="B10" i="8"/>
  <c r="E45" i="10"/>
  <c r="D37" i="10"/>
  <c r="I37" i="10" s="1"/>
  <c r="K29" i="7"/>
  <c r="D42" i="10"/>
  <c r="I42" i="10" s="1"/>
  <c r="K34" i="7"/>
  <c r="D43" i="10"/>
  <c r="I43" i="10" s="1"/>
  <c r="K35" i="7"/>
  <c r="D41" i="10"/>
  <c r="I41" i="10" s="1"/>
  <c r="K33" i="7"/>
  <c r="D38" i="10"/>
  <c r="I38" i="10" s="1"/>
  <c r="K30" i="7"/>
  <c r="D40" i="10"/>
  <c r="I40" i="10" s="1"/>
  <c r="K32" i="7"/>
  <c r="D39" i="10"/>
  <c r="I39" i="10" s="1"/>
  <c r="K31" i="7"/>
  <c r="F10" i="10"/>
  <c r="F12" i="10" s="1"/>
  <c r="D31" i="7"/>
  <c r="C19" i="10"/>
  <c r="D19" i="10" s="1"/>
  <c r="D29" i="7"/>
  <c r="C17" i="10"/>
  <c r="D34" i="7"/>
  <c r="C22" i="10"/>
  <c r="D22" i="10" s="1"/>
  <c r="F9" i="10"/>
  <c r="F13" i="10" s="1"/>
  <c r="F14" i="10" s="1"/>
  <c r="F32" i="10" s="1"/>
  <c r="F33" i="10" s="1"/>
  <c r="D37" i="7"/>
  <c r="D32" i="7"/>
  <c r="C20" i="10"/>
  <c r="D20" i="10" s="1"/>
  <c r="D33" i="7"/>
  <c r="C21" i="10"/>
  <c r="D21" i="10" s="1"/>
  <c r="D30" i="7"/>
  <c r="C18" i="10"/>
  <c r="D18" i="10" s="1"/>
  <c r="D25" i="10" s="1"/>
  <c r="E17" i="10" s="1"/>
  <c r="F8" i="10"/>
  <c r="E58" i="10" s="1"/>
  <c r="E60" i="10" s="1"/>
  <c r="I29" i="10"/>
  <c r="I30" i="10" s="1"/>
  <c r="F11" i="10"/>
  <c r="G45" i="10" l="1"/>
  <c r="I49" i="10"/>
  <c r="D49" i="10"/>
  <c r="E24" i="10"/>
  <c r="E22" i="10"/>
  <c r="E20" i="10"/>
  <c r="E18" i="10"/>
  <c r="E23" i="10"/>
  <c r="E21" i="10"/>
  <c r="E19" i="10"/>
  <c r="E62" i="10"/>
  <c r="E63" i="10" s="1"/>
  <c r="D9" i="9" s="1"/>
  <c r="E25" i="10" l="1"/>
  <c r="J44" i="10"/>
  <c r="D10" i="9"/>
  <c r="D11" i="9" s="1"/>
  <c r="J45" i="10" l="1"/>
  <c r="L44" i="10"/>
  <c r="L45" i="10" s="1"/>
  <c r="K47" i="5"/>
  <c r="G47" i="5"/>
  <c r="E47" i="5"/>
  <c r="C47" i="5"/>
  <c r="B47" i="5"/>
  <c r="L46" i="5"/>
  <c r="K46" i="5"/>
  <c r="J46" i="5"/>
  <c r="I46" i="5"/>
  <c r="H46" i="5"/>
  <c r="G46" i="5"/>
  <c r="F46" i="5"/>
  <c r="E46" i="5"/>
  <c r="D46" i="5"/>
  <c r="C46" i="5"/>
  <c r="L45" i="5"/>
  <c r="K45" i="5"/>
  <c r="L44" i="5"/>
  <c r="K44" i="5"/>
  <c r="L43" i="5"/>
  <c r="K43" i="5"/>
  <c r="L42" i="5"/>
  <c r="K42" i="5"/>
  <c r="J42" i="5"/>
  <c r="I42" i="5"/>
  <c r="H42" i="5"/>
  <c r="G42" i="5"/>
  <c r="F42" i="5"/>
  <c r="E42" i="5"/>
  <c r="D42" i="5"/>
  <c r="C42" i="5"/>
  <c r="L41" i="5"/>
  <c r="K41" i="5"/>
  <c r="J41" i="5"/>
  <c r="I41" i="5"/>
  <c r="H41" i="5"/>
  <c r="G41" i="5"/>
  <c r="F41" i="5"/>
  <c r="E41" i="5"/>
  <c r="D41" i="5"/>
  <c r="C41" i="5"/>
  <c r="L40" i="5"/>
  <c r="L47" i="5" s="1"/>
  <c r="K40" i="5"/>
  <c r="J40" i="5"/>
  <c r="J47" i="5" s="1"/>
  <c r="I40" i="5"/>
  <c r="I47" i="5" s="1"/>
  <c r="H40" i="5"/>
  <c r="H47" i="5" s="1"/>
  <c r="G40" i="5"/>
  <c r="F40" i="5"/>
  <c r="F47" i="5" s="1"/>
  <c r="E40" i="5"/>
  <c r="D40" i="5"/>
  <c r="D47" i="5" s="1"/>
  <c r="C40" i="5"/>
  <c r="L37" i="5"/>
  <c r="J37" i="5"/>
  <c r="H37" i="5"/>
  <c r="F37" i="5"/>
  <c r="D37" i="5"/>
  <c r="B37" i="5"/>
  <c r="L36" i="5"/>
  <c r="K36" i="5"/>
  <c r="K37" i="5" s="1"/>
  <c r="J36" i="5"/>
  <c r="I36" i="5"/>
  <c r="I37" i="5" s="1"/>
  <c r="H36" i="5"/>
  <c r="G36" i="5"/>
  <c r="G37" i="5" s="1"/>
  <c r="F36" i="5"/>
  <c r="E36" i="5"/>
  <c r="E37" i="5" s="1"/>
  <c r="D36" i="5"/>
  <c r="C36" i="5"/>
  <c r="C37" i="5" s="1"/>
  <c r="C85" i="3" l="1"/>
  <c r="C86" i="3" s="1"/>
  <c r="C88" i="3" s="1"/>
  <c r="C78" i="3"/>
  <c r="C79" i="3" s="1"/>
  <c r="C81" i="3" s="1"/>
  <c r="E61" i="1"/>
  <c r="E76" i="1" s="1"/>
  <c r="C69" i="3"/>
  <c r="C70" i="3" s="1"/>
  <c r="C72" i="3" s="1"/>
  <c r="C62" i="3"/>
  <c r="C63" i="3" s="1"/>
  <c r="C65" i="3" s="1"/>
  <c r="C54" i="3"/>
  <c r="C55" i="3" s="1"/>
  <c r="C57" i="3" s="1"/>
  <c r="C47" i="3"/>
  <c r="C48" i="3"/>
  <c r="C50" i="3" s="1"/>
  <c r="E31" i="1"/>
  <c r="B22" i="1"/>
  <c r="C22" i="1"/>
  <c r="D22" i="1"/>
  <c r="E22" i="1"/>
  <c r="F22" i="1"/>
  <c r="G22" i="1"/>
  <c r="H22" i="1"/>
  <c r="H61" i="1"/>
  <c r="H66" i="1"/>
  <c r="H34" i="1"/>
  <c r="H30" i="1"/>
  <c r="C39" i="3"/>
  <c r="C41" i="3" s="1"/>
  <c r="C33" i="3"/>
  <c r="C35" i="3" s="1"/>
  <c r="B59" i="1"/>
  <c r="B69" i="1"/>
  <c r="B60" i="1"/>
  <c r="B61" i="1"/>
  <c r="B66" i="1"/>
  <c r="C69" i="1"/>
  <c r="C61" i="1"/>
  <c r="C66" i="1"/>
  <c r="C60" i="1"/>
  <c r="G76" i="1"/>
  <c r="F76" i="1"/>
  <c r="D76" i="1"/>
  <c r="B33" i="1"/>
  <c r="B37" i="1"/>
  <c r="C26" i="3"/>
  <c r="C28" i="3" s="1"/>
  <c r="C20" i="3"/>
  <c r="C22" i="3" s="1"/>
  <c r="C12" i="3"/>
  <c r="C14" i="3" s="1"/>
  <c r="C6" i="3"/>
  <c r="H76" i="1" l="1"/>
  <c r="B76" i="1"/>
  <c r="C76" i="1"/>
  <c r="C8" i="3"/>
  <c r="C33" i="1"/>
  <c r="C49" i="1" s="1"/>
  <c r="H49" i="1"/>
  <c r="G49" i="1"/>
  <c r="F49" i="1"/>
  <c r="E49" i="1"/>
  <c r="D49" i="1"/>
  <c r="B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Luyckx</author>
  </authors>
  <commentList>
    <comment ref="B36" authorId="0" shapeId="0" xr:uid="{4CA66FAA-23E4-428B-B5A0-B754C9314986}">
      <text>
        <r>
          <rPr>
            <b/>
            <sz val="9"/>
            <color rgb="FF000000"/>
            <rFont val="Tahoma"/>
            <family val="2"/>
          </rPr>
          <t>Karen Luyckx:</t>
        </r>
        <r>
          <rPr>
            <sz val="9"/>
            <color rgb="FF000000"/>
            <rFont val="Tahoma"/>
            <family val="2"/>
          </rPr>
          <t xml:space="preserve">
</t>
        </r>
        <r>
          <rPr>
            <sz val="9"/>
            <color rgb="FF000000"/>
            <rFont val="Tahoma"/>
            <family val="2"/>
          </rPr>
          <t xml:space="preserve">see purple box in FB calcs Karen 22 Jan "wild vs farmed"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tc={0886DCD9-1807-4594-9654-9C72C1BA009F}</author>
  </authors>
  <commentList>
    <comment ref="D28" authorId="0" shapeId="0" xr:uid="{0886DCD9-1807-4594-9654-9C72C1BA009F}">
      <text>
        <t>[Threaded comment]
Your version of Excel allows you to read this threaded comment; however, any edits to it will get removed if the file is opened in a newer version of Excel. Learn more: https://go.microsoft.com/fwlink/?linkid=870924
Comment:
    I would not use these figures for Bar 1, they are just a cross-check. It is logical there is less fish mass when back-calculated this way because some fish have more FO, some only FM (eg blue whiting).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tc={40605E29-7D5D-4C8C-AD68-60986FC54178}</author>
  </authors>
  <commentList>
    <comment ref="I37" authorId="0" shapeId="0" xr:uid="{40605E29-7D5D-4C8C-AD68-60986FC54178}">
      <text>
        <t>[Threaded comment]
Your version of Excel allows you to read this threaded comment; however, any edits to it will get removed if the file is opened in a newer version of Excel. Learn more: https://go.microsoft.com/fwlink/?linkid=870924
Comment:
    Assumed FM usage in salmon diets is reduced by half. See notes in line 50-52.</t>
      </text>
    </comment>
  </commentList>
</comments>
</file>

<file path=xl/sharedStrings.xml><?xml version="1.0" encoding="utf-8"?>
<sst xmlns="http://schemas.openxmlformats.org/spreadsheetml/2006/main" count="859" uniqueCount="491">
  <si>
    <t xml:space="preserve">Wild-caught fish species used in FMFO by Biomar, Mowi and EWOS Cargill </t>
  </si>
  <si>
    <t>Biomar</t>
  </si>
  <si>
    <t>Mowi</t>
  </si>
  <si>
    <t>EWOS Cargill</t>
  </si>
  <si>
    <t xml:space="preserve">Species group </t>
  </si>
  <si>
    <t>Species incorporated under each group</t>
  </si>
  <si>
    <t>Blue whiting</t>
  </si>
  <si>
    <t>Sardine(lla)</t>
  </si>
  <si>
    <t>Capelin</t>
  </si>
  <si>
    <t>Krill</t>
  </si>
  <si>
    <t>Sand eel</t>
  </si>
  <si>
    <t>Herring</t>
  </si>
  <si>
    <t xml:space="preserve">Menhaden </t>
  </si>
  <si>
    <t>Pout</t>
  </si>
  <si>
    <t>Mackerel</t>
  </si>
  <si>
    <t>Hake</t>
  </si>
  <si>
    <t>Other</t>
  </si>
  <si>
    <t>Sprat</t>
  </si>
  <si>
    <t>Lesser sand eel</t>
  </si>
  <si>
    <t>Norway pout</t>
  </si>
  <si>
    <t>FM</t>
  </si>
  <si>
    <t>FO</t>
  </si>
  <si>
    <t>Trimmings</t>
  </si>
  <si>
    <t>Total</t>
  </si>
  <si>
    <t>Comments</t>
  </si>
  <si>
    <t>FMFO combined, excl trimmings</t>
  </si>
  <si>
    <t>Anchovy</t>
  </si>
  <si>
    <t>Anchoveta</t>
  </si>
  <si>
    <t>Not available for 2016</t>
  </si>
  <si>
    <t>Source: Biomar sustainability report 2018</t>
  </si>
  <si>
    <t>Source: Mowi annual report 2018</t>
  </si>
  <si>
    <t>Source: EWOS Cargill open letter for species used in Scottish FMFO 14 Oct 2019</t>
  </si>
  <si>
    <t>Biomar total fishmeal</t>
  </si>
  <si>
    <t>of which trimmings</t>
  </si>
  <si>
    <t>Biomar FM from whole wild-caught</t>
  </si>
  <si>
    <t>MT</t>
  </si>
  <si>
    <t>Data source</t>
  </si>
  <si>
    <t>https://www.iffo.com/fish-fish-out-fifo-ratios-conversion-wild-feed</t>
  </si>
  <si>
    <t>FM Iffo standard yield</t>
  </si>
  <si>
    <t>Total volume of wild-caught fish for FM</t>
  </si>
  <si>
    <t>Biomar total fish oil</t>
  </si>
  <si>
    <t>Biomar FO from trimmings</t>
  </si>
  <si>
    <t>FO from whole fish</t>
  </si>
  <si>
    <t>FO Iffo standard yield</t>
  </si>
  <si>
    <t>Biomar sust report 2018 p.55</t>
  </si>
  <si>
    <t>volume of wild-caught fish for FO</t>
  </si>
  <si>
    <t>Seafish FMFO facts &amp; figs</t>
  </si>
  <si>
    <t>p.10</t>
  </si>
  <si>
    <t>p.15</t>
  </si>
  <si>
    <t>Cod</t>
  </si>
  <si>
    <t>Source: Biomar sustainability report 2019</t>
  </si>
  <si>
    <t>Source: Mowi annual report 2019</t>
  </si>
  <si>
    <t>European Sprat</t>
  </si>
  <si>
    <t>Sardine, sardinella, Brazilian sardinella, South American pilchard, European pilchard</t>
  </si>
  <si>
    <t>Peruvian anchoveta, pacific anchoveta</t>
  </si>
  <si>
    <t>european anchovy, pacific anchovy</t>
  </si>
  <si>
    <t>Jack mackerel, atlantic mackerel, Pacific jack mackerel, atlantic chub mackerel, atlantic mackerel</t>
  </si>
  <si>
    <t>Silver smelt</t>
  </si>
  <si>
    <t>Biomar sust report 2019 p.63</t>
  </si>
  <si>
    <t>FM / FO weighting</t>
  </si>
  <si>
    <r>
      <t>Mowi formal response to Feedback sent in Sept 2019 states the following: "</t>
    </r>
    <r>
      <rPr>
        <b/>
        <i/>
        <sz val="11"/>
        <color theme="1"/>
        <rFont val="Calibri"/>
        <family val="2"/>
        <scheme val="minor"/>
      </rPr>
      <t xml:space="preserve">Taking all our purchases of fishmeal in Mowi Feed since June 2014, the average value is 10.2% and 4.9% for fishmeal and oil respectively. </t>
    </r>
    <r>
      <rPr>
        <i/>
        <sz val="11"/>
        <color theme="1"/>
        <rFont val="Calibri"/>
        <family val="2"/>
        <scheme val="minor"/>
      </rPr>
      <t>For Norway in 2018, the share of fishmeal and oil made from trimmings and offcuts was about 5% for each whilst for 2019 YTD, the figures are 6.9% and 6.0% for fishmeal and oil respectively. Based on relatively small purchases for 2019, the trimmings figures for 2019 YTD in Scotland are 2.7% and 0% for fishmeal and oil respectively</t>
    </r>
    <r>
      <rPr>
        <sz val="11"/>
        <color theme="1"/>
        <rFont val="Calibri"/>
        <family val="2"/>
        <scheme val="minor"/>
      </rPr>
      <t>." Even though the figures for Scotland are very low, we propose to use the average overall figures as the species data is also for Mowi global.</t>
    </r>
  </si>
  <si>
    <t>Source for Mowi use of trimmings.</t>
  </si>
  <si>
    <t>Boarfish</t>
  </si>
  <si>
    <t>BIOMAR</t>
  </si>
  <si>
    <t>MOWI</t>
  </si>
  <si>
    <t>Source: Cargill aqua sustainabilty report 2019</t>
  </si>
  <si>
    <t>Combined FO&amp;FM, excl trimmings</t>
  </si>
  <si>
    <t xml:space="preserve">Biomar and Mowi need recalculating to exclude trimmings from percentages. </t>
  </si>
  <si>
    <t>Source for all 2016 data: https://www.seafish.org/document/?id=1b08b6d5-75d9-4179-9094-840195ceee4b</t>
  </si>
  <si>
    <t xml:space="preserve"> I've double checked the data for FM, and some rounding down must have happened because the total in reported data is 98%, vice versa for FO. </t>
  </si>
  <si>
    <t>I've double checked the data for FO, assuming they rounded up some figure getting to total of 101%.</t>
  </si>
  <si>
    <t>Mowi total fishmeal</t>
  </si>
  <si>
    <t>Mowi FM from whole wild-caught</t>
  </si>
  <si>
    <t>FM from trimmings</t>
  </si>
  <si>
    <t>Mowi total fish oil</t>
  </si>
  <si>
    <t>FO from trimmings</t>
  </si>
  <si>
    <t>Mowi FO from trimmings</t>
  </si>
  <si>
    <t>Double checked data, some rounding up and down has happened.</t>
  </si>
  <si>
    <t>Cells in yellow have been distributed / guessed looking at the order of priority in which the fish appear in the summary box in the Mowi report (they report per FAO fishing area) and looking at what is likely. Eg. Blue whiting is not an oily fish so unlikely to have high percentages in FO. Data on FO is more accurate because FO comes from a wider geographical spread, whereas bulk of fishmeal comes from Europe.</t>
  </si>
  <si>
    <t>Yellow cells, as above</t>
  </si>
  <si>
    <t>Mowi annual report 2019</t>
  </si>
  <si>
    <t>Communication to feedback.</t>
  </si>
  <si>
    <t>Cargill total fishmeal</t>
  </si>
  <si>
    <t>Cargill total fish oil</t>
  </si>
  <si>
    <t>Cargill FM from whole wild-caught</t>
  </si>
  <si>
    <t>Cargill FO from trimmings</t>
  </si>
  <si>
    <t>https://www.cargill.com/doc/1432142322239/cargill-aqua-nutrition-sustainability-report.pdf</t>
  </si>
  <si>
    <r>
      <t xml:space="preserve">Note: when grouping species together, I have entered sums manually so when you click in a cell, you can see which percentages are the sum of various in the original data. For example, Biomar Fish oil 2018, I have added 10% sardine and 1% sardinella into 11% sardine(lla) category. I have tried to separate anchovy from anchoveta, but the industry seems to use them interchangeably, eg. Cargill &amp; Mowi talk about Peruvian anchovy (engraulis ringens), but Biomar calls this anchoveta. European anchovy has significant problems especially if it comes from Turkey / meditaranean, significantly overfished. I understand these are all </t>
    </r>
    <r>
      <rPr>
        <i/>
        <sz val="11"/>
        <color theme="1"/>
        <rFont val="Calibri"/>
        <family val="2"/>
        <scheme val="minor"/>
      </rPr>
      <t>engraulidae</t>
    </r>
    <r>
      <rPr>
        <sz val="11"/>
        <color theme="1"/>
        <rFont val="Calibri"/>
        <family val="2"/>
        <scheme val="minor"/>
      </rPr>
      <t>.</t>
    </r>
  </si>
  <si>
    <r>
      <rPr>
        <i/>
        <sz val="11"/>
        <color theme="1"/>
        <rFont val="Calibri"/>
        <family val="2"/>
        <scheme val="minor"/>
      </rPr>
      <t>Clupeidae</t>
    </r>
    <r>
      <rPr>
        <sz val="11"/>
        <color theme="1"/>
        <rFont val="Calibri"/>
        <family val="2"/>
        <scheme val="minor"/>
      </rPr>
      <t>: Icelandic summer spawning, Norwegian spring spawning, Araucanian herring, Atlantic herring, pacific herring, redeye herring</t>
    </r>
  </si>
  <si>
    <t>Mowi annual report 2018</t>
  </si>
  <si>
    <t>communication to Feedback</t>
  </si>
  <si>
    <t>species</t>
  </si>
  <si>
    <t>Cargill Aqua salmon</t>
  </si>
  <si>
    <t xml:space="preserve">Salmon nutrition paper </t>
  </si>
  <si>
    <t>Methodology and data notes</t>
  </si>
  <si>
    <t>Figure 1a</t>
  </si>
  <si>
    <t>Methodology</t>
  </si>
  <si>
    <t xml:space="preserve">Salmon production volumes </t>
  </si>
  <si>
    <t>https://www.gov.scot/publications/scottish-fish-farm-production-survey-2019/pages/5/</t>
  </si>
  <si>
    <t xml:space="preserve">We worked with 2014 data because for this year we have confirmed volumes of FMFO used in Scottish salmon farming. </t>
  </si>
  <si>
    <t>https://www.sciencedirect.com/science/article/abs/pii/S0044848616304215?via%3Dihub</t>
  </si>
  <si>
    <t>FMFO volumes used in 2014</t>
  </si>
  <si>
    <t>Type of data</t>
  </si>
  <si>
    <t>Figure 1b</t>
  </si>
  <si>
    <t>Total volume of wet fish (both whole wild-caught and trimmings) calculated by taking volume of FO used divided by standard FO yield as determined by FMFO industry</t>
  </si>
  <si>
    <t>Standard FO yield: 4.8%</t>
  </si>
  <si>
    <t>Alt. standard FO yield: 5%</t>
  </si>
  <si>
    <t>https://www.sciencedirect.com/science/article/pii/S0044848620309741</t>
  </si>
  <si>
    <t>[Note: if we want to use a peer-reviewed reference. Kok et al use 5%]</t>
  </si>
  <si>
    <t>Global industry average: 33%</t>
  </si>
  <si>
    <t>Global average for FM 22% and FO 40%</t>
  </si>
  <si>
    <t>http://www.fao.org/publications/sofia/2020/en/</t>
  </si>
  <si>
    <t>MOWI use of trimmings Scotland specific</t>
  </si>
  <si>
    <t xml:space="preserve">Formal communication to Feedback, see Tab 2. </t>
  </si>
  <si>
    <t>Biomar and Cargill averages for their global operations</t>
  </si>
  <si>
    <t xml:space="preserve">Biomar and Cargill annual reports, see Tab 2. </t>
  </si>
  <si>
    <t>Figure 1c</t>
  </si>
  <si>
    <r>
      <t xml:space="preserve">Proportions of trimmings and whole wild-caught fish, and ranges. </t>
    </r>
    <r>
      <rPr>
        <b/>
        <sz val="11"/>
        <color rgb="FFFF0000"/>
        <rFont val="Calibri"/>
        <family val="2"/>
        <scheme val="minor"/>
      </rPr>
      <t>James</t>
    </r>
    <r>
      <rPr>
        <sz val="11"/>
        <color theme="1"/>
        <rFont val="Calibri"/>
        <family val="2"/>
        <scheme val="minor"/>
      </rPr>
      <t>: please add any further method notes on the ranges, if I missed something.</t>
    </r>
  </si>
  <si>
    <t>Averages and ranges of species used in FMFO in Scotland. We first gathered the publicly available data on species used globally and in Scotland specifically if available.</t>
  </si>
  <si>
    <t>2016 species breakdown</t>
  </si>
  <si>
    <t>We could make tab 2 available as supplementary material to back up Figure 1c.</t>
  </si>
  <si>
    <t>https://www.seafish.org/document/?id=1b08b6d5-75d9-4179-9094-840195ceee4b</t>
  </si>
  <si>
    <t>2018 Cargill data</t>
  </si>
  <si>
    <t>EWOS Cargill open letter for species used in Scottish FMFO 14 Oct 2019</t>
  </si>
  <si>
    <t>Mowi annual report</t>
  </si>
  <si>
    <t>2018 Mowi data on species used</t>
  </si>
  <si>
    <t>2018 Biomar</t>
  </si>
  <si>
    <t>2018 Biomar sustainability report</t>
  </si>
  <si>
    <t>2019 data for all three companies</t>
  </si>
  <si>
    <t>2019 annual / sustainability reports</t>
  </si>
  <si>
    <t xml:space="preserve">We grouped related species together. For instance: sardine, sardinella and pilchard were grouped under sardinella. All anchovy species were grouped together, as were types of herring and mackerel. See tab 2. for detail. </t>
  </si>
  <si>
    <r>
      <rPr>
        <b/>
        <sz val="11"/>
        <color rgb="FFFF0000"/>
        <rFont val="Calibri"/>
        <family val="2"/>
        <scheme val="minor"/>
      </rPr>
      <t>James</t>
    </r>
    <r>
      <rPr>
        <sz val="11"/>
        <color theme="1"/>
        <rFont val="Calibri"/>
        <family val="2"/>
        <scheme val="minor"/>
      </rPr>
      <t xml:space="preserve">, afraid I can't remember how you handled the FMFO weighting. Could you add a note? </t>
    </r>
  </si>
  <si>
    <t>Best available average nutrition data per 100g of seafood</t>
  </si>
  <si>
    <t>Product (per 100g)</t>
  </si>
  <si>
    <t>multiplication factors related to 1 unit of salmon, see "forage fish" in Fish nutritional comparison - with Dept health</t>
  </si>
  <si>
    <t>Calcium, Ca (mg)</t>
  </si>
  <si>
    <t>Iron, Fe (mg)</t>
  </si>
  <si>
    <t>Selenium, Se (µg)</t>
  </si>
  <si>
    <t>Zinc, Zn (mg)</t>
  </si>
  <si>
    <t>Vitamin A, RAE (µg)</t>
  </si>
  <si>
    <t>Vitamin A, IU (IU)</t>
  </si>
  <si>
    <t>Vitamin D (µg)</t>
  </si>
  <si>
    <t>Vitamin B-12 (µg)</t>
  </si>
  <si>
    <t>Total n3PUFA (g)</t>
  </si>
  <si>
    <t>20:5 n-3 (EPA) (g)</t>
  </si>
  <si>
    <t>22:6 n-3 (DHA) (g)</t>
  </si>
  <si>
    <t>Source</t>
  </si>
  <si>
    <t>Salmon, hot smoked</t>
  </si>
  <si>
    <t>UK Dept of Health</t>
  </si>
  <si>
    <t>https://www.gov.uk/government/publications/nutrient-analysis-of-fish</t>
  </si>
  <si>
    <t>Carp, raw (0.54 edible proportion)</t>
  </si>
  <si>
    <t>widely variable</t>
  </si>
  <si>
    <t>McCance and Widdowson's Composition of Food Integrated Dataset 2019 (UK Resource)</t>
  </si>
  <si>
    <t>Carp</t>
  </si>
  <si>
    <t>Oregon University</t>
  </si>
  <si>
    <t>https://seafood.oregonstate.edu/sites/agscid7/files/snic/omega-3-content-in-fish.pdf</t>
  </si>
  <si>
    <t xml:space="preserve">Common Carp, raw  </t>
  </si>
  <si>
    <t>USDA Food Data Central</t>
  </si>
  <si>
    <t>https://fdc.nal.usda.gov/fdc-app.html#/food-details/171952/nutrients</t>
  </si>
  <si>
    <t>Carp, cooked, dry heat</t>
  </si>
  <si>
    <t>Kippers (herring), grilled, flesh only</t>
  </si>
  <si>
    <t>Sardines, canned in brine</t>
  </si>
  <si>
    <t>Anchovy, canned</t>
  </si>
  <si>
    <t>USDA nutrition database</t>
  </si>
  <si>
    <t>https://fdc.nal.usda.gov/fdc-app.html#/food-details/174182/nutrients</t>
  </si>
  <si>
    <t>Mussels, purchased cooked</t>
  </si>
  <si>
    <t>Grilled Vannamei shrimp / prawns</t>
  </si>
  <si>
    <t>Raw Vannamei shrimp / prawns</t>
  </si>
  <si>
    <t>&lt;0.1</t>
  </si>
  <si>
    <t>Capelin (Whole, round, unprocessed, unprepared)</t>
  </si>
  <si>
    <t>https://fdc.nal.usda.gov/fdc-app.html#/food-details/766674/nutrients</t>
  </si>
  <si>
    <t>https://fdc.nal.usda.gov/fdc-app.html#/food-details/767294/nutrients</t>
  </si>
  <si>
    <t>Rainbow Smelt (raw)</t>
  </si>
  <si>
    <t>https://fdc.nal.usda.gov/fdc-app.html#/food-details/175146/nutrients</t>
  </si>
  <si>
    <t>Rainbow Smelt (cooked)</t>
  </si>
  <si>
    <t>Menhaden</t>
  </si>
  <si>
    <t>No data found, but our estimate is low as Menhaden is reputed to be very high in Omega 3</t>
  </si>
  <si>
    <t>Sprat (raw)</t>
  </si>
  <si>
    <t>Sprat, fried</t>
  </si>
  <si>
    <t>Sprat, fried, with bones</t>
  </si>
  <si>
    <t>Sprat canned in oil</t>
  </si>
  <si>
    <t>Danish Food Comp Tables (they provide a range for each value)</t>
  </si>
  <si>
    <t>https://frida.fooddata.dk/food/1120?lang=en</t>
  </si>
  <si>
    <t>Atlantic mackerel</t>
  </si>
  <si>
    <t>Mackerel (grilled, flesh only)</t>
  </si>
  <si>
    <t>Mackerel (raw, flesh only)</t>
  </si>
  <si>
    <t>Blue whiting, steamed, flesh only</t>
  </si>
  <si>
    <t>Blue whiting flesh only, steamed, weighed with skin and bones</t>
  </si>
  <si>
    <t>Whiting, raw</t>
  </si>
  <si>
    <t>Norwegian Food Composition Table 2019</t>
  </si>
  <si>
    <t>Spanish govt nutrition database</t>
  </si>
  <si>
    <t>https://bedca.net/bdpub/index_en.php</t>
  </si>
  <si>
    <t>Values in the grey column are the quantity of produced or wild-caught fish relative to the marine ingredients for the original salmon production, See Fish Savings Tab</t>
  </si>
  <si>
    <t>Notes</t>
  </si>
  <si>
    <t>Scenario A.1: Per 100g of salmon, we can also produce 223g of prawns if we are to use all available fishmeal and fish oil which results in the following nutritional profile:</t>
  </si>
  <si>
    <t>See spreadsheet "Salmon Feed Calculation"</t>
  </si>
  <si>
    <t>grilled vannamei prawns</t>
  </si>
  <si>
    <t>Scenario A.2: Per 100g of salmon and 223g of prawns produced, we can also calculate the theorethical nutritional profile of the wild-caught marine ingredients needed to produce the fishmeal and fish oil needed for the salmon and shrimp feed that was used.</t>
  </si>
  <si>
    <t>Kippers / herring</t>
  </si>
  <si>
    <t>Sardines</t>
  </si>
  <si>
    <t>RNI / d men 19-50</t>
  </si>
  <si>
    <t>Nutr Req</t>
  </si>
  <si>
    <t>Vit D Report</t>
  </si>
  <si>
    <t>RNI / d women 19-50</t>
  </si>
  <si>
    <t>EAR men 15-50</t>
  </si>
  <si>
    <t>NA</t>
  </si>
  <si>
    <t>EAR women 15/50</t>
  </si>
  <si>
    <t>LRNI men 15-50</t>
  </si>
  <si>
    <t>LRNI women 15-50</t>
  </si>
  <si>
    <t>AI adults per day</t>
  </si>
  <si>
    <t>ISSFAL</t>
  </si>
  <si>
    <t>European EFSA</t>
  </si>
  <si>
    <t>French AFFSA</t>
  </si>
  <si>
    <t>1.5 g/week</t>
  </si>
  <si>
    <t>British Nutrition Foundation</t>
  </si>
  <si>
    <t>British Scientific Advisory Committee on Nutrition</t>
  </si>
  <si>
    <t>British Dietetic Association</t>
  </si>
  <si>
    <t>Adult daily NRVs/RIs</t>
  </si>
  <si>
    <t>EU Regulation</t>
  </si>
  <si>
    <t>https://www.legislation.gov.uk/eur/2011/1169/annex/xiii</t>
  </si>
  <si>
    <t>Definitions</t>
  </si>
  <si>
    <t>RNI: Reference nutrient intake, will cover the needs of nearly everyone in the population</t>
  </si>
  <si>
    <t>EAR: Estimated Average Requirement, will cover the needs of half the population</t>
  </si>
  <si>
    <t>LRNI: Lower Reference Nutrient Intake, will cover the need of about 3% of people (is a lower bound)</t>
  </si>
  <si>
    <t>AI (adequate intake) is given as an adequate/safe intake when there isn't enough detail to calculate other values.</t>
  </si>
  <si>
    <t>Figure 2 a</t>
  </si>
  <si>
    <t xml:space="preserve">Average nutrient concentrations per seafood type according to the best available data. See Tab 4. </t>
  </si>
  <si>
    <t>Grace, if you could add information on what we decided re cooked vs raw etc.</t>
  </si>
  <si>
    <t>Figure 2b</t>
  </si>
  <si>
    <t>Note that the model produces spare fishmeal because salmon requires more FO relative to the FM produced from a unit of whole wild-caught fish.</t>
  </si>
  <si>
    <t xml:space="preserve">This figure was calculated using the following steps: 
* multiply the nutrient concentrations from Fig 2a (Tab 4.) with the average volumes of whole wild-caught fish used of each species shown in Fig 1c. </t>
  </si>
  <si>
    <r>
      <t>* multiply the nutrient concentrations for salmon (Tab 4.) with the proportion of the volume of salmon that was produced with these marine ingredients. This means that we took 66% (</t>
    </r>
    <r>
      <rPr>
        <sz val="11"/>
        <color rgb="FFFF0000"/>
        <rFont val="Calibri"/>
        <family val="2"/>
        <scheme val="minor"/>
      </rPr>
      <t>James</t>
    </r>
    <r>
      <rPr>
        <sz val="11"/>
        <color theme="1"/>
        <rFont val="Calibri"/>
        <family val="2"/>
        <scheme val="minor"/>
      </rPr>
      <t>, please add what percentage you used) of the total volume of salmon produced in 2014.</t>
    </r>
  </si>
  <si>
    <t>Percentage of trimmings, see lines 10-13 above</t>
  </si>
  <si>
    <t>* We excluded the volume of salmon produced that corresponds to the marine ingredients derived from trimmings because we could not find data on the nutrient concentrations in trimmings.</t>
  </si>
  <si>
    <t>Figure 3 a</t>
  </si>
  <si>
    <t>Proposes different seafood combinations within the same total weight, in order to then compare the nutritional outcomes to Scenario A - Business as Usual - where we have a portion of salmon alone.</t>
  </si>
  <si>
    <t>Figure 3 b</t>
  </si>
  <si>
    <t>Nutrient values for the edible portion of seafood, in a common form of preparation</t>
  </si>
  <si>
    <t>See Tab 4.</t>
  </si>
  <si>
    <t>Using the micronutrient values for a portion of cooked salmon as baseline (orange dotted line), this figure then calculates the nutrients made available in Scenarios B, C &amp; D) and shows the increase or decrease in nutrients made available compared to the BUA scenario A.</t>
  </si>
  <si>
    <t>Note that the proportion of small wild fish in Scenario B was calculated by ensuring that both EPA and DHA reached at least the same value as Scenario A. In other words, our aim was to optimise Scenario B to ensure similar EPA &amp; DHA delivery in the total combined portion, because of the difficulty of sourcing EPA &amp; DHA elsewhere in a healthy diet.</t>
  </si>
  <si>
    <t>The proportions of each fish species used in Scenarios B were selected using the following criteria:
* sourced from the North Atlantic fishery region
* existence of a certified sustainable fishery for the species concerned (though we need to emphasize that eating a very wide variety of small oily fish is more important, to avoid having a disproportionate impact on a particular species)
* nutrient values to achieve the desired nutrient profile, especially for DHA and EPA</t>
  </si>
  <si>
    <t>builds on calculations using data and findings from earlier figures</t>
  </si>
  <si>
    <t xml:space="preserve">This figure compares the findings from Figure 1b and 3b to calculate how much of the total weight of wild-caught fish currently needed to produce FO for salmon feed, is instead needed to deliver the 72g of wild fish in Scenario B, and the 36g of wild fish in Scenario C &amp; D. The percentages reported are relative to the volume of wild-caught fish required to deliver the FO in the feed needed to grow 72g of salmon, as produced in Scotland in 2014. </t>
  </si>
  <si>
    <t>Note that we use the volume of fish needed to produce the FO - not FM. The reason for this is twofold: a) FO is the limiting ingredient in salmon farming and much harder to replace while maintaining the desired feed nutrition profile bot for the health of the salmon and for the desired DHA&amp;EPA content in the final salmon product, and b) EPA &amp; DHA are concentrated in the FO, with little left in the FM. In other words from a resource flow perspective, we use the fish needed for the production of the FO as this concentrates the DHA and EPA, with FM being a by-product that contains very little of this vital nutrient.</t>
  </si>
  <si>
    <t>Figure 3 c - Biomass left unfished</t>
  </si>
  <si>
    <t>Figure 3 c - edible seafood produced</t>
  </si>
  <si>
    <r>
      <rPr>
        <b/>
        <sz val="11"/>
        <color rgb="FFFF0000"/>
        <rFont val="Calibri"/>
        <family val="2"/>
        <scheme val="minor"/>
      </rPr>
      <t>James</t>
    </r>
    <r>
      <rPr>
        <sz val="11"/>
        <color theme="1"/>
        <rFont val="Calibri"/>
        <family val="2"/>
        <scheme val="minor"/>
      </rPr>
      <t>, afraid that I am not sure how you arrived at this?</t>
    </r>
  </si>
  <si>
    <t>Figure 4a</t>
  </si>
  <si>
    <t>p. 61</t>
  </si>
  <si>
    <t>percentage of FMFO made from trimmings</t>
  </si>
  <si>
    <t>IFFO 2017</t>
  </si>
  <si>
    <t>2016 data: https://www.seafish.org/document?id=1b08b6d5-75d9-4179-9094-840195ceee4b</t>
  </si>
  <si>
    <t>https://www.seafish.org/document?id=1b08b6d5-75d9-4179-9094-840195ceee4b</t>
  </si>
  <si>
    <t>Bar 1</t>
  </si>
  <si>
    <t>Bar 2</t>
  </si>
  <si>
    <t xml:space="preserve">Bar 3 </t>
  </si>
  <si>
    <t>Species have been grouped according to the groups selected by IFFO in its breakdown of FMFO usage per aquaculture species group.</t>
  </si>
  <si>
    <t>We then further refined the specific species included in each group, and which are mainly produced by fed aquaculture systems as per Tacon &amp; Hasan 2011</t>
  </si>
  <si>
    <t>http://www.fao.org/3/ba0002e/ba0002e.pdf</t>
  </si>
  <si>
    <t>Finally, we applied the percentages from Tacon &amp; Hasan 2011 to determine the proportions of each fed aquaculture species group that are fed on commercial aquafeeds.</t>
  </si>
  <si>
    <t>Figure 4 b</t>
  </si>
  <si>
    <t>the production figures for terrestrial livestock using fishmeal are represented by dotted lines that fall off the diagram, to show they use fishmeal but are not under full consideration in this paper</t>
  </si>
  <si>
    <t>Bar 2 - FO section</t>
  </si>
  <si>
    <t>Sankey diagram A &amp; B. Bar 1</t>
  </si>
  <si>
    <t>thousand tonnes</t>
  </si>
  <si>
    <t>FAO 2020 Sofia</t>
  </si>
  <si>
    <t>percentage derived from IFFO 2017</t>
  </si>
  <si>
    <t>Total volume of fish (wild and trimmings) used for FMFO</t>
  </si>
  <si>
    <t>Volume of trimmings used for FMFO</t>
  </si>
  <si>
    <t>Sankey diagram A - BAU Bar 2</t>
  </si>
  <si>
    <t>FO usage</t>
  </si>
  <si>
    <t>FM usage</t>
  </si>
  <si>
    <t xml:space="preserve">Aquaculture </t>
  </si>
  <si>
    <t>Aquaculture</t>
  </si>
  <si>
    <t>Direct Human Consumption</t>
  </si>
  <si>
    <t>Pigfeed</t>
  </si>
  <si>
    <t>Other (petfood?)</t>
  </si>
  <si>
    <t>Poultry feed</t>
  </si>
  <si>
    <t>Salmonids</t>
  </si>
  <si>
    <t>Marine fish</t>
  </si>
  <si>
    <t xml:space="preserve">Eels </t>
  </si>
  <si>
    <t>Eels</t>
  </si>
  <si>
    <t>Cyprinids</t>
  </si>
  <si>
    <t>Tilapia</t>
  </si>
  <si>
    <t>Tilapias</t>
  </si>
  <si>
    <t>Other freshwater fish</t>
  </si>
  <si>
    <t>Other freshwater (incl catfish)</t>
  </si>
  <si>
    <t>Crustaceans</t>
  </si>
  <si>
    <t xml:space="preserve">FMFO global production data from </t>
  </si>
  <si>
    <t>FO usage across aqua and non-aquac</t>
  </si>
  <si>
    <t>Vol 1000 Tonnes</t>
  </si>
  <si>
    <t>FM usage across aqua and non-aquac</t>
  </si>
  <si>
    <t>Vol 1000 tonnes</t>
  </si>
  <si>
    <t>Direct Human Consumption (supplements)</t>
  </si>
  <si>
    <t>Other (petfood, industrial use?)</t>
  </si>
  <si>
    <t>Source: calculated on the basis of the percentages above, which are IFFO data.</t>
  </si>
  <si>
    <t>FO from by-products</t>
  </si>
  <si>
    <t>Sofia FAO 2020 data for 2018, p. 169</t>
  </si>
  <si>
    <t>FM from by-products</t>
  </si>
  <si>
    <t>FMFO estimated average</t>
  </si>
  <si>
    <r>
      <t xml:space="preserve">Total production of aquaculture species </t>
    </r>
    <r>
      <rPr>
        <b/>
        <sz val="11"/>
        <color rgb="FF000000"/>
        <rFont val="Arial"/>
        <family val="2"/>
      </rPr>
      <t>using commercial aquafeed</t>
    </r>
  </si>
  <si>
    <t>All Thousand Tonnes</t>
  </si>
  <si>
    <t xml:space="preserve">Source </t>
  </si>
  <si>
    <t>Salmon</t>
  </si>
  <si>
    <t>See line 19</t>
  </si>
  <si>
    <t>Tacon &amp; Hasan figure for 2015</t>
  </si>
  <si>
    <t>Carps fed on commercial feed</t>
  </si>
  <si>
    <t>See lines 21-41</t>
  </si>
  <si>
    <t>See lines 43 - 46</t>
  </si>
  <si>
    <t>Other freshwater fish (incl catfish)</t>
  </si>
  <si>
    <t>See lines 48- 54</t>
  </si>
  <si>
    <t>See lines 56-74</t>
  </si>
  <si>
    <t>Marine fishes</t>
  </si>
  <si>
    <t>See lines 76 - 81</t>
  </si>
  <si>
    <t>Total aquaculture using commercial feed</t>
  </si>
  <si>
    <t>Pigs</t>
  </si>
  <si>
    <t>USDA</t>
  </si>
  <si>
    <t>https://apps.fas.usda.gov/psdonline/circulars/livestock_poultry.pdf</t>
  </si>
  <si>
    <t>Poultry</t>
  </si>
  <si>
    <t>TOTAL</t>
  </si>
  <si>
    <t>FAO Sofia 2020</t>
  </si>
  <si>
    <t>Rainbow trout</t>
  </si>
  <si>
    <t>total salmonid production (all on commercial feed)</t>
  </si>
  <si>
    <t xml:space="preserve">Carp production selecting all species listed as fed carp by Tacon&amp;Hasan 2011 </t>
  </si>
  <si>
    <t>1000 tonnes</t>
  </si>
  <si>
    <t>2008 (Tacon&amp;Hasan)</t>
  </si>
  <si>
    <t>2010 (Sofia 2020)</t>
  </si>
  <si>
    <t>Grass carp</t>
  </si>
  <si>
    <t>Common carp</t>
  </si>
  <si>
    <t>Catla (pertains to Indian major carp group)</t>
  </si>
  <si>
    <t>Crucian (carassius)</t>
  </si>
  <si>
    <t>Rohu (pertains to Indian major carp group)</t>
  </si>
  <si>
    <t>Wuchang bream</t>
  </si>
  <si>
    <t>Black carp</t>
  </si>
  <si>
    <t>Mrigal (pertains to Indian major carp group)</t>
  </si>
  <si>
    <t>Silver barb</t>
  </si>
  <si>
    <t>Other cyprinids</t>
  </si>
  <si>
    <t>Total fed carp excluding Indian major carp (Tacon &amp; Hasan exclude Indian major carp as most are fed locally produced feed or mixed systems)</t>
  </si>
  <si>
    <t>Percentage of carp on commercial feeds</t>
  </si>
  <si>
    <t>Percentage on commercial feed</t>
  </si>
  <si>
    <t>Total Tilapia on commercial feed</t>
  </si>
  <si>
    <t>Other freshwater fishes and catfishes</t>
  </si>
  <si>
    <t>Freshwater fishes</t>
  </si>
  <si>
    <t>striped catfish</t>
  </si>
  <si>
    <t>yellow catfish</t>
  </si>
  <si>
    <t>torpedo catfish</t>
  </si>
  <si>
    <t>All catfish</t>
  </si>
  <si>
    <t>Total freshwater fish incl catfish on commercial feed</t>
  </si>
  <si>
    <t>Marine shrimps species selection as per Tacon and Hasan 2011</t>
  </si>
  <si>
    <t>whiteleg shrimp</t>
  </si>
  <si>
    <t>giant tiger prawn</t>
  </si>
  <si>
    <t>Marine shrimps on commercial feed</t>
  </si>
  <si>
    <t>Freshwater crustaceans</t>
  </si>
  <si>
    <t>red swamp crawfish</t>
  </si>
  <si>
    <t>chinese mitten crab</t>
  </si>
  <si>
    <t>river prawn oriental</t>
  </si>
  <si>
    <t>giant river prawn</t>
  </si>
  <si>
    <t>other crusteceans</t>
  </si>
  <si>
    <t>percentage on commercial feed</t>
  </si>
  <si>
    <t>Freshwater crustaceans on commercial feed</t>
  </si>
  <si>
    <t>Total crustaceans on feed</t>
  </si>
  <si>
    <t>using Tacon &amp; Hasan because Sofia data is not sufficiently disaggregated</t>
  </si>
  <si>
    <t>Production projection for 2015</t>
  </si>
  <si>
    <t>Percentage on commercial feeds</t>
  </si>
  <si>
    <t>Marine fish on commercial feeds</t>
  </si>
  <si>
    <t>Sankey diagram BAU  Bar 1</t>
  </si>
  <si>
    <t>This volume is 67% of total fish used for FMFO production</t>
  </si>
  <si>
    <t xml:space="preserve">Sankey diagram Alternative allocation scenario Bar 1 </t>
  </si>
  <si>
    <t>Whole wild-caught fish left unfished</t>
  </si>
  <si>
    <t>See lines 58 - 63 in Tab Fig 4 b. Bar 2 - 3</t>
  </si>
  <si>
    <t>Whole wild-caught fish now destined for direct human consumption</t>
  </si>
  <si>
    <t>Whole wild-caught fish now destined for FMFO production</t>
  </si>
  <si>
    <t>Alternative FO allocation calculations</t>
  </si>
  <si>
    <t>All figures in 1000 Tonnes</t>
  </si>
  <si>
    <t>Source: calculations visible in cells to trace back to raw data.</t>
  </si>
  <si>
    <t>Assume limit salmonid production to FO from by-products alone</t>
  </si>
  <si>
    <t>Volume of FO from by-products only used in salmon production</t>
  </si>
  <si>
    <t>Volume of FO from whole wild-caught fish no longer used in salmon production</t>
  </si>
  <si>
    <t>FO needed to maintain other uses</t>
  </si>
  <si>
    <t>total FO in new scenario</t>
  </si>
  <si>
    <t>Note that in the reallocation scenario the overall proportion of FO from trimmings has increased, this is because the largest FO user (salmonids) no longer uses FO from whole wild-caught fish.</t>
  </si>
  <si>
    <t>FO from whole fish in BAU (60% of total FO production)</t>
  </si>
  <si>
    <t>Percentage of new scenario whole fish FO usage compared to BAU</t>
  </si>
  <si>
    <t>Volume 1000 tonnes</t>
  </si>
  <si>
    <t>FO allocation</t>
  </si>
  <si>
    <t>BAU (see Tab Fig 4 a. Bar 1-2)</t>
  </si>
  <si>
    <t>FO allocation alternative scenario</t>
  </si>
  <si>
    <t>Alternative FM allocation calculations</t>
  </si>
  <si>
    <t>Volume of FM from whole fish in BAU</t>
  </si>
  <si>
    <t>Total FM available in alternative scenario</t>
  </si>
  <si>
    <t>Alternative FM alllocation</t>
  </si>
  <si>
    <t>Fishmeal re-allocation. All species on commercial feeds</t>
  </si>
  <si>
    <t>BAU FM usage</t>
  </si>
  <si>
    <t>BAU production volumes</t>
  </si>
  <si>
    <t>Edible volume BAU</t>
  </si>
  <si>
    <t>Alternative FM allocation: change in percentage</t>
  </si>
  <si>
    <t>Alternative FM allocation volume</t>
  </si>
  <si>
    <t>Alternative production</t>
  </si>
  <si>
    <t>Salmonid</t>
  </si>
  <si>
    <t xml:space="preserve">Carps </t>
  </si>
  <si>
    <t>Wild-caught for DHC previously FMFO</t>
  </si>
  <si>
    <t>TOTAL seafood in scenario</t>
  </si>
  <si>
    <t>Salmonid FM requirements</t>
  </si>
  <si>
    <t>percentage in salmon diet</t>
  </si>
  <si>
    <t>Global 2010 FM in salmon diets</t>
  </si>
  <si>
    <t>Global 2016 FM in salmon diets</t>
  </si>
  <si>
    <t>Minimum FM for healthy salmon</t>
  </si>
  <si>
    <t xml:space="preserve">Egerton et al. </t>
  </si>
  <si>
    <t>https://www.nature.com/articles/s41598-020-60325-7</t>
  </si>
  <si>
    <t>Alternative uses of fish reduced to FMFO in BAU</t>
  </si>
  <si>
    <t>Volume of FO from whole wild-caught fish no longer used in alternative allocation</t>
  </si>
  <si>
    <t>Standard FO yield</t>
  </si>
  <si>
    <t>Volume of whole wild-caught fish no longer needed for FMFO</t>
  </si>
  <si>
    <t>Proportion of whole wild-caught fish needed for direct human consumption to match BAU DHA and EPA profiles for salmon in BAU scenario</t>
  </si>
  <si>
    <t>Volume of whole wild-caught fish now destined for DHC</t>
  </si>
  <si>
    <t>Volume of whole wild-caugth fish left unfished</t>
  </si>
  <si>
    <t>global fish oil production in 1000 tonnes</t>
  </si>
  <si>
    <t>avg</t>
  </si>
  <si>
    <t xml:space="preserve">total world production of FM in thousand tonnes </t>
  </si>
  <si>
    <t>See calculation row 8 above</t>
  </si>
  <si>
    <t>Full details and data sources in Tabs 7&amp;8</t>
  </si>
  <si>
    <t>Bar 2 - FM</t>
  </si>
  <si>
    <t>Note that the aim is to not use more FM than the volume calculated in row 33</t>
  </si>
  <si>
    <t>Vertical bar 2 FO shows a hypothetical reallocation of FO, by taking the following steps:
* Limit salmonid production to that which can be done using trimmings / by-products alone (as 40% of FO comes from by-products, we assume 40% of current salmonid production in our reallocation scenario)
* all other FO uses remain constant (though in future work, it may be possible to refine the reallocation model proposed here by seeking further efficiencies in the use of FO, for instance in marine fish production which is the second largest user of FO)</t>
  </si>
  <si>
    <t>Full details and data sources in Tab 8. Rows 5 - 25. James, David, Grace, this is the part that would benefit from a thorough check from you, both in terms of the logic and the actual calculations. If need be I can talk you through, and then you could have a good think.</t>
  </si>
  <si>
    <t>Full details and data in Tab 8. Rows 27 - 33. Again needs double checking.</t>
  </si>
  <si>
    <t xml:space="preserve">Vertical bar 3 shows the seafood production arrived at through the alternative allocations of FO and FM:
* the overall approach was to modify percentages of farmed seafood produced with commercial aquafeeds in the BAU in a linear way with modifying the amount of FM available. The reason to focus on FM is that we have maintained the supply of FO equal for all species except salmon.
* the following species were maintained the same as the BAU scenario: eels, tilapias, other freshwater fish incl catfish, marine fishes, poultry and other non-specified uses
</t>
  </si>
  <si>
    <t>Notes and assumptions for the species modified:</t>
  </si>
  <si>
    <t>Salmonids: production is assumed 40% of BAU production. However, FM usage was assumed to be half of the 40% of FM in the BAU scenario because of the fast-moving developments in the reduction of FM use in salmonid diets</t>
  </si>
  <si>
    <t>FM inclusion rates in salmonid diets. See rows 51 - 55 in Tab 8.</t>
  </si>
  <si>
    <t>Crustaceans, in contrast to carp, require relatively high proportions of FM in their diets. This means that if we keep salmonids constant at 40% of BAU, reductions in crustacean production produce disproportionately large increases in carp production.</t>
  </si>
  <si>
    <t>At least a quarter of global soybean meal is used in pig production</t>
  </si>
  <si>
    <t>US livestock usage of soybean meal</t>
  </si>
  <si>
    <t>https://www.soymeal.org/wp-content/uploads/2018/04/soybean_meal_an_exceptional_protein_source.pdf</t>
  </si>
  <si>
    <t>Dutch livestock usage of soybean meal</t>
  </si>
  <si>
    <t>https://www.sciencedirect.com/topics/agricultural-and-biological-sciences/soybean-meal</t>
  </si>
  <si>
    <t xml:space="preserve">Carp: Production of carp on commercial aquafeed was increased leading to relatively high increases in total seafood biomass produced. The reason we focussed on carp for increases is that carp diets do not require FO, and as lower trophic species use much less FM. </t>
  </si>
  <si>
    <t>Edible portion</t>
  </si>
  <si>
    <t>Edible volume alternative scenario</t>
  </si>
  <si>
    <t>FO usage by aquaculture species</t>
  </si>
  <si>
    <t>FM usage by aquaculture species</t>
  </si>
  <si>
    <t>Assumed FM usage in alternative scenario</t>
  </si>
  <si>
    <t>global figures</t>
  </si>
  <si>
    <t>https://www.feedstrategy.com/blog/unraveling-global-soybean-meal-consumption-statistics/</t>
  </si>
  <si>
    <t>wild-caught fish used in 2014 Scottish salmon production</t>
  </si>
  <si>
    <t>wild-caught fish going spare in new model whilst attaining similar Omega levels</t>
  </si>
  <si>
    <t>See line 68 below.</t>
  </si>
  <si>
    <t>Whole fish needed (4.8% yield) 1000 Tonnes</t>
  </si>
  <si>
    <t>Whol fish needed (22.5% yield)</t>
  </si>
  <si>
    <t>FAO 2018 Sofia</t>
  </si>
  <si>
    <t>Whole wild-caught fish reduced to FMFO in 2016</t>
  </si>
  <si>
    <t>Carp production in 2016 on commercial feed</t>
  </si>
  <si>
    <t>Data for 2016</t>
  </si>
  <si>
    <t>Production 2016</t>
  </si>
  <si>
    <t>Production data FAO Sofia 2020, data for 2016</t>
  </si>
  <si>
    <t>Added 1/5 of difference to get to 2016 estimate</t>
  </si>
  <si>
    <t>2016 (unless otherwise stated)</t>
  </si>
  <si>
    <t>Production for 2016</t>
  </si>
  <si>
    <t>Global FO production 2016</t>
  </si>
  <si>
    <t>This volume is an estimated 67% of total fish used for FMFO produciton</t>
  </si>
  <si>
    <t>2016 (source: Sofia 2020)</t>
  </si>
  <si>
    <t>Silver carp</t>
  </si>
  <si>
    <t>Carp production on commercial feed as percentage of total carp production (2016)</t>
  </si>
  <si>
    <t>Nile Tilapia. Data source Sofia 2020</t>
  </si>
  <si>
    <t>Other tilapias. Data source Sofia 2020</t>
  </si>
  <si>
    <t>Data source: Sofia 2020</t>
  </si>
  <si>
    <t>Production projection for 2020</t>
  </si>
  <si>
    <t>FO from whole fish in new scenario (60% of FO needed to maintain all uses other than salmon)</t>
  </si>
  <si>
    <t xml:space="preserve">In this alternative scenario, note that only the FO allocation for salmonids has reduced, all other uses have remained constant. </t>
  </si>
  <si>
    <t>FM production for 2016</t>
  </si>
  <si>
    <t>Volume of fishmeal that comes from by-products in 2018 (22%)</t>
  </si>
  <si>
    <t>FM available in alternative scenario. This figure is calculated applying the percentage of FO from whole fish in alternative scenario to the FM that comes from whole fish in BAU.</t>
  </si>
  <si>
    <t>This is half of current FM usage, but slightly higher than minimum requirement. Note that there are commercial salmon diets now with zero use of FM, so this is a fair assumption.</t>
  </si>
  <si>
    <t xml:space="preserve">IFFO </t>
  </si>
  <si>
    <t xml:space="preserve">See method section in paper. </t>
  </si>
  <si>
    <t>Percentage of whole fish left unfished</t>
  </si>
  <si>
    <t>Additional edible volume produced</t>
  </si>
  <si>
    <t>As percentage of volume in BAU</t>
  </si>
  <si>
    <r>
      <rPr>
        <b/>
        <sz val="11"/>
        <color theme="1"/>
        <rFont val="Calibri"/>
        <family val="2"/>
        <scheme val="minor"/>
      </rPr>
      <t>For details on calculations and data sources see Tabs 5&amp;6</t>
    </r>
    <r>
      <rPr>
        <sz val="11"/>
        <color theme="1"/>
        <rFont val="Calibri"/>
        <family val="2"/>
        <scheme val="minor"/>
      </rPr>
      <t xml:space="preserve">
Global volume of whole wild-caught fish reduced to FMFO in 2016</t>
    </r>
  </si>
  <si>
    <t>FAO 2018</t>
  </si>
  <si>
    <t xml:space="preserve">Vertical bar 1 of the figure shows the volumes of whole wild-caught fish and trimmings used in global FMFO production for 2016. The volume of trimmings are calculated using the standard global figure used by the industry combining FMFO that they now estimate come from trimmings (33%). To double check our assumptions we also back-calculated the  amounts of wet fish starting from the volumes of FMFO production in 2016, resulting in slightly lower volumes. We attribute this difference to the fact that not all fish used for FMFO production deliver both FM and FO. For example, blue whiting mostly produce FM. 
</t>
  </si>
  <si>
    <t xml:space="preserve">Vertical bar 2 shows the proportions of FM and FO for both aquaculture and non-aquaculture uses, after we combined data sets on percentages of utilization and applied these to FMFO for 2016. </t>
  </si>
  <si>
    <r>
      <t xml:space="preserve">Vertical bar 3 represents global aquaculture production volumes for 2016 but </t>
    </r>
    <r>
      <rPr>
        <b/>
        <sz val="11"/>
        <color theme="1"/>
        <rFont val="Calibri"/>
        <family val="2"/>
        <scheme val="minor"/>
      </rPr>
      <t>limited to the production using commercial aquafeeds alone calculated by applying the percentages of production estimated to be using commercial aquafeed for 2016, to production data for 2016</t>
    </r>
  </si>
  <si>
    <t>Major aquaculture species production for 2016</t>
  </si>
  <si>
    <t>FAO Sofia 2018</t>
  </si>
  <si>
    <t>Percentages of FO and FM used in aquaculture, livestock farming and other from Seafish (2016)</t>
  </si>
  <si>
    <t>Percentages of production using commercial aquafeeds. Tacon, Hasan &amp; Metian</t>
  </si>
  <si>
    <t xml:space="preserve">Vertical bar 1 takes as starting point Fig 4 a. (BAU). The volume of trimmings available for FMFO production remains the same as the BAU scenario. The volume of fish reduced to FMFO in BAU is now divided up as follows:
* Calculate volume of FO no longer needed compared to BAU salmonid production, this is 60% of FO no longer used in alternative scenario salmonid production.
* Apply standard FO yield figure (4.8%) to estimate volume of whole fish needed to produce this volume of FO used for salmonids in BAU
* Apply proportion of fish biomass left unfished from Fig 3 c (76%) to arrive at fish left unfished 
* If 76% is left unfished, we need the other 24% of fish to deliver the DHA and EPA to match the salmon DHA &amp; EPA in the BAU scenario (as per finding of Figure 3). 
</t>
  </si>
  <si>
    <r>
      <t xml:space="preserve">Vertical bar 2 FM shows a hypothetical reallocation of FM, by taking the following steps:
</t>
    </r>
    <r>
      <rPr>
        <sz val="11"/>
        <color rgb="FFFF0000"/>
        <rFont val="Calibri"/>
        <family val="2"/>
        <scheme val="minor"/>
      </rPr>
      <t>* Calculate proportion of FM currently produced from trimmings (22% of total production of FM as per Sofia 2020)
* Calculate proportion of FM in BAU scenario from whole wild-caught fish, this is the total global FM production minus the proportion produced from trimmings.
* Calculate FM from whole fish available in alternative scenario by applying the percentage of FO from whole fish available in the alternative scenario relative to the FO from whole fish in BAU. In other words, the calculation in Tab 8. Row 14 concludes that the volume of FO from whole fish in BAU is 55% of the FO from whole fish in the alternative scenario. The assumption is that the FM available in the alternative scenario from whole fish will therefore be 55% of the FM from whole fish in BAU. 
* The reason for doing the calculation this way is to incorporate the fact that 40% of FO comes from trimmings, but only 22% of FM comes from trimmings.</t>
    </r>
    <r>
      <rPr>
        <sz val="11"/>
        <color theme="1"/>
        <rFont val="Calibri"/>
        <family val="2"/>
        <scheme val="minor"/>
      </rPr>
      <t xml:space="preserve"> </t>
    </r>
  </si>
  <si>
    <t>Pig production was assumed to be 20% of BAU in line with the findings of the Eat Lancet report which concludes that poultry production would remain more or less the same, whereas pork production would reduce by 80% in their projected scenario balancing environmental and health indicators.
Note that in this altenative scenario we are not accounting for the reduction in pork biomass, neither are we accounting for the increase in soya. We assume that they will at least balance out, if not deliver much more protein into the food system given that global pig production consumes at least a quarter of global soybean meal, whereas aquaculture only consumes about 3 % of global soybean meal.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</si>
</sst>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000"/>
    <numFmt numFmtId="166" formatCode="???0"/>
    <numFmt numFmtId="167" formatCode="???0.0"/>
    <numFmt numFmtId="168" formatCode="???0.00"/>
    <numFmt numFmtId="169" formatCode="0.0"/>
    <numFmt numFmtId="170" formatCode="_(* #,##0_);_(* \(#,##0\);_(* &quot;-&quot;??_);_(@_)"/>
  </numFmts>
  <fonts count="52" x14ac:knownFonts="1">
    <font>
      <sz val="11"/>
      <color theme="1"/>
      <name val="Calibri"/>
      <family val="2"/>
      <scheme val="minor"/>
    </font>
    <font>
      <sz val="11"/>
      <color theme="1"/>
      <name val="Calibri"/>
      <family val="2"/>
      <scheme val="minor"/>
    </font>
    <font>
      <b/>
      <sz val="11"/>
      <color rgb="FF00B050"/>
      <name val="Calibri"/>
      <family val="2"/>
      <scheme val="minor"/>
    </font>
    <font>
      <sz val="10"/>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1"/>
      <color theme="1" tint="0.34998626667073579"/>
      <name val="Calibri"/>
      <family val="2"/>
      <scheme val="minor"/>
    </font>
    <font>
      <b/>
      <sz val="12"/>
      <color theme="1"/>
      <name val="Calibri"/>
      <family val="2"/>
      <scheme val="minor"/>
    </font>
    <font>
      <b/>
      <sz val="11"/>
      <color rgb="FFFF0000"/>
      <name val="Calibri"/>
      <family val="2"/>
      <scheme val="minor"/>
    </font>
    <font>
      <b/>
      <sz val="11"/>
      <color theme="1"/>
      <name val="Calibri"/>
      <family val="2"/>
      <scheme val="minor"/>
    </font>
    <font>
      <sz val="12"/>
      <color theme="1"/>
      <name val="Calibri"/>
      <family val="2"/>
      <scheme val="minor"/>
    </font>
    <font>
      <b/>
      <sz val="14"/>
      <name val="Calibri"/>
      <family val="2"/>
      <scheme val="minor"/>
    </font>
    <font>
      <sz val="12"/>
      <color theme="0" tint="-0.499984740745262"/>
      <name val="Calibri"/>
      <family val="2"/>
      <scheme val="minor"/>
    </font>
    <font>
      <b/>
      <i/>
      <sz val="11"/>
      <color theme="0" tint="-0.499984740745262"/>
      <name val="Calibri"/>
      <family val="2"/>
      <scheme val="minor"/>
    </font>
    <font>
      <u/>
      <sz val="12"/>
      <color theme="10"/>
      <name val="Calibri"/>
      <family val="2"/>
      <scheme val="minor"/>
    </font>
    <font>
      <u/>
      <sz val="12"/>
      <color theme="0" tint="-0.499984740745262"/>
      <name val="Calibri"/>
      <family val="2"/>
      <scheme val="minor"/>
    </font>
    <font>
      <u/>
      <sz val="12"/>
      <color theme="1"/>
      <name val="Calibri"/>
      <family val="2"/>
      <scheme val="minor"/>
    </font>
    <font>
      <sz val="11"/>
      <color theme="0" tint="-0.499984740745262"/>
      <name val="Calibri"/>
      <family val="2"/>
      <scheme val="minor"/>
    </font>
    <font>
      <b/>
      <sz val="11"/>
      <color theme="5" tint="-0.249977111117893"/>
      <name val="Calibri"/>
      <family val="2"/>
      <scheme val="minor"/>
    </font>
    <font>
      <sz val="11"/>
      <color theme="5" tint="-0.249977111117893"/>
      <name val="Calibri"/>
      <family val="2"/>
      <scheme val="minor"/>
    </font>
    <font>
      <b/>
      <sz val="9"/>
      <color rgb="FF000000"/>
      <name val="Tahoma"/>
      <family val="2"/>
    </font>
    <font>
      <sz val="9"/>
      <color rgb="FF000000"/>
      <name val="Tahoma"/>
      <family val="2"/>
    </font>
    <font>
      <sz val="9"/>
      <color theme="1"/>
      <name val="Arial"/>
      <family val="2"/>
    </font>
    <font>
      <u/>
      <sz val="10"/>
      <color rgb="FF1155CC"/>
      <name val="Arial"/>
      <family val="2"/>
    </font>
    <font>
      <sz val="10"/>
      <color rgb="FF000000"/>
      <name val="Arial"/>
      <family val="2"/>
    </font>
    <font>
      <b/>
      <sz val="10"/>
      <color rgb="FF0070C0"/>
      <name val="Arial"/>
      <family val="2"/>
    </font>
    <font>
      <b/>
      <sz val="10"/>
      <color theme="1"/>
      <name val="Arial"/>
      <family val="2"/>
    </font>
    <font>
      <sz val="10"/>
      <color theme="1"/>
      <name val="Arial"/>
      <family val="2"/>
    </font>
    <font>
      <sz val="10"/>
      <name val="Arial"/>
      <family val="2"/>
    </font>
    <font>
      <sz val="10"/>
      <color theme="0" tint="-0.249977111117893"/>
      <name val="Arial"/>
      <family val="2"/>
    </font>
    <font>
      <u/>
      <sz val="10"/>
      <color theme="10"/>
      <name val="Arial"/>
      <family val="2"/>
    </font>
    <font>
      <sz val="10"/>
      <color theme="0" tint="-0.34998626667073579"/>
      <name val="Arial"/>
      <family val="2"/>
    </font>
    <font>
      <sz val="10"/>
      <color rgb="FFFF0000"/>
      <name val="Arial"/>
      <family val="2"/>
    </font>
    <font>
      <sz val="11"/>
      <color rgb="FF000000"/>
      <name val="Arial"/>
      <family val="2"/>
    </font>
    <font>
      <b/>
      <sz val="11"/>
      <color rgb="FF000000"/>
      <name val="Arial"/>
      <family val="2"/>
    </font>
    <font>
      <b/>
      <sz val="11"/>
      <color rgb="FF0070C0"/>
      <name val="Arial"/>
      <family val="2"/>
    </font>
    <font>
      <u/>
      <sz val="11"/>
      <color rgb="FF0D0D0D"/>
      <name val="Calibri"/>
      <family val="2"/>
    </font>
    <font>
      <b/>
      <sz val="10"/>
      <color rgb="FF000000"/>
      <name val="Arial"/>
      <family val="2"/>
    </font>
    <font>
      <sz val="12"/>
      <color rgb="FF000000"/>
      <name val="Arial"/>
      <family val="2"/>
    </font>
    <font>
      <sz val="11"/>
      <name val="Arial"/>
      <family val="2"/>
    </font>
    <font>
      <b/>
      <sz val="12"/>
      <color rgb="FF0070C0"/>
      <name val="Arial"/>
      <family val="2"/>
    </font>
    <font>
      <sz val="10"/>
      <color theme="2" tint="-0.749992370372631"/>
      <name val="Arial"/>
      <family val="2"/>
    </font>
    <font>
      <sz val="10"/>
      <color theme="2" tint="-0.499984740745262"/>
      <name val="Arial"/>
      <family val="2"/>
    </font>
    <font>
      <b/>
      <sz val="11"/>
      <color rgb="FF7030A0"/>
      <name val="Arial"/>
      <family val="2"/>
    </font>
    <font>
      <u/>
      <sz val="10"/>
      <color rgb="FF0000FF"/>
      <name val="Arial"/>
      <family val="2"/>
    </font>
    <font>
      <b/>
      <sz val="10"/>
      <color rgb="FF00B050"/>
      <name val="Arial"/>
      <family val="2"/>
    </font>
    <font>
      <sz val="10"/>
      <color theme="0" tint="-0.499984740745262"/>
      <name val="Arial"/>
      <family val="2"/>
    </font>
    <font>
      <sz val="9"/>
      <color indexed="81"/>
      <name val="Tahoma"/>
      <family val="2"/>
    </font>
  </fonts>
  <fills count="36">
    <fill>
      <patternFill patternType="none"/>
    </fill>
    <fill>
      <patternFill patternType="gray125"/>
    </fill>
    <fill>
      <patternFill patternType="solid">
        <fgColor theme="2"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E599"/>
        <bgColor rgb="FFFFE599"/>
      </patternFill>
    </fill>
    <fill>
      <patternFill patternType="solid">
        <fgColor rgb="FFD9EAD3"/>
        <bgColor rgb="FFD9EAD3"/>
      </patternFill>
    </fill>
    <fill>
      <patternFill patternType="solid">
        <fgColor theme="9" tint="0.59999389629810485"/>
        <bgColor indexed="64"/>
      </patternFill>
    </fill>
    <fill>
      <patternFill patternType="solid">
        <fgColor rgb="FFEA9999"/>
        <bgColor rgb="FFEA9999"/>
      </patternFill>
    </fill>
    <fill>
      <patternFill patternType="solid">
        <fgColor theme="0"/>
        <bgColor rgb="FFEA9999"/>
      </patternFill>
    </fill>
    <fill>
      <patternFill patternType="solid">
        <fgColor rgb="FFFFFFFF"/>
        <bgColor rgb="FFFFFFFF"/>
      </patternFill>
    </fill>
    <fill>
      <patternFill patternType="solid">
        <fgColor rgb="FFA4C2F4"/>
        <bgColor rgb="FFA4C2F4"/>
      </patternFill>
    </fill>
    <fill>
      <patternFill patternType="solid">
        <fgColor rgb="FFCC99FF"/>
        <bgColor indexed="64"/>
      </patternFill>
    </fill>
    <fill>
      <patternFill patternType="solid">
        <fgColor rgb="FFFFC000"/>
        <bgColor rgb="FFA4C2F4"/>
      </patternFill>
    </fill>
    <fill>
      <patternFill patternType="solid">
        <fgColor theme="5" tint="0.59999389629810485"/>
        <bgColor rgb="FFA4C2F4"/>
      </patternFill>
    </fill>
    <fill>
      <patternFill patternType="solid">
        <fgColor theme="2" tint="-0.14999847407452621"/>
        <bgColor rgb="FFA4C2F4"/>
      </patternFill>
    </fill>
    <fill>
      <patternFill patternType="solid">
        <fgColor rgb="FFF4CCCC"/>
        <bgColor rgb="FFF4CCCC"/>
      </patternFill>
    </fill>
    <fill>
      <patternFill patternType="solid">
        <fgColor theme="2" tint="-0.14999847407452621"/>
        <bgColor rgb="FFF4CCCC"/>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B4A7D6"/>
        <bgColor rgb="FFB4A7D6"/>
      </patternFill>
    </fill>
    <fill>
      <patternFill patternType="solid">
        <fgColor theme="0"/>
        <bgColor rgb="FFA4C2F4"/>
      </patternFill>
    </fill>
    <fill>
      <patternFill patternType="solid">
        <fgColor theme="0"/>
        <bgColor rgb="FFF4CCCC"/>
      </patternFill>
    </fill>
    <fill>
      <patternFill patternType="solid">
        <fgColor theme="6" tint="0.59999389629810485"/>
        <bgColor rgb="FFF4CCCC"/>
      </patternFill>
    </fill>
  </fills>
  <borders count="38">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indexed="64"/>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indexed="64"/>
      </top>
      <bottom style="medium">
        <color indexed="64"/>
      </bottom>
      <diagonal/>
    </border>
  </borders>
  <cellStyleXfs count="10">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14" fillId="0" borderId="0"/>
    <xf numFmtId="0" fontId="18" fillId="0" borderId="0" applyNumberFormat="0" applyFill="0" applyBorder="0" applyAlignment="0" applyProtection="0"/>
    <xf numFmtId="0" fontId="28" fillId="0" borderId="0"/>
    <xf numFmtId="43" fontId="28" fillId="0" borderId="0" applyFont="0" applyFill="0" applyBorder="0" applyAlignment="0" applyProtection="0"/>
    <xf numFmtId="0" fontId="34" fillId="0" borderId="0" applyNumberFormat="0" applyFill="0" applyBorder="0" applyAlignment="0" applyProtection="0"/>
    <xf numFmtId="9" fontId="28" fillId="0" borderId="0" applyFont="0" applyFill="0" applyBorder="0" applyAlignment="0" applyProtection="0"/>
  </cellStyleXfs>
  <cellXfs count="423">
    <xf numFmtId="0" fontId="0" fillId="0" borderId="0" xfId="0"/>
    <xf numFmtId="10" fontId="0" fillId="0" borderId="0" xfId="0" applyNumberFormat="1"/>
    <xf numFmtId="0" fontId="5" fillId="0" borderId="0" xfId="2"/>
    <xf numFmtId="43" fontId="0" fillId="0" borderId="0" xfId="1" applyFont="1"/>
    <xf numFmtId="164" fontId="0" fillId="0" borderId="0" xfId="3" applyNumberFormat="1" applyFont="1"/>
    <xf numFmtId="0" fontId="0" fillId="2" borderId="0" xfId="0" applyFill="1"/>
    <xf numFmtId="0" fontId="0" fillId="3" borderId="0" xfId="0" applyFill="1"/>
    <xf numFmtId="43" fontId="0" fillId="3" borderId="0" xfId="1" applyFont="1" applyFill="1"/>
    <xf numFmtId="0" fontId="0" fillId="4" borderId="0" xfId="0" applyFill="1"/>
    <xf numFmtId="43" fontId="0" fillId="4" borderId="0" xfId="0" applyNumberFormat="1" applyFill="1"/>
    <xf numFmtId="0" fontId="0" fillId="5" borderId="0" xfId="0" applyFill="1"/>
    <xf numFmtId="0" fontId="0" fillId="6" borderId="0" xfId="0" applyFill="1"/>
    <xf numFmtId="0" fontId="6" fillId="0" borderId="0" xfId="0" applyFont="1"/>
    <xf numFmtId="0" fontId="0" fillId="0" borderId="3" xfId="0" applyBorder="1"/>
    <xf numFmtId="0" fontId="0" fillId="0" borderId="4" xfId="0" applyBorder="1"/>
    <xf numFmtId="0" fontId="0" fillId="0" borderId="5" xfId="0" applyBorder="1"/>
    <xf numFmtId="0" fontId="0" fillId="0" borderId="2" xfId="0" applyBorder="1"/>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10" fontId="0" fillId="0" borderId="0" xfId="1" applyNumberFormat="1" applyFont="1"/>
    <xf numFmtId="0" fontId="0" fillId="7" borderId="0" xfId="0" applyFill="1"/>
    <xf numFmtId="0" fontId="7" fillId="7" borderId="0" xfId="0" applyFont="1" applyFill="1"/>
    <xf numFmtId="0" fontId="0" fillId="0" borderId="9" xfId="0" applyBorder="1"/>
    <xf numFmtId="0" fontId="0" fillId="0" borderId="10" xfId="0" applyBorder="1"/>
    <xf numFmtId="0" fontId="0" fillId="2" borderId="10" xfId="0"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5" xfId="0" applyFill="1" applyBorder="1"/>
    <xf numFmtId="0" fontId="0" fillId="2" borderId="0" xfId="0" applyFill="1" applyBorder="1"/>
    <xf numFmtId="0" fontId="0" fillId="2" borderId="16" xfId="0" applyFill="1" applyBorder="1"/>
    <xf numFmtId="0" fontId="0" fillId="4" borderId="15" xfId="0" applyFill="1" applyBorder="1"/>
    <xf numFmtId="0" fontId="0" fillId="4" borderId="0" xfId="0" applyFill="1" applyBorder="1"/>
    <xf numFmtId="0" fontId="2" fillId="0" borderId="15" xfId="0" applyFont="1" applyBorder="1"/>
    <xf numFmtId="0" fontId="0" fillId="0" borderId="17" xfId="0" applyBorder="1"/>
    <xf numFmtId="0" fontId="0" fillId="0" borderId="18" xfId="0" applyBorder="1"/>
    <xf numFmtId="0" fontId="0" fillId="0" borderId="19" xfId="0" applyBorder="1"/>
    <xf numFmtId="0" fontId="0" fillId="8" borderId="10" xfId="0" applyFill="1" applyBorder="1"/>
    <xf numFmtId="0" fontId="0" fillId="8" borderId="0" xfId="0" applyFill="1"/>
    <xf numFmtId="0" fontId="0" fillId="8" borderId="0" xfId="0" applyFill="1" applyBorder="1"/>
    <xf numFmtId="0" fontId="0" fillId="8" borderId="16" xfId="0" applyFill="1" applyBorder="1"/>
    <xf numFmtId="0" fontId="0" fillId="8" borderId="15" xfId="0" applyFill="1" applyBorder="1"/>
    <xf numFmtId="0" fontId="5" fillId="0" borderId="0" xfId="2" applyAlignment="1">
      <alignment vertical="center"/>
    </xf>
    <xf numFmtId="0" fontId="0" fillId="0" borderId="0" xfId="0" applyAlignment="1">
      <alignment wrapText="1"/>
    </xf>
    <xf numFmtId="0" fontId="0" fillId="9" borderId="0" xfId="0" applyFill="1"/>
    <xf numFmtId="0" fontId="0" fillId="9" borderId="0" xfId="0" applyFill="1" applyAlignment="1">
      <alignment wrapText="1"/>
    </xf>
    <xf numFmtId="0" fontId="10" fillId="0" borderId="0" xfId="0" applyFont="1"/>
    <xf numFmtId="0" fontId="10" fillId="0" borderId="0" xfId="0" applyFont="1" applyAlignment="1">
      <alignment wrapText="1"/>
    </xf>
    <xf numFmtId="0" fontId="11" fillId="10" borderId="0" xfId="0" applyFont="1" applyFill="1"/>
    <xf numFmtId="0" fontId="15" fillId="0" borderId="3" xfId="4" applyFont="1" applyBorder="1"/>
    <xf numFmtId="0" fontId="15" fillId="0" borderId="4" xfId="4" applyFont="1" applyBorder="1"/>
    <xf numFmtId="0" fontId="14" fillId="0" borderId="4" xfId="4" applyBorder="1"/>
    <xf numFmtId="0" fontId="14" fillId="0" borderId="5" xfId="4" applyBorder="1"/>
    <xf numFmtId="0" fontId="14" fillId="0" borderId="0" xfId="4"/>
    <xf numFmtId="0" fontId="13" fillId="10" borderId="2" xfId="4" applyFont="1" applyFill="1" applyBorder="1"/>
    <xf numFmtId="0" fontId="13" fillId="10" borderId="0" xfId="4" applyFont="1" applyFill="1"/>
    <xf numFmtId="0" fontId="13" fillId="10" borderId="0" xfId="4" applyFont="1" applyFill="1" applyAlignment="1">
      <alignment wrapText="1"/>
    </xf>
    <xf numFmtId="0" fontId="13" fillId="10" borderId="1" xfId="4" applyFont="1" applyFill="1" applyBorder="1" applyAlignment="1">
      <alignment wrapText="1"/>
    </xf>
    <xf numFmtId="0" fontId="12" fillId="10" borderId="0" xfId="4" applyFont="1" applyFill="1"/>
    <xf numFmtId="0" fontId="13" fillId="0" borderId="0" xfId="4" applyFont="1"/>
    <xf numFmtId="0" fontId="16" fillId="0" borderId="20" xfId="4" quotePrefix="1" applyFont="1" applyBorder="1"/>
    <xf numFmtId="0" fontId="17" fillId="0" borderId="21" xfId="4" quotePrefix="1" applyFont="1" applyBorder="1"/>
    <xf numFmtId="0" fontId="16" fillId="11" borderId="21" xfId="4" applyFont="1" applyFill="1" applyBorder="1"/>
    <xf numFmtId="165" fontId="16" fillId="11" borderId="21" xfId="4" applyNumberFormat="1" applyFont="1" applyFill="1" applyBorder="1"/>
    <xf numFmtId="165" fontId="16" fillId="11" borderId="1" xfId="4" applyNumberFormat="1" applyFont="1" applyFill="1" applyBorder="1"/>
    <xf numFmtId="0" fontId="19" fillId="0" borderId="0" xfId="5" applyFont="1"/>
    <xf numFmtId="0" fontId="16" fillId="0" borderId="0" xfId="4" applyFont="1"/>
    <xf numFmtId="166" fontId="16" fillId="0" borderId="0" xfId="4" applyNumberFormat="1" applyFont="1" applyAlignment="1">
      <alignment horizontal="center"/>
    </xf>
    <xf numFmtId="167" fontId="16" fillId="0" borderId="0" xfId="4" applyNumberFormat="1" applyFont="1" applyAlignment="1">
      <alignment horizontal="center"/>
    </xf>
    <xf numFmtId="0" fontId="16" fillId="0" borderId="0" xfId="4" quotePrefix="1" applyFont="1" applyAlignment="1">
      <alignment horizontal="center"/>
    </xf>
    <xf numFmtId="168" fontId="16" fillId="0" borderId="0" xfId="4" applyNumberFormat="1" applyFont="1" applyAlignment="1">
      <alignment horizontal="center"/>
    </xf>
    <xf numFmtId="0" fontId="14" fillId="0" borderId="20" xfId="4" quotePrefix="1" applyBorder="1"/>
    <xf numFmtId="0" fontId="9" fillId="0" borderId="21" xfId="4" quotePrefix="1" applyFont="1" applyBorder="1"/>
    <xf numFmtId="0" fontId="14" fillId="11" borderId="21" xfId="4" applyFill="1" applyBorder="1"/>
    <xf numFmtId="169" fontId="14" fillId="0" borderId="9" xfId="4" applyNumberFormat="1" applyBorder="1"/>
    <xf numFmtId="165" fontId="14" fillId="11" borderId="21" xfId="4" applyNumberFormat="1" applyFill="1" applyBorder="1"/>
    <xf numFmtId="165" fontId="18" fillId="0" borderId="1" xfId="5" applyNumberFormat="1" applyBorder="1"/>
    <xf numFmtId="0" fontId="20" fillId="0" borderId="0" xfId="5" applyFont="1"/>
    <xf numFmtId="166" fontId="14" fillId="0" borderId="0" xfId="4" applyNumberFormat="1" applyAlignment="1">
      <alignment horizontal="center"/>
    </xf>
    <xf numFmtId="167" fontId="14" fillId="0" borderId="0" xfId="4" applyNumberFormat="1" applyAlignment="1">
      <alignment horizontal="center"/>
    </xf>
    <xf numFmtId="0" fontId="14" fillId="0" borderId="0" xfId="4" quotePrefix="1" applyAlignment="1">
      <alignment horizontal="center"/>
    </xf>
    <xf numFmtId="168" fontId="14" fillId="0" borderId="0" xfId="4" applyNumberFormat="1" applyAlignment="1">
      <alignment horizontal="center"/>
    </xf>
    <xf numFmtId="165" fontId="16" fillId="0" borderId="1" xfId="4" applyNumberFormat="1" applyFont="1" applyBorder="1"/>
    <xf numFmtId="165" fontId="14" fillId="0" borderId="1" xfId="4" applyNumberFormat="1" applyBorder="1"/>
    <xf numFmtId="0" fontId="18" fillId="0" borderId="0" xfId="5"/>
    <xf numFmtId="0" fontId="16" fillId="0" borderId="20" xfId="4" applyFont="1" applyBorder="1"/>
    <xf numFmtId="0" fontId="16" fillId="0" borderId="21" xfId="4" applyFont="1" applyBorder="1"/>
    <xf numFmtId="169" fontId="16" fillId="11" borderId="21" xfId="4" applyNumberFormat="1" applyFont="1" applyFill="1" applyBorder="1"/>
    <xf numFmtId="2" fontId="16" fillId="11" borderId="21" xfId="4" applyNumberFormat="1" applyFont="1" applyFill="1" applyBorder="1"/>
    <xf numFmtId="165" fontId="16" fillId="0" borderId="21" xfId="4" applyNumberFormat="1" applyFont="1" applyBorder="1"/>
    <xf numFmtId="0" fontId="14" fillId="0" borderId="20" xfId="4" applyBorder="1"/>
    <xf numFmtId="0" fontId="14" fillId="0" borderId="21" xfId="4" applyBorder="1"/>
    <xf numFmtId="169" fontId="14" fillId="11" borderId="21" xfId="4" applyNumberFormat="1" applyFill="1" applyBorder="1"/>
    <xf numFmtId="2" fontId="14" fillId="11" borderId="21" xfId="4" applyNumberFormat="1" applyFill="1" applyBorder="1"/>
    <xf numFmtId="165" fontId="14" fillId="0" borderId="21" xfId="4" applyNumberFormat="1" applyBorder="1"/>
    <xf numFmtId="169" fontId="16" fillId="0" borderId="21" xfId="4" applyNumberFormat="1" applyFont="1" applyBorder="1"/>
    <xf numFmtId="2" fontId="16" fillId="0" borderId="21" xfId="4" applyNumberFormat="1" applyFont="1" applyBorder="1"/>
    <xf numFmtId="169" fontId="14" fillId="0" borderId="21" xfId="4" applyNumberFormat="1" applyBorder="1"/>
    <xf numFmtId="2" fontId="14" fillId="0" borderId="21" xfId="4" applyNumberFormat="1" applyBorder="1"/>
    <xf numFmtId="0" fontId="21" fillId="0" borderId="1" xfId="5" applyFont="1" applyBorder="1"/>
    <xf numFmtId="0" fontId="14" fillId="0" borderId="22" xfId="4" applyBorder="1"/>
    <xf numFmtId="0" fontId="14" fillId="0" borderId="9" xfId="4" applyBorder="1"/>
    <xf numFmtId="2" fontId="14" fillId="0" borderId="9" xfId="4" applyNumberFormat="1" applyBorder="1"/>
    <xf numFmtId="165" fontId="14" fillId="0" borderId="9" xfId="4" applyNumberFormat="1" applyBorder="1"/>
    <xf numFmtId="0" fontId="16" fillId="0" borderId="23" xfId="4" applyFont="1" applyBorder="1"/>
    <xf numFmtId="0" fontId="16" fillId="0" borderId="24" xfId="4" applyFont="1" applyBorder="1"/>
    <xf numFmtId="169" fontId="16" fillId="0" borderId="24" xfId="4" applyNumberFormat="1" applyFont="1" applyBorder="1"/>
    <xf numFmtId="2" fontId="16" fillId="0" borderId="24" xfId="4" applyNumberFormat="1" applyFont="1" applyBorder="1"/>
    <xf numFmtId="165" fontId="16" fillId="0" borderId="24" xfId="4" applyNumberFormat="1" applyFont="1" applyBorder="1"/>
    <xf numFmtId="165" fontId="16" fillId="0" borderId="8" xfId="4" applyNumberFormat="1" applyFont="1" applyBorder="1"/>
    <xf numFmtId="169" fontId="14" fillId="0" borderId="0" xfId="4" applyNumberFormat="1"/>
    <xf numFmtId="2" fontId="14" fillId="0" borderId="0" xfId="4" applyNumberFormat="1"/>
    <xf numFmtId="165" fontId="14" fillId="0" borderId="0" xfId="4" applyNumberFormat="1"/>
    <xf numFmtId="169" fontId="14" fillId="13" borderId="5" xfId="4" applyNumberFormat="1" applyFill="1" applyBorder="1"/>
    <xf numFmtId="0" fontId="23" fillId="12" borderId="0" xfId="4" quotePrefix="1" applyFont="1" applyFill="1"/>
    <xf numFmtId="169" fontId="14" fillId="11" borderId="0" xfId="4" applyNumberFormat="1" applyFill="1"/>
    <xf numFmtId="2" fontId="14" fillId="11" borderId="0" xfId="4" applyNumberFormat="1" applyFill="1" applyAlignment="1">
      <alignment horizontal="right"/>
    </xf>
    <xf numFmtId="165" fontId="14" fillId="11" borderId="0" xfId="4" applyNumberFormat="1" applyFill="1" applyAlignment="1">
      <alignment horizontal="right"/>
    </xf>
    <xf numFmtId="165" fontId="9" fillId="11" borderId="1" xfId="4" applyNumberFormat="1" applyFont="1" applyFill="1" applyBorder="1" applyAlignment="1">
      <alignment horizontal="center"/>
    </xf>
    <xf numFmtId="0" fontId="14" fillId="0" borderId="2" xfId="4" applyBorder="1"/>
    <xf numFmtId="0" fontId="23" fillId="12" borderId="0" xfId="4" applyFont="1" applyFill="1"/>
    <xf numFmtId="49" fontId="14" fillId="0" borderId="0" xfId="4" applyNumberFormat="1"/>
    <xf numFmtId="0" fontId="14" fillId="13" borderId="6" xfId="4" applyFill="1" applyBorder="1"/>
    <xf numFmtId="0" fontId="14" fillId="13" borderId="7" xfId="4" applyFill="1" applyBorder="1"/>
    <xf numFmtId="169" fontId="14" fillId="13" borderId="7" xfId="4" applyNumberFormat="1" applyFill="1" applyBorder="1"/>
    <xf numFmtId="2" fontId="14" fillId="13" borderId="7" xfId="4" applyNumberFormat="1" applyFill="1" applyBorder="1"/>
    <xf numFmtId="165" fontId="14" fillId="13" borderId="7" xfId="4" applyNumberFormat="1" applyFill="1" applyBorder="1"/>
    <xf numFmtId="165" fontId="14" fillId="13" borderId="8" xfId="4" applyNumberFormat="1" applyFill="1" applyBorder="1"/>
    <xf numFmtId="165" fontId="14" fillId="5" borderId="5" xfId="4" applyNumberFormat="1" applyFill="1" applyBorder="1"/>
    <xf numFmtId="0" fontId="14" fillId="5" borderId="6" xfId="4" applyFill="1" applyBorder="1"/>
    <xf numFmtId="169" fontId="14" fillId="5" borderId="7" xfId="4" applyNumberFormat="1" applyFill="1" applyBorder="1"/>
    <xf numFmtId="165" fontId="14" fillId="5" borderId="7" xfId="4" applyNumberFormat="1" applyFill="1" applyBorder="1"/>
    <xf numFmtId="165" fontId="14" fillId="5" borderId="8" xfId="4" applyNumberFormat="1" applyFill="1" applyBorder="1"/>
    <xf numFmtId="0" fontId="18" fillId="0" borderId="0" xfId="5" applyFill="1"/>
    <xf numFmtId="0" fontId="14" fillId="14" borderId="0" xfId="4" applyFill="1"/>
    <xf numFmtId="0" fontId="18" fillId="14" borderId="0" xfId="5" applyFill="1"/>
    <xf numFmtId="0" fontId="11" fillId="0" borderId="0" xfId="4" applyFont="1"/>
    <xf numFmtId="0" fontId="0" fillId="3" borderId="0" xfId="0" applyFill="1" applyAlignment="1">
      <alignment wrapText="1"/>
    </xf>
    <xf numFmtId="0" fontId="6" fillId="0" borderId="0" xfId="0" applyFont="1" applyAlignment="1">
      <alignment wrapText="1"/>
    </xf>
    <xf numFmtId="0" fontId="0" fillId="5" borderId="0" xfId="0" applyFill="1" applyAlignment="1">
      <alignment wrapText="1"/>
    </xf>
    <xf numFmtId="0" fontId="0" fillId="4" borderId="0" xfId="0" applyFill="1" applyAlignment="1">
      <alignment wrapText="1"/>
    </xf>
    <xf numFmtId="0" fontId="26" fillId="0" borderId="0" xfId="0" applyFont="1"/>
    <xf numFmtId="0" fontId="28" fillId="15" borderId="0" xfId="6" applyFill="1"/>
    <xf numFmtId="0" fontId="28" fillId="0" borderId="0" xfId="6"/>
    <xf numFmtId="3" fontId="29" fillId="0" borderId="0" xfId="6" applyNumberFormat="1" applyFont="1"/>
    <xf numFmtId="9" fontId="28" fillId="0" borderId="0" xfId="6" applyNumberFormat="1"/>
    <xf numFmtId="170" fontId="29" fillId="0" borderId="0" xfId="7" applyNumberFormat="1" applyFont="1"/>
    <xf numFmtId="0" fontId="28" fillId="0" borderId="7" xfId="6" applyBorder="1"/>
    <xf numFmtId="170" fontId="29" fillId="0" borderId="7" xfId="6" applyNumberFormat="1" applyFont="1" applyBorder="1"/>
    <xf numFmtId="0" fontId="28" fillId="12" borderId="0" xfId="6" applyFill="1"/>
    <xf numFmtId="0" fontId="30" fillId="16" borderId="25" xfId="6" applyFont="1" applyFill="1" applyBorder="1"/>
    <xf numFmtId="0" fontId="31" fillId="16" borderId="25" xfId="6" applyFont="1" applyFill="1" applyBorder="1"/>
    <xf numFmtId="0" fontId="30" fillId="17" borderId="25" xfId="6" applyFont="1" applyFill="1" applyBorder="1"/>
    <xf numFmtId="0" fontId="31" fillId="17" borderId="25" xfId="6" applyFont="1" applyFill="1" applyBorder="1"/>
    <xf numFmtId="0" fontId="31" fillId="0" borderId="0" xfId="6" applyFont="1"/>
    <xf numFmtId="9" fontId="31" fillId="0" borderId="0" xfId="6" applyNumberFormat="1" applyFont="1"/>
    <xf numFmtId="0" fontId="26" fillId="0" borderId="0" xfId="6" applyFont="1"/>
    <xf numFmtId="0" fontId="26" fillId="0" borderId="26" xfId="6" applyFont="1" applyBorder="1"/>
    <xf numFmtId="0" fontId="31" fillId="0" borderId="26" xfId="6" applyFont="1" applyBorder="1"/>
    <xf numFmtId="9" fontId="31" fillId="0" borderId="27" xfId="6" applyNumberFormat="1" applyFont="1" applyBorder="1"/>
    <xf numFmtId="0" fontId="28" fillId="18" borderId="0" xfId="6" applyFill="1"/>
    <xf numFmtId="0" fontId="31" fillId="18" borderId="28" xfId="6" applyFont="1" applyFill="1" applyBorder="1"/>
    <xf numFmtId="0" fontId="31" fillId="19" borderId="28" xfId="6" applyFont="1" applyFill="1" applyBorder="1"/>
    <xf numFmtId="0" fontId="31" fillId="0" borderId="28" xfId="6" applyFont="1" applyBorder="1"/>
    <xf numFmtId="0" fontId="31" fillId="18" borderId="0" xfId="6" applyFont="1" applyFill="1"/>
    <xf numFmtId="9" fontId="28" fillId="18" borderId="0" xfId="6" applyNumberFormat="1" applyFill="1"/>
    <xf numFmtId="0" fontId="31" fillId="19" borderId="0" xfId="6" applyFont="1" applyFill="1"/>
    <xf numFmtId="9" fontId="31" fillId="19" borderId="0" xfId="6" applyNumberFormat="1" applyFont="1" applyFill="1"/>
    <xf numFmtId="0" fontId="31" fillId="18" borderId="26" xfId="6" applyFont="1" applyFill="1" applyBorder="1"/>
    <xf numFmtId="0" fontId="31" fillId="19" borderId="26" xfId="6" applyFont="1" applyFill="1" applyBorder="1"/>
    <xf numFmtId="9" fontId="31" fillId="19" borderId="26" xfId="6" applyNumberFormat="1" applyFont="1" applyFill="1" applyBorder="1"/>
    <xf numFmtId="9" fontId="31" fillId="20" borderId="7" xfId="6" applyNumberFormat="1" applyFont="1" applyFill="1" applyBorder="1"/>
    <xf numFmtId="0" fontId="31" fillId="0" borderId="7" xfId="6" applyFont="1" applyBorder="1"/>
    <xf numFmtId="0" fontId="32" fillId="0" borderId="0" xfId="6" applyFont="1"/>
    <xf numFmtId="9" fontId="31" fillId="20" borderId="0" xfId="6" applyNumberFormat="1" applyFont="1" applyFill="1"/>
    <xf numFmtId="1" fontId="31" fillId="0" borderId="0" xfId="6" applyNumberFormat="1" applyFont="1"/>
    <xf numFmtId="0" fontId="33" fillId="0" borderId="0" xfId="6" applyFont="1"/>
    <xf numFmtId="0" fontId="34" fillId="0" borderId="0" xfId="8" applyAlignment="1"/>
    <xf numFmtId="170" fontId="29" fillId="0" borderId="0" xfId="7" applyNumberFormat="1" applyFont="1" applyBorder="1" applyAlignment="1"/>
    <xf numFmtId="43" fontId="31" fillId="0" borderId="0" xfId="6" applyNumberFormat="1" applyFont="1"/>
    <xf numFmtId="9" fontId="31" fillId="0" borderId="0" xfId="9" applyFont="1" applyBorder="1"/>
    <xf numFmtId="170" fontId="29" fillId="0" borderId="0" xfId="7" applyNumberFormat="1" applyFont="1" applyBorder="1"/>
    <xf numFmtId="0" fontId="31" fillId="16" borderId="0" xfId="6" applyFont="1" applyFill="1" applyAlignment="1">
      <alignment wrapText="1"/>
    </xf>
    <xf numFmtId="0" fontId="31" fillId="16" borderId="0" xfId="6" applyFont="1" applyFill="1"/>
    <xf numFmtId="0" fontId="31" fillId="17" borderId="0" xfId="6" applyFont="1" applyFill="1"/>
    <xf numFmtId="0" fontId="27" fillId="0" borderId="0" xfId="6" applyFont="1"/>
    <xf numFmtId="0" fontId="32" fillId="0" borderId="7" xfId="6" applyFont="1" applyBorder="1"/>
    <xf numFmtId="0" fontId="31" fillId="21" borderId="0" xfId="6" applyFont="1" applyFill="1"/>
    <xf numFmtId="9" fontId="31" fillId="21" borderId="0" xfId="6" applyNumberFormat="1" applyFont="1" applyFill="1"/>
    <xf numFmtId="0" fontId="31" fillId="22" borderId="29" xfId="6" applyFont="1" applyFill="1" applyBorder="1"/>
    <xf numFmtId="9" fontId="31" fillId="22" borderId="28" xfId="6" applyNumberFormat="1" applyFont="1" applyFill="1" applyBorder="1"/>
    <xf numFmtId="0" fontId="31" fillId="22" borderId="28" xfId="6" applyFont="1" applyFill="1" applyBorder="1"/>
    <xf numFmtId="0" fontId="31" fillId="22" borderId="30" xfId="6" applyFont="1" applyFill="1" applyBorder="1"/>
    <xf numFmtId="0" fontId="31" fillId="22" borderId="0" xfId="6" applyFont="1" applyFill="1"/>
    <xf numFmtId="0" fontId="31" fillId="22" borderId="31" xfId="6" applyFont="1" applyFill="1" applyBorder="1"/>
    <xf numFmtId="9" fontId="31" fillId="22" borderId="26" xfId="6" applyNumberFormat="1" applyFont="1" applyFill="1" applyBorder="1"/>
    <xf numFmtId="0" fontId="31" fillId="22" borderId="26" xfId="6" applyFont="1" applyFill="1" applyBorder="1"/>
    <xf numFmtId="0" fontId="31" fillId="22" borderId="32" xfId="6" applyFont="1" applyFill="1" applyBorder="1"/>
    <xf numFmtId="170" fontId="0" fillId="0" borderId="0" xfId="7" applyNumberFormat="1" applyFont="1" applyAlignment="1"/>
    <xf numFmtId="2" fontId="31" fillId="0" borderId="0" xfId="6" applyNumberFormat="1" applyFont="1"/>
    <xf numFmtId="10" fontId="31" fillId="0" borderId="0" xfId="6" applyNumberFormat="1" applyFont="1"/>
    <xf numFmtId="2" fontId="28" fillId="0" borderId="0" xfId="6" applyNumberFormat="1"/>
    <xf numFmtId="43" fontId="28" fillId="0" borderId="0" xfId="6" applyNumberFormat="1"/>
    <xf numFmtId="9" fontId="0" fillId="0" borderId="0" xfId="9" applyFont="1" applyAlignment="1"/>
    <xf numFmtId="2" fontId="31" fillId="0" borderId="0" xfId="9" applyNumberFormat="1" applyFont="1"/>
    <xf numFmtId="0" fontId="31" fillId="23" borderId="0" xfId="6" applyFont="1" applyFill="1"/>
    <xf numFmtId="0" fontId="28" fillId="23" borderId="0" xfId="6" applyFill="1"/>
    <xf numFmtId="2" fontId="31" fillId="23" borderId="0" xfId="6" applyNumberFormat="1" applyFont="1" applyFill="1"/>
    <xf numFmtId="0" fontId="35" fillId="0" borderId="0" xfId="6" applyFont="1"/>
    <xf numFmtId="170" fontId="28" fillId="0" borderId="0" xfId="6" applyNumberFormat="1"/>
    <xf numFmtId="9" fontId="31" fillId="22" borderId="0" xfId="6" applyNumberFormat="1" applyFont="1" applyFill="1"/>
    <xf numFmtId="1" fontId="31" fillId="22" borderId="0" xfId="6" applyNumberFormat="1" applyFont="1" applyFill="1"/>
    <xf numFmtId="1" fontId="31" fillId="24" borderId="0" xfId="6" applyNumberFormat="1" applyFont="1" applyFill="1"/>
    <xf numFmtId="170" fontId="32" fillId="22" borderId="0" xfId="7" applyNumberFormat="1" applyFont="1" applyFill="1" applyAlignment="1"/>
    <xf numFmtId="170" fontId="32" fillId="24" borderId="0" xfId="7" applyNumberFormat="1" applyFont="1" applyFill="1" applyAlignment="1"/>
    <xf numFmtId="170" fontId="31" fillId="22" borderId="0" xfId="6" applyNumberFormat="1" applyFont="1" applyFill="1"/>
    <xf numFmtId="170" fontId="31" fillId="25" borderId="0" xfId="6" applyNumberFormat="1" applyFont="1" applyFill="1"/>
    <xf numFmtId="0" fontId="31" fillId="26" borderId="0" xfId="6" applyFont="1" applyFill="1"/>
    <xf numFmtId="9" fontId="31" fillId="26" borderId="0" xfId="6" applyNumberFormat="1" applyFont="1" applyFill="1"/>
    <xf numFmtId="1" fontId="31" fillId="26" borderId="0" xfId="6" applyNumberFormat="1" applyFont="1" applyFill="1"/>
    <xf numFmtId="170" fontId="32" fillId="26" borderId="0" xfId="7" applyNumberFormat="1" applyFont="1" applyFill="1"/>
    <xf numFmtId="0" fontId="31" fillId="26" borderId="33" xfId="6" applyFont="1" applyFill="1" applyBorder="1"/>
    <xf numFmtId="9" fontId="31" fillId="26" borderId="33" xfId="6" applyNumberFormat="1" applyFont="1" applyFill="1" applyBorder="1"/>
    <xf numFmtId="1" fontId="31" fillId="26" borderId="33" xfId="6" applyNumberFormat="1" applyFont="1" applyFill="1" applyBorder="1"/>
    <xf numFmtId="170" fontId="32" fillId="26" borderId="33" xfId="7" applyNumberFormat="1" applyFont="1" applyFill="1" applyBorder="1"/>
    <xf numFmtId="0" fontId="31" fillId="27" borderId="0" xfId="6" applyFont="1" applyFill="1"/>
    <xf numFmtId="9" fontId="31" fillId="27" borderId="0" xfId="6" applyNumberFormat="1" applyFont="1" applyFill="1"/>
    <xf numFmtId="1" fontId="31" fillId="27" borderId="0" xfId="6" applyNumberFormat="1" applyFont="1" applyFill="1"/>
    <xf numFmtId="0" fontId="32" fillId="27" borderId="0" xfId="6" applyFont="1" applyFill="1"/>
    <xf numFmtId="0" fontId="31" fillId="28" borderId="0" xfId="6" applyFont="1" applyFill="1"/>
    <xf numFmtId="9" fontId="31" fillId="28" borderId="0" xfId="6" applyNumberFormat="1" applyFont="1" applyFill="1"/>
    <xf numFmtId="1" fontId="31" fillId="28" borderId="0" xfId="6" applyNumberFormat="1" applyFont="1" applyFill="1"/>
    <xf numFmtId="0" fontId="32" fillId="28" borderId="0" xfId="6" applyFont="1" applyFill="1"/>
    <xf numFmtId="0" fontId="36" fillId="0" borderId="0" xfId="6" applyFont="1"/>
    <xf numFmtId="0" fontId="37" fillId="9" borderId="0" xfId="6" applyFont="1" applyFill="1"/>
    <xf numFmtId="0" fontId="28" fillId="9" borderId="0" xfId="6" applyFill="1"/>
    <xf numFmtId="0" fontId="37" fillId="0" borderId="0" xfId="6" applyFont="1"/>
    <xf numFmtId="170" fontId="39" fillId="0" borderId="0" xfId="7" applyNumberFormat="1" applyFont="1"/>
    <xf numFmtId="170" fontId="0" fillId="0" borderId="0" xfId="7" applyNumberFormat="1" applyFont="1"/>
    <xf numFmtId="0" fontId="31" fillId="0" borderId="13" xfId="6" applyFont="1" applyBorder="1"/>
    <xf numFmtId="0" fontId="28" fillId="0" borderId="13" xfId="6" applyBorder="1"/>
    <xf numFmtId="0" fontId="31" fillId="29" borderId="7" xfId="6" applyFont="1" applyFill="1" applyBorder="1"/>
    <xf numFmtId="0" fontId="28" fillId="29" borderId="7" xfId="6" applyFill="1" applyBorder="1"/>
    <xf numFmtId="0" fontId="40" fillId="29" borderId="7" xfId="6" applyFont="1" applyFill="1" applyBorder="1"/>
    <xf numFmtId="0" fontId="40" fillId="0" borderId="0" xfId="6" applyFont="1"/>
    <xf numFmtId="0" fontId="28" fillId="0" borderId="0" xfId="6" applyAlignment="1">
      <alignment wrapText="1"/>
    </xf>
    <xf numFmtId="0" fontId="28" fillId="30" borderId="7" xfId="6" applyFill="1" applyBorder="1"/>
    <xf numFmtId="0" fontId="41" fillId="30" borderId="7" xfId="6" applyFont="1" applyFill="1" applyBorder="1"/>
    <xf numFmtId="0" fontId="28" fillId="14" borderId="7" xfId="6" applyFill="1" applyBorder="1"/>
    <xf numFmtId="9" fontId="28" fillId="14" borderId="7" xfId="6" applyNumberFormat="1" applyFill="1" applyBorder="1"/>
    <xf numFmtId="0" fontId="41" fillId="14" borderId="7" xfId="6" applyFont="1" applyFill="1" applyBorder="1"/>
    <xf numFmtId="0" fontId="28" fillId="31" borderId="7" xfId="6" applyFill="1" applyBorder="1"/>
    <xf numFmtId="0" fontId="41" fillId="31" borderId="7" xfId="6" applyFont="1" applyFill="1" applyBorder="1"/>
    <xf numFmtId="0" fontId="28" fillId="3" borderId="7" xfId="6" applyFill="1" applyBorder="1"/>
    <xf numFmtId="0" fontId="41" fillId="3" borderId="7" xfId="6" applyFont="1" applyFill="1" applyBorder="1"/>
    <xf numFmtId="0" fontId="28" fillId="5" borderId="7" xfId="6" applyFill="1" applyBorder="1"/>
    <xf numFmtId="0" fontId="41" fillId="5" borderId="7" xfId="6" applyFont="1" applyFill="1" applyBorder="1"/>
    <xf numFmtId="0" fontId="37" fillId="15" borderId="0" xfId="6" applyFont="1" applyFill="1"/>
    <xf numFmtId="3" fontId="39" fillId="0" borderId="0" xfId="6" applyNumberFormat="1" applyFont="1"/>
    <xf numFmtId="9" fontId="37" fillId="0" borderId="0" xfId="6" applyNumberFormat="1" applyFont="1"/>
    <xf numFmtId="0" fontId="37" fillId="0" borderId="7" xfId="6" applyFont="1" applyBorder="1"/>
    <xf numFmtId="170" fontId="39" fillId="0" borderId="7" xfId="6" applyNumberFormat="1" applyFont="1" applyBorder="1"/>
    <xf numFmtId="0" fontId="42" fillId="30" borderId="0" xfId="6" applyFont="1" applyFill="1"/>
    <xf numFmtId="0" fontId="28" fillId="30" borderId="0" xfId="6" applyFill="1"/>
    <xf numFmtId="3" fontId="43" fillId="0" borderId="0" xfId="6" applyNumberFormat="1" applyFont="1"/>
    <xf numFmtId="0" fontId="42" fillId="0" borderId="0" xfId="6" applyFont="1"/>
    <xf numFmtId="170" fontId="44" fillId="0" borderId="0" xfId="6" applyNumberFormat="1" applyFont="1"/>
    <xf numFmtId="43" fontId="42" fillId="0" borderId="0" xfId="6" applyNumberFormat="1" applyFont="1"/>
    <xf numFmtId="0" fontId="44" fillId="0" borderId="0" xfId="6" applyFont="1"/>
    <xf numFmtId="0" fontId="42" fillId="0" borderId="7" xfId="6" applyFont="1" applyBorder="1"/>
    <xf numFmtId="170" fontId="44" fillId="0" borderId="7" xfId="6" applyNumberFormat="1" applyFont="1" applyBorder="1"/>
    <xf numFmtId="0" fontId="31" fillId="32" borderId="28" xfId="6" applyFont="1" applyFill="1" applyBorder="1"/>
    <xf numFmtId="170" fontId="31" fillId="0" borderId="0" xfId="7" applyNumberFormat="1" applyFont="1"/>
    <xf numFmtId="0" fontId="45" fillId="0" borderId="0" xfId="6" applyFont="1"/>
    <xf numFmtId="1" fontId="45" fillId="0" borderId="0" xfId="6" applyNumberFormat="1" applyFont="1"/>
    <xf numFmtId="170" fontId="45" fillId="0" borderId="0" xfId="7" applyNumberFormat="1" applyFont="1"/>
    <xf numFmtId="170" fontId="28" fillId="0" borderId="0" xfId="7" applyNumberFormat="1" applyFont="1"/>
    <xf numFmtId="170" fontId="0" fillId="0" borderId="0" xfId="7" applyNumberFormat="1" applyFont="1" applyBorder="1"/>
    <xf numFmtId="9" fontId="0" fillId="0" borderId="7" xfId="9" applyFont="1" applyBorder="1" applyAlignment="1"/>
    <xf numFmtId="9" fontId="0" fillId="0" borderId="7" xfId="9" applyFont="1" applyBorder="1"/>
    <xf numFmtId="9" fontId="31" fillId="0" borderId="7" xfId="6" applyNumberFormat="1" applyFont="1" applyBorder="1"/>
    <xf numFmtId="9" fontId="0" fillId="0" borderId="0" xfId="9" applyFont="1"/>
    <xf numFmtId="0" fontId="46" fillId="0" borderId="0" xfId="6" applyFont="1"/>
    <xf numFmtId="0" fontId="29" fillId="0" borderId="0" xfId="6" applyFont="1"/>
    <xf numFmtId="9" fontId="46" fillId="0" borderId="0" xfId="6" applyNumberFormat="1" applyFont="1"/>
    <xf numFmtId="170" fontId="46" fillId="0" borderId="0" xfId="6" applyNumberFormat="1" applyFont="1"/>
    <xf numFmtId="170" fontId="29" fillId="0" borderId="0" xfId="6" applyNumberFormat="1" applyFont="1"/>
    <xf numFmtId="9" fontId="46" fillId="0" borderId="7" xfId="6" applyNumberFormat="1" applyFont="1" applyBorder="1"/>
    <xf numFmtId="170" fontId="46" fillId="0" borderId="7" xfId="6" applyNumberFormat="1" applyFont="1" applyBorder="1"/>
    <xf numFmtId="0" fontId="31" fillId="14" borderId="0" xfId="6" applyFont="1" applyFill="1"/>
    <xf numFmtId="0" fontId="28" fillId="14" borderId="0" xfId="6" applyFill="1"/>
    <xf numFmtId="9" fontId="0" fillId="14" borderId="0" xfId="9" applyFont="1" applyFill="1" applyAlignment="1"/>
    <xf numFmtId="9" fontId="0" fillId="14" borderId="0" xfId="9" applyFont="1" applyFill="1"/>
    <xf numFmtId="9" fontId="31" fillId="14" borderId="0" xfId="6" applyNumberFormat="1" applyFont="1" applyFill="1"/>
    <xf numFmtId="170" fontId="32" fillId="0" borderId="0" xfId="7" applyNumberFormat="1" applyFont="1"/>
    <xf numFmtId="0" fontId="31" fillId="14" borderId="7" xfId="6" applyFont="1" applyFill="1" applyBorder="1"/>
    <xf numFmtId="2" fontId="31" fillId="14" borderId="7" xfId="6" applyNumberFormat="1" applyFont="1" applyFill="1" applyBorder="1"/>
    <xf numFmtId="0" fontId="31" fillId="11" borderId="0" xfId="6" applyFont="1" applyFill="1"/>
    <xf numFmtId="0" fontId="28" fillId="11" borderId="0" xfId="6" applyFill="1"/>
    <xf numFmtId="2" fontId="31" fillId="11" borderId="0" xfId="6" applyNumberFormat="1" applyFont="1" applyFill="1"/>
    <xf numFmtId="170" fontId="47" fillId="11" borderId="0" xfId="7" applyNumberFormat="1" applyFont="1" applyFill="1" applyBorder="1"/>
    <xf numFmtId="0" fontId="28" fillId="10" borderId="0" xfId="6" applyFill="1"/>
    <xf numFmtId="0" fontId="45" fillId="10" borderId="0" xfId="6" applyFont="1" applyFill="1"/>
    <xf numFmtId="0" fontId="45" fillId="10" borderId="0" xfId="6" applyFont="1" applyFill="1" applyAlignment="1">
      <alignment wrapText="1"/>
    </xf>
    <xf numFmtId="0" fontId="45" fillId="11" borderId="0" xfId="6" applyFont="1" applyFill="1"/>
    <xf numFmtId="0" fontId="45" fillId="11" borderId="0" xfId="6" applyFont="1" applyFill="1" applyAlignment="1">
      <alignment wrapText="1"/>
    </xf>
    <xf numFmtId="0" fontId="28" fillId="11" borderId="0" xfId="6" applyFill="1" applyAlignment="1">
      <alignment wrapText="1"/>
    </xf>
    <xf numFmtId="0" fontId="31" fillId="11" borderId="0" xfId="6" applyFont="1" applyFill="1" applyAlignment="1">
      <alignment wrapText="1"/>
    </xf>
    <xf numFmtId="0" fontId="31" fillId="33" borderId="0" xfId="6" applyFont="1" applyFill="1"/>
    <xf numFmtId="9" fontId="31" fillId="33" borderId="0" xfId="6" applyNumberFormat="1" applyFont="1" applyFill="1"/>
    <xf numFmtId="170" fontId="45" fillId="33" borderId="0" xfId="7" applyNumberFormat="1" applyFont="1" applyFill="1"/>
    <xf numFmtId="9" fontId="32" fillId="33" borderId="0" xfId="9" applyFont="1" applyFill="1" applyAlignment="1"/>
    <xf numFmtId="170" fontId="29" fillId="33" borderId="0" xfId="6" applyNumberFormat="1" applyFont="1" applyFill="1"/>
    <xf numFmtId="0" fontId="45" fillId="33" borderId="0" xfId="6" applyFont="1" applyFill="1"/>
    <xf numFmtId="9" fontId="32" fillId="33" borderId="0" xfId="9" applyFont="1" applyFill="1"/>
    <xf numFmtId="0" fontId="31" fillId="33" borderId="33" xfId="6" applyFont="1" applyFill="1" applyBorder="1"/>
    <xf numFmtId="9" fontId="31" fillId="33" borderId="33" xfId="6" applyNumberFormat="1" applyFont="1" applyFill="1" applyBorder="1"/>
    <xf numFmtId="0" fontId="45" fillId="33" borderId="33" xfId="6" applyFont="1" applyFill="1" applyBorder="1"/>
    <xf numFmtId="170" fontId="45" fillId="33" borderId="33" xfId="7" applyNumberFormat="1" applyFont="1" applyFill="1" applyBorder="1"/>
    <xf numFmtId="0" fontId="28" fillId="0" borderId="33" xfId="6" applyBorder="1"/>
    <xf numFmtId="170" fontId="32" fillId="33" borderId="33" xfId="7" applyNumberFormat="1" applyFont="1" applyFill="1" applyBorder="1"/>
    <xf numFmtId="170" fontId="29" fillId="33" borderId="33" xfId="6" applyNumberFormat="1" applyFont="1" applyFill="1" applyBorder="1"/>
    <xf numFmtId="170" fontId="29" fillId="0" borderId="33" xfId="6" applyNumberFormat="1" applyFont="1" applyBorder="1"/>
    <xf numFmtId="0" fontId="31" fillId="34" borderId="0" xfId="6" applyFont="1" applyFill="1"/>
    <xf numFmtId="9" fontId="31" fillId="34" borderId="0" xfId="6" applyNumberFormat="1" applyFont="1" applyFill="1"/>
    <xf numFmtId="170" fontId="45" fillId="34" borderId="0" xfId="7" applyNumberFormat="1" applyFont="1" applyFill="1"/>
    <xf numFmtId="1" fontId="46" fillId="34" borderId="0" xfId="6" applyNumberFormat="1" applyFont="1" applyFill="1"/>
    <xf numFmtId="9" fontId="32" fillId="34" borderId="0" xfId="6" applyNumberFormat="1" applyFont="1" applyFill="1"/>
    <xf numFmtId="1" fontId="45" fillId="34" borderId="0" xfId="6" applyNumberFormat="1" applyFont="1" applyFill="1"/>
    <xf numFmtId="0" fontId="31" fillId="11" borderId="7" xfId="6" applyFont="1" applyFill="1" applyBorder="1"/>
    <xf numFmtId="0" fontId="28" fillId="11" borderId="7" xfId="6" applyFill="1" applyBorder="1"/>
    <xf numFmtId="170" fontId="45" fillId="11" borderId="7" xfId="6" applyNumberFormat="1" applyFont="1" applyFill="1" applyBorder="1"/>
    <xf numFmtId="1" fontId="45" fillId="11" borderId="7" xfId="6" applyNumberFormat="1" applyFont="1" applyFill="1" applyBorder="1"/>
    <xf numFmtId="0" fontId="36" fillId="0" borderId="7" xfId="6" applyFont="1" applyBorder="1"/>
    <xf numFmtId="0" fontId="31" fillId="35" borderId="13" xfId="6" applyFont="1" applyFill="1" applyBorder="1"/>
    <xf numFmtId="0" fontId="28" fillId="31" borderId="13" xfId="6" applyFill="1" applyBorder="1"/>
    <xf numFmtId="0" fontId="31" fillId="31" borderId="7" xfId="6" applyFont="1" applyFill="1" applyBorder="1" applyAlignment="1">
      <alignment horizontal="left" wrapText="1"/>
    </xf>
    <xf numFmtId="9" fontId="28" fillId="31" borderId="7" xfId="6" applyNumberFormat="1" applyFill="1" applyBorder="1"/>
    <xf numFmtId="0" fontId="31" fillId="3" borderId="13" xfId="6" applyFont="1" applyFill="1" applyBorder="1"/>
    <xf numFmtId="0" fontId="28" fillId="3" borderId="13" xfId="6" applyFill="1" applyBorder="1"/>
    <xf numFmtId="1" fontId="31" fillId="3" borderId="13" xfId="6" applyNumberFormat="1" applyFont="1" applyFill="1" applyBorder="1"/>
    <xf numFmtId="0" fontId="28" fillId="3" borderId="0" xfId="6" applyFill="1"/>
    <xf numFmtId="0" fontId="31" fillId="3" borderId="0" xfId="6" applyFont="1" applyFill="1"/>
    <xf numFmtId="43" fontId="28" fillId="3" borderId="0" xfId="6" applyNumberFormat="1" applyFill="1"/>
    <xf numFmtId="0" fontId="31" fillId="3" borderId="7" xfId="6" applyFont="1" applyFill="1" applyBorder="1"/>
    <xf numFmtId="9" fontId="31" fillId="3" borderId="7" xfId="6" applyNumberFormat="1" applyFont="1" applyFill="1" applyBorder="1"/>
    <xf numFmtId="43" fontId="39" fillId="3" borderId="7" xfId="6" applyNumberFormat="1" applyFont="1" applyFill="1" applyBorder="1"/>
    <xf numFmtId="0" fontId="48" fillId="0" borderId="0" xfId="6" applyFont="1"/>
    <xf numFmtId="170" fontId="47" fillId="14" borderId="34" xfId="7" applyNumberFormat="1" applyFont="1" applyFill="1" applyBorder="1"/>
    <xf numFmtId="170" fontId="47" fillId="11" borderId="34" xfId="6" applyNumberFormat="1" applyFont="1" applyFill="1" applyBorder="1"/>
    <xf numFmtId="0" fontId="31" fillId="16" borderId="35" xfId="6" applyFont="1" applyFill="1" applyBorder="1"/>
    <xf numFmtId="9" fontId="31" fillId="16" borderId="35" xfId="6" applyNumberFormat="1" applyFont="1" applyFill="1" applyBorder="1"/>
    <xf numFmtId="0" fontId="31" fillId="0" borderId="36" xfId="6" applyFont="1" applyBorder="1"/>
    <xf numFmtId="0" fontId="31" fillId="0" borderId="0" xfId="6" applyFont="1" applyFill="1" applyBorder="1"/>
    <xf numFmtId="9" fontId="31" fillId="0" borderId="0" xfId="6" applyNumberFormat="1" applyFont="1" applyFill="1" applyBorder="1"/>
    <xf numFmtId="0" fontId="31" fillId="17" borderId="35" xfId="6" applyFont="1" applyFill="1" applyBorder="1"/>
    <xf numFmtId="9" fontId="31" fillId="17" borderId="35" xfId="6" applyNumberFormat="1" applyFont="1" applyFill="1" applyBorder="1"/>
    <xf numFmtId="9" fontId="28" fillId="0" borderId="0" xfId="6" applyNumberFormat="1" applyFill="1" applyBorder="1"/>
    <xf numFmtId="9" fontId="28" fillId="0" borderId="0" xfId="3" applyFont="1"/>
    <xf numFmtId="164" fontId="28" fillId="0" borderId="0" xfId="6" applyNumberFormat="1"/>
    <xf numFmtId="164" fontId="28" fillId="0" borderId="0" xfId="3" applyNumberFormat="1" applyFont="1"/>
    <xf numFmtId="0" fontId="31" fillId="0" borderId="0" xfId="6" applyFont="1" applyAlignment="1">
      <alignment wrapText="1"/>
    </xf>
    <xf numFmtId="10" fontId="33" fillId="0" borderId="0" xfId="6" applyNumberFormat="1" applyFont="1"/>
    <xf numFmtId="9" fontId="28" fillId="0" borderId="0" xfId="6" applyNumberFormat="1"/>
    <xf numFmtId="170" fontId="29" fillId="0" borderId="33" xfId="6" applyNumberFormat="1" applyFont="1" applyBorder="1"/>
    <xf numFmtId="170" fontId="49" fillId="33" borderId="0" xfId="6" applyNumberFormat="1" applyFont="1" applyFill="1"/>
    <xf numFmtId="170" fontId="49" fillId="33" borderId="33" xfId="6" applyNumberFormat="1" applyFont="1" applyFill="1" applyBorder="1"/>
    <xf numFmtId="170" fontId="49" fillId="0" borderId="33" xfId="6" applyNumberFormat="1" applyFont="1" applyBorder="1"/>
    <xf numFmtId="170" fontId="49" fillId="0" borderId="0" xfId="6" applyNumberFormat="1" applyFont="1"/>
    <xf numFmtId="0" fontId="0" fillId="0" borderId="15"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15" xfId="0" applyBorder="1" applyAlignment="1">
      <alignment horizontal="center" wrapText="1"/>
    </xf>
    <xf numFmtId="0" fontId="0" fillId="0" borderId="0" xfId="0" applyBorder="1" applyAlignment="1">
      <alignment horizontal="center" wrapText="1"/>
    </xf>
    <xf numFmtId="0" fontId="0" fillId="0" borderId="16" xfId="0" applyBorder="1" applyAlignment="1">
      <alignment horizontal="center" wrapText="1"/>
    </xf>
    <xf numFmtId="0" fontId="3" fillId="0" borderId="15" xfId="0" applyFont="1" applyBorder="1" applyAlignment="1">
      <alignment horizontal="center" wrapText="1"/>
    </xf>
    <xf numFmtId="0" fontId="3" fillId="0" borderId="0" xfId="0" applyFont="1" applyBorder="1" applyAlignment="1">
      <alignment horizontal="center" wrapText="1"/>
    </xf>
    <xf numFmtId="0" fontId="3" fillId="0" borderId="16" xfId="0" applyFont="1" applyBorder="1" applyAlignment="1">
      <alignment horizontal="center" wrapText="1"/>
    </xf>
    <xf numFmtId="0" fontId="5" fillId="0" borderId="15" xfId="2" applyBorder="1" applyAlignment="1">
      <alignment horizontal="center" wrapText="1"/>
    </xf>
    <xf numFmtId="0" fontId="5" fillId="0" borderId="0" xfId="2" applyBorder="1" applyAlignment="1">
      <alignment horizontal="center" wrapText="1"/>
    </xf>
    <xf numFmtId="0" fontId="5" fillId="0" borderId="16" xfId="2" applyBorder="1" applyAlignment="1">
      <alignment horizontal="center"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4" borderId="15" xfId="0" applyFill="1" applyBorder="1" applyAlignment="1">
      <alignment horizontal="left" vertical="top" wrapText="1"/>
    </xf>
    <xf numFmtId="0" fontId="0" fillId="4" borderId="0" xfId="0" applyFill="1" applyBorder="1" applyAlignment="1">
      <alignment horizontal="left" vertical="top" wrapText="1"/>
    </xf>
    <xf numFmtId="0" fontId="0" fillId="4" borderId="16" xfId="0" applyFill="1" applyBorder="1" applyAlignment="1">
      <alignment horizontal="left" vertical="top" wrapText="1"/>
    </xf>
    <xf numFmtId="0" fontId="2" fillId="0" borderId="15" xfId="0" applyFont="1" applyBorder="1" applyAlignment="1">
      <alignment horizontal="center" wrapText="1"/>
    </xf>
    <xf numFmtId="0" fontId="2" fillId="0" borderId="0" xfId="0" applyFont="1" applyBorder="1" applyAlignment="1">
      <alignment horizontal="center" wrapText="1"/>
    </xf>
    <xf numFmtId="0" fontId="2" fillId="0" borderId="16" xfId="0" applyFont="1" applyBorder="1" applyAlignment="1">
      <alignment horizontal="center"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0" fillId="4" borderId="19" xfId="0" applyFill="1" applyBorder="1" applyAlignment="1">
      <alignment horizontal="left" vertical="top" wrapText="1"/>
    </xf>
    <xf numFmtId="169" fontId="22" fillId="12" borderId="7" xfId="4" applyNumberFormat="1" applyFont="1" applyFill="1" applyBorder="1" applyAlignment="1">
      <alignment horizontal="left" wrapText="1"/>
    </xf>
    <xf numFmtId="0" fontId="11" fillId="13" borderId="3" xfId="4" applyFont="1" applyFill="1" applyBorder="1" applyAlignment="1">
      <alignment horizontal="left" wrapText="1"/>
    </xf>
    <xf numFmtId="0" fontId="11" fillId="13" borderId="4" xfId="4" applyFont="1" applyFill="1" applyBorder="1" applyAlignment="1">
      <alignment horizontal="left" wrapText="1"/>
    </xf>
    <xf numFmtId="0" fontId="11" fillId="5" borderId="3" xfId="4" applyFont="1" applyFill="1" applyBorder="1" applyAlignment="1">
      <alignment horizontal="left" vertical="top" wrapText="1"/>
    </xf>
    <xf numFmtId="0" fontId="11" fillId="5" borderId="4" xfId="4" applyFont="1" applyFill="1" applyBorder="1" applyAlignment="1">
      <alignment horizontal="left" vertical="top" wrapText="1"/>
    </xf>
    <xf numFmtId="43" fontId="28" fillId="0" borderId="0" xfId="6" applyNumberFormat="1" applyAlignment="1">
      <alignment horizontal="left" wrapText="1"/>
    </xf>
    <xf numFmtId="0" fontId="31" fillId="0" borderId="0" xfId="6" applyFont="1" applyAlignment="1">
      <alignment horizontal="left" wrapText="1"/>
    </xf>
    <xf numFmtId="1" fontId="31" fillId="31" borderId="7" xfId="6" applyNumberFormat="1" applyFont="1" applyFill="1" applyBorder="1" applyAlignment="1">
      <alignment horizontal="left" wrapText="1"/>
    </xf>
    <xf numFmtId="0" fontId="50" fillId="0" borderId="0" xfId="6" applyFont="1" applyAlignment="1">
      <alignment wrapText="1"/>
    </xf>
    <xf numFmtId="43" fontId="50" fillId="0" borderId="0" xfId="6" applyNumberFormat="1" applyFont="1"/>
    <xf numFmtId="0" fontId="50" fillId="0" borderId="0" xfId="6" applyFont="1"/>
    <xf numFmtId="0" fontId="28" fillId="0" borderId="0" xfId="6" applyBorder="1"/>
    <xf numFmtId="0" fontId="28" fillId="0" borderId="37" xfId="6" applyBorder="1"/>
    <xf numFmtId="9" fontId="28" fillId="0" borderId="37" xfId="3" applyFont="1" applyBorder="1"/>
    <xf numFmtId="9" fontId="28" fillId="0" borderId="0" xfId="3" applyFont="1" applyBorder="1"/>
    <xf numFmtId="9" fontId="0" fillId="0" borderId="0" xfId="9" applyFont="1" applyAlignment="1">
      <alignment wrapText="1"/>
    </xf>
    <xf numFmtId="0" fontId="28" fillId="0" borderId="3" xfId="6" applyBorder="1"/>
    <xf numFmtId="0" fontId="28" fillId="0" borderId="4" xfId="6" applyBorder="1"/>
    <xf numFmtId="170" fontId="28" fillId="0" borderId="5" xfId="6" applyNumberFormat="1" applyBorder="1"/>
    <xf numFmtId="0" fontId="28" fillId="0" borderId="6" xfId="6" applyBorder="1"/>
    <xf numFmtId="9" fontId="28" fillId="0" borderId="8" xfId="3" applyFont="1" applyBorder="1"/>
  </cellXfs>
  <cellStyles count="10">
    <cellStyle name="Comma" xfId="1" builtinId="3"/>
    <cellStyle name="Comma 2" xfId="7" xr:uid="{E7CEDF1D-2DEB-47A0-8EDC-73C557927FDC}"/>
    <cellStyle name="Hyperlink" xfId="2" builtinId="8"/>
    <cellStyle name="Hyperlink 2" xfId="5" xr:uid="{6084ED84-5214-4621-AE8E-36475C732C19}"/>
    <cellStyle name="Hyperlink 3" xfId="8" xr:uid="{67985393-8A18-40E0-B570-B57365A6FEA5}"/>
    <cellStyle name="Normal" xfId="0" builtinId="0"/>
    <cellStyle name="Normal 2" xfId="4" xr:uid="{DA5906B6-7C15-414D-8140-2C8C7CD4F61B}"/>
    <cellStyle name="Normal 3" xfId="6" xr:uid="{437B87AB-55DD-4A7C-9DC0-E4B04610C082}"/>
    <cellStyle name="Percent" xfId="3" builtinId="5"/>
    <cellStyle name="Percent 2" xfId="9" xr:uid="{5C264A32-B34D-4311-8AFA-802BC9AE7E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5</xdr:col>
      <xdr:colOff>546100</xdr:colOff>
      <xdr:row>63</xdr:row>
      <xdr:rowOff>101600</xdr:rowOff>
    </xdr:to>
    <xdr:pic>
      <xdr:nvPicPr>
        <xdr:cNvPr id="2" name="Picture 1" descr="page12image2546520384">
          <a:extLst>
            <a:ext uri="{FF2B5EF4-FFF2-40B4-BE49-F238E27FC236}">
              <a16:creationId xmlns:a16="http://schemas.microsoft.com/office/drawing/2014/main" id="{098A682E-01A7-4FCD-B93D-537B6BF98F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343400"/>
          <a:ext cx="5537200" cy="870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aren Luyckx" id="{10FDF81C-6CF7-4F70-B24D-7A1AB8A5E6EE}" userId="S::Karen@feedbackglobal.org::5a628dcd-8f7d-4c91-98c5-9cf7defd026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1-01-09T08:52:47.50" personId="{10FDF81C-6CF7-4F70-B24D-7A1AB8A5E6EE}" id="{0886DCD9-1807-4594-9654-9C72C1BA009F}">
    <text>I would not use these figures for Bar 1, they are just a cross-check. It is logical there is less fish mass when back-calculated this way because some fish have more FO, some only FM (eg blue whiting).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I37" dT="2020-12-16T15:43:04.06" personId="{10FDF81C-6CF7-4F70-B24D-7A1AB8A5E6EE}" id="{40605E29-7D5D-4C8C-AD68-60986FC54178}">
    <text>Assumed FM usage in salmon diets is reduced by half. See notes in line 50-52.</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topics/agricultural-and-biological-sciences/soybean-meal" TargetMode="External"/><Relationship Id="rId2" Type="http://schemas.openxmlformats.org/officeDocument/2006/relationships/hyperlink" Target="https://www.soymeal.org/wp-content/uploads/2018/04/soybean_meal_an_exceptional_protein_source.pdf" TargetMode="External"/><Relationship Id="rId1" Type="http://schemas.openxmlformats.org/officeDocument/2006/relationships/hyperlink" Target="https://eur02.safelinks.protection.outlook.com/?url=https%3A%2F%2Fwww.gov.scot%2Fpublications%2Fscottish-fish-farm-production-survey-2019%2Fpages%2F5%2F&amp;data=04%7C01%7Cjames.robinson%40lancaster.ac.uk%7Ccc832cfff46e4115011208d887c7319d%7C9c9bcd11977a4e9ca9a0bc734090164a%7C0%7C0%7C637408637332047239%7CUnknown%7CTWFpbGZsb3d8eyJWIjoiMC4wLjAwMDAiLCJQIjoiV2luMzIiLCJBTiI6Ik1haWwiLCJXVCI6Mn0%3D%7C1000&amp;sdata=zqkoL%2B0dFGRXgT%2BLAeA8ETtVlDpujxvL%2Fq9oxfa4ElA%3D&amp;reserved=0" TargetMode="External"/><Relationship Id="rId6" Type="http://schemas.openxmlformats.org/officeDocument/2006/relationships/printerSettings" Target="../printerSettings/printerSettings1.bin"/><Relationship Id="rId5" Type="http://schemas.openxmlformats.org/officeDocument/2006/relationships/hyperlink" Target="http://www.fao.org/3/ba0002e/ba0002e.pdf" TargetMode="External"/><Relationship Id="rId4" Type="http://schemas.openxmlformats.org/officeDocument/2006/relationships/hyperlink" Target="https://www.iffo.com/fish-fish-out-fifo-ratios-conversion-wild-fee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ssets.publishing.service.gov.uk/government/uploads/system/uploads/attachment_data/file/537616/SACN_Vitamin_D_and_Health_report.pdf" TargetMode="External"/><Relationship Id="rId13" Type="http://schemas.openxmlformats.org/officeDocument/2006/relationships/hyperlink" Target="https://www.issfal.org/assets/globalrecommendationssummary19nov2014landscape_-3-.pdf" TargetMode="External"/><Relationship Id="rId3" Type="http://schemas.openxmlformats.org/officeDocument/2006/relationships/hyperlink" Target="https://www.nutrition.org.uk/attachments/article/261/Nutrition%20Requirements_Revised%20August%202019.pdf" TargetMode="External"/><Relationship Id="rId7" Type="http://schemas.openxmlformats.org/officeDocument/2006/relationships/hyperlink" Target="https://assets.publishing.service.gov.uk/government/uploads/system/uploads/attachment_data/file/537616/SACN_Vitamin_D_and_Health_report.pdf" TargetMode="External"/><Relationship Id="rId12" Type="http://schemas.openxmlformats.org/officeDocument/2006/relationships/hyperlink" Target="https://www.issfal.org/assets/globalrecommendationssummary19nov2014landscape_-3-.pdf" TargetMode="External"/><Relationship Id="rId2" Type="http://schemas.openxmlformats.org/officeDocument/2006/relationships/hyperlink" Target="https://www.nutrition.org.uk/attachments/article/261/Nutrition%20Requirements_Revised%20August%202019.pdf" TargetMode="External"/><Relationship Id="rId1" Type="http://schemas.openxmlformats.org/officeDocument/2006/relationships/hyperlink" Target="https://www.nutrition.org.uk/attachments/article/261/Nutrition%20Requirements_Revised%20August%202019.pdf" TargetMode="External"/><Relationship Id="rId6" Type="http://schemas.openxmlformats.org/officeDocument/2006/relationships/hyperlink" Target="https://www.nutrition.org.uk/attachments/article/261/Nutrition%20Requirements_Revised%20August%202019.pdf" TargetMode="External"/><Relationship Id="rId11" Type="http://schemas.openxmlformats.org/officeDocument/2006/relationships/hyperlink" Target="https://www.issfal.org/assets/globalrecommendationssummary19nov2014landscape_-3-.pdf" TargetMode="External"/><Relationship Id="rId5" Type="http://schemas.openxmlformats.org/officeDocument/2006/relationships/hyperlink" Target="https://www.nutrition.org.uk/attachments/article/261/Nutrition%20Requirements_Revised%20August%202019.pdf" TargetMode="External"/><Relationship Id="rId10" Type="http://schemas.openxmlformats.org/officeDocument/2006/relationships/hyperlink" Target="https://www.issfal.org/assets/globalrecommendationssummary19nov2014landscape_-3-.pdf" TargetMode="External"/><Relationship Id="rId4" Type="http://schemas.openxmlformats.org/officeDocument/2006/relationships/hyperlink" Target="https://www.nutrition.org.uk/attachments/article/261/Nutrition%20Requirements_Revised%20August%202019.pdf" TargetMode="External"/><Relationship Id="rId9" Type="http://schemas.openxmlformats.org/officeDocument/2006/relationships/hyperlink" Target="https://www.issfal.org/assets/globalrecommendationssummary19nov2014landscape_-3-.pdf"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rgill.com/doc/1432142322239/cargill-aqua-nutrition-sustainability-report.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eafish.org/document/?id=1b08b6d5-75d9-4179-9094-840195ceee4b" TargetMode="External"/><Relationship Id="rId3" Type="http://schemas.openxmlformats.org/officeDocument/2006/relationships/hyperlink" Target="https://www.iffo.com/fish-fish-out-fifo-ratios-conversion-wild-feed" TargetMode="External"/><Relationship Id="rId7" Type="http://schemas.openxmlformats.org/officeDocument/2006/relationships/hyperlink" Target="https://www.seafish.org/document/?id=1b08b6d5-75d9-4179-9094-840195ceee4b" TargetMode="External"/><Relationship Id="rId2" Type="http://schemas.openxmlformats.org/officeDocument/2006/relationships/hyperlink" Target="https://www.iffo.com/fish-fish-out-fifo-ratios-conversion-wild-feed" TargetMode="External"/><Relationship Id="rId1" Type="http://schemas.openxmlformats.org/officeDocument/2006/relationships/hyperlink" Target="https://www.iffo.com/fish-fish-out-fifo-ratios-conversion-wild-feed" TargetMode="External"/><Relationship Id="rId6" Type="http://schemas.openxmlformats.org/officeDocument/2006/relationships/hyperlink" Target="https://www.seafish.org/document/?id=1b08b6d5-75d9-4179-9094-840195ceee4b" TargetMode="External"/><Relationship Id="rId5" Type="http://schemas.openxmlformats.org/officeDocument/2006/relationships/hyperlink" Target="https://www.seafish.org/document/?id=1b08b6d5-75d9-4179-9094-840195ceee4b" TargetMode="External"/><Relationship Id="rId10" Type="http://schemas.openxmlformats.org/officeDocument/2006/relationships/hyperlink" Target="https://www.iffo.com/fish-fish-out-fifo-ratios-conversion-wild-feed" TargetMode="External"/><Relationship Id="rId4" Type="http://schemas.openxmlformats.org/officeDocument/2006/relationships/hyperlink" Target="https://www.iffo.com/fish-fish-out-fifo-ratios-conversion-wild-feed" TargetMode="External"/><Relationship Id="rId9" Type="http://schemas.openxmlformats.org/officeDocument/2006/relationships/hyperlink" Target="https://www.iffo.com/fish-fish-out-fifo-ratios-conversion-wild-fee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13" Type="http://schemas.openxmlformats.org/officeDocument/2006/relationships/hyperlink" Target="https://www.gov.uk/government/publications/composition-of-foods-integrated-dataset-cofid" TargetMode="External"/><Relationship Id="rId18" Type="http://schemas.openxmlformats.org/officeDocument/2006/relationships/hyperlink" Target="https://seafood.oregonstate.edu/sites/agscid7/files/snic/omega-3-content-in-fish.pdf" TargetMode="External"/><Relationship Id="rId3" Type="http://schemas.openxmlformats.org/officeDocument/2006/relationships/hyperlink" Target="https://www.gov.uk/government/publications/nutrient-analysis-of-fish" TargetMode="External"/><Relationship Id="rId21"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12" Type="http://schemas.openxmlformats.org/officeDocument/2006/relationships/hyperlink" Target="https://www.gov.uk/government/publications/composition-of-foods-integrated-dataset-cofid" TargetMode="External"/><Relationship Id="rId17" Type="http://schemas.openxmlformats.org/officeDocument/2006/relationships/hyperlink" Target="https://www.gov.uk/government/publications/nutrient-analysis-of-fish" TargetMode="External"/><Relationship Id="rId2" Type="http://schemas.openxmlformats.org/officeDocument/2006/relationships/hyperlink" Target="https://www.gov.uk/government/publications/nutrient-analysis-of-fish" TargetMode="External"/><Relationship Id="rId16" Type="http://schemas.openxmlformats.org/officeDocument/2006/relationships/hyperlink" Target="https://www.gov.uk/government/publications/nutrient-analysis-of-fish" TargetMode="External"/><Relationship Id="rId20" Type="http://schemas.openxmlformats.org/officeDocument/2006/relationships/hyperlink" Target="https://fdc.nal.usda.gov/fdc-app.html"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11" Type="http://schemas.openxmlformats.org/officeDocument/2006/relationships/hyperlink" Target="https://www.gov.uk/government/publications/composition-of-foods-integrated-dataset-cofid" TargetMode="External"/><Relationship Id="rId5" Type="http://schemas.openxmlformats.org/officeDocument/2006/relationships/hyperlink" Target="https://www.gov.uk/government/publications/nutrient-analysis-of-fish" TargetMode="External"/><Relationship Id="rId15" Type="http://schemas.openxmlformats.org/officeDocument/2006/relationships/hyperlink" Target="https://seafood.oregonstate.edu/sites/agscid7/files/snic/omega-3-content-in-fish.pdf" TargetMode="External"/><Relationship Id="rId23" Type="http://schemas.openxmlformats.org/officeDocument/2006/relationships/comments" Target="../comments1.xml"/><Relationship Id="rId10" Type="http://schemas.openxmlformats.org/officeDocument/2006/relationships/hyperlink" Target="https://www.gov.uk/government/publications/composition-of-foods-integrated-dataset-cofid" TargetMode="External"/><Relationship Id="rId19" Type="http://schemas.openxmlformats.org/officeDocument/2006/relationships/hyperlink" Target="https://frida.fooddata.dk/food/1120?lang=en" TargetMode="External"/><Relationship Id="rId4" Type="http://schemas.openxmlformats.org/officeDocument/2006/relationships/hyperlink" Target="https://www.gov.uk/government/publications/nutrient-analysis-of-fish" TargetMode="External"/><Relationship Id="rId9" Type="http://schemas.openxmlformats.org/officeDocument/2006/relationships/hyperlink" Target="https://www.gov.uk/government/publications/composition-of-foods-integrated-dataset-cofid" TargetMode="External"/><Relationship Id="rId14" Type="http://schemas.openxmlformats.org/officeDocument/2006/relationships/hyperlink" Target="https://www.gov.uk/government/publications/composition-of-foods-integrated-dataset-cofid" TargetMode="External"/><Relationship Id="rId2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seafish.org/document?id=1b08b6d5-75d9-4179-9094-840195ceee4b" TargetMode="External"/><Relationship Id="rId7" Type="http://schemas.microsoft.com/office/2017/10/relationships/threadedComment" Target="../threadedComments/threadedComment1.xml"/><Relationship Id="rId2" Type="http://schemas.openxmlformats.org/officeDocument/2006/relationships/hyperlink" Target="https://www.seafish.org/document?id=1b08b6d5-75d9-4179-9094-840195ceee4b" TargetMode="External"/><Relationship Id="rId1" Type="http://schemas.openxmlformats.org/officeDocument/2006/relationships/hyperlink" Target="https://www.seafish.org/document?id=1b08b6d5-75d9-4179-9094-840195ceee4b"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2" Type="http://schemas.openxmlformats.org/officeDocument/2006/relationships/hyperlink" Target="https://www.seafish.org/document?id=1b08b6d5-75d9-4179-9094-840195ceee4b" TargetMode="External"/><Relationship Id="rId1" Type="http://schemas.openxmlformats.org/officeDocument/2006/relationships/hyperlink" Target="https://www.seafish.org/document?id=1b08b6d5-75d9-4179-9094-840195ceee4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D817-878A-4FF7-9DCF-833DBFB5642C}">
  <dimension ref="A1:F69"/>
  <sheetViews>
    <sheetView tabSelected="1" workbookViewId="0">
      <pane xSplit="1" ySplit="2" topLeftCell="B58" activePane="bottomRight" state="frozen"/>
      <selection pane="topRight" activeCell="B1" sqref="B1"/>
      <selection pane="bottomLeft" activeCell="A3" sqref="A3"/>
      <selection pane="bottomRight" activeCell="B67" sqref="B67"/>
    </sheetView>
  </sheetViews>
  <sheetFormatPr defaultRowHeight="15" x14ac:dyDescent="0.25"/>
  <cols>
    <col min="2" max="2" width="79.85546875" customWidth="1"/>
    <col min="3" max="3" width="41" customWidth="1"/>
  </cols>
  <sheetData>
    <row r="1" spans="1:4" x14ac:dyDescent="0.25">
      <c r="A1" t="s">
        <v>93</v>
      </c>
      <c r="C1" t="s">
        <v>94</v>
      </c>
    </row>
    <row r="2" spans="1:4" s="54" customFormat="1" ht="15.75" x14ac:dyDescent="0.25">
      <c r="B2" s="54" t="s">
        <v>96</v>
      </c>
      <c r="C2" s="54" t="s">
        <v>102</v>
      </c>
      <c r="D2" s="54" t="s">
        <v>36</v>
      </c>
    </row>
    <row r="3" spans="1:4" s="50" customFormat="1" x14ac:dyDescent="0.25">
      <c r="A3" s="50" t="s">
        <v>95</v>
      </c>
    </row>
    <row r="4" spans="1:4" ht="30" x14ac:dyDescent="0.25">
      <c r="B4" s="49" t="s">
        <v>99</v>
      </c>
      <c r="C4" t="s">
        <v>101</v>
      </c>
      <c r="D4" t="s">
        <v>100</v>
      </c>
    </row>
    <row r="5" spans="1:4" x14ac:dyDescent="0.25">
      <c r="B5" s="49"/>
      <c r="C5" t="s">
        <v>97</v>
      </c>
      <c r="D5" s="48" t="s">
        <v>98</v>
      </c>
    </row>
    <row r="6" spans="1:4" s="50" customFormat="1" x14ac:dyDescent="0.25">
      <c r="A6" s="50" t="s">
        <v>103</v>
      </c>
      <c r="B6" s="51"/>
    </row>
    <row r="7" spans="1:4" ht="30" x14ac:dyDescent="0.25">
      <c r="B7" s="49" t="s">
        <v>104</v>
      </c>
      <c r="C7" t="s">
        <v>101</v>
      </c>
      <c r="D7" t="s">
        <v>100</v>
      </c>
    </row>
    <row r="8" spans="1:4" ht="30" x14ac:dyDescent="0.25">
      <c r="B8" s="144" t="s">
        <v>229</v>
      </c>
      <c r="C8" t="s">
        <v>105</v>
      </c>
      <c r="D8" s="2" t="s">
        <v>37</v>
      </c>
    </row>
    <row r="9" spans="1:4" x14ac:dyDescent="0.25">
      <c r="A9" s="52"/>
      <c r="B9" s="53" t="s">
        <v>108</v>
      </c>
      <c r="C9" s="52" t="s">
        <v>106</v>
      </c>
      <c r="D9" t="s">
        <v>107</v>
      </c>
    </row>
    <row r="10" spans="1:4" ht="30" x14ac:dyDescent="0.25">
      <c r="B10" s="49" t="s">
        <v>117</v>
      </c>
      <c r="C10" t="s">
        <v>109</v>
      </c>
      <c r="D10" t="s">
        <v>37</v>
      </c>
    </row>
    <row r="11" spans="1:4" x14ac:dyDescent="0.25">
      <c r="C11" t="s">
        <v>110</v>
      </c>
      <c r="D11" t="s">
        <v>111</v>
      </c>
    </row>
    <row r="12" spans="1:4" x14ac:dyDescent="0.25">
      <c r="C12" t="s">
        <v>112</v>
      </c>
      <c r="D12" t="s">
        <v>113</v>
      </c>
    </row>
    <row r="13" spans="1:4" x14ac:dyDescent="0.25">
      <c r="C13" t="s">
        <v>114</v>
      </c>
      <c r="D13" t="s">
        <v>115</v>
      </c>
    </row>
    <row r="15" spans="1:4" s="50" customFormat="1" x14ac:dyDescent="0.25">
      <c r="A15" s="50" t="s">
        <v>116</v>
      </c>
    </row>
    <row r="16" spans="1:4" x14ac:dyDescent="0.25">
      <c r="B16" t="s">
        <v>120</v>
      </c>
    </row>
    <row r="17" spans="1:4" ht="30" x14ac:dyDescent="0.25">
      <c r="B17" s="49" t="s">
        <v>118</v>
      </c>
      <c r="C17" t="s">
        <v>119</v>
      </c>
      <c r="D17" t="s">
        <v>121</v>
      </c>
    </row>
    <row r="18" spans="1:4" ht="45" x14ac:dyDescent="0.25">
      <c r="B18" s="49" t="s">
        <v>130</v>
      </c>
      <c r="C18" t="s">
        <v>122</v>
      </c>
      <c r="D18" t="s">
        <v>123</v>
      </c>
    </row>
    <row r="19" spans="1:4" ht="30" x14ac:dyDescent="0.25">
      <c r="B19" s="49" t="s">
        <v>131</v>
      </c>
      <c r="C19" t="s">
        <v>125</v>
      </c>
      <c r="D19" t="s">
        <v>124</v>
      </c>
    </row>
    <row r="20" spans="1:4" x14ac:dyDescent="0.25">
      <c r="B20" s="49"/>
      <c r="C20" t="s">
        <v>126</v>
      </c>
      <c r="D20" t="s">
        <v>127</v>
      </c>
    </row>
    <row r="21" spans="1:4" x14ac:dyDescent="0.25">
      <c r="B21" s="49"/>
      <c r="C21" t="s">
        <v>128</v>
      </c>
      <c r="D21" t="s">
        <v>129</v>
      </c>
    </row>
    <row r="22" spans="1:4" x14ac:dyDescent="0.25">
      <c r="B22" s="49"/>
    </row>
    <row r="23" spans="1:4" s="6" customFormat="1" x14ac:dyDescent="0.25">
      <c r="A23" s="6" t="s">
        <v>225</v>
      </c>
      <c r="B23" s="143"/>
    </row>
    <row r="24" spans="1:4" x14ac:dyDescent="0.25">
      <c r="B24" t="s">
        <v>226</v>
      </c>
    </row>
    <row r="25" spans="1:4" x14ac:dyDescent="0.25">
      <c r="B25" t="s">
        <v>227</v>
      </c>
    </row>
    <row r="27" spans="1:4" s="6" customFormat="1" x14ac:dyDescent="0.25">
      <c r="A27" s="6" t="s">
        <v>228</v>
      </c>
    </row>
    <row r="28" spans="1:4" ht="45" x14ac:dyDescent="0.25">
      <c r="B28" s="49" t="s">
        <v>230</v>
      </c>
    </row>
    <row r="29" spans="1:4" ht="60" x14ac:dyDescent="0.25">
      <c r="B29" s="49" t="s">
        <v>231</v>
      </c>
      <c r="C29" t="s">
        <v>232</v>
      </c>
    </row>
    <row r="30" spans="1:4" ht="45" x14ac:dyDescent="0.25">
      <c r="B30" s="49" t="s">
        <v>233</v>
      </c>
    </row>
    <row r="31" spans="1:4" x14ac:dyDescent="0.25">
      <c r="B31" s="49"/>
    </row>
    <row r="32" spans="1:4" s="10" customFormat="1" x14ac:dyDescent="0.25">
      <c r="A32" s="10" t="s">
        <v>234</v>
      </c>
      <c r="B32" s="145"/>
    </row>
    <row r="33" spans="1:6" ht="45" x14ac:dyDescent="0.25">
      <c r="B33" s="49" t="s">
        <v>235</v>
      </c>
    </row>
    <row r="34" spans="1:6" x14ac:dyDescent="0.25">
      <c r="B34" s="49"/>
    </row>
    <row r="35" spans="1:6" s="10" customFormat="1" x14ac:dyDescent="0.25">
      <c r="A35" s="10" t="s">
        <v>236</v>
      </c>
      <c r="B35" s="145"/>
    </row>
    <row r="36" spans="1:6" ht="60" x14ac:dyDescent="0.25">
      <c r="B36" s="49" t="s">
        <v>239</v>
      </c>
      <c r="C36" s="49" t="s">
        <v>237</v>
      </c>
      <c r="D36" t="s">
        <v>238</v>
      </c>
    </row>
    <row r="37" spans="1:6" ht="69" customHeight="1" x14ac:dyDescent="0.25">
      <c r="B37" s="49" t="s">
        <v>240</v>
      </c>
    </row>
    <row r="38" spans="1:6" ht="105" x14ac:dyDescent="0.25">
      <c r="B38" s="49" t="s">
        <v>241</v>
      </c>
    </row>
    <row r="39" spans="1:6" s="10" customFormat="1" x14ac:dyDescent="0.25">
      <c r="A39" s="10" t="s">
        <v>245</v>
      </c>
      <c r="B39" s="145"/>
    </row>
    <row r="40" spans="1:6" ht="90" x14ac:dyDescent="0.25">
      <c r="B40" s="49" t="s">
        <v>243</v>
      </c>
      <c r="C40" t="s">
        <v>242</v>
      </c>
    </row>
    <row r="41" spans="1:6" ht="120" x14ac:dyDescent="0.25">
      <c r="B41" s="49" t="s">
        <v>244</v>
      </c>
    </row>
    <row r="42" spans="1:6" x14ac:dyDescent="0.25">
      <c r="B42" s="49"/>
    </row>
    <row r="43" spans="1:6" s="10" customFormat="1" x14ac:dyDescent="0.25">
      <c r="A43" s="10" t="s">
        <v>246</v>
      </c>
      <c r="B43" s="145"/>
    </row>
    <row r="44" spans="1:6" x14ac:dyDescent="0.25">
      <c r="B44" s="49" t="s">
        <v>247</v>
      </c>
    </row>
    <row r="45" spans="1:6" x14ac:dyDescent="0.25">
      <c r="B45" s="49"/>
    </row>
    <row r="46" spans="1:6" s="8" customFormat="1" x14ac:dyDescent="0.25">
      <c r="A46" s="8" t="s">
        <v>248</v>
      </c>
      <c r="B46" s="146"/>
    </row>
    <row r="47" spans="1:6" ht="135" x14ac:dyDescent="0.25">
      <c r="A47" t="s">
        <v>254</v>
      </c>
      <c r="B47" s="49" t="s">
        <v>481</v>
      </c>
      <c r="C47" s="49" t="s">
        <v>479</v>
      </c>
      <c r="D47" t="s">
        <v>480</v>
      </c>
      <c r="F47" t="s">
        <v>249</v>
      </c>
    </row>
    <row r="48" spans="1:6" x14ac:dyDescent="0.25">
      <c r="B48" s="49"/>
      <c r="C48" s="49" t="s">
        <v>250</v>
      </c>
      <c r="D48" t="s">
        <v>251</v>
      </c>
      <c r="E48" t="s">
        <v>37</v>
      </c>
    </row>
    <row r="49" spans="1:5" ht="45" x14ac:dyDescent="0.25">
      <c r="A49" t="s">
        <v>255</v>
      </c>
      <c r="B49" s="49" t="s">
        <v>482</v>
      </c>
      <c r="C49" s="49" t="s">
        <v>486</v>
      </c>
      <c r="D49" s="147" t="s">
        <v>252</v>
      </c>
    </row>
    <row r="50" spans="1:5" ht="60" x14ac:dyDescent="0.25">
      <c r="A50" t="s">
        <v>256</v>
      </c>
      <c r="B50" s="49" t="s">
        <v>483</v>
      </c>
      <c r="C50" s="49" t="s">
        <v>484</v>
      </c>
      <c r="D50" t="s">
        <v>485</v>
      </c>
    </row>
    <row r="51" spans="1:5" ht="45" x14ac:dyDescent="0.25">
      <c r="B51" s="49"/>
      <c r="C51" s="49" t="s">
        <v>487</v>
      </c>
      <c r="D51" s="2" t="s">
        <v>259</v>
      </c>
    </row>
    <row r="52" spans="1:5" ht="30" x14ac:dyDescent="0.25">
      <c r="B52" s="49" t="s">
        <v>257</v>
      </c>
      <c r="C52" s="49"/>
      <c r="D52" s="147" t="s">
        <v>252</v>
      </c>
    </row>
    <row r="53" spans="1:5" ht="30" x14ac:dyDescent="0.25">
      <c r="B53" s="49" t="s">
        <v>258</v>
      </c>
      <c r="C53" s="49"/>
      <c r="D53" t="s">
        <v>259</v>
      </c>
    </row>
    <row r="54" spans="1:5" ht="32.25" customHeight="1" x14ac:dyDescent="0.25">
      <c r="B54" s="49" t="s">
        <v>260</v>
      </c>
      <c r="C54" s="49"/>
      <c r="D54" t="s">
        <v>259</v>
      </c>
    </row>
    <row r="55" spans="1:5" ht="45" x14ac:dyDescent="0.25">
      <c r="B55" s="49" t="s">
        <v>262</v>
      </c>
      <c r="C55" s="49"/>
    </row>
    <row r="56" spans="1:5" s="8" customFormat="1" x14ac:dyDescent="0.25">
      <c r="A56" s="8" t="s">
        <v>261</v>
      </c>
      <c r="B56" s="146"/>
      <c r="C56" s="146"/>
    </row>
    <row r="57" spans="1:5" ht="180" x14ac:dyDescent="0.25">
      <c r="A57" t="s">
        <v>254</v>
      </c>
      <c r="B57" s="49" t="s">
        <v>488</v>
      </c>
      <c r="C57" s="49" t="s">
        <v>421</v>
      </c>
    </row>
    <row r="58" spans="1:5" ht="120" x14ac:dyDescent="0.25">
      <c r="A58" t="s">
        <v>263</v>
      </c>
      <c r="B58" s="144" t="s">
        <v>424</v>
      </c>
      <c r="C58" s="144" t="s">
        <v>425</v>
      </c>
    </row>
    <row r="59" spans="1:5" ht="210" x14ac:dyDescent="0.25">
      <c r="A59" t="s">
        <v>422</v>
      </c>
      <c r="B59" s="49" t="s">
        <v>489</v>
      </c>
      <c r="C59" s="12" t="s">
        <v>426</v>
      </c>
    </row>
    <row r="60" spans="1:5" ht="135" x14ac:dyDescent="0.25">
      <c r="A60" t="s">
        <v>256</v>
      </c>
      <c r="B60" s="144" t="s">
        <v>427</v>
      </c>
    </row>
    <row r="61" spans="1:5" x14ac:dyDescent="0.25">
      <c r="B61" s="144" t="s">
        <v>428</v>
      </c>
    </row>
    <row r="62" spans="1:5" ht="45" x14ac:dyDescent="0.25">
      <c r="B62" s="144" t="s">
        <v>429</v>
      </c>
      <c r="C62" s="49" t="s">
        <v>430</v>
      </c>
      <c r="D62" s="149" t="s">
        <v>253</v>
      </c>
      <c r="E62" s="149"/>
    </row>
    <row r="63" spans="1:5" x14ac:dyDescent="0.25">
      <c r="B63" s="12"/>
      <c r="D63" s="149" t="s">
        <v>408</v>
      </c>
      <c r="E63" s="149" t="s">
        <v>409</v>
      </c>
    </row>
    <row r="64" spans="1:5" ht="60" x14ac:dyDescent="0.25">
      <c r="B64" s="144" t="s">
        <v>437</v>
      </c>
    </row>
    <row r="65" spans="2:4" ht="45" x14ac:dyDescent="0.25">
      <c r="B65" s="144" t="s">
        <v>431</v>
      </c>
    </row>
    <row r="66" spans="2:4" ht="135" x14ac:dyDescent="0.25">
      <c r="B66" s="144" t="s">
        <v>490</v>
      </c>
    </row>
    <row r="67" spans="2:4" x14ac:dyDescent="0.25">
      <c r="B67" s="144" t="s">
        <v>432</v>
      </c>
      <c r="C67" t="s">
        <v>433</v>
      </c>
      <c r="D67" s="2" t="s">
        <v>434</v>
      </c>
    </row>
    <row r="68" spans="2:4" x14ac:dyDescent="0.25">
      <c r="C68" t="s">
        <v>435</v>
      </c>
      <c r="D68" s="2" t="s">
        <v>436</v>
      </c>
    </row>
    <row r="69" spans="2:4" x14ac:dyDescent="0.25">
      <c r="C69" t="s">
        <v>443</v>
      </c>
      <c r="D69" t="s">
        <v>444</v>
      </c>
    </row>
  </sheetData>
  <hyperlinks>
    <hyperlink ref="D5" r:id="rId1" display="https://eur02.safelinks.protection.outlook.com/?url=https%3A%2F%2Fwww.gov.scot%2Fpublications%2Fscottish-fish-farm-production-survey-2019%2Fpages%2F5%2F&amp;data=04%7C01%7Cjames.robinson%40lancaster.ac.uk%7Ccc832cfff46e4115011208d887c7319d%7C9c9bcd11977a4e9ca9a0bc734090164a%7C0%7C0%7C637408637332047239%7CUnknown%7CTWFpbGZsb3d8eyJWIjoiMC4wLjAwMDAiLCJQIjoiV2luMzIiLCJBTiI6Ik1haWwiLCJXVCI6Mn0%3D%7C1000&amp;sdata=zqkoL%2B0dFGRXgT%2BLAeA8ETtVlDpujxvL%2Fq9oxfa4ElA%3D&amp;reserved=0" xr:uid="{270A9516-9C86-4D67-B5F1-A8B860DA74FC}"/>
    <hyperlink ref="D67" r:id="rId2" xr:uid="{B5BC11DB-6227-48A9-8175-6CB28832C4BE}"/>
    <hyperlink ref="D68" r:id="rId3" xr:uid="{2E291C9C-DFF7-4993-90FA-904EB29FD367}"/>
    <hyperlink ref="D8" r:id="rId4" xr:uid="{0A0502F1-F8F9-4D3A-8E9A-F0E9BD80D5BB}"/>
    <hyperlink ref="D51" r:id="rId5" xr:uid="{7EDC550F-A2F7-4F88-A04D-CDB696C974D8}"/>
  </hyperlinks>
  <pageMargins left="0.7" right="0.7" top="0.75" bottom="0.75" header="0.3" footer="0.3"/>
  <pageSetup orientation="portrait" verticalDpi="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7A7E-1644-48D8-A8EB-FED1CE62681E}">
  <dimension ref="A1:N19"/>
  <sheetViews>
    <sheetView topLeftCell="A10" zoomScale="104" workbookViewId="0">
      <selection activeCell="F9" sqref="F9"/>
    </sheetView>
  </sheetViews>
  <sheetFormatPr defaultColWidth="12.5703125" defaultRowHeight="15.75" x14ac:dyDescent="0.25"/>
  <cols>
    <col min="1" max="1" width="24.5703125" style="59" customWidth="1"/>
    <col min="2" max="16384" width="12.5703125" style="59"/>
  </cols>
  <sheetData>
    <row r="1" spans="1:14" s="65" customFormat="1" ht="42.95" customHeight="1" x14ac:dyDescent="0.25">
      <c r="A1" s="60" t="s">
        <v>133</v>
      </c>
      <c r="B1" s="61"/>
      <c r="C1" s="62" t="s">
        <v>135</v>
      </c>
      <c r="D1" s="62" t="s">
        <v>136</v>
      </c>
      <c r="E1" s="62" t="s">
        <v>137</v>
      </c>
      <c r="F1" s="62" t="s">
        <v>138</v>
      </c>
      <c r="G1" s="62" t="s">
        <v>139</v>
      </c>
      <c r="H1" s="61" t="s">
        <v>141</v>
      </c>
      <c r="I1" s="62" t="s">
        <v>142</v>
      </c>
      <c r="J1" s="62" t="s">
        <v>143</v>
      </c>
      <c r="K1" s="62" t="s">
        <v>144</v>
      </c>
      <c r="L1" s="62" t="s">
        <v>145</v>
      </c>
      <c r="M1" s="63" t="s">
        <v>146</v>
      </c>
      <c r="N1" s="64"/>
    </row>
    <row r="2" spans="1:14" x14ac:dyDescent="0.25">
      <c r="A2" s="59" t="s">
        <v>200</v>
      </c>
      <c r="C2" s="59">
        <v>700</v>
      </c>
      <c r="D2" s="59">
        <v>8.6999999999999993</v>
      </c>
      <c r="E2" s="59">
        <v>75</v>
      </c>
      <c r="F2" s="59">
        <v>9.5</v>
      </c>
      <c r="G2" s="59">
        <v>700</v>
      </c>
      <c r="H2" s="59">
        <v>10</v>
      </c>
      <c r="I2" s="59">
        <v>1.5</v>
      </c>
      <c r="M2" s="139" t="s">
        <v>201</v>
      </c>
      <c r="N2" s="139" t="s">
        <v>202</v>
      </c>
    </row>
    <row r="3" spans="1:14" x14ac:dyDescent="0.25">
      <c r="A3" s="59" t="s">
        <v>203</v>
      </c>
      <c r="C3" s="59">
        <v>700</v>
      </c>
      <c r="D3" s="59">
        <v>14.8</v>
      </c>
      <c r="E3" s="59">
        <v>60</v>
      </c>
      <c r="F3" s="59">
        <v>7</v>
      </c>
      <c r="G3" s="59">
        <v>600</v>
      </c>
      <c r="H3" s="59">
        <v>10</v>
      </c>
      <c r="I3" s="59">
        <v>1.5</v>
      </c>
      <c r="M3" s="139" t="s">
        <v>201</v>
      </c>
      <c r="N3" s="139" t="s">
        <v>202</v>
      </c>
    </row>
    <row r="4" spans="1:14" x14ac:dyDescent="0.25">
      <c r="A4" s="59" t="s">
        <v>204</v>
      </c>
      <c r="C4" s="59">
        <v>525</v>
      </c>
      <c r="D4" s="59">
        <v>6.7</v>
      </c>
      <c r="E4" s="59" t="s">
        <v>205</v>
      </c>
      <c r="F4" s="59">
        <v>7.3</v>
      </c>
      <c r="G4" s="59">
        <v>500</v>
      </c>
      <c r="H4" s="59" t="s">
        <v>205</v>
      </c>
      <c r="I4" s="59">
        <v>1.25</v>
      </c>
      <c r="M4" s="139" t="s">
        <v>201</v>
      </c>
    </row>
    <row r="5" spans="1:14" x14ac:dyDescent="0.25">
      <c r="A5" s="59" t="s">
        <v>206</v>
      </c>
      <c r="C5" s="59">
        <v>525</v>
      </c>
      <c r="D5" s="59">
        <v>11.4</v>
      </c>
      <c r="E5" s="59" t="s">
        <v>205</v>
      </c>
      <c r="F5" s="59">
        <v>5.5</v>
      </c>
      <c r="G5" s="59">
        <v>400</v>
      </c>
      <c r="H5" s="59" t="s">
        <v>205</v>
      </c>
      <c r="I5" s="59">
        <v>1.25</v>
      </c>
      <c r="M5" s="139" t="s">
        <v>201</v>
      </c>
    </row>
    <row r="6" spans="1:14" x14ac:dyDescent="0.25">
      <c r="A6" s="59" t="s">
        <v>207</v>
      </c>
      <c r="C6" s="59">
        <v>400</v>
      </c>
      <c r="D6" s="59">
        <v>4.7</v>
      </c>
      <c r="E6" s="59">
        <v>40</v>
      </c>
      <c r="F6" s="59">
        <v>5.5</v>
      </c>
      <c r="G6" s="59">
        <v>300</v>
      </c>
      <c r="H6" s="59" t="s">
        <v>205</v>
      </c>
      <c r="I6" s="59">
        <v>1</v>
      </c>
      <c r="M6" s="90" t="s">
        <v>201</v>
      </c>
    </row>
    <row r="7" spans="1:14" x14ac:dyDescent="0.25">
      <c r="A7" s="59" t="s">
        <v>208</v>
      </c>
      <c r="C7" s="59">
        <v>400</v>
      </c>
      <c r="D7" s="59">
        <v>8</v>
      </c>
      <c r="E7" s="59">
        <v>40</v>
      </c>
      <c r="F7" s="59">
        <v>4</v>
      </c>
      <c r="G7" s="59">
        <v>250</v>
      </c>
      <c r="H7" s="59" t="s">
        <v>205</v>
      </c>
      <c r="I7" s="59">
        <v>1</v>
      </c>
      <c r="M7" s="90" t="s">
        <v>201</v>
      </c>
    </row>
    <row r="8" spans="1:14" x14ac:dyDescent="0.25">
      <c r="A8" s="59" t="s">
        <v>209</v>
      </c>
      <c r="J8" s="59">
        <v>0.25</v>
      </c>
      <c r="M8" s="90" t="s">
        <v>210</v>
      </c>
      <c r="N8" s="59" t="s">
        <v>211</v>
      </c>
    </row>
    <row r="9" spans="1:14" x14ac:dyDescent="0.25">
      <c r="A9" s="59" t="s">
        <v>209</v>
      </c>
      <c r="J9" s="59">
        <v>0.5</v>
      </c>
      <c r="K9" s="59">
        <v>0.25</v>
      </c>
      <c r="L9" s="59">
        <v>0.25</v>
      </c>
      <c r="M9" s="90" t="s">
        <v>210</v>
      </c>
      <c r="N9" s="59" t="s">
        <v>212</v>
      </c>
    </row>
    <row r="10" spans="1:14" x14ac:dyDescent="0.25">
      <c r="A10" s="59" t="s">
        <v>209</v>
      </c>
      <c r="J10" s="59" t="s">
        <v>213</v>
      </c>
      <c r="M10" s="90" t="s">
        <v>210</v>
      </c>
      <c r="N10" s="59" t="s">
        <v>214</v>
      </c>
    </row>
    <row r="11" spans="1:14" x14ac:dyDescent="0.25">
      <c r="A11" s="59" t="s">
        <v>209</v>
      </c>
      <c r="J11" s="140">
        <v>0.45</v>
      </c>
      <c r="M11" s="90" t="s">
        <v>210</v>
      </c>
      <c r="N11" s="59" t="s">
        <v>215</v>
      </c>
    </row>
    <row r="12" spans="1:14" x14ac:dyDescent="0.25">
      <c r="A12" s="59" t="s">
        <v>209</v>
      </c>
      <c r="J12" s="140">
        <v>0.45</v>
      </c>
      <c r="M12" s="90" t="s">
        <v>210</v>
      </c>
      <c r="N12" s="59" t="s">
        <v>216</v>
      </c>
    </row>
    <row r="13" spans="1:14" s="140" customFormat="1" x14ac:dyDescent="0.25">
      <c r="A13" s="140" t="s">
        <v>217</v>
      </c>
      <c r="C13" s="140">
        <v>800</v>
      </c>
      <c r="D13" s="140">
        <v>14</v>
      </c>
      <c r="E13" s="140">
        <v>55</v>
      </c>
      <c r="F13" s="140">
        <v>10</v>
      </c>
      <c r="G13" s="140">
        <v>800</v>
      </c>
      <c r="H13" s="140">
        <v>5</v>
      </c>
      <c r="I13" s="140">
        <v>2.5</v>
      </c>
      <c r="M13" s="141" t="s">
        <v>218</v>
      </c>
      <c r="N13" s="140" t="s">
        <v>219</v>
      </c>
    </row>
    <row r="15" spans="1:14" x14ac:dyDescent="0.25">
      <c r="A15" s="142" t="s">
        <v>220</v>
      </c>
    </row>
    <row r="16" spans="1:14" x14ac:dyDescent="0.25">
      <c r="A16" s="59" t="s">
        <v>221</v>
      </c>
    </row>
    <row r="17" spans="1:1" x14ac:dyDescent="0.25">
      <c r="A17" s="59" t="s">
        <v>222</v>
      </c>
    </row>
    <row r="18" spans="1:1" x14ac:dyDescent="0.25">
      <c r="A18" s="59" t="s">
        <v>223</v>
      </c>
    </row>
    <row r="19" spans="1:1" x14ac:dyDescent="0.25">
      <c r="A19" s="59" t="s">
        <v>224</v>
      </c>
    </row>
  </sheetData>
  <hyperlinks>
    <hyperlink ref="M2" r:id="rId1" xr:uid="{865B8D0A-264B-4CA3-BEC6-F907CF595818}"/>
    <hyperlink ref="M3" r:id="rId2" xr:uid="{1A3DE44A-9C68-412E-9651-55EE6DBD5CE6}"/>
    <hyperlink ref="M4" r:id="rId3" xr:uid="{6E6C7A34-7DD4-46A6-896A-DBE6CF2607CF}"/>
    <hyperlink ref="M5" r:id="rId4" xr:uid="{FE6655A4-0FC6-4CC4-AB67-43DC79D440E4}"/>
    <hyperlink ref="M6" r:id="rId5" xr:uid="{FB6D6996-DEC0-43A2-A5C8-A86444D24C80}"/>
    <hyperlink ref="M7" r:id="rId6" xr:uid="{D83A5002-E132-4E97-8FED-AD5C41F07306}"/>
    <hyperlink ref="N2" r:id="rId7" xr:uid="{3A9F52A5-FE99-47EC-B753-1889F416C830}"/>
    <hyperlink ref="N3" r:id="rId8" xr:uid="{DE804571-A481-4223-9059-B521F2B27FA8}"/>
    <hyperlink ref="M8" r:id="rId9" location=":~:text=%28DHA%2BEPA%2BDPA%29%20%2F%20day%20adequate%20intake%20Boys%20%26%20Girls,125%20mg%20total%20LC%20n%E2%80%903%20%28DHA%2BEPA%2BDPA%29%20%2F%20day" xr:uid="{A86AF070-8CD8-4B47-9A9F-686038EF69F9}"/>
    <hyperlink ref="M9" r:id="rId10" location=":~:text=%28DHA%2BEPA%2BDPA%29%20%2F%20day%20adequate%20intake%20Boys%20%26%20Girls,125%20mg%20total%20LC%20n%E2%80%903%20%28DHA%2BEPA%2BDPA%29%20%2F%20day" xr:uid="{367376E9-1D12-4F61-9F10-3B4FEEE03B82}"/>
    <hyperlink ref="M10" r:id="rId11" location=":~:text=%28DHA%2BEPA%2BDPA%29%20%2F%20day%20adequate%20intake%20Boys%20%26%20Girls,125%20mg%20total%20LC%20n%E2%80%903%20%28DHA%2BEPA%2BDPA%29%20%2F%20day" xr:uid="{3A775C4F-DAB7-48C8-8531-AA29E5F41900}"/>
    <hyperlink ref="M11" r:id="rId12" location=":~:text=%28DHA%2BEPA%2BDPA%29%20%2F%20day%20adequate%20intake%20Boys%20%26%20Girls,125%20mg%20total%20LC%20n%E2%80%903%20%28DHA%2BEPA%2BDPA%29%20%2F%20day" xr:uid="{41CA56BC-C0C9-430A-8DB8-AC35F6F506B4}"/>
    <hyperlink ref="M12" r:id="rId13" location=":~:text=%28DHA%2BEPA%2BDPA%29%20%2F%20day%20adequate%20intake%20Boys%20%26%20Girls,125%20mg%20total%20LC%20n%E2%80%903%20%28DHA%2BEPA%2BDPA%29%20%2F%20day" xr:uid="{0C8DB887-3B3D-4B78-B6E8-376643E8895E}"/>
  </hyperlink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495D-8DD7-480A-8F18-CAD135503C12}">
  <dimension ref="A1:R77"/>
  <sheetViews>
    <sheetView workbookViewId="0">
      <pane xSplit="1" ySplit="3" topLeftCell="B43" activePane="bottomRight" state="frozen"/>
      <selection pane="topRight" activeCell="B1" sqref="B1"/>
      <selection pane="bottomLeft" activeCell="A5" sqref="A5"/>
      <selection pane="bottomRight" activeCell="M10" sqref="M10"/>
    </sheetView>
  </sheetViews>
  <sheetFormatPr defaultRowHeight="15" x14ac:dyDescent="0.25"/>
  <cols>
    <col min="1" max="1" width="23" customWidth="1"/>
    <col min="12" max="12" width="13.85546875" customWidth="1"/>
  </cols>
  <sheetData>
    <row r="1" spans="1:18" x14ac:dyDescent="0.25">
      <c r="A1" t="s">
        <v>0</v>
      </c>
    </row>
    <row r="2" spans="1:18" ht="15.75" thickBot="1" x14ac:dyDescent="0.3">
      <c r="A2" s="12" t="s">
        <v>67</v>
      </c>
    </row>
    <row r="3" spans="1:18" x14ac:dyDescent="0.25">
      <c r="A3" s="25" t="s">
        <v>91</v>
      </c>
      <c r="B3" s="29" t="s">
        <v>1</v>
      </c>
      <c r="C3" s="30"/>
      <c r="D3" s="31"/>
      <c r="E3" s="29" t="s">
        <v>2</v>
      </c>
      <c r="F3" s="30"/>
      <c r="G3" s="31"/>
      <c r="H3" s="29" t="s">
        <v>3</v>
      </c>
      <c r="I3" s="30"/>
      <c r="J3" s="31"/>
      <c r="L3" s="13" t="s">
        <v>5</v>
      </c>
      <c r="M3" s="14"/>
      <c r="N3" s="14"/>
      <c r="O3" s="14"/>
      <c r="P3" s="14"/>
      <c r="Q3" s="14"/>
      <c r="R3" s="15"/>
    </row>
    <row r="4" spans="1:18" x14ac:dyDescent="0.25">
      <c r="A4" s="43">
        <v>2016</v>
      </c>
      <c r="B4" s="44" t="s">
        <v>68</v>
      </c>
      <c r="C4" s="45"/>
      <c r="D4" s="46"/>
      <c r="E4" s="47"/>
      <c r="F4" s="45"/>
      <c r="G4" s="46"/>
      <c r="H4" s="47"/>
      <c r="I4" s="45"/>
      <c r="J4" s="46"/>
      <c r="K4" s="44"/>
      <c r="L4" s="16"/>
      <c r="M4" s="17"/>
      <c r="N4" s="17"/>
      <c r="O4" s="17"/>
      <c r="P4" s="17"/>
      <c r="Q4" s="17"/>
      <c r="R4" s="18"/>
    </row>
    <row r="5" spans="1:18" ht="140.25" customHeight="1" x14ac:dyDescent="0.25">
      <c r="A5" s="26">
        <v>2016</v>
      </c>
      <c r="B5" s="32" t="s">
        <v>21</v>
      </c>
      <c r="C5" s="17" t="s">
        <v>20</v>
      </c>
      <c r="D5" s="33"/>
      <c r="E5" s="32" t="s">
        <v>21</v>
      </c>
      <c r="F5" s="17" t="s">
        <v>20</v>
      </c>
      <c r="G5" s="33"/>
      <c r="H5" s="39" t="s">
        <v>25</v>
      </c>
      <c r="I5" s="17"/>
      <c r="J5" s="33"/>
      <c r="L5" s="378" t="s">
        <v>87</v>
      </c>
      <c r="M5" s="376"/>
      <c r="N5" s="376"/>
      <c r="O5" s="376"/>
      <c r="P5" s="376"/>
      <c r="Q5" s="376"/>
      <c r="R5" s="379"/>
    </row>
    <row r="6" spans="1:18" x14ac:dyDescent="0.25">
      <c r="A6" s="26" t="s">
        <v>22</v>
      </c>
      <c r="B6" s="32">
        <v>44</v>
      </c>
      <c r="C6" s="17">
        <v>15</v>
      </c>
      <c r="D6" s="33"/>
      <c r="E6" s="32" t="s">
        <v>28</v>
      </c>
      <c r="F6" s="17"/>
      <c r="G6" s="33"/>
      <c r="H6" s="32"/>
      <c r="I6" s="17"/>
      <c r="J6" s="33"/>
      <c r="L6" s="16"/>
      <c r="M6" s="17"/>
      <c r="N6" s="17"/>
      <c r="O6" s="17"/>
      <c r="P6" s="17"/>
      <c r="Q6" s="17"/>
      <c r="R6" s="18"/>
    </row>
    <row r="7" spans="1:18" x14ac:dyDescent="0.25">
      <c r="A7" s="26" t="s">
        <v>6</v>
      </c>
      <c r="B7" s="32">
        <v>5</v>
      </c>
      <c r="C7" s="17">
        <v>16</v>
      </c>
      <c r="D7" s="33"/>
      <c r="E7" s="32"/>
      <c r="F7" s="17"/>
      <c r="G7" s="33"/>
      <c r="H7" s="32">
        <v>31</v>
      </c>
      <c r="I7" s="17"/>
      <c r="J7" s="33"/>
      <c r="L7" s="16" t="s">
        <v>6</v>
      </c>
      <c r="M7" s="17"/>
      <c r="N7" s="17"/>
      <c r="O7" s="17"/>
      <c r="P7" s="17"/>
      <c r="Q7" s="17"/>
      <c r="R7" s="18"/>
    </row>
    <row r="8" spans="1:18" x14ac:dyDescent="0.25">
      <c r="A8" s="26" t="s">
        <v>26</v>
      </c>
      <c r="B8" s="32">
        <v>1</v>
      </c>
      <c r="C8" s="17">
        <v>1</v>
      </c>
      <c r="D8" s="33"/>
      <c r="E8" s="32"/>
      <c r="F8" s="17"/>
      <c r="G8" s="33"/>
      <c r="H8" s="32"/>
      <c r="I8" s="17"/>
      <c r="J8" s="33"/>
      <c r="L8" s="16" t="s">
        <v>26</v>
      </c>
      <c r="M8" s="17" t="s">
        <v>55</v>
      </c>
      <c r="N8" s="17"/>
      <c r="O8" s="17"/>
      <c r="P8" s="17"/>
      <c r="Q8" s="17"/>
      <c r="R8" s="18"/>
    </row>
    <row r="9" spans="1:18" x14ac:dyDescent="0.25">
      <c r="A9" s="26" t="s">
        <v>27</v>
      </c>
      <c r="B9" s="32">
        <v>12</v>
      </c>
      <c r="C9" s="17">
        <v>29</v>
      </c>
      <c r="D9" s="33"/>
      <c r="E9" s="32"/>
      <c r="F9" s="17"/>
      <c r="G9" s="33"/>
      <c r="H9" s="32">
        <v>29</v>
      </c>
      <c r="I9" s="17"/>
      <c r="J9" s="33"/>
      <c r="L9" s="16" t="s">
        <v>27</v>
      </c>
      <c r="M9" s="17" t="s">
        <v>54</v>
      </c>
      <c r="N9" s="17"/>
      <c r="O9" s="17"/>
      <c r="P9" s="17"/>
      <c r="Q9" s="17"/>
      <c r="R9" s="18"/>
    </row>
    <row r="10" spans="1:18" x14ac:dyDescent="0.25">
      <c r="A10" s="26" t="s">
        <v>7</v>
      </c>
      <c r="B10" s="32">
        <v>13</v>
      </c>
      <c r="C10" s="17">
        <v>17</v>
      </c>
      <c r="D10" s="33"/>
      <c r="E10" s="32"/>
      <c r="F10" s="17"/>
      <c r="G10" s="33"/>
      <c r="H10" s="32">
        <v>9</v>
      </c>
      <c r="I10" s="17"/>
      <c r="J10" s="33"/>
      <c r="L10" s="16" t="s">
        <v>7</v>
      </c>
      <c r="M10" s="17" t="s">
        <v>53</v>
      </c>
      <c r="N10" s="17"/>
      <c r="O10" s="17"/>
      <c r="P10" s="17"/>
      <c r="Q10" s="17"/>
      <c r="R10" s="18"/>
    </row>
    <row r="11" spans="1:18" x14ac:dyDescent="0.25">
      <c r="A11" s="26" t="s">
        <v>8</v>
      </c>
      <c r="B11" s="32">
        <v>4</v>
      </c>
      <c r="C11" s="17">
        <v>2</v>
      </c>
      <c r="D11" s="33"/>
      <c r="E11" s="32"/>
      <c r="F11" s="17"/>
      <c r="G11" s="33"/>
      <c r="H11" s="32">
        <v>3</v>
      </c>
      <c r="I11" s="17"/>
      <c r="J11" s="33"/>
      <c r="L11" s="16" t="s">
        <v>8</v>
      </c>
      <c r="M11" s="17"/>
      <c r="N11" s="17"/>
      <c r="O11" s="17"/>
      <c r="P11" s="17"/>
      <c r="Q11" s="17"/>
      <c r="R11" s="18"/>
    </row>
    <row r="12" spans="1:18" x14ac:dyDescent="0.25">
      <c r="A12" s="26" t="s">
        <v>9</v>
      </c>
      <c r="B12" s="32"/>
      <c r="C12" s="17">
        <v>10</v>
      </c>
      <c r="D12" s="33"/>
      <c r="E12" s="32"/>
      <c r="F12" s="17"/>
      <c r="G12" s="33"/>
      <c r="H12" s="32"/>
      <c r="I12" s="17"/>
      <c r="J12" s="33"/>
      <c r="L12" s="16" t="s">
        <v>9</v>
      </c>
      <c r="M12" s="17"/>
      <c r="N12" s="17"/>
      <c r="O12" s="17"/>
      <c r="P12" s="17"/>
      <c r="Q12" s="17"/>
      <c r="R12" s="18"/>
    </row>
    <row r="13" spans="1:18" x14ac:dyDescent="0.25">
      <c r="A13" s="26" t="s">
        <v>10</v>
      </c>
      <c r="B13" s="32">
        <v>4</v>
      </c>
      <c r="C13" s="17">
        <v>2</v>
      </c>
      <c r="D13" s="33"/>
      <c r="E13" s="32"/>
      <c r="F13" s="17"/>
      <c r="G13" s="33"/>
      <c r="H13" s="32">
        <v>2</v>
      </c>
      <c r="I13" s="17"/>
      <c r="J13" s="33"/>
      <c r="L13" s="16" t="s">
        <v>10</v>
      </c>
      <c r="M13" s="17" t="s">
        <v>18</v>
      </c>
      <c r="N13" s="17"/>
      <c r="O13" s="17"/>
      <c r="P13" s="17"/>
      <c r="Q13" s="17"/>
      <c r="R13" s="18"/>
    </row>
    <row r="14" spans="1:18" x14ac:dyDescent="0.25">
      <c r="A14" s="26" t="s">
        <v>17</v>
      </c>
      <c r="B14" s="32">
        <v>11</v>
      </c>
      <c r="C14" s="17">
        <v>4</v>
      </c>
      <c r="D14" s="33"/>
      <c r="E14" s="32"/>
      <c r="F14" s="17"/>
      <c r="G14" s="33"/>
      <c r="H14" s="32">
        <v>11</v>
      </c>
      <c r="I14" s="17"/>
      <c r="J14" s="33"/>
      <c r="L14" s="16" t="s">
        <v>17</v>
      </c>
      <c r="M14" s="17" t="s">
        <v>52</v>
      </c>
      <c r="N14" s="17"/>
      <c r="O14" s="17"/>
      <c r="P14" s="17"/>
      <c r="Q14" s="17"/>
      <c r="R14" s="18"/>
    </row>
    <row r="15" spans="1:18" x14ac:dyDescent="0.25">
      <c r="A15" s="26" t="s">
        <v>11</v>
      </c>
      <c r="B15" s="32">
        <v>3</v>
      </c>
      <c r="C15" s="17"/>
      <c r="D15" s="33"/>
      <c r="E15" s="32"/>
      <c r="F15" s="17"/>
      <c r="G15" s="33"/>
      <c r="H15" s="32"/>
      <c r="I15" s="17"/>
      <c r="J15" s="33"/>
      <c r="L15" s="16" t="s">
        <v>11</v>
      </c>
      <c r="M15" s="17" t="s">
        <v>88</v>
      </c>
      <c r="N15" s="17"/>
      <c r="O15" s="17"/>
      <c r="P15" s="17"/>
      <c r="Q15" s="17"/>
      <c r="R15" s="18"/>
    </row>
    <row r="16" spans="1:18" x14ac:dyDescent="0.25">
      <c r="A16" s="26" t="s">
        <v>12</v>
      </c>
      <c r="B16" s="32">
        <v>2</v>
      </c>
      <c r="C16" s="17">
        <v>2</v>
      </c>
      <c r="D16" s="33"/>
      <c r="E16" s="32"/>
      <c r="F16" s="17"/>
      <c r="G16" s="33"/>
      <c r="H16" s="32">
        <v>8</v>
      </c>
      <c r="I16" s="17"/>
      <c r="J16" s="33"/>
      <c r="L16" s="16" t="s">
        <v>12</v>
      </c>
      <c r="M16" s="17"/>
      <c r="N16" s="17"/>
      <c r="O16" s="17"/>
      <c r="P16" s="17"/>
      <c r="Q16" s="17"/>
      <c r="R16" s="18"/>
    </row>
    <row r="17" spans="1:18" x14ac:dyDescent="0.25">
      <c r="A17" s="26" t="s">
        <v>13</v>
      </c>
      <c r="B17" s="32"/>
      <c r="C17" s="17">
        <v>1</v>
      </c>
      <c r="D17" s="33"/>
      <c r="E17" s="32"/>
      <c r="F17" s="17"/>
      <c r="G17" s="33"/>
      <c r="H17" s="32">
        <v>2</v>
      </c>
      <c r="I17" s="17"/>
      <c r="J17" s="33"/>
      <c r="L17" s="16" t="s">
        <v>13</v>
      </c>
      <c r="M17" s="17" t="s">
        <v>19</v>
      </c>
      <c r="N17" s="17"/>
      <c r="O17" s="17"/>
      <c r="P17" s="17"/>
      <c r="Q17" s="17"/>
      <c r="R17" s="18"/>
    </row>
    <row r="18" spans="1:18" x14ac:dyDescent="0.25">
      <c r="A18" s="26" t="s">
        <v>14</v>
      </c>
      <c r="B18" s="32"/>
      <c r="C18" s="17">
        <v>1</v>
      </c>
      <c r="D18" s="33"/>
      <c r="E18" s="32"/>
      <c r="F18" s="17"/>
      <c r="G18" s="33"/>
      <c r="H18" s="32"/>
      <c r="I18" s="17"/>
      <c r="J18" s="33"/>
      <c r="L18" s="16" t="s">
        <v>14</v>
      </c>
      <c r="M18" s="17" t="s">
        <v>56</v>
      </c>
      <c r="N18" s="17"/>
      <c r="O18" s="17"/>
      <c r="P18" s="17"/>
      <c r="Q18" s="17"/>
      <c r="R18" s="18"/>
    </row>
    <row r="19" spans="1:18" x14ac:dyDescent="0.25">
      <c r="A19" s="26" t="s">
        <v>15</v>
      </c>
      <c r="B19" s="32"/>
      <c r="C19" s="17"/>
      <c r="D19" s="33"/>
      <c r="E19" s="32"/>
      <c r="F19" s="17"/>
      <c r="G19" s="33"/>
      <c r="H19" s="32"/>
      <c r="I19" s="17"/>
      <c r="J19" s="33"/>
      <c r="L19" s="16" t="s">
        <v>15</v>
      </c>
      <c r="M19" s="17"/>
      <c r="N19" s="17"/>
      <c r="O19" s="17"/>
      <c r="P19" s="17"/>
      <c r="Q19" s="17"/>
      <c r="R19" s="18"/>
    </row>
    <row r="20" spans="1:18" x14ac:dyDescent="0.25">
      <c r="A20" s="26"/>
      <c r="B20" s="32"/>
      <c r="C20" s="17"/>
      <c r="D20" s="33"/>
      <c r="E20" s="32"/>
      <c r="F20" s="17"/>
      <c r="G20" s="33"/>
      <c r="H20" s="32"/>
      <c r="I20" s="17"/>
      <c r="J20" s="33"/>
      <c r="L20" s="16"/>
      <c r="M20" s="17"/>
      <c r="N20" s="17"/>
      <c r="O20" s="17"/>
      <c r="P20" s="17"/>
      <c r="Q20" s="17"/>
      <c r="R20" s="18"/>
    </row>
    <row r="21" spans="1:18" ht="15.75" thickBot="1" x14ac:dyDescent="0.3">
      <c r="A21" s="26" t="s">
        <v>16</v>
      </c>
      <c r="B21" s="32">
        <v>2</v>
      </c>
      <c r="C21" s="17"/>
      <c r="D21" s="33"/>
      <c r="E21" s="32"/>
      <c r="F21" s="17"/>
      <c r="G21" s="33"/>
      <c r="H21" s="32">
        <v>5</v>
      </c>
      <c r="I21" s="17"/>
      <c r="J21" s="33"/>
      <c r="L21" s="19"/>
      <c r="M21" s="20"/>
      <c r="N21" s="20"/>
      <c r="O21" s="20"/>
      <c r="P21" s="20"/>
      <c r="Q21" s="20"/>
      <c r="R21" s="21"/>
    </row>
    <row r="22" spans="1:18" x14ac:dyDescent="0.25">
      <c r="A22" s="26" t="s">
        <v>23</v>
      </c>
      <c r="B22" s="32">
        <f t="shared" ref="B22:H22" si="0">SUM(B6:B21)</f>
        <v>101</v>
      </c>
      <c r="C22" s="17">
        <f t="shared" si="0"/>
        <v>100</v>
      </c>
      <c r="D22" s="33">
        <f t="shared" si="0"/>
        <v>0</v>
      </c>
      <c r="E22" s="32">
        <f t="shared" si="0"/>
        <v>0</v>
      </c>
      <c r="F22" s="17">
        <f t="shared" si="0"/>
        <v>0</v>
      </c>
      <c r="G22" s="33">
        <f t="shared" si="0"/>
        <v>0</v>
      </c>
      <c r="H22" s="32">
        <f t="shared" si="0"/>
        <v>100</v>
      </c>
      <c r="I22" s="17"/>
      <c r="J22" s="33"/>
    </row>
    <row r="23" spans="1:18" ht="69.75" customHeight="1" x14ac:dyDescent="0.25">
      <c r="A23" s="26" t="s">
        <v>24</v>
      </c>
      <c r="B23" s="375" t="s">
        <v>70</v>
      </c>
      <c r="C23" s="376"/>
      <c r="D23" s="377"/>
      <c r="E23" s="32"/>
      <c r="F23" s="17"/>
      <c r="G23" s="33"/>
      <c r="H23" s="32"/>
      <c r="I23" s="17"/>
      <c r="J23" s="33"/>
    </row>
    <row r="24" spans="1:18" x14ac:dyDescent="0.25">
      <c r="A24" s="26"/>
      <c r="B24" s="32"/>
      <c r="C24" s="17"/>
      <c r="D24" s="33"/>
      <c r="E24" s="32"/>
      <c r="F24" s="17"/>
      <c r="G24" s="33"/>
      <c r="H24" s="32"/>
      <c r="I24" s="17"/>
      <c r="J24" s="33"/>
    </row>
    <row r="25" spans="1:18" x14ac:dyDescent="0.25">
      <c r="A25" s="27">
        <v>2018</v>
      </c>
      <c r="B25" s="34"/>
      <c r="C25" s="35"/>
      <c r="D25" s="36"/>
      <c r="E25" s="34"/>
      <c r="F25" s="35"/>
      <c r="G25" s="36"/>
      <c r="H25" s="34"/>
      <c r="I25" s="35"/>
      <c r="J25" s="36"/>
      <c r="L25" t="s">
        <v>61</v>
      </c>
    </row>
    <row r="26" spans="1:18" ht="15" customHeight="1" x14ac:dyDescent="0.25">
      <c r="A26" s="26" t="s">
        <v>4</v>
      </c>
      <c r="B26" s="32" t="s">
        <v>1</v>
      </c>
      <c r="C26" s="17"/>
      <c r="D26" s="33"/>
      <c r="E26" s="32" t="s">
        <v>2</v>
      </c>
      <c r="F26" s="17"/>
      <c r="G26" s="33"/>
      <c r="H26" s="32" t="s">
        <v>3</v>
      </c>
      <c r="I26" s="17"/>
      <c r="J26" s="33"/>
      <c r="L26" s="392" t="s">
        <v>60</v>
      </c>
      <c r="M26" s="392"/>
      <c r="N26" s="392"/>
      <c r="O26" s="392"/>
      <c r="P26" s="392"/>
    </row>
    <row r="27" spans="1:18" ht="43.5" customHeight="1" x14ac:dyDescent="0.25">
      <c r="A27" s="26"/>
      <c r="B27" s="375" t="s">
        <v>29</v>
      </c>
      <c r="C27" s="376"/>
      <c r="D27" s="377"/>
      <c r="E27" s="380" t="s">
        <v>30</v>
      </c>
      <c r="F27" s="381"/>
      <c r="G27" s="382"/>
      <c r="H27" s="383" t="s">
        <v>31</v>
      </c>
      <c r="I27" s="384"/>
      <c r="J27" s="385"/>
      <c r="L27" s="392"/>
      <c r="M27" s="392"/>
      <c r="N27" s="392"/>
      <c r="O27" s="392"/>
      <c r="P27" s="392"/>
    </row>
    <row r="28" spans="1:18" x14ac:dyDescent="0.25">
      <c r="A28" s="26"/>
      <c r="B28" s="32" t="s">
        <v>21</v>
      </c>
      <c r="C28" s="17" t="s">
        <v>20</v>
      </c>
      <c r="D28" s="33"/>
      <c r="E28" s="32" t="s">
        <v>21</v>
      </c>
      <c r="F28" s="17" t="s">
        <v>20</v>
      </c>
      <c r="G28" s="33"/>
      <c r="H28" s="39" t="s">
        <v>25</v>
      </c>
      <c r="I28" s="17"/>
      <c r="J28" s="33"/>
      <c r="L28" s="392"/>
      <c r="M28" s="392"/>
      <c r="N28" s="392"/>
      <c r="O28" s="392"/>
      <c r="P28" s="392"/>
    </row>
    <row r="29" spans="1:18" x14ac:dyDescent="0.25">
      <c r="A29" s="26" t="s">
        <v>22</v>
      </c>
      <c r="B29" s="32">
        <v>42</v>
      </c>
      <c r="C29" s="17">
        <v>9</v>
      </c>
      <c r="D29" s="33"/>
      <c r="E29" s="32">
        <v>4.9000000000000004</v>
      </c>
      <c r="F29" s="17">
        <v>10.199999999999999</v>
      </c>
      <c r="G29" s="33"/>
      <c r="H29" s="32"/>
      <c r="I29" s="17"/>
      <c r="J29" s="33"/>
      <c r="L29" s="392"/>
      <c r="M29" s="392"/>
      <c r="N29" s="392"/>
      <c r="O29" s="392"/>
      <c r="P29" s="392"/>
    </row>
    <row r="30" spans="1:18" x14ac:dyDescent="0.25">
      <c r="A30" s="26" t="s">
        <v>6</v>
      </c>
      <c r="B30" s="32">
        <v>6</v>
      </c>
      <c r="C30" s="17">
        <v>27</v>
      </c>
      <c r="D30" s="33"/>
      <c r="E30" s="37">
        <v>3</v>
      </c>
      <c r="F30" s="38">
        <v>28.1</v>
      </c>
      <c r="G30" s="33"/>
      <c r="H30" s="32">
        <f>4+6+3+10+17</f>
        <v>40</v>
      </c>
      <c r="I30" s="17"/>
      <c r="J30" s="33"/>
      <c r="L30" s="392"/>
      <c r="M30" s="392"/>
      <c r="N30" s="392"/>
      <c r="O30" s="392"/>
      <c r="P30" s="392"/>
    </row>
    <row r="31" spans="1:18" x14ac:dyDescent="0.25">
      <c r="A31" s="26" t="s">
        <v>26</v>
      </c>
      <c r="B31" s="32">
        <v>1</v>
      </c>
      <c r="C31" s="17">
        <v>1</v>
      </c>
      <c r="D31" s="33"/>
      <c r="E31" s="32">
        <f>17.3+2.8</f>
        <v>20.100000000000001</v>
      </c>
      <c r="F31" s="17"/>
      <c r="G31" s="33"/>
      <c r="H31" s="32">
        <v>15</v>
      </c>
      <c r="I31" s="17"/>
      <c r="J31" s="33"/>
      <c r="L31" s="392"/>
      <c r="M31" s="392"/>
      <c r="N31" s="392"/>
      <c r="O31" s="392"/>
      <c r="P31" s="392"/>
    </row>
    <row r="32" spans="1:18" x14ac:dyDescent="0.25">
      <c r="A32" s="26" t="s">
        <v>27</v>
      </c>
      <c r="B32" s="32">
        <v>11</v>
      </c>
      <c r="C32" s="17">
        <v>9</v>
      </c>
      <c r="D32" s="33"/>
      <c r="E32" s="32">
        <v>8.1999999999999993</v>
      </c>
      <c r="F32" s="17"/>
      <c r="G32" s="33"/>
      <c r="H32" s="32"/>
      <c r="I32" s="17"/>
      <c r="J32" s="33"/>
      <c r="L32" s="392"/>
      <c r="M32" s="392"/>
      <c r="N32" s="392"/>
      <c r="O32" s="392"/>
      <c r="P32" s="392"/>
    </row>
    <row r="33" spans="1:16" x14ac:dyDescent="0.25">
      <c r="A33" s="26" t="s">
        <v>7</v>
      </c>
      <c r="B33" s="32">
        <f>10+1</f>
        <v>11</v>
      </c>
      <c r="C33" s="17">
        <f>27+8+1</f>
        <v>36</v>
      </c>
      <c r="D33" s="33"/>
      <c r="E33" s="32">
        <v>22.6</v>
      </c>
      <c r="F33" s="17"/>
      <c r="G33" s="33"/>
      <c r="H33" s="32"/>
      <c r="I33" s="17"/>
      <c r="J33" s="33"/>
      <c r="L33" s="392"/>
      <c r="M33" s="392"/>
      <c r="N33" s="392"/>
      <c r="O33" s="392"/>
      <c r="P33" s="392"/>
    </row>
    <row r="34" spans="1:16" x14ac:dyDescent="0.25">
      <c r="A34" s="26" t="s">
        <v>8</v>
      </c>
      <c r="B34" s="32">
        <v>3</v>
      </c>
      <c r="C34" s="17">
        <v>3</v>
      </c>
      <c r="D34" s="33"/>
      <c r="E34" s="37">
        <v>4</v>
      </c>
      <c r="F34" s="38">
        <v>11</v>
      </c>
      <c r="G34" s="33"/>
      <c r="H34" s="32">
        <f>1+9</f>
        <v>10</v>
      </c>
      <c r="I34" s="17"/>
      <c r="J34" s="33"/>
      <c r="L34" s="392"/>
      <c r="M34" s="392"/>
      <c r="N34" s="392"/>
      <c r="O34" s="392"/>
      <c r="P34" s="392"/>
    </row>
    <row r="35" spans="1:16" x14ac:dyDescent="0.25">
      <c r="A35" s="26" t="s">
        <v>9</v>
      </c>
      <c r="B35" s="32"/>
      <c r="C35" s="17"/>
      <c r="D35" s="33"/>
      <c r="E35" s="32"/>
      <c r="F35" s="17"/>
      <c r="G35" s="33"/>
      <c r="H35" s="32"/>
      <c r="I35" s="17"/>
      <c r="J35" s="33"/>
      <c r="L35" s="392"/>
      <c r="M35" s="392"/>
      <c r="N35" s="392"/>
      <c r="O35" s="392"/>
      <c r="P35" s="392"/>
    </row>
    <row r="36" spans="1:16" x14ac:dyDescent="0.25">
      <c r="A36" s="26" t="s">
        <v>10</v>
      </c>
      <c r="B36" s="32">
        <v>4</v>
      </c>
      <c r="C36" s="17">
        <v>4</v>
      </c>
      <c r="D36" s="33"/>
      <c r="E36" s="32"/>
      <c r="F36" s="38">
        <v>11</v>
      </c>
      <c r="G36" s="33"/>
      <c r="H36" s="32">
        <v>11</v>
      </c>
      <c r="I36" s="17"/>
      <c r="J36" s="33"/>
      <c r="L36" s="392"/>
      <c r="M36" s="392"/>
      <c r="N36" s="392"/>
      <c r="O36" s="392"/>
      <c r="P36" s="392"/>
    </row>
    <row r="37" spans="1:16" x14ac:dyDescent="0.25">
      <c r="A37" s="26" t="s">
        <v>17</v>
      </c>
      <c r="B37" s="32">
        <f>2+3</f>
        <v>5</v>
      </c>
      <c r="C37" s="17">
        <v>3</v>
      </c>
      <c r="D37" s="33"/>
      <c r="E37" s="37">
        <v>3</v>
      </c>
      <c r="F37" s="38">
        <v>11</v>
      </c>
      <c r="G37" s="33"/>
      <c r="H37" s="32">
        <v>4</v>
      </c>
      <c r="I37" s="17"/>
      <c r="J37" s="33"/>
      <c r="L37" s="392"/>
      <c r="M37" s="392"/>
      <c r="N37" s="392"/>
      <c r="O37" s="392"/>
      <c r="P37" s="392"/>
    </row>
    <row r="38" spans="1:16" x14ac:dyDescent="0.25">
      <c r="A38" s="26" t="s">
        <v>11</v>
      </c>
      <c r="B38" s="32">
        <v>5</v>
      </c>
      <c r="C38" s="17">
        <v>3</v>
      </c>
      <c r="D38" s="33"/>
      <c r="E38" s="37">
        <v>3</v>
      </c>
      <c r="F38" s="38">
        <v>11</v>
      </c>
      <c r="G38" s="33"/>
      <c r="H38" s="32">
        <v>1</v>
      </c>
      <c r="I38" s="17"/>
      <c r="J38" s="33"/>
      <c r="L38" s="392"/>
      <c r="M38" s="392"/>
      <c r="N38" s="392"/>
      <c r="O38" s="392"/>
      <c r="P38" s="392"/>
    </row>
    <row r="39" spans="1:16" x14ac:dyDescent="0.25">
      <c r="A39" s="26" t="s">
        <v>12</v>
      </c>
      <c r="B39" s="32">
        <v>7</v>
      </c>
      <c r="C39" s="17">
        <v>1</v>
      </c>
      <c r="D39" s="33"/>
      <c r="E39" s="32">
        <v>28.9</v>
      </c>
      <c r="F39" s="17">
        <v>6.7</v>
      </c>
      <c r="G39" s="33"/>
      <c r="H39" s="32">
        <v>7</v>
      </c>
      <c r="I39" s="17"/>
      <c r="J39" s="33"/>
    </row>
    <row r="40" spans="1:16" x14ac:dyDescent="0.25">
      <c r="A40" s="26" t="s">
        <v>13</v>
      </c>
      <c r="B40" s="32">
        <v>1</v>
      </c>
      <c r="C40" s="17">
        <v>1</v>
      </c>
      <c r="D40" s="33"/>
      <c r="E40" s="37">
        <v>2.2999999999999998</v>
      </c>
      <c r="F40" s="38">
        <v>11</v>
      </c>
      <c r="G40" s="33"/>
      <c r="H40" s="32">
        <v>1</v>
      </c>
      <c r="I40" s="17"/>
      <c r="J40" s="33"/>
    </row>
    <row r="41" spans="1:16" x14ac:dyDescent="0.25">
      <c r="A41" s="26" t="s">
        <v>14</v>
      </c>
      <c r="B41" s="32">
        <v>1</v>
      </c>
      <c r="C41" s="17"/>
      <c r="D41" s="33"/>
      <c r="E41" s="32"/>
      <c r="F41" s="17"/>
      <c r="G41" s="33"/>
      <c r="H41" s="32"/>
      <c r="I41" s="17"/>
      <c r="J41" s="33"/>
    </row>
    <row r="42" spans="1:16" x14ac:dyDescent="0.25">
      <c r="A42" s="26" t="s">
        <v>15</v>
      </c>
      <c r="B42" s="32"/>
      <c r="C42" s="17"/>
      <c r="D42" s="33"/>
      <c r="E42" s="32"/>
      <c r="F42" s="17"/>
      <c r="G42" s="33"/>
      <c r="H42" s="32"/>
      <c r="I42" s="17"/>
      <c r="J42" s="33"/>
    </row>
    <row r="43" spans="1:16" x14ac:dyDescent="0.25">
      <c r="A43" s="26"/>
      <c r="B43" s="32"/>
      <c r="C43" s="17"/>
      <c r="D43" s="33"/>
      <c r="E43" s="32"/>
      <c r="F43" s="17"/>
      <c r="G43" s="33"/>
      <c r="H43" s="32"/>
      <c r="I43" s="17"/>
      <c r="J43" s="33"/>
    </row>
    <row r="44" spans="1:16" x14ac:dyDescent="0.25">
      <c r="A44" s="26" t="s">
        <v>49</v>
      </c>
      <c r="B44" s="32">
        <v>1</v>
      </c>
      <c r="C44" s="17"/>
      <c r="D44" s="33"/>
      <c r="E44" s="32"/>
      <c r="F44" s="17"/>
      <c r="G44" s="33"/>
      <c r="H44" s="32"/>
      <c r="I44" s="17"/>
      <c r="J44" s="33"/>
    </row>
    <row r="45" spans="1:16" x14ac:dyDescent="0.25">
      <c r="A45" s="26" t="s">
        <v>62</v>
      </c>
      <c r="B45" s="32"/>
      <c r="C45" s="17"/>
      <c r="D45" s="33"/>
      <c r="E45" s="32"/>
      <c r="F45" s="17"/>
      <c r="G45" s="33"/>
      <c r="H45" s="32">
        <v>1</v>
      </c>
      <c r="I45" s="17"/>
      <c r="J45" s="33"/>
    </row>
    <row r="46" spans="1:16" x14ac:dyDescent="0.25">
      <c r="A46" s="26"/>
      <c r="B46" s="32"/>
      <c r="C46" s="17"/>
      <c r="D46" s="33"/>
      <c r="E46" s="32"/>
      <c r="F46" s="17"/>
      <c r="G46" s="33"/>
      <c r="H46" s="32"/>
      <c r="I46" s="17"/>
      <c r="J46" s="33"/>
    </row>
    <row r="47" spans="1:16" x14ac:dyDescent="0.25">
      <c r="A47" s="26" t="s">
        <v>16</v>
      </c>
      <c r="B47" s="32">
        <v>3</v>
      </c>
      <c r="C47" s="17">
        <v>1</v>
      </c>
      <c r="D47" s="33"/>
      <c r="E47" s="32"/>
      <c r="F47" s="17"/>
      <c r="G47" s="33"/>
      <c r="H47" s="32">
        <v>10</v>
      </c>
      <c r="I47" s="17"/>
      <c r="J47" s="33"/>
    </row>
    <row r="48" spans="1:16" x14ac:dyDescent="0.25">
      <c r="A48" s="26"/>
      <c r="B48" s="32"/>
      <c r="C48" s="17"/>
      <c r="D48" s="33"/>
      <c r="E48" s="32"/>
      <c r="F48" s="17"/>
      <c r="G48" s="33"/>
      <c r="H48" s="32"/>
      <c r="I48" s="17"/>
      <c r="J48" s="33"/>
    </row>
    <row r="49" spans="1:10" x14ac:dyDescent="0.25">
      <c r="A49" s="26" t="s">
        <v>23</v>
      </c>
      <c r="B49" s="32">
        <f>SUM(B29:B48)</f>
        <v>101</v>
      </c>
      <c r="C49" s="17">
        <f>SUM(C29:C48)</f>
        <v>98</v>
      </c>
      <c r="D49" s="33">
        <f t="shared" ref="D49" si="1">SUM(D29:D48)</f>
        <v>0</v>
      </c>
      <c r="E49" s="32">
        <f t="shared" ref="E49" si="2">SUM(E29:E48)</f>
        <v>100.00000000000001</v>
      </c>
      <c r="F49" s="17">
        <f t="shared" ref="F49" si="3">SUM(F29:F48)</f>
        <v>100</v>
      </c>
      <c r="G49" s="33">
        <f t="shared" ref="G49" si="4">SUM(G29:G48)</f>
        <v>0</v>
      </c>
      <c r="H49" s="32">
        <f t="shared" ref="H49" si="5">SUM(H29:H48)</f>
        <v>100</v>
      </c>
      <c r="I49" s="17"/>
      <c r="J49" s="33"/>
    </row>
    <row r="50" spans="1:10" ht="228" customHeight="1" x14ac:dyDescent="0.25">
      <c r="A50" s="26" t="s">
        <v>24</v>
      </c>
      <c r="B50" s="375" t="s">
        <v>69</v>
      </c>
      <c r="C50" s="376"/>
      <c r="D50" s="377"/>
      <c r="E50" s="393" t="s">
        <v>78</v>
      </c>
      <c r="F50" s="394"/>
      <c r="G50" s="395"/>
      <c r="H50" s="32"/>
      <c r="I50" s="17"/>
      <c r="J50" s="33"/>
    </row>
    <row r="51" spans="1:10" x14ac:dyDescent="0.25">
      <c r="A51" s="26"/>
      <c r="B51" s="32"/>
      <c r="C51" s="17"/>
      <c r="D51" s="33"/>
      <c r="E51" s="32"/>
      <c r="F51" s="17"/>
      <c r="G51" s="33"/>
      <c r="H51" s="32"/>
      <c r="I51" s="17"/>
      <c r="J51" s="33"/>
    </row>
    <row r="52" spans="1:10" x14ac:dyDescent="0.25">
      <c r="A52" s="26"/>
      <c r="B52" s="32"/>
      <c r="C52" s="17"/>
      <c r="D52" s="33"/>
      <c r="E52" s="32"/>
      <c r="F52" s="17"/>
      <c r="G52" s="33"/>
      <c r="H52" s="32"/>
      <c r="I52" s="17"/>
      <c r="J52" s="33"/>
    </row>
    <row r="53" spans="1:10" x14ac:dyDescent="0.25">
      <c r="A53" s="27">
        <v>2019</v>
      </c>
      <c r="B53" s="34"/>
      <c r="C53" s="35"/>
      <c r="D53" s="36"/>
      <c r="E53" s="34"/>
      <c r="F53" s="35"/>
      <c r="G53" s="36"/>
      <c r="H53" s="34"/>
      <c r="I53" s="35"/>
      <c r="J53" s="36"/>
    </row>
    <row r="54" spans="1:10" x14ac:dyDescent="0.25">
      <c r="A54" s="26" t="s">
        <v>4</v>
      </c>
      <c r="B54" s="32" t="s">
        <v>1</v>
      </c>
      <c r="C54" s="17"/>
      <c r="D54" s="33"/>
      <c r="E54" s="32" t="s">
        <v>2</v>
      </c>
      <c r="F54" s="17"/>
      <c r="G54" s="33"/>
      <c r="H54" s="32" t="s">
        <v>3</v>
      </c>
      <c r="I54" s="17"/>
      <c r="J54" s="33"/>
    </row>
    <row r="55" spans="1:10" ht="29.25" customHeight="1" x14ac:dyDescent="0.25">
      <c r="A55" s="26"/>
      <c r="B55" s="375" t="s">
        <v>50</v>
      </c>
      <c r="C55" s="376"/>
      <c r="D55" s="377"/>
      <c r="E55" s="380" t="s">
        <v>51</v>
      </c>
      <c r="F55" s="381"/>
      <c r="G55" s="382"/>
      <c r="H55" s="386" t="s">
        <v>65</v>
      </c>
      <c r="I55" s="387"/>
      <c r="J55" s="388"/>
    </row>
    <row r="56" spans="1:10" ht="33" customHeight="1" x14ac:dyDescent="0.25">
      <c r="A56" s="26"/>
      <c r="B56" s="32" t="s">
        <v>21</v>
      </c>
      <c r="C56" s="17" t="s">
        <v>20</v>
      </c>
      <c r="D56" s="33"/>
      <c r="E56" s="32" t="s">
        <v>21</v>
      </c>
      <c r="F56" s="17" t="s">
        <v>20</v>
      </c>
      <c r="G56" s="33"/>
      <c r="H56" s="396" t="s">
        <v>66</v>
      </c>
      <c r="I56" s="397"/>
      <c r="J56" s="398"/>
    </row>
    <row r="57" spans="1:10" x14ac:dyDescent="0.25">
      <c r="A57" s="26" t="s">
        <v>22</v>
      </c>
      <c r="B57" s="32">
        <v>29.5</v>
      </c>
      <c r="C57" s="17">
        <v>27.9</v>
      </c>
      <c r="D57" s="33"/>
      <c r="E57" s="32">
        <v>4.9000000000000004</v>
      </c>
      <c r="F57" s="17">
        <v>10.199999999999999</v>
      </c>
      <c r="G57" s="33"/>
      <c r="H57" s="32"/>
      <c r="I57" s="17"/>
      <c r="J57" s="33"/>
    </row>
    <row r="58" spans="1:10" x14ac:dyDescent="0.25">
      <c r="A58" s="26" t="s">
        <v>6</v>
      </c>
      <c r="B58" s="32">
        <v>1.5</v>
      </c>
      <c r="C58" s="17">
        <v>17.3</v>
      </c>
      <c r="D58" s="33"/>
      <c r="E58" s="37">
        <v>3</v>
      </c>
      <c r="F58" s="38">
        <v>28.7</v>
      </c>
      <c r="G58" s="33"/>
      <c r="H58" s="32">
        <v>28.7</v>
      </c>
      <c r="I58" s="17"/>
      <c r="J58" s="33"/>
    </row>
    <row r="59" spans="1:10" x14ac:dyDescent="0.25">
      <c r="A59" s="26" t="s">
        <v>26</v>
      </c>
      <c r="B59" s="32">
        <f>3.1+1.1</f>
        <v>4.2</v>
      </c>
      <c r="C59" s="17">
        <v>0.4</v>
      </c>
      <c r="D59" s="33"/>
      <c r="E59" s="32">
        <v>2.8</v>
      </c>
      <c r="F59" s="17"/>
      <c r="G59" s="33"/>
      <c r="H59" s="32"/>
      <c r="I59" s="17"/>
      <c r="J59" s="33"/>
    </row>
    <row r="60" spans="1:10" x14ac:dyDescent="0.25">
      <c r="A60" s="26" t="s">
        <v>27</v>
      </c>
      <c r="B60" s="32">
        <f>18.9+2.4</f>
        <v>21.299999999999997</v>
      </c>
      <c r="C60" s="17">
        <f>22.6</f>
        <v>22.6</v>
      </c>
      <c r="D60" s="33"/>
      <c r="E60" s="32">
        <v>40.200000000000003</v>
      </c>
      <c r="F60" s="17"/>
      <c r="G60" s="33"/>
      <c r="H60" s="32">
        <v>17.100000000000001</v>
      </c>
      <c r="I60" s="17"/>
      <c r="J60" s="33"/>
    </row>
    <row r="61" spans="1:10" x14ac:dyDescent="0.25">
      <c r="A61" s="26" t="s">
        <v>7</v>
      </c>
      <c r="B61" s="32">
        <f>8+6.3+0.7</f>
        <v>15</v>
      </c>
      <c r="C61" s="17">
        <f>1.8</f>
        <v>1.8</v>
      </c>
      <c r="D61" s="33"/>
      <c r="E61" s="32">
        <f>4+24.2</f>
        <v>28.2</v>
      </c>
      <c r="F61" s="17"/>
      <c r="G61" s="33"/>
      <c r="H61" s="32">
        <f>4+3.4+2.1</f>
        <v>9.5</v>
      </c>
      <c r="I61" s="17"/>
      <c r="J61" s="33"/>
    </row>
    <row r="62" spans="1:10" x14ac:dyDescent="0.25">
      <c r="A62" s="26" t="s">
        <v>8</v>
      </c>
      <c r="B62" s="32">
        <v>0.3</v>
      </c>
      <c r="C62" s="17">
        <v>0.2</v>
      </c>
      <c r="D62" s="33"/>
      <c r="E62" s="37">
        <v>4</v>
      </c>
      <c r="F62" s="38">
        <v>11</v>
      </c>
      <c r="G62" s="33"/>
      <c r="H62" s="32"/>
      <c r="I62" s="17"/>
      <c r="J62" s="33"/>
    </row>
    <row r="63" spans="1:10" x14ac:dyDescent="0.25">
      <c r="A63" s="26" t="s">
        <v>9</v>
      </c>
      <c r="B63" s="32"/>
      <c r="C63" s="17">
        <v>8</v>
      </c>
      <c r="D63" s="33"/>
      <c r="E63" s="32"/>
      <c r="F63" s="17"/>
      <c r="G63" s="33"/>
      <c r="H63" s="32"/>
      <c r="I63" s="17"/>
      <c r="J63" s="33"/>
    </row>
    <row r="64" spans="1:10" x14ac:dyDescent="0.25">
      <c r="A64" s="26" t="s">
        <v>10</v>
      </c>
      <c r="B64" s="32">
        <v>2.7</v>
      </c>
      <c r="C64" s="17">
        <v>4</v>
      </c>
      <c r="D64" s="33"/>
      <c r="E64" s="32"/>
      <c r="F64" s="38">
        <v>11</v>
      </c>
      <c r="G64" s="33"/>
      <c r="H64" s="32">
        <v>5</v>
      </c>
      <c r="I64" s="17"/>
      <c r="J64" s="33"/>
    </row>
    <row r="65" spans="1:10" x14ac:dyDescent="0.25">
      <c r="A65" s="26" t="s">
        <v>17</v>
      </c>
      <c r="B65" s="32">
        <v>6.5</v>
      </c>
      <c r="C65" s="17">
        <v>1.9</v>
      </c>
      <c r="D65" s="33"/>
      <c r="E65" s="37">
        <v>5</v>
      </c>
      <c r="F65" s="38">
        <v>11</v>
      </c>
      <c r="G65" s="33"/>
      <c r="H65" s="32">
        <v>6.8</v>
      </c>
      <c r="I65" s="17"/>
      <c r="J65" s="33"/>
    </row>
    <row r="66" spans="1:10" x14ac:dyDescent="0.25">
      <c r="A66" s="26" t="s">
        <v>11</v>
      </c>
      <c r="B66" s="32">
        <f>4.1+4.6+0.1</f>
        <v>8.7999999999999989</v>
      </c>
      <c r="C66" s="17">
        <f>4.2+3.3+0.1</f>
        <v>7.6</v>
      </c>
      <c r="D66" s="33"/>
      <c r="E66" s="37">
        <v>5</v>
      </c>
      <c r="F66" s="38">
        <v>11</v>
      </c>
      <c r="G66" s="33"/>
      <c r="H66" s="32">
        <f>5.8+5.5</f>
        <v>11.3</v>
      </c>
      <c r="I66" s="17"/>
      <c r="J66" s="33"/>
    </row>
    <row r="67" spans="1:10" x14ac:dyDescent="0.25">
      <c r="A67" s="26" t="s">
        <v>12</v>
      </c>
      <c r="B67" s="32">
        <v>0.2</v>
      </c>
      <c r="C67" s="17">
        <v>2.1</v>
      </c>
      <c r="D67" s="33"/>
      <c r="E67" s="32">
        <v>4.5</v>
      </c>
      <c r="F67" s="17">
        <v>6.1</v>
      </c>
      <c r="G67" s="33"/>
      <c r="H67" s="32">
        <v>12.1</v>
      </c>
      <c r="I67" s="17"/>
      <c r="J67" s="33"/>
    </row>
    <row r="68" spans="1:10" x14ac:dyDescent="0.25">
      <c r="A68" s="26" t="s">
        <v>13</v>
      </c>
      <c r="B68" s="32">
        <v>0.3</v>
      </c>
      <c r="C68" s="17">
        <v>0.9</v>
      </c>
      <c r="D68" s="33"/>
      <c r="E68" s="37">
        <v>2.4</v>
      </c>
      <c r="F68" s="38">
        <v>11</v>
      </c>
      <c r="G68" s="33"/>
      <c r="H68" s="32">
        <v>3.2</v>
      </c>
      <c r="I68" s="17"/>
      <c r="J68" s="33"/>
    </row>
    <row r="69" spans="1:10" x14ac:dyDescent="0.25">
      <c r="A69" s="26" t="s">
        <v>14</v>
      </c>
      <c r="B69" s="32">
        <f>3.1+0.5+0.3</f>
        <v>3.9</v>
      </c>
      <c r="C69" s="17">
        <f>2.2+0.4</f>
        <v>2.6</v>
      </c>
      <c r="D69" s="33"/>
      <c r="E69" s="32"/>
      <c r="F69" s="17"/>
      <c r="G69" s="33"/>
      <c r="H69" s="32"/>
      <c r="I69" s="17"/>
      <c r="J69" s="33"/>
    </row>
    <row r="70" spans="1:10" x14ac:dyDescent="0.25">
      <c r="A70" s="26" t="s">
        <v>15</v>
      </c>
      <c r="B70" s="32"/>
      <c r="C70" s="17"/>
      <c r="D70" s="33"/>
      <c r="E70" s="32"/>
      <c r="F70" s="17"/>
      <c r="G70" s="33"/>
      <c r="H70" s="32"/>
      <c r="I70" s="17"/>
      <c r="J70" s="33"/>
    </row>
    <row r="71" spans="1:10" x14ac:dyDescent="0.25">
      <c r="A71" s="26" t="s">
        <v>49</v>
      </c>
      <c r="B71" s="32"/>
      <c r="C71" s="17"/>
      <c r="D71" s="33"/>
      <c r="E71" s="32"/>
      <c r="F71" s="17"/>
      <c r="G71" s="33"/>
      <c r="H71" s="32"/>
      <c r="I71" s="17"/>
      <c r="J71" s="33"/>
    </row>
    <row r="72" spans="1:10" x14ac:dyDescent="0.25">
      <c r="A72" s="26" t="s">
        <v>57</v>
      </c>
      <c r="B72" s="32">
        <v>0.1</v>
      </c>
      <c r="C72" s="17">
        <v>0.1</v>
      </c>
      <c r="D72" s="33"/>
      <c r="E72" s="32"/>
      <c r="F72" s="17"/>
      <c r="G72" s="33"/>
      <c r="H72" s="32"/>
      <c r="I72" s="17"/>
      <c r="J72" s="33"/>
    </row>
    <row r="73" spans="1:10" x14ac:dyDescent="0.25">
      <c r="A73" s="26"/>
      <c r="B73" s="32"/>
      <c r="C73" s="17"/>
      <c r="D73" s="33"/>
      <c r="E73" s="32"/>
      <c r="F73" s="17"/>
      <c r="G73" s="33"/>
      <c r="H73" s="32"/>
      <c r="I73" s="17"/>
      <c r="J73" s="33"/>
    </row>
    <row r="74" spans="1:10" x14ac:dyDescent="0.25">
      <c r="A74" s="26" t="s">
        <v>16</v>
      </c>
      <c r="B74" s="32">
        <v>6</v>
      </c>
      <c r="C74" s="17">
        <v>2.5</v>
      </c>
      <c r="D74" s="33"/>
      <c r="E74" s="32"/>
      <c r="F74" s="17"/>
      <c r="G74" s="33"/>
      <c r="H74" s="32">
        <v>6.2</v>
      </c>
      <c r="I74" s="17"/>
      <c r="J74" s="33"/>
    </row>
    <row r="75" spans="1:10" x14ac:dyDescent="0.25">
      <c r="A75" s="26"/>
      <c r="B75" s="32"/>
      <c r="C75" s="17"/>
      <c r="D75" s="33"/>
      <c r="E75" s="32"/>
      <c r="F75" s="17"/>
      <c r="G75" s="33"/>
      <c r="H75" s="32"/>
      <c r="I75" s="17"/>
      <c r="J75" s="33"/>
    </row>
    <row r="76" spans="1:10" x14ac:dyDescent="0.25">
      <c r="A76" s="26" t="s">
        <v>23</v>
      </c>
      <c r="B76" s="32">
        <f t="shared" ref="B76:H76" si="6">SUM(B57:B75)</f>
        <v>100.3</v>
      </c>
      <c r="C76" s="17">
        <f t="shared" si="6"/>
        <v>99.899999999999991</v>
      </c>
      <c r="D76" s="33">
        <f t="shared" si="6"/>
        <v>0</v>
      </c>
      <c r="E76" s="32">
        <f t="shared" si="6"/>
        <v>100.00000000000001</v>
      </c>
      <c r="F76" s="17">
        <f t="shared" si="6"/>
        <v>100</v>
      </c>
      <c r="G76" s="33">
        <f t="shared" si="6"/>
        <v>0</v>
      </c>
      <c r="H76" s="32">
        <f t="shared" si="6"/>
        <v>99.899999999999991</v>
      </c>
      <c r="I76" s="17"/>
      <c r="J76" s="33"/>
    </row>
    <row r="77" spans="1:10" ht="54.75" customHeight="1" x14ac:dyDescent="0.25">
      <c r="A77" s="28" t="s">
        <v>24</v>
      </c>
      <c r="B77" s="389" t="s">
        <v>77</v>
      </c>
      <c r="C77" s="390"/>
      <c r="D77" s="391"/>
      <c r="E77" s="399" t="s">
        <v>79</v>
      </c>
      <c r="F77" s="400"/>
      <c r="G77" s="401"/>
      <c r="H77" s="40"/>
      <c r="I77" s="41"/>
      <c r="J77" s="42"/>
    </row>
  </sheetData>
  <mergeCells count="14">
    <mergeCell ref="B55:D55"/>
    <mergeCell ref="E55:G55"/>
    <mergeCell ref="H55:J55"/>
    <mergeCell ref="B77:D77"/>
    <mergeCell ref="L26:P38"/>
    <mergeCell ref="E50:G50"/>
    <mergeCell ref="H56:J56"/>
    <mergeCell ref="E77:G77"/>
    <mergeCell ref="B23:D23"/>
    <mergeCell ref="L5:R5"/>
    <mergeCell ref="B50:D50"/>
    <mergeCell ref="B27:D27"/>
    <mergeCell ref="E27:G27"/>
    <mergeCell ref="H27:J27"/>
  </mergeCells>
  <hyperlinks>
    <hyperlink ref="H55:J55" r:id="rId1" display="Source: Cargill aqua sustainabilty report 2019" xr:uid="{17029574-FE33-4822-9D0E-1868628E9D6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ECFA-E272-43BD-89DE-60D7AF7BBBE2}">
  <dimension ref="A1:K88"/>
  <sheetViews>
    <sheetView topLeftCell="A49" zoomScale="85" zoomScaleNormal="85" workbookViewId="0">
      <selection activeCell="M17" sqref="M17"/>
    </sheetView>
  </sheetViews>
  <sheetFormatPr defaultRowHeight="15" x14ac:dyDescent="0.25"/>
  <cols>
    <col min="2" max="2" width="31.140625" customWidth="1"/>
    <col min="3" max="3" width="13" customWidth="1"/>
  </cols>
  <sheetData>
    <row r="1" spans="1:9" x14ac:dyDescent="0.25">
      <c r="A1" t="s">
        <v>59</v>
      </c>
    </row>
    <row r="2" spans="1:9" x14ac:dyDescent="0.25">
      <c r="A2" s="10" t="s">
        <v>63</v>
      </c>
      <c r="B2" s="10"/>
      <c r="C2" s="10"/>
      <c r="D2" s="10"/>
      <c r="E2" s="10"/>
      <c r="F2" s="10"/>
      <c r="G2" s="10"/>
      <c r="H2" s="10"/>
      <c r="I2" s="10"/>
    </row>
    <row r="3" spans="1:9" x14ac:dyDescent="0.25">
      <c r="A3" s="5">
        <v>2016</v>
      </c>
      <c r="B3" s="5"/>
      <c r="C3" s="5"/>
      <c r="D3" s="5"/>
      <c r="E3" t="s">
        <v>36</v>
      </c>
    </row>
    <row r="4" spans="1:9" x14ac:dyDescent="0.25">
      <c r="A4" t="s">
        <v>32</v>
      </c>
      <c r="C4" s="3">
        <v>157323</v>
      </c>
      <c r="D4" t="s">
        <v>35</v>
      </c>
      <c r="E4" s="2" t="s">
        <v>46</v>
      </c>
      <c r="H4" t="s">
        <v>47</v>
      </c>
    </row>
    <row r="5" spans="1:9" x14ac:dyDescent="0.25">
      <c r="A5" t="s">
        <v>33</v>
      </c>
      <c r="C5" s="3">
        <v>23011</v>
      </c>
      <c r="D5" t="s">
        <v>35</v>
      </c>
      <c r="E5" s="2" t="s">
        <v>46</v>
      </c>
      <c r="H5" t="s">
        <v>47</v>
      </c>
    </row>
    <row r="6" spans="1:9" x14ac:dyDescent="0.25">
      <c r="A6" t="s">
        <v>34</v>
      </c>
      <c r="C6" s="3">
        <f>C4-C5</f>
        <v>134312</v>
      </c>
      <c r="D6" t="s">
        <v>35</v>
      </c>
    </row>
    <row r="7" spans="1:9" x14ac:dyDescent="0.25">
      <c r="A7" t="s">
        <v>38</v>
      </c>
      <c r="C7" s="4">
        <v>0.22500000000000001</v>
      </c>
      <c r="E7" s="2" t="s">
        <v>37</v>
      </c>
    </row>
    <row r="8" spans="1:9" x14ac:dyDescent="0.25">
      <c r="A8" s="6" t="s">
        <v>39</v>
      </c>
      <c r="B8" s="6"/>
      <c r="C8" s="7">
        <f>C6/C7</f>
        <v>596942.22222222225</v>
      </c>
      <c r="D8" s="6" t="s">
        <v>35</v>
      </c>
    </row>
    <row r="9" spans="1:9" x14ac:dyDescent="0.25">
      <c r="C9" s="3"/>
    </row>
    <row r="10" spans="1:9" x14ac:dyDescent="0.25">
      <c r="A10" t="s">
        <v>40</v>
      </c>
      <c r="C10" s="3">
        <v>84728</v>
      </c>
      <c r="D10" t="s">
        <v>35</v>
      </c>
      <c r="E10" s="2" t="s">
        <v>46</v>
      </c>
      <c r="H10" t="s">
        <v>48</v>
      </c>
    </row>
    <row r="11" spans="1:9" x14ac:dyDescent="0.25">
      <c r="A11" t="s">
        <v>41</v>
      </c>
      <c r="C11" s="3">
        <v>37068</v>
      </c>
      <c r="D11" t="s">
        <v>35</v>
      </c>
      <c r="E11" s="2" t="s">
        <v>46</v>
      </c>
      <c r="H11" t="s">
        <v>48</v>
      </c>
    </row>
    <row r="12" spans="1:9" x14ac:dyDescent="0.25">
      <c r="A12" t="s">
        <v>42</v>
      </c>
      <c r="C12" s="3">
        <f>C10-C11</f>
        <v>47660</v>
      </c>
      <c r="D12" t="s">
        <v>35</v>
      </c>
    </row>
    <row r="13" spans="1:9" x14ac:dyDescent="0.25">
      <c r="A13" t="s">
        <v>43</v>
      </c>
      <c r="C13" s="1">
        <v>4.8000000000000001E-2</v>
      </c>
      <c r="E13" s="2" t="s">
        <v>37</v>
      </c>
    </row>
    <row r="14" spans="1:9" x14ac:dyDescent="0.25">
      <c r="A14" s="8" t="s">
        <v>45</v>
      </c>
      <c r="B14" s="8"/>
      <c r="C14" s="9">
        <f>C12/C13</f>
        <v>992916.66666666663</v>
      </c>
      <c r="D14" s="8" t="s">
        <v>35</v>
      </c>
    </row>
    <row r="17" spans="1:5" x14ac:dyDescent="0.25">
      <c r="A17" s="5">
        <v>2018</v>
      </c>
      <c r="B17" s="5"/>
      <c r="C17" s="5"/>
      <c r="D17" s="5"/>
      <c r="E17" t="s">
        <v>36</v>
      </c>
    </row>
    <row r="18" spans="1:5" x14ac:dyDescent="0.25">
      <c r="A18" t="s">
        <v>32</v>
      </c>
      <c r="C18" s="3">
        <v>174401</v>
      </c>
      <c r="D18" t="s">
        <v>35</v>
      </c>
      <c r="E18" t="s">
        <v>44</v>
      </c>
    </row>
    <row r="19" spans="1:5" x14ac:dyDescent="0.25">
      <c r="A19" t="s">
        <v>33</v>
      </c>
      <c r="C19" s="3">
        <v>16556</v>
      </c>
      <c r="D19" t="s">
        <v>35</v>
      </c>
      <c r="E19" t="s">
        <v>44</v>
      </c>
    </row>
    <row r="20" spans="1:5" x14ac:dyDescent="0.25">
      <c r="A20" t="s">
        <v>34</v>
      </c>
      <c r="C20" s="3">
        <f>C18-C19</f>
        <v>157845</v>
      </c>
      <c r="D20" t="s">
        <v>35</v>
      </c>
    </row>
    <row r="21" spans="1:5" x14ac:dyDescent="0.25">
      <c r="A21" t="s">
        <v>38</v>
      </c>
      <c r="C21" s="4">
        <v>0.22500000000000001</v>
      </c>
      <c r="E21" s="2" t="s">
        <v>37</v>
      </c>
    </row>
    <row r="22" spans="1:5" x14ac:dyDescent="0.25">
      <c r="A22" s="6" t="s">
        <v>39</v>
      </c>
      <c r="B22" s="6"/>
      <c r="C22" s="7">
        <f>C20/C21</f>
        <v>701533.33333333337</v>
      </c>
      <c r="D22" s="6" t="s">
        <v>35</v>
      </c>
    </row>
    <row r="23" spans="1:5" x14ac:dyDescent="0.25">
      <c r="C23" s="3"/>
    </row>
    <row r="24" spans="1:5" x14ac:dyDescent="0.25">
      <c r="A24" t="s">
        <v>40</v>
      </c>
      <c r="C24" s="3">
        <v>93207</v>
      </c>
      <c r="D24" t="s">
        <v>35</v>
      </c>
      <c r="E24" t="s">
        <v>44</v>
      </c>
    </row>
    <row r="25" spans="1:5" x14ac:dyDescent="0.25">
      <c r="A25" t="s">
        <v>41</v>
      </c>
      <c r="C25" s="3">
        <v>39557</v>
      </c>
      <c r="D25" t="s">
        <v>35</v>
      </c>
      <c r="E25" t="s">
        <v>44</v>
      </c>
    </row>
    <row r="26" spans="1:5" x14ac:dyDescent="0.25">
      <c r="A26" t="s">
        <v>42</v>
      </c>
      <c r="C26" s="3">
        <f>C24-C25</f>
        <v>53650</v>
      </c>
      <c r="D26" t="s">
        <v>35</v>
      </c>
    </row>
    <row r="27" spans="1:5" x14ac:dyDescent="0.25">
      <c r="A27" t="s">
        <v>43</v>
      </c>
      <c r="C27" s="1">
        <v>4.8000000000000001E-2</v>
      </c>
      <c r="E27" s="2" t="s">
        <v>37</v>
      </c>
    </row>
    <row r="28" spans="1:5" x14ac:dyDescent="0.25">
      <c r="A28" s="8" t="s">
        <v>45</v>
      </c>
      <c r="B28" s="8"/>
      <c r="C28" s="9">
        <f>C26/C27</f>
        <v>1117708.3333333333</v>
      </c>
      <c r="D28" s="8" t="s">
        <v>35</v>
      </c>
    </row>
    <row r="30" spans="1:5" x14ac:dyDescent="0.25">
      <c r="A30" s="5">
        <v>2019</v>
      </c>
      <c r="B30" s="5"/>
      <c r="C30" s="5"/>
      <c r="D30" s="5"/>
    </row>
    <row r="31" spans="1:5" x14ac:dyDescent="0.25">
      <c r="A31" t="s">
        <v>32</v>
      </c>
      <c r="C31" s="3">
        <v>220640</v>
      </c>
      <c r="D31" t="s">
        <v>35</v>
      </c>
      <c r="E31" t="s">
        <v>58</v>
      </c>
    </row>
    <row r="32" spans="1:5" x14ac:dyDescent="0.25">
      <c r="A32" t="s">
        <v>33</v>
      </c>
      <c r="C32" s="3">
        <v>61596</v>
      </c>
      <c r="D32" t="s">
        <v>35</v>
      </c>
      <c r="E32" t="s">
        <v>58</v>
      </c>
    </row>
    <row r="33" spans="1:11" x14ac:dyDescent="0.25">
      <c r="A33" t="s">
        <v>34</v>
      </c>
      <c r="C33" s="3">
        <f>C31-C32</f>
        <v>159044</v>
      </c>
      <c r="D33" t="s">
        <v>35</v>
      </c>
    </row>
    <row r="34" spans="1:11" x14ac:dyDescent="0.25">
      <c r="A34" t="s">
        <v>38</v>
      </c>
      <c r="C34" s="4">
        <v>0.22500000000000001</v>
      </c>
      <c r="E34" s="2" t="s">
        <v>37</v>
      </c>
    </row>
    <row r="35" spans="1:11" x14ac:dyDescent="0.25">
      <c r="A35" s="6" t="s">
        <v>39</v>
      </c>
      <c r="B35" s="6"/>
      <c r="C35" s="7">
        <f>C33/C34</f>
        <v>706862.22222222225</v>
      </c>
      <c r="D35" s="6" t="s">
        <v>35</v>
      </c>
    </row>
    <row r="36" spans="1:11" x14ac:dyDescent="0.25">
      <c r="C36" s="3"/>
    </row>
    <row r="37" spans="1:11" x14ac:dyDescent="0.25">
      <c r="A37" t="s">
        <v>40</v>
      </c>
      <c r="C37" s="3">
        <v>106041</v>
      </c>
      <c r="D37" t="s">
        <v>35</v>
      </c>
      <c r="E37" t="s">
        <v>58</v>
      </c>
    </row>
    <row r="38" spans="1:11" x14ac:dyDescent="0.25">
      <c r="A38" t="s">
        <v>41</v>
      </c>
      <c r="C38" s="3">
        <v>31310</v>
      </c>
      <c r="D38" t="s">
        <v>35</v>
      </c>
      <c r="E38" t="s">
        <v>58</v>
      </c>
    </row>
    <row r="39" spans="1:11" x14ac:dyDescent="0.25">
      <c r="A39" t="s">
        <v>42</v>
      </c>
      <c r="C39" s="3">
        <f>C37-C38</f>
        <v>74731</v>
      </c>
      <c r="D39" t="s">
        <v>35</v>
      </c>
    </row>
    <row r="40" spans="1:11" x14ac:dyDescent="0.25">
      <c r="A40" t="s">
        <v>43</v>
      </c>
      <c r="C40" s="1">
        <v>4.8000000000000001E-2</v>
      </c>
      <c r="E40" s="2" t="s">
        <v>37</v>
      </c>
    </row>
    <row r="41" spans="1:11" x14ac:dyDescent="0.25">
      <c r="A41" s="8" t="s">
        <v>45</v>
      </c>
      <c r="B41" s="8"/>
      <c r="C41" s="9">
        <f>C39/C40</f>
        <v>1556895.8333333333</v>
      </c>
      <c r="D41" s="8" t="s">
        <v>35</v>
      </c>
    </row>
    <row r="43" spans="1:11" x14ac:dyDescent="0.25">
      <c r="A43" s="11" t="s">
        <v>64</v>
      </c>
      <c r="B43" s="11"/>
      <c r="C43" s="11"/>
      <c r="D43" s="11"/>
      <c r="E43" s="11"/>
      <c r="F43" s="11"/>
      <c r="G43" s="11"/>
      <c r="H43" s="11"/>
      <c r="I43" s="11"/>
      <c r="J43" s="11"/>
      <c r="K43" s="11"/>
    </row>
    <row r="44" spans="1:11" x14ac:dyDescent="0.25">
      <c r="A44" s="5">
        <v>2018</v>
      </c>
      <c r="B44" s="5"/>
      <c r="C44" s="5"/>
      <c r="D44" s="5"/>
    </row>
    <row r="45" spans="1:11" x14ac:dyDescent="0.25">
      <c r="A45" t="s">
        <v>71</v>
      </c>
      <c r="C45" s="3">
        <v>46508</v>
      </c>
      <c r="D45" t="s">
        <v>35</v>
      </c>
      <c r="E45" t="s">
        <v>89</v>
      </c>
    </row>
    <row r="46" spans="1:11" x14ac:dyDescent="0.25">
      <c r="A46" t="s">
        <v>73</v>
      </c>
      <c r="C46" s="22">
        <v>0.10199999999999999</v>
      </c>
      <c r="E46" t="s">
        <v>90</v>
      </c>
    </row>
    <row r="47" spans="1:11" x14ac:dyDescent="0.25">
      <c r="A47" t="s">
        <v>33</v>
      </c>
      <c r="C47" s="3">
        <f>C45*C46</f>
        <v>4743.8159999999998</v>
      </c>
      <c r="D47" t="s">
        <v>35</v>
      </c>
    </row>
    <row r="48" spans="1:11" x14ac:dyDescent="0.25">
      <c r="A48" t="s">
        <v>72</v>
      </c>
      <c r="C48" s="3">
        <f>C45-C47</f>
        <v>41764.184000000001</v>
      </c>
      <c r="D48" t="s">
        <v>35</v>
      </c>
    </row>
    <row r="49" spans="1:5" x14ac:dyDescent="0.25">
      <c r="A49" t="s">
        <v>38</v>
      </c>
      <c r="C49" s="4">
        <v>0.22500000000000001</v>
      </c>
    </row>
    <row r="50" spans="1:5" x14ac:dyDescent="0.25">
      <c r="A50" s="6" t="s">
        <v>39</v>
      </c>
      <c r="B50" s="6"/>
      <c r="C50" s="7">
        <f>C48/C49</f>
        <v>185618.59555555557</v>
      </c>
      <c r="D50" s="6" t="s">
        <v>35</v>
      </c>
    </row>
    <row r="51" spans="1:5" x14ac:dyDescent="0.25">
      <c r="C51" s="3"/>
    </row>
    <row r="52" spans="1:5" x14ac:dyDescent="0.25">
      <c r="A52" t="s">
        <v>74</v>
      </c>
      <c r="C52" s="3">
        <v>36126</v>
      </c>
      <c r="D52" t="s">
        <v>35</v>
      </c>
      <c r="E52" t="s">
        <v>89</v>
      </c>
    </row>
    <row r="53" spans="1:5" x14ac:dyDescent="0.25">
      <c r="A53" t="s">
        <v>75</v>
      </c>
      <c r="C53" s="22">
        <v>4.9000000000000002E-2</v>
      </c>
      <c r="E53" t="s">
        <v>90</v>
      </c>
    </row>
    <row r="54" spans="1:5" x14ac:dyDescent="0.25">
      <c r="A54" t="s">
        <v>76</v>
      </c>
      <c r="C54" s="3">
        <f>C52*C53</f>
        <v>1770.174</v>
      </c>
      <c r="D54" t="s">
        <v>35</v>
      </c>
    </row>
    <row r="55" spans="1:5" x14ac:dyDescent="0.25">
      <c r="A55" t="s">
        <v>42</v>
      </c>
      <c r="C55" s="3">
        <f>C52-C54</f>
        <v>34355.826000000001</v>
      </c>
      <c r="D55" t="s">
        <v>35</v>
      </c>
    </row>
    <row r="56" spans="1:5" x14ac:dyDescent="0.25">
      <c r="A56" t="s">
        <v>43</v>
      </c>
      <c r="C56" s="1">
        <v>4.8000000000000001E-2</v>
      </c>
    </row>
    <row r="57" spans="1:5" x14ac:dyDescent="0.25">
      <c r="A57" s="8" t="s">
        <v>45</v>
      </c>
      <c r="B57" s="8"/>
      <c r="C57" s="9">
        <f>C55/C56</f>
        <v>715746.375</v>
      </c>
      <c r="D57" s="8" t="s">
        <v>35</v>
      </c>
    </row>
    <row r="59" spans="1:5" x14ac:dyDescent="0.25">
      <c r="A59" s="5">
        <v>2019</v>
      </c>
      <c r="B59" s="5"/>
      <c r="C59" s="5"/>
      <c r="D59" s="5"/>
    </row>
    <row r="60" spans="1:5" x14ac:dyDescent="0.25">
      <c r="A60" t="s">
        <v>71</v>
      </c>
      <c r="C60" s="3">
        <v>52391</v>
      </c>
      <c r="D60" t="s">
        <v>35</v>
      </c>
      <c r="E60" t="s">
        <v>80</v>
      </c>
    </row>
    <row r="61" spans="1:5" x14ac:dyDescent="0.25">
      <c r="A61" t="s">
        <v>73</v>
      </c>
      <c r="C61" s="22">
        <v>0.10199999999999999</v>
      </c>
      <c r="E61" t="s">
        <v>81</v>
      </c>
    </row>
    <row r="62" spans="1:5" x14ac:dyDescent="0.25">
      <c r="A62" t="s">
        <v>33</v>
      </c>
      <c r="C62" s="3">
        <f>C60*C61</f>
        <v>5343.8819999999996</v>
      </c>
      <c r="D62" t="s">
        <v>35</v>
      </c>
    </row>
    <row r="63" spans="1:5" x14ac:dyDescent="0.25">
      <c r="A63" t="s">
        <v>72</v>
      </c>
      <c r="C63" s="3">
        <f>C60-C62</f>
        <v>47047.118000000002</v>
      </c>
      <c r="D63" t="s">
        <v>35</v>
      </c>
    </row>
    <row r="64" spans="1:5" x14ac:dyDescent="0.25">
      <c r="A64" t="s">
        <v>38</v>
      </c>
      <c r="C64" s="4">
        <v>0.22500000000000001</v>
      </c>
    </row>
    <row r="65" spans="1:9" x14ac:dyDescent="0.25">
      <c r="A65" s="6" t="s">
        <v>39</v>
      </c>
      <c r="B65" s="6"/>
      <c r="C65" s="7">
        <f>C63/C64</f>
        <v>209098.30222222224</v>
      </c>
      <c r="D65" s="6" t="s">
        <v>35</v>
      </c>
    </row>
    <row r="66" spans="1:9" x14ac:dyDescent="0.25">
      <c r="C66" s="3"/>
    </row>
    <row r="67" spans="1:9" x14ac:dyDescent="0.25">
      <c r="A67" t="s">
        <v>74</v>
      </c>
      <c r="C67" s="3">
        <v>44490</v>
      </c>
      <c r="D67" t="s">
        <v>35</v>
      </c>
      <c r="E67" t="s">
        <v>80</v>
      </c>
    </row>
    <row r="68" spans="1:9" x14ac:dyDescent="0.25">
      <c r="A68" t="s">
        <v>75</v>
      </c>
      <c r="C68" s="22">
        <v>4.9000000000000002E-2</v>
      </c>
      <c r="E68" t="s">
        <v>81</v>
      </c>
    </row>
    <row r="69" spans="1:9" x14ac:dyDescent="0.25">
      <c r="A69" t="s">
        <v>76</v>
      </c>
      <c r="C69" s="3">
        <f>C67*C68</f>
        <v>2180.0100000000002</v>
      </c>
      <c r="D69" t="s">
        <v>35</v>
      </c>
    </row>
    <row r="70" spans="1:9" x14ac:dyDescent="0.25">
      <c r="A70" t="s">
        <v>42</v>
      </c>
      <c r="C70" s="3">
        <f>C67-C69</f>
        <v>42309.99</v>
      </c>
      <c r="D70" t="s">
        <v>35</v>
      </c>
    </row>
    <row r="71" spans="1:9" x14ac:dyDescent="0.25">
      <c r="A71" t="s">
        <v>43</v>
      </c>
      <c r="C71" s="1">
        <v>4.8000000000000001E-2</v>
      </c>
    </row>
    <row r="72" spans="1:9" x14ac:dyDescent="0.25">
      <c r="A72" s="8" t="s">
        <v>45</v>
      </c>
      <c r="B72" s="8"/>
      <c r="C72" s="9">
        <f>C70/C71</f>
        <v>881458.12499999988</v>
      </c>
      <c r="D72" s="8" t="s">
        <v>35</v>
      </c>
    </row>
    <row r="74" spans="1:9" x14ac:dyDescent="0.25">
      <c r="A74" s="24" t="s">
        <v>92</v>
      </c>
      <c r="B74" s="23"/>
      <c r="C74" s="23"/>
      <c r="D74" s="23"/>
      <c r="E74" s="23"/>
      <c r="F74" s="23"/>
      <c r="G74" s="23"/>
      <c r="H74" s="23"/>
      <c r="I74" s="23"/>
    </row>
    <row r="75" spans="1:9" x14ac:dyDescent="0.25">
      <c r="A75" s="5">
        <v>2019</v>
      </c>
      <c r="B75" s="5"/>
      <c r="C75" s="5"/>
      <c r="D75" s="5"/>
    </row>
    <row r="76" spans="1:9" x14ac:dyDescent="0.25">
      <c r="A76" t="s">
        <v>82</v>
      </c>
      <c r="C76" s="3">
        <v>179688</v>
      </c>
      <c r="D76" t="s">
        <v>35</v>
      </c>
      <c r="E76" t="s">
        <v>86</v>
      </c>
    </row>
    <row r="77" spans="1:9" x14ac:dyDescent="0.25">
      <c r="A77" t="s">
        <v>73</v>
      </c>
      <c r="C77" s="22">
        <v>0.40899999999999997</v>
      </c>
      <c r="E77" t="s">
        <v>86</v>
      </c>
    </row>
    <row r="78" spans="1:9" x14ac:dyDescent="0.25">
      <c r="A78" t="s">
        <v>33</v>
      </c>
      <c r="C78" s="3">
        <f>C76*C77</f>
        <v>73492.391999999993</v>
      </c>
      <c r="D78" t="s">
        <v>35</v>
      </c>
    </row>
    <row r="79" spans="1:9" x14ac:dyDescent="0.25">
      <c r="A79" t="s">
        <v>84</v>
      </c>
      <c r="C79" s="3">
        <f>C76-C78</f>
        <v>106195.60800000001</v>
      </c>
      <c r="D79" t="s">
        <v>35</v>
      </c>
    </row>
    <row r="80" spans="1:9" x14ac:dyDescent="0.25">
      <c r="A80" t="s">
        <v>38</v>
      </c>
      <c r="C80" s="4">
        <v>0.22500000000000001</v>
      </c>
    </row>
    <row r="81" spans="1:5" x14ac:dyDescent="0.25">
      <c r="A81" s="6" t="s">
        <v>39</v>
      </c>
      <c r="B81" s="6"/>
      <c r="C81" s="7">
        <f>C79/C80</f>
        <v>471980.48000000004</v>
      </c>
      <c r="D81" s="6" t="s">
        <v>35</v>
      </c>
    </row>
    <row r="82" spans="1:5" x14ac:dyDescent="0.25">
      <c r="C82" s="3"/>
    </row>
    <row r="83" spans="1:5" x14ac:dyDescent="0.25">
      <c r="A83" t="s">
        <v>83</v>
      </c>
      <c r="C83" s="3">
        <v>129182</v>
      </c>
      <c r="D83" t="s">
        <v>35</v>
      </c>
      <c r="E83" t="s">
        <v>86</v>
      </c>
    </row>
    <row r="84" spans="1:5" x14ac:dyDescent="0.25">
      <c r="A84" t="s">
        <v>75</v>
      </c>
      <c r="C84" s="22">
        <v>0.28100000000000003</v>
      </c>
      <c r="E84" t="s">
        <v>86</v>
      </c>
    </row>
    <row r="85" spans="1:5" x14ac:dyDescent="0.25">
      <c r="A85" t="s">
        <v>85</v>
      </c>
      <c r="C85" s="3">
        <f>C83*C84</f>
        <v>36300.142000000007</v>
      </c>
      <c r="D85" t="s">
        <v>35</v>
      </c>
    </row>
    <row r="86" spans="1:5" x14ac:dyDescent="0.25">
      <c r="A86" t="s">
        <v>42</v>
      </c>
      <c r="C86" s="3">
        <f>C83-C85</f>
        <v>92881.857999999993</v>
      </c>
      <c r="D86" t="s">
        <v>35</v>
      </c>
    </row>
    <row r="87" spans="1:5" x14ac:dyDescent="0.25">
      <c r="A87" t="s">
        <v>43</v>
      </c>
      <c r="C87" s="1">
        <v>4.8000000000000001E-2</v>
      </c>
    </row>
    <row r="88" spans="1:5" x14ac:dyDescent="0.25">
      <c r="A88" s="8" t="s">
        <v>45</v>
      </c>
      <c r="B88" s="8"/>
      <c r="C88" s="9">
        <f>C86/C87</f>
        <v>1935038.7083333333</v>
      </c>
      <c r="D88" s="8" t="s">
        <v>35</v>
      </c>
    </row>
  </sheetData>
  <phoneticPr fontId="4" type="noConversion"/>
  <hyperlinks>
    <hyperlink ref="E7" r:id="rId1" xr:uid="{ADBBBCAB-40D7-4A25-84ED-604B93E524DB}"/>
    <hyperlink ref="E13" r:id="rId2" xr:uid="{24C33810-7D1D-4D73-96B0-64E9D7E2E711}"/>
    <hyperlink ref="E21" r:id="rId3" xr:uid="{AE4304D6-88A6-4FE3-B142-749F250F0E54}"/>
    <hyperlink ref="E27" r:id="rId4" xr:uid="{79177A32-8330-4C86-BD42-05D2CB48BFDD}"/>
    <hyperlink ref="E4" r:id="rId5" xr:uid="{9FA23B20-166D-4BE7-A9E0-6E5FE85C8C7E}"/>
    <hyperlink ref="E5" r:id="rId6" xr:uid="{476BE6E6-0F77-410A-880E-B5AF8ADC61CF}"/>
    <hyperlink ref="E10" r:id="rId7" xr:uid="{776576E8-7B93-4852-A30D-13A45CF27821}"/>
    <hyperlink ref="E11" r:id="rId8" xr:uid="{E09302D1-B4CB-4F51-AEEC-D14BE5CE96A6}"/>
    <hyperlink ref="E34" r:id="rId9" xr:uid="{8D95F89D-6218-453F-B300-5486585898F1}"/>
    <hyperlink ref="E40" r:id="rId10" xr:uid="{63CADCA3-F0D3-45A1-BC50-60B032B6C88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BCA7-6CE0-45C4-82EF-706637F2527D}">
  <dimension ref="A1:AY48"/>
  <sheetViews>
    <sheetView topLeftCell="A19" workbookViewId="0">
      <selection activeCell="J14" sqref="J14"/>
    </sheetView>
  </sheetViews>
  <sheetFormatPr defaultColWidth="10.140625" defaultRowHeight="15.75" x14ac:dyDescent="0.25"/>
  <cols>
    <col min="1" max="1" width="35.42578125" style="59" customWidth="1"/>
    <col min="2" max="2" width="8" style="59" customWidth="1"/>
    <col min="3" max="3" width="10.42578125" style="59" customWidth="1"/>
    <col min="4" max="4" width="10.7109375" style="59" customWidth="1"/>
    <col min="5" max="5" width="11.85546875" style="59" customWidth="1"/>
    <col min="6" max="6" width="9.140625" style="59" customWidth="1"/>
    <col min="7" max="7" width="15.42578125" style="59" customWidth="1"/>
    <col min="8" max="8" width="3" style="59" hidden="1" customWidth="1"/>
    <col min="9" max="9" width="14.42578125" style="59" customWidth="1"/>
    <col min="10" max="10" width="14.140625" style="59" customWidth="1"/>
    <col min="11" max="11" width="15.5703125" style="59" customWidth="1"/>
    <col min="12" max="12" width="15.42578125" style="59" customWidth="1"/>
    <col min="13" max="13" width="27" style="59" customWidth="1"/>
    <col min="14" max="14" width="68" style="59" bestFit="1" customWidth="1"/>
    <col min="15" max="16384" width="10.140625" style="59"/>
  </cols>
  <sheetData>
    <row r="1" spans="1:51" ht="18.75" x14ac:dyDescent="0.3">
      <c r="A1" s="55" t="s">
        <v>132</v>
      </c>
      <c r="B1" s="56"/>
      <c r="C1" s="56"/>
      <c r="D1" s="56"/>
      <c r="E1" s="57"/>
      <c r="F1" s="57"/>
      <c r="G1" s="57"/>
      <c r="H1" s="57"/>
      <c r="I1" s="57"/>
      <c r="J1" s="57"/>
      <c r="K1" s="57"/>
      <c r="L1" s="57"/>
      <c r="M1" s="58"/>
    </row>
    <row r="2" spans="1:51" s="65" customFormat="1" ht="42.95" customHeight="1" x14ac:dyDescent="0.25">
      <c r="A2" s="60" t="s">
        <v>133</v>
      </c>
      <c r="B2" s="61" t="s">
        <v>134</v>
      </c>
      <c r="C2" s="62" t="s">
        <v>135</v>
      </c>
      <c r="D2" s="62" t="s">
        <v>136</v>
      </c>
      <c r="E2" s="62" t="s">
        <v>137</v>
      </c>
      <c r="F2" s="62" t="s">
        <v>138</v>
      </c>
      <c r="G2" s="62" t="s">
        <v>139</v>
      </c>
      <c r="H2" s="62" t="s">
        <v>140</v>
      </c>
      <c r="I2" s="61" t="s">
        <v>141</v>
      </c>
      <c r="J2" s="62" t="s">
        <v>142</v>
      </c>
      <c r="K2" s="62" t="s">
        <v>143</v>
      </c>
      <c r="L2" s="62" t="s">
        <v>144</v>
      </c>
      <c r="M2" s="62" t="s">
        <v>145</v>
      </c>
      <c r="N2" s="63" t="s">
        <v>146</v>
      </c>
      <c r="O2" s="64"/>
    </row>
    <row r="3" spans="1:51" s="72" customFormat="1" ht="18.75" customHeight="1" x14ac:dyDescent="0.25">
      <c r="A3" s="66" t="s">
        <v>147</v>
      </c>
      <c r="B3" s="67"/>
      <c r="C3" s="68">
        <v>8</v>
      </c>
      <c r="D3" s="68">
        <v>0.34</v>
      </c>
      <c r="E3" s="68">
        <v>24</v>
      </c>
      <c r="F3" s="68">
        <v>0.49</v>
      </c>
      <c r="G3" s="68">
        <v>28</v>
      </c>
      <c r="H3" s="68"/>
      <c r="I3" s="68">
        <v>11</v>
      </c>
      <c r="J3" s="68">
        <v>4.1900000000000004</v>
      </c>
      <c r="K3" s="68"/>
      <c r="L3" s="69">
        <v>0.79139999999999999</v>
      </c>
      <c r="M3" s="69">
        <v>0.72870000000000001</v>
      </c>
      <c r="N3" s="70" t="s">
        <v>148</v>
      </c>
      <c r="O3" s="71" t="s">
        <v>149</v>
      </c>
      <c r="Q3" s="73"/>
      <c r="R3" s="73"/>
      <c r="S3" s="74"/>
      <c r="T3" s="74"/>
      <c r="U3" s="74"/>
      <c r="V3" s="74"/>
      <c r="W3" s="74"/>
      <c r="X3" s="74"/>
      <c r="Y3" s="74"/>
      <c r="Z3" s="74"/>
      <c r="AA3" s="74"/>
      <c r="AB3" s="74"/>
      <c r="AC3" s="75"/>
      <c r="AD3" s="74"/>
      <c r="AE3" s="76"/>
      <c r="AF3" s="76"/>
      <c r="AG3" s="76"/>
      <c r="AH3" s="76"/>
      <c r="AI3" s="76"/>
      <c r="AJ3" s="76"/>
      <c r="AK3" s="76"/>
      <c r="AL3" s="76"/>
      <c r="AM3" s="76"/>
      <c r="AN3" s="76"/>
      <c r="AO3" s="76"/>
      <c r="AP3" s="76"/>
      <c r="AQ3" s="76"/>
      <c r="AR3" s="76"/>
      <c r="AS3" s="76"/>
      <c r="AT3" s="76"/>
      <c r="AU3" s="76"/>
      <c r="AV3" s="76"/>
      <c r="AW3" s="75"/>
      <c r="AX3" s="75"/>
      <c r="AY3" s="74"/>
    </row>
    <row r="4" spans="1:51" ht="18.75" customHeight="1" x14ac:dyDescent="0.25">
      <c r="A4" s="77" t="s">
        <v>150</v>
      </c>
      <c r="B4" s="78"/>
      <c r="C4" s="79">
        <v>47</v>
      </c>
      <c r="D4" s="79">
        <v>0.9</v>
      </c>
      <c r="E4" s="79">
        <v>28</v>
      </c>
      <c r="F4" s="79">
        <v>1</v>
      </c>
      <c r="G4" s="80" t="s">
        <v>151</v>
      </c>
      <c r="H4" s="79"/>
      <c r="I4" s="80" t="s">
        <v>151</v>
      </c>
      <c r="J4" s="79">
        <v>2</v>
      </c>
      <c r="K4" s="79"/>
      <c r="L4" s="81"/>
      <c r="M4" s="81"/>
      <c r="N4" s="82" t="s">
        <v>152</v>
      </c>
      <c r="O4" s="83"/>
      <c r="Q4" s="84"/>
      <c r="R4" s="84"/>
      <c r="S4" s="85"/>
      <c r="T4" s="85"/>
      <c r="U4" s="85"/>
      <c r="V4" s="85"/>
      <c r="W4" s="85"/>
      <c r="X4" s="85"/>
      <c r="Y4" s="85"/>
      <c r="Z4" s="85"/>
      <c r="AA4" s="85"/>
      <c r="AB4" s="85"/>
      <c r="AC4" s="86"/>
      <c r="AD4" s="85"/>
      <c r="AE4" s="87"/>
      <c r="AF4" s="87"/>
      <c r="AG4" s="87"/>
      <c r="AH4" s="87"/>
      <c r="AI4" s="87"/>
      <c r="AJ4" s="87"/>
      <c r="AK4" s="87"/>
      <c r="AL4" s="87"/>
      <c r="AM4" s="87"/>
      <c r="AN4" s="87"/>
      <c r="AO4" s="87"/>
      <c r="AP4" s="87"/>
      <c r="AQ4" s="87"/>
      <c r="AR4" s="87"/>
      <c r="AS4" s="87"/>
      <c r="AT4" s="87"/>
      <c r="AU4" s="87"/>
      <c r="AV4" s="87"/>
      <c r="AW4" s="86"/>
      <c r="AX4" s="86"/>
      <c r="AY4" s="85"/>
    </row>
    <row r="5" spans="1:51" ht="18.75" customHeight="1" x14ac:dyDescent="0.25">
      <c r="A5" s="77" t="s">
        <v>153</v>
      </c>
      <c r="B5" s="78"/>
      <c r="C5" s="79"/>
      <c r="D5" s="79"/>
      <c r="E5" s="79"/>
      <c r="F5" s="79"/>
      <c r="G5" s="79"/>
      <c r="H5" s="79"/>
      <c r="I5" s="79"/>
      <c r="J5" s="79"/>
      <c r="K5" s="79"/>
      <c r="L5" s="81">
        <v>0.2</v>
      </c>
      <c r="M5" s="81">
        <v>0.1</v>
      </c>
      <c r="N5" s="88" t="s">
        <v>154</v>
      </c>
      <c r="O5" s="71" t="s">
        <v>155</v>
      </c>
      <c r="Q5" s="84"/>
      <c r="R5" s="84"/>
      <c r="S5" s="85"/>
      <c r="T5" s="85"/>
      <c r="U5" s="85"/>
      <c r="V5" s="85"/>
      <c r="W5" s="85"/>
      <c r="X5" s="85"/>
      <c r="Y5" s="85"/>
      <c r="Z5" s="85"/>
      <c r="AA5" s="85"/>
      <c r="AB5" s="85"/>
      <c r="AC5" s="86"/>
      <c r="AD5" s="85"/>
      <c r="AE5" s="87"/>
      <c r="AF5" s="87"/>
      <c r="AG5" s="87"/>
      <c r="AH5" s="87"/>
      <c r="AI5" s="87"/>
      <c r="AJ5" s="87"/>
      <c r="AK5" s="87"/>
      <c r="AL5" s="87"/>
      <c r="AM5" s="87"/>
      <c r="AN5" s="87"/>
      <c r="AO5" s="87"/>
      <c r="AP5" s="87"/>
      <c r="AQ5" s="87"/>
      <c r="AR5" s="87"/>
      <c r="AS5" s="87"/>
      <c r="AT5" s="87"/>
      <c r="AU5" s="87"/>
      <c r="AV5" s="87"/>
      <c r="AW5" s="86"/>
      <c r="AX5" s="86"/>
      <c r="AY5" s="85"/>
    </row>
    <row r="6" spans="1:51" ht="18.75" customHeight="1" x14ac:dyDescent="0.25">
      <c r="A6" s="77" t="s">
        <v>156</v>
      </c>
      <c r="B6" s="78"/>
      <c r="C6" s="79">
        <v>41</v>
      </c>
      <c r="D6" s="79">
        <v>1.24</v>
      </c>
      <c r="E6" s="79">
        <v>12.6</v>
      </c>
      <c r="F6" s="79">
        <v>1.48</v>
      </c>
      <c r="G6" s="79">
        <v>9</v>
      </c>
      <c r="H6" s="79"/>
      <c r="I6" s="79">
        <v>24.7</v>
      </c>
      <c r="J6" s="79">
        <v>1.53</v>
      </c>
      <c r="K6" s="79"/>
      <c r="L6" s="81">
        <v>0.23799999999999999</v>
      </c>
      <c r="M6" s="81">
        <v>0.114</v>
      </c>
      <c r="N6" s="89" t="s">
        <v>157</v>
      </c>
      <c r="O6" s="90" t="s">
        <v>158</v>
      </c>
      <c r="Q6" s="84"/>
      <c r="R6" s="84"/>
      <c r="S6" s="85"/>
      <c r="T6" s="85"/>
      <c r="U6" s="85"/>
      <c r="V6" s="85"/>
      <c r="W6" s="85"/>
      <c r="X6" s="85"/>
      <c r="Y6" s="85"/>
      <c r="Z6" s="85"/>
      <c r="AA6" s="85"/>
      <c r="AB6" s="85"/>
      <c r="AC6" s="86"/>
      <c r="AD6" s="85"/>
      <c r="AE6" s="87"/>
      <c r="AF6" s="87"/>
      <c r="AG6" s="87"/>
      <c r="AH6" s="87"/>
      <c r="AI6" s="87"/>
      <c r="AJ6" s="87"/>
      <c r="AK6" s="87"/>
      <c r="AL6" s="87"/>
      <c r="AM6" s="87"/>
      <c r="AN6" s="87"/>
      <c r="AO6" s="87"/>
      <c r="AP6" s="87"/>
      <c r="AQ6" s="87"/>
      <c r="AR6" s="87"/>
      <c r="AS6" s="87"/>
      <c r="AT6" s="87"/>
      <c r="AU6" s="87"/>
      <c r="AV6" s="87"/>
      <c r="AW6" s="86"/>
      <c r="AX6" s="86"/>
      <c r="AY6" s="85"/>
    </row>
    <row r="7" spans="1:51" ht="18.75" customHeight="1" x14ac:dyDescent="0.25">
      <c r="A7" s="77" t="s">
        <v>159</v>
      </c>
      <c r="B7" s="78"/>
      <c r="C7" s="79">
        <v>52</v>
      </c>
      <c r="D7" s="79">
        <v>1.59</v>
      </c>
      <c r="E7" s="79">
        <v>16.2</v>
      </c>
      <c r="F7" s="79">
        <v>1.9</v>
      </c>
      <c r="G7" s="79">
        <v>9.6</v>
      </c>
      <c r="H7" s="79"/>
      <c r="I7" s="79"/>
      <c r="J7" s="79">
        <v>1.47</v>
      </c>
      <c r="K7" s="79"/>
      <c r="L7" s="81">
        <v>0.30499999999999999</v>
      </c>
      <c r="M7" s="81">
        <v>0.14599999999999999</v>
      </c>
      <c r="N7" s="89" t="s">
        <v>157</v>
      </c>
      <c r="O7" s="83"/>
      <c r="Q7" s="84"/>
      <c r="R7" s="84"/>
      <c r="S7" s="85"/>
      <c r="T7" s="85"/>
      <c r="U7" s="85"/>
      <c r="V7" s="85"/>
      <c r="W7" s="85"/>
      <c r="X7" s="85"/>
      <c r="Y7" s="85"/>
      <c r="Z7" s="85"/>
      <c r="AA7" s="85"/>
      <c r="AB7" s="85"/>
      <c r="AC7" s="86"/>
      <c r="AD7" s="85"/>
      <c r="AE7" s="87"/>
      <c r="AF7" s="87"/>
      <c r="AG7" s="87"/>
      <c r="AH7" s="87"/>
      <c r="AI7" s="87"/>
      <c r="AJ7" s="87"/>
      <c r="AK7" s="87"/>
      <c r="AL7" s="87"/>
      <c r="AM7" s="87"/>
      <c r="AN7" s="87"/>
      <c r="AO7" s="87"/>
      <c r="AP7" s="87"/>
      <c r="AQ7" s="87"/>
      <c r="AR7" s="87"/>
      <c r="AS7" s="87"/>
      <c r="AT7" s="87"/>
      <c r="AU7" s="87"/>
      <c r="AV7" s="87"/>
      <c r="AW7" s="86"/>
      <c r="AX7" s="86"/>
      <c r="AY7" s="85"/>
    </row>
    <row r="8" spans="1:51" s="72" customFormat="1" x14ac:dyDescent="0.25">
      <c r="A8" s="91" t="s">
        <v>160</v>
      </c>
      <c r="B8" s="92"/>
      <c r="C8" s="93">
        <v>39</v>
      </c>
      <c r="D8" s="93">
        <v>1.51</v>
      </c>
      <c r="E8" s="93">
        <v>57</v>
      </c>
      <c r="F8" s="93">
        <v>1.07</v>
      </c>
      <c r="G8" s="93">
        <v>26</v>
      </c>
      <c r="H8" s="93"/>
      <c r="I8" s="93">
        <v>10.09</v>
      </c>
      <c r="J8" s="94">
        <v>11.12</v>
      </c>
      <c r="K8" s="94"/>
      <c r="L8" s="69">
        <v>1.0973999999999999</v>
      </c>
      <c r="M8" s="95">
        <v>1.2819</v>
      </c>
      <c r="N8" s="88" t="s">
        <v>148</v>
      </c>
      <c r="O8" s="71" t="s">
        <v>149</v>
      </c>
    </row>
    <row r="9" spans="1:51" s="72" customFormat="1" x14ac:dyDescent="0.25">
      <c r="A9" s="91" t="s">
        <v>161</v>
      </c>
      <c r="B9" s="92"/>
      <c r="C9" s="93">
        <v>679</v>
      </c>
      <c r="D9" s="93">
        <v>2.73</v>
      </c>
      <c r="E9" s="93">
        <v>41</v>
      </c>
      <c r="F9" s="93">
        <v>2.23</v>
      </c>
      <c r="G9" s="93">
        <v>10</v>
      </c>
      <c r="H9" s="93"/>
      <c r="I9" s="93">
        <v>3.27</v>
      </c>
      <c r="J9" s="94">
        <v>10.81</v>
      </c>
      <c r="K9" s="94"/>
      <c r="L9" s="69">
        <v>1.1045</v>
      </c>
      <c r="M9" s="95">
        <v>0.9244</v>
      </c>
      <c r="N9" s="88" t="s">
        <v>148</v>
      </c>
      <c r="O9" s="71" t="s">
        <v>149</v>
      </c>
    </row>
    <row r="10" spans="1:51" s="72" customFormat="1" x14ac:dyDescent="0.25">
      <c r="A10" s="91" t="s">
        <v>162</v>
      </c>
      <c r="B10" s="92"/>
      <c r="C10" s="93">
        <v>232</v>
      </c>
      <c r="D10" s="93">
        <v>4.63</v>
      </c>
      <c r="E10" s="93">
        <v>68.099999999999994</v>
      </c>
      <c r="F10" s="93">
        <v>2.44</v>
      </c>
      <c r="G10" s="93">
        <v>12</v>
      </c>
      <c r="H10" s="93">
        <v>50</v>
      </c>
      <c r="I10" s="93">
        <v>1.7</v>
      </c>
      <c r="J10" s="94">
        <v>0.88</v>
      </c>
      <c r="K10" s="94"/>
      <c r="L10" s="69">
        <v>0.76300000000000001</v>
      </c>
      <c r="M10" s="95">
        <v>1.292</v>
      </c>
      <c r="N10" s="88" t="s">
        <v>163</v>
      </c>
      <c r="O10" s="71" t="s">
        <v>164</v>
      </c>
    </row>
    <row r="11" spans="1:51" s="72" customFormat="1" x14ac:dyDescent="0.25">
      <c r="A11" s="91" t="s">
        <v>165</v>
      </c>
      <c r="B11" s="92"/>
      <c r="C11" s="93">
        <v>40</v>
      </c>
      <c r="D11" s="93">
        <v>3.25</v>
      </c>
      <c r="E11" s="93">
        <v>66</v>
      </c>
      <c r="F11" s="93">
        <v>3.39</v>
      </c>
      <c r="G11" s="93">
        <v>117</v>
      </c>
      <c r="H11" s="93"/>
      <c r="I11" s="93">
        <v>0</v>
      </c>
      <c r="J11" s="94">
        <v>10.56</v>
      </c>
      <c r="K11" s="94"/>
      <c r="L11" s="69">
        <v>0.33950000000000002</v>
      </c>
      <c r="M11" s="95">
        <v>0.12609999999999999</v>
      </c>
      <c r="N11" s="88" t="s">
        <v>148</v>
      </c>
      <c r="O11" s="71" t="s">
        <v>149</v>
      </c>
    </row>
    <row r="12" spans="1:51" s="72" customFormat="1" x14ac:dyDescent="0.25">
      <c r="A12" s="91" t="s">
        <v>166</v>
      </c>
      <c r="B12" s="92"/>
      <c r="C12" s="93">
        <v>59</v>
      </c>
      <c r="D12" s="93">
        <v>0.43</v>
      </c>
      <c r="E12" s="93">
        <v>41</v>
      </c>
      <c r="F12" s="93">
        <v>1.58</v>
      </c>
      <c r="G12" s="93">
        <v>0.1</v>
      </c>
      <c r="H12" s="93"/>
      <c r="I12" s="93">
        <v>0.1</v>
      </c>
      <c r="J12" s="94">
        <v>1.4</v>
      </c>
      <c r="K12" s="94"/>
      <c r="L12" s="69">
        <v>6.7199999999999996E-2</v>
      </c>
      <c r="M12" s="95">
        <v>6.2399999999999997E-2</v>
      </c>
      <c r="N12" s="88" t="s">
        <v>148</v>
      </c>
      <c r="O12" s="71" t="s">
        <v>149</v>
      </c>
    </row>
    <row r="13" spans="1:51" x14ac:dyDescent="0.25">
      <c r="A13" s="96" t="s">
        <v>167</v>
      </c>
      <c r="B13" s="97"/>
      <c r="C13" s="98">
        <v>44</v>
      </c>
      <c r="D13" s="98">
        <v>0.7</v>
      </c>
      <c r="E13" s="98">
        <v>34</v>
      </c>
      <c r="F13" s="98">
        <v>1.1599999999999999</v>
      </c>
      <c r="G13" s="98" t="s">
        <v>168</v>
      </c>
      <c r="H13" s="98"/>
      <c r="I13" s="98" t="s">
        <v>168</v>
      </c>
      <c r="J13" s="99">
        <v>1.26</v>
      </c>
      <c r="K13" s="99"/>
      <c r="L13" s="81">
        <v>0.06</v>
      </c>
      <c r="M13" s="100">
        <v>0.05</v>
      </c>
      <c r="N13" s="89" t="s">
        <v>148</v>
      </c>
      <c r="O13" s="83" t="s">
        <v>149</v>
      </c>
    </row>
    <row r="14" spans="1:51" s="72" customFormat="1" x14ac:dyDescent="0.25">
      <c r="A14" s="91" t="s">
        <v>8</v>
      </c>
      <c r="B14" s="92"/>
      <c r="C14" s="101"/>
      <c r="D14" s="101"/>
      <c r="E14" s="101"/>
      <c r="F14" s="101"/>
      <c r="G14" s="101"/>
      <c r="H14" s="101"/>
      <c r="I14" s="101"/>
      <c r="J14" s="102"/>
      <c r="K14" s="102"/>
      <c r="L14" s="95">
        <v>0.6</v>
      </c>
      <c r="M14" s="95">
        <v>0.5</v>
      </c>
      <c r="N14" s="88" t="s">
        <v>154</v>
      </c>
      <c r="O14" s="71" t="s">
        <v>155</v>
      </c>
    </row>
    <row r="15" spans="1:51" x14ac:dyDescent="0.25">
      <c r="A15" s="96" t="s">
        <v>169</v>
      </c>
      <c r="B15" s="97"/>
      <c r="C15" s="103">
        <v>60</v>
      </c>
      <c r="D15" s="103">
        <v>0.89</v>
      </c>
      <c r="E15" s="103"/>
      <c r="F15" s="103"/>
      <c r="G15" s="103">
        <v>4.5</v>
      </c>
      <c r="H15" s="103"/>
      <c r="I15" s="103"/>
      <c r="J15" s="104"/>
      <c r="K15" s="104"/>
      <c r="L15" s="100"/>
      <c r="M15" s="100"/>
      <c r="N15" s="89" t="s">
        <v>157</v>
      </c>
      <c r="O15" s="90" t="s">
        <v>170</v>
      </c>
    </row>
    <row r="16" spans="1:51" x14ac:dyDescent="0.25">
      <c r="A16" s="96" t="s">
        <v>169</v>
      </c>
      <c r="B16" s="97"/>
      <c r="C16" s="103">
        <v>15</v>
      </c>
      <c r="D16" s="103">
        <v>1.06</v>
      </c>
      <c r="E16" s="103"/>
      <c r="F16" s="103"/>
      <c r="G16" s="103">
        <v>6.3</v>
      </c>
      <c r="H16" s="103"/>
      <c r="I16" s="103">
        <v>0</v>
      </c>
      <c r="J16" s="104"/>
      <c r="K16" s="104"/>
      <c r="L16" s="100"/>
      <c r="M16" s="100"/>
      <c r="N16" s="89" t="s">
        <v>157</v>
      </c>
      <c r="O16" s="90" t="s">
        <v>171</v>
      </c>
    </row>
    <row r="17" spans="1:15" x14ac:dyDescent="0.25">
      <c r="A17" s="96" t="s">
        <v>172</v>
      </c>
      <c r="B17" s="97"/>
      <c r="C17" s="103">
        <v>60</v>
      </c>
      <c r="D17" s="103">
        <v>0.9</v>
      </c>
      <c r="E17" s="103">
        <v>36.5</v>
      </c>
      <c r="F17" s="103">
        <v>1.65</v>
      </c>
      <c r="G17" s="103">
        <v>15</v>
      </c>
      <c r="H17" s="103"/>
      <c r="I17" s="103">
        <v>0.8</v>
      </c>
      <c r="J17" s="104">
        <v>3.44</v>
      </c>
      <c r="K17" s="104"/>
      <c r="L17" s="100">
        <v>0.27500000000000002</v>
      </c>
      <c r="M17" s="100">
        <v>0.41799999999999998</v>
      </c>
      <c r="N17" s="89" t="s">
        <v>157</v>
      </c>
      <c r="O17" s="90" t="s">
        <v>173</v>
      </c>
    </row>
    <row r="18" spans="1:15" x14ac:dyDescent="0.25">
      <c r="A18" s="96" t="s">
        <v>174</v>
      </c>
      <c r="B18" s="97"/>
      <c r="C18" s="103">
        <v>77</v>
      </c>
      <c r="D18" s="103">
        <v>1.1499999999999999</v>
      </c>
      <c r="E18" s="103">
        <v>46.8</v>
      </c>
      <c r="F18" s="103">
        <v>2.12</v>
      </c>
      <c r="G18" s="103">
        <v>17</v>
      </c>
      <c r="H18" s="103"/>
      <c r="I18" s="103"/>
      <c r="J18" s="104">
        <v>3.97</v>
      </c>
      <c r="K18" s="104"/>
      <c r="L18" s="100">
        <v>0.35299999999999998</v>
      </c>
      <c r="M18" s="100">
        <v>0.53600000000000003</v>
      </c>
      <c r="N18" s="89" t="s">
        <v>157</v>
      </c>
      <c r="O18" s="90"/>
    </row>
    <row r="19" spans="1:15" s="72" customFormat="1" x14ac:dyDescent="0.25">
      <c r="A19" s="91" t="s">
        <v>175</v>
      </c>
      <c r="B19" s="92"/>
      <c r="C19" s="101"/>
      <c r="D19" s="101"/>
      <c r="E19" s="101"/>
      <c r="F19" s="101"/>
      <c r="G19" s="101"/>
      <c r="H19" s="101"/>
      <c r="I19" s="101"/>
      <c r="J19" s="102"/>
      <c r="K19" s="102"/>
      <c r="L19" s="95">
        <v>0.5</v>
      </c>
      <c r="M19" s="95">
        <v>0.5</v>
      </c>
      <c r="N19" s="105" t="s">
        <v>176</v>
      </c>
    </row>
    <row r="20" spans="1:15" s="72" customFormat="1" x14ac:dyDescent="0.25">
      <c r="A20" s="91" t="s">
        <v>17</v>
      </c>
      <c r="B20" s="92"/>
      <c r="C20" s="101"/>
      <c r="D20" s="101"/>
      <c r="E20" s="101"/>
      <c r="F20" s="101"/>
      <c r="G20" s="101"/>
      <c r="H20" s="101"/>
      <c r="I20" s="101"/>
      <c r="J20" s="102"/>
      <c r="K20" s="102"/>
      <c r="L20" s="95">
        <v>0.5</v>
      </c>
      <c r="M20" s="95">
        <v>0.8</v>
      </c>
      <c r="N20" s="88" t="s">
        <v>154</v>
      </c>
      <c r="O20" s="71" t="s">
        <v>155</v>
      </c>
    </row>
    <row r="21" spans="1:15" x14ac:dyDescent="0.25">
      <c r="A21" s="106" t="s">
        <v>177</v>
      </c>
      <c r="B21" s="107"/>
      <c r="C21" s="80">
        <v>97</v>
      </c>
      <c r="D21" s="80">
        <v>1.1000000000000001</v>
      </c>
      <c r="E21" s="80">
        <v>10</v>
      </c>
      <c r="F21" s="80">
        <v>1.7</v>
      </c>
      <c r="G21" s="80">
        <v>60</v>
      </c>
      <c r="H21" s="80"/>
      <c r="I21" s="80">
        <v>13</v>
      </c>
      <c r="J21" s="108">
        <v>7</v>
      </c>
      <c r="K21" s="108">
        <v>2.68</v>
      </c>
      <c r="L21" s="109"/>
      <c r="M21" s="109"/>
      <c r="N21" s="82" t="s">
        <v>152</v>
      </c>
      <c r="O21" s="83"/>
    </row>
    <row r="22" spans="1:15" x14ac:dyDescent="0.25">
      <c r="A22" s="106" t="s">
        <v>178</v>
      </c>
      <c r="B22" s="107"/>
      <c r="C22" s="80">
        <v>120</v>
      </c>
      <c r="D22" s="80">
        <v>1.4</v>
      </c>
      <c r="E22" s="80">
        <v>13</v>
      </c>
      <c r="F22" s="80">
        <v>2.1</v>
      </c>
      <c r="G22" s="80">
        <v>74</v>
      </c>
      <c r="H22" s="80"/>
      <c r="I22" s="80" t="s">
        <v>151</v>
      </c>
      <c r="J22" s="108">
        <v>9</v>
      </c>
      <c r="K22" s="108"/>
      <c r="L22" s="109"/>
      <c r="M22" s="109"/>
      <c r="N22" s="82" t="s">
        <v>152</v>
      </c>
      <c r="O22" s="83"/>
    </row>
    <row r="23" spans="1:15" x14ac:dyDescent="0.25">
      <c r="A23" s="106" t="s">
        <v>179</v>
      </c>
      <c r="B23" s="107"/>
      <c r="C23" s="80">
        <v>72</v>
      </c>
      <c r="D23" s="80">
        <v>0.8</v>
      </c>
      <c r="E23" s="80">
        <v>8</v>
      </c>
      <c r="F23" s="80">
        <v>1.3</v>
      </c>
      <c r="G23" s="80">
        <v>44</v>
      </c>
      <c r="H23" s="80"/>
      <c r="I23" s="80" t="s">
        <v>151</v>
      </c>
      <c r="J23" s="108">
        <v>5</v>
      </c>
      <c r="K23" s="108"/>
      <c r="L23" s="109"/>
      <c r="M23" s="109"/>
      <c r="N23" s="82" t="s">
        <v>152</v>
      </c>
      <c r="O23" s="90"/>
    </row>
    <row r="24" spans="1:15" x14ac:dyDescent="0.25">
      <c r="A24" s="106" t="s">
        <v>180</v>
      </c>
      <c r="B24" s="107"/>
      <c r="C24" s="80">
        <v>420</v>
      </c>
      <c r="D24" s="80">
        <v>2</v>
      </c>
      <c r="E24" s="80">
        <v>35</v>
      </c>
      <c r="F24" s="80">
        <v>2.2000000000000002</v>
      </c>
      <c r="G24" s="80">
        <v>18</v>
      </c>
      <c r="H24" s="80"/>
      <c r="I24" s="80">
        <v>12</v>
      </c>
      <c r="J24" s="108">
        <v>11.5</v>
      </c>
      <c r="K24" s="108"/>
      <c r="L24" s="109">
        <v>0.16300000000000001</v>
      </c>
      <c r="M24" s="109">
        <v>0.251</v>
      </c>
      <c r="N24" s="82" t="s">
        <v>181</v>
      </c>
      <c r="O24" s="90" t="s">
        <v>182</v>
      </c>
    </row>
    <row r="25" spans="1:15" x14ac:dyDescent="0.25">
      <c r="A25" s="106" t="s">
        <v>183</v>
      </c>
      <c r="B25" s="107"/>
      <c r="C25" s="80"/>
      <c r="D25" s="80"/>
      <c r="E25" s="80"/>
      <c r="F25" s="80"/>
      <c r="G25" s="80"/>
      <c r="H25" s="80"/>
      <c r="I25" s="80"/>
      <c r="J25" s="108"/>
      <c r="K25" s="108"/>
      <c r="L25" s="109">
        <v>0.9</v>
      </c>
      <c r="M25" s="109">
        <v>1.6</v>
      </c>
      <c r="N25" s="88" t="s">
        <v>154</v>
      </c>
      <c r="O25" s="71" t="s">
        <v>155</v>
      </c>
    </row>
    <row r="26" spans="1:15" x14ac:dyDescent="0.25">
      <c r="A26" s="106" t="s">
        <v>184</v>
      </c>
      <c r="B26" s="107"/>
      <c r="C26" s="80">
        <v>17</v>
      </c>
      <c r="D26" s="80">
        <v>1.28</v>
      </c>
      <c r="E26" s="80">
        <v>60</v>
      </c>
      <c r="F26" s="80">
        <v>0.79</v>
      </c>
      <c r="G26" s="80">
        <v>61</v>
      </c>
      <c r="H26" s="80"/>
      <c r="I26" s="80">
        <v>8.5</v>
      </c>
      <c r="J26" s="108">
        <v>9.08</v>
      </c>
      <c r="K26" s="108"/>
      <c r="L26" s="109">
        <v>1.1726000000000001</v>
      </c>
      <c r="M26" s="109">
        <v>1.8467</v>
      </c>
      <c r="N26" s="88" t="s">
        <v>148</v>
      </c>
      <c r="O26" s="71" t="s">
        <v>149</v>
      </c>
    </row>
    <row r="27" spans="1:15" x14ac:dyDescent="0.25">
      <c r="A27" s="106" t="s">
        <v>185</v>
      </c>
      <c r="B27" s="107"/>
      <c r="C27" s="80">
        <v>20</v>
      </c>
      <c r="D27" s="80">
        <v>0.98</v>
      </c>
      <c r="E27" s="80">
        <v>42</v>
      </c>
      <c r="F27" s="80">
        <v>0.51</v>
      </c>
      <c r="G27" s="80">
        <v>54</v>
      </c>
      <c r="H27" s="80"/>
      <c r="I27" s="80">
        <v>8</v>
      </c>
      <c r="J27" s="108">
        <v>8.81</v>
      </c>
      <c r="K27" s="108"/>
      <c r="L27" s="109">
        <v>0.95309999999999995</v>
      </c>
      <c r="M27" s="109">
        <v>1.6466000000000001</v>
      </c>
      <c r="N27" s="88" t="s">
        <v>148</v>
      </c>
      <c r="O27" s="71" t="s">
        <v>149</v>
      </c>
    </row>
    <row r="28" spans="1:15" x14ac:dyDescent="0.25">
      <c r="A28" s="106" t="s">
        <v>186</v>
      </c>
      <c r="B28" s="107"/>
      <c r="C28" s="80">
        <v>21</v>
      </c>
      <c r="D28" s="80">
        <v>0.1</v>
      </c>
      <c r="E28" s="80">
        <v>25</v>
      </c>
      <c r="F28" s="80">
        <v>0.4</v>
      </c>
      <c r="G28" s="80">
        <v>0</v>
      </c>
      <c r="H28" s="80"/>
      <c r="I28" s="80">
        <v>0</v>
      </c>
      <c r="J28" s="80" t="s">
        <v>151</v>
      </c>
      <c r="K28" s="108"/>
      <c r="L28" s="109"/>
      <c r="M28" s="109"/>
      <c r="N28" s="82" t="s">
        <v>152</v>
      </c>
      <c r="O28" s="83"/>
    </row>
    <row r="29" spans="1:15" x14ac:dyDescent="0.25">
      <c r="A29" s="106" t="s">
        <v>187</v>
      </c>
      <c r="B29" s="107"/>
      <c r="C29" s="80">
        <v>20</v>
      </c>
      <c r="D29" s="80">
        <v>0.1</v>
      </c>
      <c r="E29" s="80">
        <v>23</v>
      </c>
      <c r="F29" s="80">
        <v>0.4</v>
      </c>
      <c r="G29" s="80">
        <v>0</v>
      </c>
      <c r="H29" s="80"/>
      <c r="I29" s="80">
        <v>0</v>
      </c>
      <c r="J29" s="80" t="s">
        <v>151</v>
      </c>
      <c r="K29" s="108"/>
      <c r="L29" s="109"/>
      <c r="M29" s="109"/>
      <c r="N29" s="82" t="s">
        <v>152</v>
      </c>
      <c r="O29" s="83"/>
    </row>
    <row r="30" spans="1:15" x14ac:dyDescent="0.25">
      <c r="A30" s="106" t="s">
        <v>188</v>
      </c>
      <c r="B30" s="107"/>
      <c r="C30" s="80">
        <v>50</v>
      </c>
      <c r="D30" s="80">
        <v>0.3</v>
      </c>
      <c r="E30" s="80">
        <v>25</v>
      </c>
      <c r="F30" s="80">
        <v>0.5</v>
      </c>
      <c r="G30" s="80">
        <v>3</v>
      </c>
      <c r="H30" s="80"/>
      <c r="I30" s="80">
        <v>0.7</v>
      </c>
      <c r="J30" s="80">
        <v>0.8</v>
      </c>
      <c r="K30" s="108"/>
      <c r="L30" s="109">
        <v>0.08</v>
      </c>
      <c r="M30" s="109">
        <v>0</v>
      </c>
      <c r="N30" s="82" t="s">
        <v>189</v>
      </c>
      <c r="O30" s="83"/>
    </row>
    <row r="31" spans="1:15" s="72" customFormat="1" ht="16.5" thickBot="1" x14ac:dyDescent="0.3">
      <c r="A31" s="110" t="s">
        <v>6</v>
      </c>
      <c r="B31" s="111"/>
      <c r="C31" s="112">
        <v>16</v>
      </c>
      <c r="D31" s="112">
        <v>0.3</v>
      </c>
      <c r="E31" s="112">
        <v>28</v>
      </c>
      <c r="F31" s="112">
        <v>0.4</v>
      </c>
      <c r="G31" s="112">
        <v>0</v>
      </c>
      <c r="H31" s="112"/>
      <c r="I31" s="112">
        <v>0</v>
      </c>
      <c r="J31" s="113">
        <v>2</v>
      </c>
      <c r="K31" s="113"/>
      <c r="L31" s="114">
        <v>0.11</v>
      </c>
      <c r="M31" s="114">
        <v>0.14000000000000001</v>
      </c>
      <c r="N31" s="115" t="s">
        <v>190</v>
      </c>
      <c r="O31" s="71" t="s">
        <v>191</v>
      </c>
    </row>
    <row r="32" spans="1:15" x14ac:dyDescent="0.25">
      <c r="C32" s="116"/>
      <c r="D32" s="116"/>
      <c r="E32" s="116"/>
      <c r="F32" s="116"/>
      <c r="G32" s="116"/>
      <c r="H32" s="116"/>
      <c r="I32" s="116"/>
      <c r="J32" s="117"/>
      <c r="K32" s="118"/>
      <c r="L32" s="118"/>
      <c r="M32" s="118"/>
      <c r="N32" s="90"/>
    </row>
    <row r="33" spans="1:14" ht="16.5" thickBot="1" x14ac:dyDescent="0.3">
      <c r="B33" s="402" t="s">
        <v>192</v>
      </c>
      <c r="C33" s="402"/>
      <c r="D33" s="402"/>
      <c r="E33" s="402"/>
      <c r="F33" s="402"/>
      <c r="G33" s="402"/>
      <c r="H33" s="402"/>
      <c r="I33" s="402"/>
      <c r="J33" s="402"/>
      <c r="K33" s="402"/>
      <c r="L33" s="402"/>
      <c r="M33" s="116" t="s">
        <v>193</v>
      </c>
    </row>
    <row r="34" spans="1:14" ht="30" customHeight="1" x14ac:dyDescent="0.25">
      <c r="A34" s="403" t="s">
        <v>194</v>
      </c>
      <c r="B34" s="404"/>
      <c r="C34" s="404"/>
      <c r="D34" s="404"/>
      <c r="E34" s="404"/>
      <c r="F34" s="404"/>
      <c r="G34" s="404"/>
      <c r="H34" s="404"/>
      <c r="I34" s="404"/>
      <c r="J34" s="404"/>
      <c r="K34" s="404"/>
      <c r="L34" s="404"/>
      <c r="M34" s="119" t="s">
        <v>195</v>
      </c>
    </row>
    <row r="35" spans="1:14" x14ac:dyDescent="0.25">
      <c r="A35" s="77" t="s">
        <v>147</v>
      </c>
      <c r="B35" s="120">
        <v>1</v>
      </c>
      <c r="C35" s="116">
        <v>8</v>
      </c>
      <c r="D35" s="116">
        <v>0.34</v>
      </c>
      <c r="E35" s="116">
        <v>24</v>
      </c>
      <c r="F35" s="116">
        <v>0.49</v>
      </c>
      <c r="G35" s="121">
        <v>28</v>
      </c>
      <c r="H35" s="121"/>
      <c r="I35" s="121">
        <v>11</v>
      </c>
      <c r="J35" s="122">
        <v>4.1900000000000004</v>
      </c>
      <c r="K35" s="123">
        <v>0.79139999999999999</v>
      </c>
      <c r="L35" s="123">
        <v>0.72870000000000001</v>
      </c>
      <c r="M35" s="124"/>
    </row>
    <row r="36" spans="1:14" x14ac:dyDescent="0.25">
      <c r="A36" s="125" t="s">
        <v>196</v>
      </c>
      <c r="B36" s="126">
        <v>2.23</v>
      </c>
      <c r="C36" s="116">
        <f t="shared" ref="C36:J36" si="0">C12*$B$36</f>
        <v>131.57</v>
      </c>
      <c r="D36" s="116">
        <f t="shared" si="0"/>
        <v>0.95889999999999997</v>
      </c>
      <c r="E36" s="116">
        <f t="shared" si="0"/>
        <v>91.429999999999993</v>
      </c>
      <c r="F36" s="116">
        <f t="shared" si="0"/>
        <v>3.5234000000000001</v>
      </c>
      <c r="G36" s="116">
        <f t="shared" si="0"/>
        <v>0.223</v>
      </c>
      <c r="H36" s="116">
        <f t="shared" si="0"/>
        <v>0</v>
      </c>
      <c r="I36" s="116">
        <f t="shared" si="0"/>
        <v>0.223</v>
      </c>
      <c r="J36" s="117">
        <f t="shared" si="0"/>
        <v>3.1219999999999999</v>
      </c>
      <c r="K36" s="118">
        <f>L12*$B$36</f>
        <v>0.14985599999999999</v>
      </c>
      <c r="L36" s="118">
        <f>M12*$B$36</f>
        <v>0.139152</v>
      </c>
      <c r="M36" s="89"/>
      <c r="N36" s="127"/>
    </row>
    <row r="37" spans="1:14" ht="16.5" thickBot="1" x14ac:dyDescent="0.3">
      <c r="A37" s="128" t="s">
        <v>23</v>
      </c>
      <c r="B37" s="129">
        <f t="shared" ref="B37:K37" si="1">B35+B36</f>
        <v>3.23</v>
      </c>
      <c r="C37" s="130">
        <f t="shared" si="1"/>
        <v>139.57</v>
      </c>
      <c r="D37" s="130">
        <f t="shared" si="1"/>
        <v>1.2988999999999999</v>
      </c>
      <c r="E37" s="130">
        <f t="shared" si="1"/>
        <v>115.42999999999999</v>
      </c>
      <c r="F37" s="130">
        <f t="shared" si="1"/>
        <v>4.0133999999999999</v>
      </c>
      <c r="G37" s="130">
        <f t="shared" si="1"/>
        <v>28.222999999999999</v>
      </c>
      <c r="H37" s="130">
        <f t="shared" si="1"/>
        <v>0</v>
      </c>
      <c r="I37" s="130">
        <f t="shared" si="1"/>
        <v>11.223000000000001</v>
      </c>
      <c r="J37" s="131">
        <f t="shared" si="1"/>
        <v>7.3120000000000003</v>
      </c>
      <c r="K37" s="132">
        <f t="shared" si="1"/>
        <v>0.94125599999999998</v>
      </c>
      <c r="L37" s="132">
        <f>L36+L35</f>
        <v>0.86785200000000007</v>
      </c>
      <c r="M37" s="133"/>
    </row>
    <row r="38" spans="1:14" ht="16.5" thickBot="1" x14ac:dyDescent="0.3">
      <c r="C38" s="116"/>
      <c r="D38" s="116"/>
      <c r="E38" s="116"/>
      <c r="F38" s="116"/>
      <c r="G38" s="116"/>
      <c r="H38" s="116"/>
      <c r="I38" s="116"/>
      <c r="J38" s="117"/>
      <c r="K38" s="118"/>
      <c r="L38" s="118"/>
      <c r="M38" s="118"/>
    </row>
    <row r="39" spans="1:14" ht="34.5" customHeight="1" x14ac:dyDescent="0.25">
      <c r="A39" s="405" t="s">
        <v>197</v>
      </c>
      <c r="B39" s="406"/>
      <c r="C39" s="406"/>
      <c r="D39" s="406"/>
      <c r="E39" s="406"/>
      <c r="F39" s="406"/>
      <c r="G39" s="406"/>
      <c r="H39" s="406"/>
      <c r="I39" s="406"/>
      <c r="J39" s="406"/>
      <c r="K39" s="406"/>
      <c r="L39" s="406"/>
      <c r="M39" s="134"/>
    </row>
    <row r="40" spans="1:14" x14ac:dyDescent="0.25">
      <c r="A40" s="125" t="s">
        <v>198</v>
      </c>
      <c r="B40" s="126">
        <v>0.12</v>
      </c>
      <c r="C40" s="116">
        <f t="shared" ref="C40:J40" si="2">C8*$B$40</f>
        <v>4.68</v>
      </c>
      <c r="D40" s="116">
        <f t="shared" si="2"/>
        <v>0.1812</v>
      </c>
      <c r="E40" s="116">
        <f t="shared" si="2"/>
        <v>6.84</v>
      </c>
      <c r="F40" s="116">
        <f t="shared" si="2"/>
        <v>0.12840000000000001</v>
      </c>
      <c r="G40" s="116">
        <f t="shared" si="2"/>
        <v>3.12</v>
      </c>
      <c r="H40" s="116">
        <f t="shared" si="2"/>
        <v>0</v>
      </c>
      <c r="I40" s="116">
        <f t="shared" si="2"/>
        <v>1.2107999999999999</v>
      </c>
      <c r="J40" s="117">
        <f t="shared" si="2"/>
        <v>1.3343999999999998</v>
      </c>
      <c r="K40" s="118">
        <f>L8*$B$40</f>
        <v>0.131688</v>
      </c>
      <c r="L40" s="118">
        <f>M8*$B$40</f>
        <v>0.15382799999999999</v>
      </c>
      <c r="M40" s="89"/>
    </row>
    <row r="41" spans="1:14" x14ac:dyDescent="0.25">
      <c r="A41" s="125" t="s">
        <v>26</v>
      </c>
      <c r="B41" s="126">
        <v>0.37</v>
      </c>
      <c r="C41" s="116">
        <f t="shared" ref="C41:J41" si="3">C10*$B$41</f>
        <v>85.84</v>
      </c>
      <c r="D41" s="116">
        <f t="shared" si="3"/>
        <v>1.7130999999999998</v>
      </c>
      <c r="E41" s="116">
        <f t="shared" si="3"/>
        <v>25.196999999999999</v>
      </c>
      <c r="F41" s="116">
        <f t="shared" si="3"/>
        <v>0.90279999999999994</v>
      </c>
      <c r="G41" s="116">
        <f t="shared" si="3"/>
        <v>4.4399999999999995</v>
      </c>
      <c r="H41" s="116">
        <f t="shared" si="3"/>
        <v>18.5</v>
      </c>
      <c r="I41" s="116">
        <f t="shared" si="3"/>
        <v>0.629</v>
      </c>
      <c r="J41" s="117">
        <f t="shared" si="3"/>
        <v>0.3256</v>
      </c>
      <c r="K41" s="118">
        <f>L10*$B$41</f>
        <v>0.28231000000000001</v>
      </c>
      <c r="L41" s="118">
        <f>M10*$B$41</f>
        <v>0.47804000000000002</v>
      </c>
      <c r="M41" s="89"/>
    </row>
    <row r="42" spans="1:14" x14ac:dyDescent="0.25">
      <c r="A42" s="125" t="s">
        <v>199</v>
      </c>
      <c r="B42" s="126">
        <v>0.34</v>
      </c>
      <c r="C42" s="116">
        <f t="shared" ref="C42:J42" si="4">C9*$B$42</f>
        <v>230.86</v>
      </c>
      <c r="D42" s="116">
        <f t="shared" si="4"/>
        <v>0.92820000000000003</v>
      </c>
      <c r="E42" s="116">
        <f t="shared" si="4"/>
        <v>13.940000000000001</v>
      </c>
      <c r="F42" s="116">
        <f t="shared" si="4"/>
        <v>0.7582000000000001</v>
      </c>
      <c r="G42" s="116">
        <f t="shared" si="4"/>
        <v>3.4000000000000004</v>
      </c>
      <c r="H42" s="116">
        <f t="shared" si="4"/>
        <v>0</v>
      </c>
      <c r="I42" s="116">
        <f t="shared" si="4"/>
        <v>1.1118000000000001</v>
      </c>
      <c r="J42" s="117">
        <f t="shared" si="4"/>
        <v>3.6754000000000002</v>
      </c>
      <c r="K42" s="118">
        <f>L9*$B$42</f>
        <v>0.37553000000000003</v>
      </c>
      <c r="L42" s="118">
        <f>M9*$B$42</f>
        <v>0.31429600000000002</v>
      </c>
      <c r="M42" s="89"/>
    </row>
    <row r="43" spans="1:14" x14ac:dyDescent="0.25">
      <c r="A43" s="96" t="s">
        <v>8</v>
      </c>
      <c r="B43" s="126">
        <v>0.18</v>
      </c>
      <c r="C43" s="116"/>
      <c r="D43" s="116"/>
      <c r="E43" s="116"/>
      <c r="F43" s="116"/>
      <c r="G43" s="116"/>
      <c r="H43" s="116"/>
      <c r="I43" s="116"/>
      <c r="J43" s="116"/>
      <c r="K43" s="118">
        <f>L14*$B$43</f>
        <v>0.108</v>
      </c>
      <c r="L43" s="118">
        <f>M14*$B$43</f>
        <v>0.09</v>
      </c>
      <c r="M43" s="89"/>
    </row>
    <row r="44" spans="1:14" x14ac:dyDescent="0.25">
      <c r="A44" s="96" t="s">
        <v>175</v>
      </c>
      <c r="B44" s="126">
        <v>0.27</v>
      </c>
      <c r="C44" s="116"/>
      <c r="D44" s="116"/>
      <c r="E44" s="116"/>
      <c r="F44" s="116"/>
      <c r="G44" s="116"/>
      <c r="H44" s="116"/>
      <c r="I44" s="116"/>
      <c r="J44" s="116"/>
      <c r="K44" s="118">
        <f>L19*$B$44</f>
        <v>0.13500000000000001</v>
      </c>
      <c r="L44" s="118">
        <f>M19*$B$44</f>
        <v>0.13500000000000001</v>
      </c>
      <c r="M44" s="89"/>
    </row>
    <row r="45" spans="1:14" x14ac:dyDescent="0.25">
      <c r="A45" s="96" t="s">
        <v>17</v>
      </c>
      <c r="B45" s="126">
        <v>0.17</v>
      </c>
      <c r="C45" s="116"/>
      <c r="D45" s="116"/>
      <c r="E45" s="116"/>
      <c r="F45" s="116"/>
      <c r="G45" s="116"/>
      <c r="H45" s="116"/>
      <c r="I45" s="116"/>
      <c r="J45" s="116"/>
      <c r="K45" s="118">
        <f>L20*$B$45</f>
        <v>8.5000000000000006E-2</v>
      </c>
      <c r="L45" s="118">
        <f>M20*$B$45</f>
        <v>0.13600000000000001</v>
      </c>
      <c r="M45" s="89"/>
    </row>
    <row r="46" spans="1:14" x14ac:dyDescent="0.25">
      <c r="A46" s="125" t="s">
        <v>6</v>
      </c>
      <c r="B46" s="126">
        <v>0.71</v>
      </c>
      <c r="C46" s="116">
        <f t="shared" ref="C46:J46" si="5">C31*$B$46</f>
        <v>11.36</v>
      </c>
      <c r="D46" s="116">
        <f t="shared" si="5"/>
        <v>0.21299999999999999</v>
      </c>
      <c r="E46" s="116">
        <f t="shared" si="5"/>
        <v>19.88</v>
      </c>
      <c r="F46" s="116">
        <f t="shared" si="5"/>
        <v>0.28399999999999997</v>
      </c>
      <c r="G46" s="116">
        <f t="shared" si="5"/>
        <v>0</v>
      </c>
      <c r="H46" s="116">
        <f t="shared" si="5"/>
        <v>0</v>
      </c>
      <c r="I46" s="116">
        <f t="shared" si="5"/>
        <v>0</v>
      </c>
      <c r="J46" s="116">
        <f t="shared" si="5"/>
        <v>1.42</v>
      </c>
      <c r="K46" s="118">
        <f>L31*$B$46</f>
        <v>7.8100000000000003E-2</v>
      </c>
      <c r="L46" s="118">
        <f>M31*$B$46</f>
        <v>9.9400000000000002E-2</v>
      </c>
      <c r="M46" s="89"/>
    </row>
    <row r="47" spans="1:14" ht="16.5" thickBot="1" x14ac:dyDescent="0.3">
      <c r="A47" s="135" t="s">
        <v>23</v>
      </c>
      <c r="B47" s="136">
        <f t="shared" ref="B47:J47" si="6">SUM(B40:B46)</f>
        <v>2.16</v>
      </c>
      <c r="C47" s="136">
        <f t="shared" si="6"/>
        <v>332.74</v>
      </c>
      <c r="D47" s="136">
        <f t="shared" si="6"/>
        <v>3.0354999999999999</v>
      </c>
      <c r="E47" s="136">
        <f t="shared" si="6"/>
        <v>65.856999999999999</v>
      </c>
      <c r="F47" s="136">
        <f t="shared" si="6"/>
        <v>2.0733999999999999</v>
      </c>
      <c r="G47" s="136">
        <f t="shared" si="6"/>
        <v>10.96</v>
      </c>
      <c r="H47" s="136">
        <f t="shared" si="6"/>
        <v>18.5</v>
      </c>
      <c r="I47" s="136">
        <f t="shared" si="6"/>
        <v>2.9516</v>
      </c>
      <c r="J47" s="136">
        <f t="shared" si="6"/>
        <v>6.7553999999999998</v>
      </c>
      <c r="K47" s="137">
        <f>SUM(K40:K46)</f>
        <v>1.1956280000000001</v>
      </c>
      <c r="L47" s="137">
        <f>SUM(L40:L46)</f>
        <v>1.4065640000000001</v>
      </c>
      <c r="M47" s="138"/>
    </row>
    <row r="48" spans="1:14" x14ac:dyDescent="0.25">
      <c r="K48" s="118"/>
      <c r="L48" s="118"/>
      <c r="M48" s="118"/>
    </row>
  </sheetData>
  <mergeCells count="3">
    <mergeCell ref="B33:L33"/>
    <mergeCell ref="A34:L34"/>
    <mergeCell ref="A39:L39"/>
  </mergeCells>
  <hyperlinks>
    <hyperlink ref="O3" r:id="rId1" xr:uid="{BDB89E85-6396-43FE-A077-0A71D873F842}"/>
    <hyperlink ref="O8" r:id="rId2" xr:uid="{8E7E3142-2258-4F84-B86D-C1FF09280983}"/>
    <hyperlink ref="O12" r:id="rId3" xr:uid="{6F53BC1F-6213-4994-82A8-90FBC86A9AD9}"/>
    <hyperlink ref="O9" r:id="rId4" xr:uid="{9E9B22D3-F641-4DE0-B95C-E86D8D9BC241}"/>
    <hyperlink ref="O11" r:id="rId5" xr:uid="{581B2711-AF39-4D10-B304-E42704B9BDCA}"/>
    <hyperlink ref="O14" r:id="rId6" xr:uid="{053D191D-FDBD-4769-B09C-F619FB59037C}"/>
    <hyperlink ref="O20" r:id="rId7" xr:uid="{62150AF8-22F4-4546-88B0-1FCCAFB20194}"/>
    <hyperlink ref="O31" r:id="rId8" xr:uid="{C656E91D-F234-4F7E-838C-DBEAE10A7167}"/>
    <hyperlink ref="N21" r:id="rId9" xr:uid="{54B16267-FAC3-4F34-84EA-E0AB88A6CB78}"/>
    <hyperlink ref="N22" r:id="rId10" xr:uid="{FC9C9409-835A-4981-893D-8EA4F0DB0BE3}"/>
    <hyperlink ref="N23" r:id="rId11" xr:uid="{887F313D-0A5B-4BFC-8390-F827208B3C0B}"/>
    <hyperlink ref="N29" r:id="rId12" xr:uid="{7934B003-DCFF-481F-9229-62A913B09FD6}"/>
    <hyperlink ref="N28" r:id="rId13" xr:uid="{0442EBCC-5844-49AB-9179-D1FA336ABE24}"/>
    <hyperlink ref="N4" r:id="rId14" xr:uid="{17024946-E0BC-4158-B8C9-B3916A6ABE1D}"/>
    <hyperlink ref="O5" r:id="rId15" xr:uid="{D4A39FA7-A4F4-4B77-BAA8-D4678226D611}"/>
    <hyperlink ref="O26" r:id="rId16" xr:uid="{068880F7-82CF-427F-8B79-9AF8D5BC7FAA}"/>
    <hyperlink ref="O27" r:id="rId17" xr:uid="{76C53780-9810-444E-9BCC-1087D5AEAEA1}"/>
    <hyperlink ref="O25" r:id="rId18" xr:uid="{E4C60DCA-782F-48A2-8822-6D4E945A8327}"/>
    <hyperlink ref="O24" r:id="rId19" xr:uid="{E790353F-187F-4D2B-8952-87339E9366FE}"/>
    <hyperlink ref="O6" r:id="rId20" location="/food-details/171952/nutrients" xr:uid="{03C9E50C-0193-4BB5-BB4C-63C29BE1640B}"/>
    <hyperlink ref="O13" r:id="rId21" xr:uid="{30F086F5-2D59-4C68-96C5-7818E05B1C77}"/>
  </hyperlinks>
  <pageMargins left="0.7" right="0.7" top="0.75" bottom="0.75" header="0.3" footer="0.3"/>
  <legacyDrawing r:id="rId2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FFE2-E7B3-4974-96FE-0F86043F8BA1}">
  <sheetPr>
    <outlinePr summaryBelow="0" summaryRight="0"/>
  </sheetPr>
  <dimension ref="A1:S96"/>
  <sheetViews>
    <sheetView zoomScale="120" zoomScaleNormal="120" workbookViewId="0">
      <selection activeCell="I3" sqref="I3"/>
    </sheetView>
  </sheetViews>
  <sheetFormatPr defaultColWidth="14.42578125" defaultRowHeight="15.75" customHeight="1" x14ac:dyDescent="0.2"/>
  <cols>
    <col min="1" max="1" width="18.85546875" style="149" customWidth="1"/>
    <col min="2" max="2" width="14.85546875" style="149" customWidth="1"/>
    <col min="3" max="3" width="17.7109375" style="149" customWidth="1"/>
    <col min="4" max="4" width="20.28515625" style="149" customWidth="1"/>
    <col min="5" max="5" width="7.85546875" style="149" customWidth="1"/>
    <col min="6" max="7" width="7.42578125" style="149" customWidth="1"/>
    <col min="8" max="8" width="8.85546875" style="149" customWidth="1"/>
    <col min="9" max="9" width="7.85546875" style="149" customWidth="1"/>
    <col min="10" max="10" width="7.42578125" style="149" customWidth="1"/>
    <col min="11" max="11" width="11" style="149" customWidth="1"/>
    <col min="12" max="12" width="12.85546875" style="149" customWidth="1"/>
    <col min="13" max="13" width="13.5703125" style="149" customWidth="1"/>
    <col min="14" max="15" width="10.42578125" style="149" customWidth="1"/>
    <col min="16" max="16384" width="14.42578125" style="149"/>
  </cols>
  <sheetData>
    <row r="1" spans="1:16" s="148" customFormat="1" ht="15.75" customHeight="1" x14ac:dyDescent="0.2">
      <c r="A1" s="148" t="s">
        <v>264</v>
      </c>
    </row>
    <row r="2" spans="1:16" ht="15.75" customHeight="1" x14ac:dyDescent="0.2">
      <c r="A2" s="149" t="s">
        <v>451</v>
      </c>
      <c r="D2" s="150">
        <v>15000</v>
      </c>
      <c r="E2" s="149" t="s">
        <v>265</v>
      </c>
      <c r="G2" s="149" t="s">
        <v>450</v>
      </c>
    </row>
    <row r="3" spans="1:16" ht="15.75" customHeight="1" x14ac:dyDescent="0.2">
      <c r="A3" s="149" t="s">
        <v>460</v>
      </c>
      <c r="D3" s="151">
        <v>0.67</v>
      </c>
      <c r="E3" s="149" t="s">
        <v>267</v>
      </c>
      <c r="I3" s="149" t="s">
        <v>37</v>
      </c>
    </row>
    <row r="4" spans="1:16" ht="15.75" customHeight="1" x14ac:dyDescent="0.2">
      <c r="A4" s="149" t="s">
        <v>268</v>
      </c>
      <c r="D4" s="152">
        <f>D2/D3</f>
        <v>22388.059701492537</v>
      </c>
      <c r="E4" s="149" t="s">
        <v>265</v>
      </c>
    </row>
    <row r="5" spans="1:16" s="153" customFormat="1" ht="15.75" customHeight="1" thickBot="1" x14ac:dyDescent="0.25">
      <c r="A5" s="153" t="s">
        <v>269</v>
      </c>
      <c r="D5" s="154">
        <f>D4-D2</f>
        <v>7388.059701492537</v>
      </c>
      <c r="E5" s="153" t="s">
        <v>265</v>
      </c>
    </row>
    <row r="7" spans="1:16" s="155" customFormat="1" ht="15.75" customHeight="1" x14ac:dyDescent="0.2">
      <c r="A7" s="155" t="s">
        <v>270</v>
      </c>
    </row>
    <row r="8" spans="1:16" ht="12.75" x14ac:dyDescent="0.2">
      <c r="A8" s="156" t="s">
        <v>271</v>
      </c>
      <c r="B8" s="356">
        <v>2016</v>
      </c>
      <c r="C8" s="359"/>
      <c r="D8" s="359"/>
      <c r="E8" s="358"/>
      <c r="F8" s="158" t="s">
        <v>272</v>
      </c>
      <c r="G8" s="158"/>
      <c r="H8" s="361">
        <v>2016</v>
      </c>
      <c r="I8" s="359"/>
      <c r="J8" s="359"/>
      <c r="L8" s="160"/>
      <c r="M8" s="160"/>
      <c r="N8" s="160"/>
    </row>
    <row r="9" spans="1:16" ht="12.75" x14ac:dyDescent="0.2">
      <c r="A9" s="157" t="s">
        <v>273</v>
      </c>
      <c r="B9" s="357">
        <v>0.75</v>
      </c>
      <c r="C9" s="360"/>
      <c r="D9" s="360"/>
      <c r="E9" s="358"/>
      <c r="F9" s="159" t="s">
        <v>274</v>
      </c>
      <c r="G9" s="159"/>
      <c r="H9" s="362">
        <v>0.69</v>
      </c>
      <c r="I9" s="360"/>
      <c r="J9" s="360"/>
      <c r="L9" s="161"/>
      <c r="M9" s="161"/>
      <c r="N9" s="161"/>
      <c r="P9" s="160"/>
    </row>
    <row r="10" spans="1:16" ht="12.75" x14ac:dyDescent="0.2">
      <c r="A10" s="157" t="s">
        <v>275</v>
      </c>
      <c r="B10" s="357">
        <v>0.18</v>
      </c>
      <c r="C10" s="360"/>
      <c r="D10" s="360"/>
      <c r="E10" s="358"/>
      <c r="F10" s="159" t="s">
        <v>276</v>
      </c>
      <c r="G10" s="159"/>
      <c r="H10" s="362">
        <v>0.23</v>
      </c>
      <c r="I10" s="360"/>
      <c r="J10" s="360"/>
      <c r="L10" s="161"/>
      <c r="M10" s="161"/>
      <c r="N10" s="161"/>
    </row>
    <row r="11" spans="1:16" ht="12.75" x14ac:dyDescent="0.2">
      <c r="A11" s="157" t="s">
        <v>277</v>
      </c>
      <c r="B11" s="357">
        <v>7.0000000000000007E-2</v>
      </c>
      <c r="C11" s="360"/>
      <c r="D11" s="360"/>
      <c r="E11" s="358"/>
      <c r="F11" s="159" t="s">
        <v>278</v>
      </c>
      <c r="G11" s="159"/>
      <c r="H11" s="362">
        <v>0.05</v>
      </c>
      <c r="I11" s="360"/>
      <c r="J11" s="360"/>
      <c r="L11" s="161"/>
      <c r="M11" s="161"/>
      <c r="N11" s="161"/>
    </row>
    <row r="12" spans="1:16" ht="12.75" x14ac:dyDescent="0.2">
      <c r="A12" s="157"/>
      <c r="B12" s="356"/>
      <c r="C12" s="359"/>
      <c r="D12" s="359"/>
      <c r="E12" s="358"/>
      <c r="F12" s="159" t="s">
        <v>277</v>
      </c>
      <c r="G12" s="159"/>
      <c r="H12" s="362">
        <v>0.03</v>
      </c>
      <c r="I12" s="360"/>
      <c r="J12" s="360"/>
      <c r="L12" s="161"/>
      <c r="M12" s="161"/>
      <c r="N12" s="161"/>
    </row>
    <row r="13" spans="1:16" ht="15" x14ac:dyDescent="0.25">
      <c r="A13" s="2" t="s">
        <v>253</v>
      </c>
      <c r="B13" s="162"/>
      <c r="C13" s="162"/>
      <c r="D13" s="162"/>
      <c r="E13" s="162"/>
      <c r="F13" s="162"/>
      <c r="G13" s="162"/>
      <c r="H13" s="162"/>
      <c r="I13" s="162"/>
      <c r="J13" s="162"/>
    </row>
    <row r="14" spans="1:16" ht="12.75" x14ac:dyDescent="0.2">
      <c r="A14" s="163"/>
      <c r="B14" s="162"/>
      <c r="C14" s="162"/>
      <c r="D14" s="163"/>
      <c r="E14" s="163"/>
      <c r="F14" s="163"/>
      <c r="G14" s="163"/>
      <c r="H14" s="163"/>
      <c r="I14" s="163"/>
      <c r="J14" s="163"/>
      <c r="K14" s="164"/>
      <c r="L14" s="164"/>
      <c r="M14" s="164"/>
      <c r="N14" s="164"/>
      <c r="O14" s="164"/>
    </row>
    <row r="15" spans="1:16" ht="12.75" x14ac:dyDescent="0.2">
      <c r="A15" s="160"/>
      <c r="B15" s="165"/>
      <c r="C15" s="245"/>
      <c r="D15" s="160"/>
    </row>
    <row r="16" spans="1:16" ht="12.75" x14ac:dyDescent="0.2">
      <c r="A16" s="166" t="s">
        <v>440</v>
      </c>
      <c r="B16" s="167">
        <v>2016</v>
      </c>
      <c r="C16" s="359"/>
      <c r="E16" s="168" t="s">
        <v>441</v>
      </c>
      <c r="F16" s="168"/>
      <c r="G16" s="168"/>
      <c r="H16" s="168"/>
      <c r="I16" s="359"/>
      <c r="J16" s="169"/>
      <c r="O16" s="169"/>
    </row>
    <row r="17" spans="1:15" ht="12.75" x14ac:dyDescent="0.2">
      <c r="A17" s="170"/>
      <c r="B17" s="171">
        <v>0.6</v>
      </c>
      <c r="C17" s="363"/>
      <c r="E17" s="172" t="s">
        <v>279</v>
      </c>
      <c r="F17" s="172"/>
      <c r="G17" s="172"/>
      <c r="H17" s="173">
        <v>0.23</v>
      </c>
      <c r="I17" s="360"/>
    </row>
    <row r="18" spans="1:15" ht="12.75" x14ac:dyDescent="0.2">
      <c r="A18" s="170" t="s">
        <v>280</v>
      </c>
      <c r="B18" s="171">
        <v>0.18</v>
      </c>
      <c r="C18" s="363"/>
      <c r="E18" s="172" t="s">
        <v>281</v>
      </c>
      <c r="F18" s="172"/>
      <c r="G18" s="172"/>
      <c r="H18" s="173">
        <v>0.06</v>
      </c>
      <c r="I18" s="360"/>
    </row>
    <row r="19" spans="1:15" ht="12.75" x14ac:dyDescent="0.2">
      <c r="A19" s="170" t="s">
        <v>282</v>
      </c>
      <c r="B19" s="171">
        <v>0.03</v>
      </c>
      <c r="C19" s="363"/>
      <c r="E19" s="172" t="s">
        <v>283</v>
      </c>
      <c r="F19" s="172"/>
      <c r="G19" s="172"/>
      <c r="H19" s="173">
        <v>0.03</v>
      </c>
      <c r="I19" s="360"/>
    </row>
    <row r="20" spans="1:15" ht="12.75" x14ac:dyDescent="0.2">
      <c r="A20" s="170" t="s">
        <v>284</v>
      </c>
      <c r="B20" s="171">
        <v>0.06</v>
      </c>
      <c r="C20" s="363"/>
      <c r="E20" s="172" t="s">
        <v>285</v>
      </c>
      <c r="F20" s="172"/>
      <c r="G20" s="172"/>
      <c r="H20" s="173">
        <v>0.09</v>
      </c>
      <c r="I20" s="360"/>
    </row>
    <row r="21" spans="1:15" ht="12.75" x14ac:dyDescent="0.2">
      <c r="A21" s="170" t="s">
        <v>286</v>
      </c>
      <c r="B21" s="171">
        <v>7.0000000000000007E-2</v>
      </c>
      <c r="C21" s="363"/>
      <c r="E21" s="172" t="s">
        <v>287</v>
      </c>
      <c r="F21" s="172"/>
      <c r="G21" s="172"/>
      <c r="H21" s="173">
        <v>0.13</v>
      </c>
      <c r="I21" s="360"/>
    </row>
    <row r="22" spans="1:15" ht="12.75" x14ac:dyDescent="0.2">
      <c r="A22" s="170" t="s">
        <v>288</v>
      </c>
      <c r="B22" s="171">
        <v>0.06</v>
      </c>
      <c r="C22" s="363"/>
      <c r="E22" s="172" t="s">
        <v>288</v>
      </c>
      <c r="F22" s="172"/>
      <c r="G22" s="172"/>
      <c r="H22" s="173">
        <v>0.31</v>
      </c>
      <c r="I22" s="360"/>
    </row>
    <row r="23" spans="1:15" ht="12.75" x14ac:dyDescent="0.2">
      <c r="A23" s="170"/>
      <c r="B23" s="171">
        <f>SUM(B17:B22)</f>
        <v>1.0000000000000002</v>
      </c>
      <c r="C23" s="363"/>
      <c r="E23" s="172" t="s">
        <v>280</v>
      </c>
      <c r="F23" s="172"/>
      <c r="G23" s="172"/>
      <c r="H23" s="173">
        <v>0.15</v>
      </c>
      <c r="I23" s="360"/>
    </row>
    <row r="24" spans="1:15" ht="12.75" x14ac:dyDescent="0.2">
      <c r="A24" s="174"/>
      <c r="B24" s="174"/>
      <c r="C24" s="359"/>
      <c r="E24" s="175"/>
      <c r="F24" s="175"/>
      <c r="G24" s="175"/>
      <c r="H24" s="176">
        <f>SUM(H17:H23)</f>
        <v>1</v>
      </c>
      <c r="I24" s="360"/>
      <c r="J24" s="164"/>
      <c r="O24" s="164"/>
    </row>
    <row r="25" spans="1:15" s="153" customFormat="1" thickBot="1" x14ac:dyDescent="0.3">
      <c r="A25" s="2" t="s">
        <v>253</v>
      </c>
      <c r="B25" s="177"/>
      <c r="C25" s="178"/>
      <c r="D25" s="178"/>
      <c r="E25" s="178"/>
      <c r="F25" s="178"/>
      <c r="G25" s="178"/>
      <c r="H25" s="178"/>
      <c r="I25" s="178"/>
      <c r="J25" s="178"/>
      <c r="K25" s="178"/>
      <c r="L25" s="178"/>
      <c r="M25" s="178"/>
      <c r="N25" s="178"/>
      <c r="O25" s="178"/>
    </row>
    <row r="26" spans="1:15" ht="12.75" x14ac:dyDescent="0.2">
      <c r="A26" s="179" t="s">
        <v>458</v>
      </c>
      <c r="B26" s="180"/>
      <c r="C26" s="181">
        <f>'FMFO prod'!B8</f>
        <v>878</v>
      </c>
      <c r="D26" s="182"/>
      <c r="E26" s="160"/>
      <c r="F26" s="206">
        <v>4.8000000000000001E-2</v>
      </c>
      <c r="G26" s="160"/>
      <c r="H26" s="160"/>
      <c r="I26" s="160"/>
      <c r="J26" s="160">
        <f>'FMFO prod'!B18</f>
        <v>4445</v>
      </c>
      <c r="K26" s="368">
        <v>0.22500000000000001</v>
      </c>
      <c r="L26" s="182"/>
      <c r="M26" s="160"/>
      <c r="N26" s="160"/>
      <c r="O26" s="160"/>
    </row>
    <row r="27" spans="1:15" ht="12.75" x14ac:dyDescent="0.2">
      <c r="A27" s="179" t="s">
        <v>289</v>
      </c>
      <c r="B27" s="180"/>
      <c r="C27" s="183" t="s">
        <v>253</v>
      </c>
      <c r="D27" s="182"/>
      <c r="E27" s="160"/>
      <c r="F27" s="160"/>
      <c r="G27" s="160"/>
      <c r="H27" s="160"/>
      <c r="I27" s="160"/>
      <c r="J27" s="160"/>
      <c r="K27" s="182"/>
      <c r="L27" s="182"/>
      <c r="M27" s="160"/>
      <c r="N27" s="160"/>
      <c r="O27" s="160"/>
    </row>
    <row r="28" spans="1:15" ht="51" x14ac:dyDescent="0.2">
      <c r="A28" s="179" t="s">
        <v>290</v>
      </c>
      <c r="B28" s="180"/>
      <c r="C28" s="160" t="s">
        <v>291</v>
      </c>
      <c r="D28" s="410" t="s">
        <v>448</v>
      </c>
      <c r="E28" s="160" t="s">
        <v>292</v>
      </c>
      <c r="F28" s="160"/>
      <c r="G28" s="160"/>
      <c r="H28" s="160"/>
      <c r="I28" s="160"/>
      <c r="J28" s="367" t="s">
        <v>293</v>
      </c>
      <c r="K28" s="410" t="s">
        <v>449</v>
      </c>
      <c r="L28" s="182"/>
      <c r="M28" s="160"/>
      <c r="N28" s="160"/>
      <c r="O28" s="160"/>
    </row>
    <row r="29" spans="1:15" ht="12.75" x14ac:dyDescent="0.2">
      <c r="A29" s="170" t="s">
        <v>279</v>
      </c>
      <c r="B29" s="180">
        <f>B17*$B$9</f>
        <v>0.44999999999999996</v>
      </c>
      <c r="C29" s="184">
        <f>B29*$C$26</f>
        <v>395.09999999999997</v>
      </c>
      <c r="D29" s="411">
        <f>C29/$F$26</f>
        <v>8231.25</v>
      </c>
      <c r="E29" s="172" t="s">
        <v>279</v>
      </c>
      <c r="F29" s="172"/>
      <c r="G29" s="172"/>
      <c r="H29" s="186">
        <f>H17*$H$9</f>
        <v>0.15870000000000001</v>
      </c>
      <c r="I29" s="186"/>
      <c r="J29" s="187">
        <f>H29*$J$26</f>
        <v>705.42150000000004</v>
      </c>
      <c r="K29" s="411">
        <f>J29/$K$26</f>
        <v>3135.2066666666669</v>
      </c>
      <c r="L29" s="182"/>
      <c r="M29" s="160"/>
      <c r="N29" s="160"/>
      <c r="O29" s="160"/>
    </row>
    <row r="30" spans="1:15" ht="12.75" x14ac:dyDescent="0.2">
      <c r="A30" s="170" t="s">
        <v>280</v>
      </c>
      <c r="B30" s="180">
        <f t="shared" ref="B30:B34" si="0">B18*$B$9</f>
        <v>0.13500000000000001</v>
      </c>
      <c r="C30" s="184">
        <f t="shared" ref="C30:C36" si="1">B30*$C$26</f>
        <v>118.53</v>
      </c>
      <c r="D30" s="411">
        <f t="shared" ref="D30:D37" si="2">C30/$F$26</f>
        <v>2469.375</v>
      </c>
      <c r="E30" s="172" t="s">
        <v>281</v>
      </c>
      <c r="F30" s="172"/>
      <c r="G30" s="172"/>
      <c r="H30" s="186">
        <f t="shared" ref="H30:H35" si="3">H18*$H$9</f>
        <v>4.1399999999999992E-2</v>
      </c>
      <c r="I30" s="186"/>
      <c r="J30" s="187">
        <f t="shared" ref="J30:J39" si="4">H30*$J$26</f>
        <v>184.02299999999997</v>
      </c>
      <c r="K30" s="411">
        <f t="shared" ref="K30:K39" si="5">J30/$K$26</f>
        <v>817.87999999999988</v>
      </c>
      <c r="L30" s="182"/>
      <c r="M30" s="160"/>
      <c r="N30" s="160"/>
      <c r="O30" s="160"/>
    </row>
    <row r="31" spans="1:15" ht="12.75" x14ac:dyDescent="0.2">
      <c r="A31" s="170" t="s">
        <v>282</v>
      </c>
      <c r="B31" s="180">
        <f t="shared" si="0"/>
        <v>2.2499999999999999E-2</v>
      </c>
      <c r="C31" s="184">
        <f t="shared" si="1"/>
        <v>19.754999999999999</v>
      </c>
      <c r="D31" s="411">
        <f t="shared" si="2"/>
        <v>411.56249999999994</v>
      </c>
      <c r="E31" s="172" t="s">
        <v>283</v>
      </c>
      <c r="F31" s="172"/>
      <c r="G31" s="172"/>
      <c r="H31" s="186">
        <f t="shared" si="3"/>
        <v>2.0699999999999996E-2</v>
      </c>
      <c r="I31" s="186"/>
      <c r="J31" s="187">
        <f t="shared" si="4"/>
        <v>92.011499999999984</v>
      </c>
      <c r="K31" s="411">
        <f t="shared" si="5"/>
        <v>408.93999999999994</v>
      </c>
      <c r="L31" s="182"/>
      <c r="M31" s="160"/>
      <c r="N31" s="160"/>
      <c r="O31" s="160"/>
    </row>
    <row r="32" spans="1:15" ht="12.75" x14ac:dyDescent="0.2">
      <c r="A32" s="170" t="s">
        <v>284</v>
      </c>
      <c r="B32" s="180">
        <f t="shared" si="0"/>
        <v>4.4999999999999998E-2</v>
      </c>
      <c r="C32" s="184">
        <f t="shared" si="1"/>
        <v>39.51</v>
      </c>
      <c r="D32" s="411">
        <f t="shared" si="2"/>
        <v>823.12499999999989</v>
      </c>
      <c r="E32" s="172" t="s">
        <v>285</v>
      </c>
      <c r="F32" s="172"/>
      <c r="G32" s="172"/>
      <c r="H32" s="186">
        <f t="shared" si="3"/>
        <v>6.2099999999999995E-2</v>
      </c>
      <c r="I32" s="186"/>
      <c r="J32" s="187">
        <f t="shared" si="4"/>
        <v>276.03449999999998</v>
      </c>
      <c r="K32" s="411">
        <f t="shared" si="5"/>
        <v>1226.82</v>
      </c>
      <c r="L32" s="182"/>
      <c r="M32" s="160"/>
      <c r="N32" s="160"/>
      <c r="O32" s="160"/>
    </row>
    <row r="33" spans="1:15" ht="12.75" x14ac:dyDescent="0.2">
      <c r="A33" s="170" t="s">
        <v>286</v>
      </c>
      <c r="B33" s="180">
        <f t="shared" si="0"/>
        <v>5.2500000000000005E-2</v>
      </c>
      <c r="C33" s="184">
        <f t="shared" si="1"/>
        <v>46.095000000000006</v>
      </c>
      <c r="D33" s="411">
        <f t="shared" si="2"/>
        <v>960.31250000000011</v>
      </c>
      <c r="E33" s="172" t="s">
        <v>287</v>
      </c>
      <c r="F33" s="172"/>
      <c r="G33" s="172"/>
      <c r="H33" s="186">
        <f t="shared" si="3"/>
        <v>8.9700000000000002E-2</v>
      </c>
      <c r="I33" s="186"/>
      <c r="J33" s="187">
        <f t="shared" si="4"/>
        <v>398.7165</v>
      </c>
      <c r="K33" s="411">
        <f t="shared" si="5"/>
        <v>1772.0733333333333</v>
      </c>
      <c r="L33" s="182"/>
      <c r="M33" s="160"/>
      <c r="N33" s="160"/>
      <c r="O33" s="160"/>
    </row>
    <row r="34" spans="1:15" ht="12.75" x14ac:dyDescent="0.2">
      <c r="A34" s="170" t="s">
        <v>288</v>
      </c>
      <c r="B34" s="180">
        <f t="shared" si="0"/>
        <v>4.4999999999999998E-2</v>
      </c>
      <c r="C34" s="184">
        <f t="shared" si="1"/>
        <v>39.51</v>
      </c>
      <c r="D34" s="411">
        <f t="shared" si="2"/>
        <v>823.12499999999989</v>
      </c>
      <c r="E34" s="172" t="s">
        <v>288</v>
      </c>
      <c r="F34" s="172"/>
      <c r="G34" s="172"/>
      <c r="H34" s="186">
        <f t="shared" si="3"/>
        <v>0.21389999999999998</v>
      </c>
      <c r="I34" s="186"/>
      <c r="J34" s="187">
        <f t="shared" si="4"/>
        <v>950.78549999999996</v>
      </c>
      <c r="K34" s="411">
        <f t="shared" si="5"/>
        <v>4225.7133333333331</v>
      </c>
      <c r="L34" s="182"/>
      <c r="M34" s="160"/>
      <c r="N34" s="160"/>
      <c r="O34" s="160"/>
    </row>
    <row r="35" spans="1:15" ht="38.25" x14ac:dyDescent="0.2">
      <c r="A35" s="188" t="s">
        <v>294</v>
      </c>
      <c r="B35" s="180">
        <v>0.18</v>
      </c>
      <c r="C35" s="184">
        <f t="shared" si="1"/>
        <v>158.04</v>
      </c>
      <c r="D35" s="411">
        <f t="shared" si="2"/>
        <v>3292.4999999999995</v>
      </c>
      <c r="E35" s="172" t="s">
        <v>280</v>
      </c>
      <c r="F35" s="172"/>
      <c r="G35" s="172"/>
      <c r="H35" s="186">
        <f t="shared" si="3"/>
        <v>0.10349999999999999</v>
      </c>
      <c r="I35" s="186"/>
      <c r="J35" s="187">
        <f t="shared" si="4"/>
        <v>460.0575</v>
      </c>
      <c r="K35" s="411">
        <f t="shared" si="5"/>
        <v>2044.7</v>
      </c>
      <c r="L35" s="182"/>
      <c r="M35" s="160"/>
      <c r="N35" s="160"/>
      <c r="O35" s="160"/>
    </row>
    <row r="36" spans="1:15" ht="12.75" x14ac:dyDescent="0.2">
      <c r="A36" s="189" t="s">
        <v>295</v>
      </c>
      <c r="B36" s="180">
        <v>7.0000000000000007E-2</v>
      </c>
      <c r="C36" s="184">
        <f t="shared" si="1"/>
        <v>61.460000000000008</v>
      </c>
      <c r="D36" s="411">
        <f t="shared" si="2"/>
        <v>1280.4166666666667</v>
      </c>
      <c r="E36" s="190" t="s">
        <v>276</v>
      </c>
      <c r="F36" s="190"/>
      <c r="G36" s="190"/>
      <c r="H36" s="161">
        <v>0.23</v>
      </c>
      <c r="I36" s="161"/>
      <c r="J36" s="187">
        <f t="shared" si="4"/>
        <v>1022.35</v>
      </c>
      <c r="K36" s="411">
        <f t="shared" si="5"/>
        <v>4543.7777777777774</v>
      </c>
      <c r="L36" s="182"/>
      <c r="M36" s="160"/>
      <c r="N36" s="160"/>
      <c r="O36" s="160"/>
    </row>
    <row r="37" spans="1:15" ht="12.75" x14ac:dyDescent="0.2">
      <c r="A37" s="179" t="s">
        <v>23</v>
      </c>
      <c r="B37" s="180">
        <f>SUM(B29:B36)</f>
        <v>1</v>
      </c>
      <c r="C37" s="184">
        <f>B37*$C$26</f>
        <v>878</v>
      </c>
      <c r="D37" s="411">
        <f t="shared" si="2"/>
        <v>18291.666666666668</v>
      </c>
      <c r="E37" s="190" t="s">
        <v>278</v>
      </c>
      <c r="F37" s="190"/>
      <c r="G37" s="190"/>
      <c r="H37" s="161">
        <v>0.05</v>
      </c>
      <c r="I37" s="161"/>
      <c r="J37" s="187">
        <f t="shared" si="4"/>
        <v>222.25</v>
      </c>
      <c r="K37" s="411">
        <f t="shared" si="5"/>
        <v>987.77777777777771</v>
      </c>
      <c r="L37" s="160"/>
      <c r="M37" s="160"/>
      <c r="N37" s="160"/>
      <c r="O37" s="160"/>
    </row>
    <row r="38" spans="1:15" ht="12.75" x14ac:dyDescent="0.2">
      <c r="A38" s="191"/>
      <c r="B38" s="180"/>
      <c r="C38" s="160"/>
      <c r="D38" s="412"/>
      <c r="E38" s="190" t="s">
        <v>277</v>
      </c>
      <c r="F38" s="190"/>
      <c r="G38" s="190"/>
      <c r="H38" s="161">
        <v>0.03</v>
      </c>
      <c r="I38" s="161"/>
      <c r="J38" s="187">
        <f t="shared" si="4"/>
        <v>133.35</v>
      </c>
      <c r="K38" s="411">
        <f t="shared" si="5"/>
        <v>592.66666666666663</v>
      </c>
      <c r="L38" s="160"/>
      <c r="M38" s="160"/>
      <c r="N38" s="160"/>
      <c r="O38" s="160"/>
    </row>
    <row r="39" spans="1:15" ht="12.75" x14ac:dyDescent="0.2">
      <c r="A39" s="191"/>
      <c r="B39" s="180"/>
      <c r="C39" s="160"/>
      <c r="D39" s="160"/>
      <c r="E39" s="160"/>
      <c r="F39" s="160"/>
      <c r="G39" s="160"/>
      <c r="H39" s="161">
        <f>SUM(H29:H38)</f>
        <v>1</v>
      </c>
      <c r="I39" s="161"/>
      <c r="J39" s="187">
        <f t="shared" si="4"/>
        <v>4445</v>
      </c>
      <c r="K39" s="411">
        <f t="shared" si="5"/>
        <v>19755.555555555555</v>
      </c>
      <c r="L39" s="160"/>
      <c r="M39" s="160"/>
      <c r="N39" s="160"/>
      <c r="O39" s="160"/>
    </row>
    <row r="40" spans="1:15" s="153" customFormat="1" ht="13.5" thickBot="1" x14ac:dyDescent="0.25">
      <c r="A40" s="192" t="s">
        <v>296</v>
      </c>
      <c r="B40" s="177"/>
      <c r="C40" s="178"/>
      <c r="D40" s="178"/>
      <c r="E40" s="178"/>
      <c r="F40" s="178"/>
      <c r="G40" s="178"/>
      <c r="H40" s="178"/>
      <c r="I40" s="178"/>
      <c r="J40" s="178"/>
      <c r="K40" s="178"/>
      <c r="L40" s="178"/>
      <c r="M40" s="178"/>
      <c r="N40" s="178"/>
      <c r="O40" s="178"/>
    </row>
    <row r="41" spans="1:15" ht="12.75" x14ac:dyDescent="0.2">
      <c r="A41" s="193"/>
      <c r="B41" s="194"/>
      <c r="C41" s="193"/>
      <c r="D41" s="193"/>
      <c r="E41" s="193"/>
      <c r="F41" s="193"/>
      <c r="G41" s="193"/>
    </row>
    <row r="42" spans="1:15" ht="12.75" x14ac:dyDescent="0.2">
      <c r="A42" s="195" t="s">
        <v>297</v>
      </c>
      <c r="B42" s="196">
        <v>0.4</v>
      </c>
      <c r="C42" s="197" t="s">
        <v>298</v>
      </c>
      <c r="D42" s="197"/>
      <c r="E42" s="198"/>
      <c r="F42" s="199"/>
      <c r="G42" s="199"/>
    </row>
    <row r="43" spans="1:15" ht="12.75" x14ac:dyDescent="0.2">
      <c r="A43" s="200" t="s">
        <v>299</v>
      </c>
      <c r="B43" s="201">
        <v>0.22</v>
      </c>
      <c r="C43" s="202"/>
      <c r="D43" s="202"/>
      <c r="E43" s="203"/>
      <c r="F43" s="199"/>
      <c r="G43" s="199"/>
    </row>
    <row r="44" spans="1:15" ht="15.75" customHeight="1" x14ac:dyDescent="0.2">
      <c r="A44" s="149" t="s">
        <v>300</v>
      </c>
      <c r="B44" s="151">
        <v>0.33</v>
      </c>
      <c r="C44" s="149" t="s">
        <v>251</v>
      </c>
    </row>
    <row r="45" spans="1:15" ht="12.75" x14ac:dyDescent="0.2">
      <c r="A45" s="169"/>
      <c r="B45" s="169"/>
      <c r="C45" s="169"/>
      <c r="D45" s="169"/>
      <c r="E45" s="169"/>
      <c r="F45" s="169"/>
      <c r="G45" s="169"/>
      <c r="H45" s="169"/>
      <c r="I45" s="169"/>
      <c r="J45" s="169"/>
      <c r="K45" s="169"/>
      <c r="L45" s="169"/>
      <c r="M45" s="169"/>
      <c r="N45" s="169"/>
      <c r="O45" s="169"/>
    </row>
    <row r="46" spans="1:15" ht="12.75" x14ac:dyDescent="0.2">
      <c r="A46" s="160"/>
    </row>
    <row r="47" spans="1:15" ht="15" x14ac:dyDescent="0.25">
      <c r="A47" s="160"/>
      <c r="E47" s="181"/>
      <c r="F47" s="181"/>
      <c r="G47" s="181"/>
      <c r="H47" s="160"/>
      <c r="I47" s="160"/>
      <c r="K47" s="204"/>
      <c r="L47" s="204"/>
    </row>
    <row r="48" spans="1:15" ht="12.75" x14ac:dyDescent="0.2">
      <c r="A48" s="160"/>
      <c r="E48" s="181"/>
      <c r="F48" s="181"/>
      <c r="G48" s="181"/>
    </row>
    <row r="49" spans="1:15" ht="12.75" x14ac:dyDescent="0.2">
      <c r="A49" s="160"/>
      <c r="E49" s="205"/>
      <c r="F49" s="205"/>
      <c r="G49" s="205"/>
    </row>
    <row r="50" spans="1:15" ht="12.75" x14ac:dyDescent="0.2">
      <c r="A50" s="160"/>
      <c r="E50" s="181"/>
      <c r="F50" s="181"/>
      <c r="G50" s="181"/>
      <c r="K50" s="161"/>
      <c r="L50" s="161"/>
      <c r="M50" s="160"/>
      <c r="N50" s="160"/>
      <c r="O50" s="206"/>
    </row>
    <row r="51" spans="1:15" ht="12.75" x14ac:dyDescent="0.2">
      <c r="A51" s="160"/>
      <c r="E51" s="181"/>
      <c r="F51" s="181"/>
      <c r="G51" s="181"/>
      <c r="K51" s="160"/>
      <c r="L51" s="160"/>
      <c r="M51" s="160"/>
      <c r="N51" s="160"/>
      <c r="O51" s="206"/>
    </row>
    <row r="52" spans="1:15" ht="12.75" x14ac:dyDescent="0.2">
      <c r="A52" s="160"/>
      <c r="E52" s="207"/>
      <c r="F52" s="207"/>
      <c r="G52" s="207"/>
      <c r="K52" s="208"/>
      <c r="L52" s="208"/>
      <c r="O52" s="161"/>
    </row>
    <row r="53" spans="1:15" ht="12.75" x14ac:dyDescent="0.2">
      <c r="A53" s="160"/>
      <c r="E53" s="207"/>
      <c r="F53" s="207"/>
      <c r="G53" s="207"/>
      <c r="O53" s="161"/>
    </row>
    <row r="54" spans="1:15" ht="15" x14ac:dyDescent="0.25">
      <c r="A54" s="160"/>
      <c r="E54" s="209"/>
      <c r="F54" s="209"/>
      <c r="G54" s="209"/>
      <c r="O54" s="161"/>
    </row>
    <row r="55" spans="1:15" ht="12.75" x14ac:dyDescent="0.2">
      <c r="A55" s="160"/>
      <c r="E55" s="207"/>
      <c r="F55" s="207"/>
      <c r="G55" s="207"/>
      <c r="K55" s="208"/>
      <c r="L55" s="208"/>
      <c r="O55" s="161"/>
    </row>
    <row r="56" spans="1:15" ht="12.75" x14ac:dyDescent="0.2">
      <c r="A56" s="160"/>
      <c r="E56" s="160"/>
      <c r="F56" s="160"/>
      <c r="G56" s="160"/>
      <c r="K56" s="160"/>
      <c r="L56" s="160"/>
      <c r="M56" s="160"/>
      <c r="N56" s="160"/>
      <c r="O56" s="161"/>
    </row>
    <row r="57" spans="1:15" ht="12.75" x14ac:dyDescent="0.2">
      <c r="A57" s="160"/>
      <c r="E57" s="181"/>
      <c r="F57" s="181"/>
      <c r="G57" s="181"/>
    </row>
    <row r="58" spans="1:15" ht="12.75" x14ac:dyDescent="0.2">
      <c r="A58" s="160"/>
      <c r="E58" s="206"/>
      <c r="F58" s="206"/>
      <c r="G58" s="206"/>
    </row>
    <row r="59" spans="1:15" ht="12.75" x14ac:dyDescent="0.2">
      <c r="A59" s="160"/>
      <c r="E59" s="210"/>
      <c r="F59" s="210"/>
      <c r="G59" s="210"/>
      <c r="K59" s="208"/>
      <c r="L59" s="208"/>
    </row>
    <row r="60" spans="1:15" ht="15" x14ac:dyDescent="0.25">
      <c r="A60" s="160"/>
      <c r="E60" s="205"/>
      <c r="F60" s="205"/>
      <c r="G60" s="205"/>
      <c r="K60" s="204"/>
    </row>
    <row r="61" spans="1:15" ht="12.75" x14ac:dyDescent="0.2">
      <c r="A61" s="160"/>
      <c r="E61" s="205"/>
      <c r="F61" s="205"/>
      <c r="G61" s="205"/>
    </row>
    <row r="62" spans="1:15" ht="12.75" x14ac:dyDescent="0.2">
      <c r="A62" s="211"/>
      <c r="B62" s="212"/>
      <c r="C62" s="212"/>
      <c r="D62" s="212"/>
      <c r="E62" s="213"/>
      <c r="F62" s="213"/>
      <c r="G62" s="213"/>
      <c r="H62" s="214"/>
      <c r="I62" s="214"/>
      <c r="K62" s="215"/>
    </row>
    <row r="63" spans="1:15" ht="12.75" x14ac:dyDescent="0.2">
      <c r="A63" s="211"/>
      <c r="B63" s="212"/>
      <c r="C63" s="212"/>
      <c r="D63" s="212"/>
      <c r="E63" s="213"/>
      <c r="F63" s="213"/>
      <c r="G63" s="213"/>
      <c r="H63" s="214"/>
      <c r="I63" s="214"/>
    </row>
    <row r="64" spans="1:15" ht="15.75" customHeight="1" x14ac:dyDescent="0.2">
      <c r="A64" s="160"/>
    </row>
    <row r="65" spans="1:19" ht="12.75" x14ac:dyDescent="0.2">
      <c r="A65" s="160"/>
      <c r="E65" s="160"/>
      <c r="F65" s="160"/>
      <c r="G65" s="160"/>
      <c r="K65" s="160"/>
      <c r="L65" s="160"/>
      <c r="M65" s="160"/>
      <c r="N65" s="160"/>
    </row>
    <row r="66" spans="1:19" ht="12.75" x14ac:dyDescent="0.2">
      <c r="A66" s="199"/>
      <c r="B66" s="199"/>
      <c r="C66" s="216"/>
      <c r="D66" s="199"/>
      <c r="E66" s="217"/>
      <c r="F66" s="218"/>
      <c r="G66" s="218"/>
      <c r="H66" s="219"/>
      <c r="I66" s="220"/>
      <c r="J66" s="199"/>
      <c r="K66" s="221"/>
      <c r="L66" s="222"/>
      <c r="M66" s="199"/>
      <c r="N66" s="218"/>
    </row>
    <row r="67" spans="1:19" ht="12.75" x14ac:dyDescent="0.2">
      <c r="A67" s="223"/>
      <c r="B67" s="223"/>
      <c r="C67" s="224"/>
      <c r="D67" s="223"/>
      <c r="E67" s="225"/>
      <c r="F67" s="218"/>
      <c r="G67" s="218"/>
      <c r="H67" s="219"/>
      <c r="I67" s="220"/>
      <c r="J67" s="223"/>
      <c r="K67" s="221"/>
      <c r="L67" s="222"/>
      <c r="M67" s="225"/>
      <c r="N67" s="218"/>
    </row>
    <row r="68" spans="1:19" ht="12.75" x14ac:dyDescent="0.2">
      <c r="A68" s="199"/>
      <c r="B68" s="199"/>
      <c r="C68" s="216"/>
      <c r="D68" s="199"/>
      <c r="E68" s="217"/>
      <c r="F68" s="218"/>
      <c r="G68" s="218"/>
      <c r="H68" s="219"/>
      <c r="I68" s="220"/>
      <c r="J68" s="199"/>
      <c r="K68" s="221"/>
      <c r="L68" s="222"/>
      <c r="M68" s="217"/>
      <c r="N68" s="218"/>
    </row>
    <row r="69" spans="1:19" ht="12.75" x14ac:dyDescent="0.2">
      <c r="A69" s="223"/>
      <c r="B69" s="223"/>
      <c r="C69" s="224"/>
      <c r="D69" s="223"/>
      <c r="E69" s="225"/>
      <c r="F69" s="218"/>
      <c r="G69" s="218"/>
      <c r="H69" s="219"/>
      <c r="I69" s="220"/>
      <c r="J69" s="223"/>
      <c r="K69" s="221"/>
      <c r="L69" s="222"/>
      <c r="M69" s="225"/>
      <c r="N69" s="218"/>
    </row>
    <row r="70" spans="1:19" ht="12.75" x14ac:dyDescent="0.2">
      <c r="A70" s="223"/>
      <c r="B70" s="223"/>
      <c r="C70" s="224"/>
      <c r="D70" s="223"/>
      <c r="E70" s="225"/>
      <c r="F70" s="218"/>
      <c r="G70" s="218"/>
      <c r="H70" s="219"/>
      <c r="I70" s="220"/>
      <c r="J70" s="223"/>
      <c r="K70" s="221"/>
      <c r="L70" s="222"/>
      <c r="M70" s="225"/>
      <c r="N70" s="218"/>
    </row>
    <row r="71" spans="1:19" ht="12.75" x14ac:dyDescent="0.2">
      <c r="A71" s="199"/>
      <c r="B71" s="199"/>
      <c r="C71" s="216"/>
      <c r="D71" s="199"/>
      <c r="E71" s="217"/>
      <c r="F71" s="218"/>
      <c r="G71" s="218"/>
      <c r="H71" s="219"/>
      <c r="I71" s="220"/>
      <c r="J71" s="199"/>
      <c r="K71" s="221"/>
      <c r="L71" s="222"/>
      <c r="M71" s="217"/>
      <c r="N71" s="218"/>
    </row>
    <row r="72" spans="1:19" ht="12.75" x14ac:dyDescent="0.2">
      <c r="A72" s="223"/>
      <c r="B72" s="223"/>
      <c r="C72" s="224"/>
      <c r="D72" s="223"/>
      <c r="E72" s="225"/>
      <c r="F72" s="218"/>
      <c r="G72" s="218"/>
      <c r="H72" s="219"/>
      <c r="I72" s="220"/>
      <c r="J72" s="223"/>
      <c r="K72" s="221"/>
      <c r="L72" s="222"/>
      <c r="M72" s="225"/>
      <c r="N72" s="218"/>
      <c r="O72" s="160"/>
    </row>
    <row r="73" spans="1:19" ht="12.75" x14ac:dyDescent="0.2">
      <c r="A73" s="223"/>
      <c r="B73" s="223"/>
      <c r="C73" s="224"/>
      <c r="D73" s="223"/>
      <c r="E73" s="225"/>
      <c r="F73" s="218"/>
      <c r="G73" s="218"/>
      <c r="H73" s="226"/>
      <c r="I73" s="220"/>
      <c r="J73" s="223"/>
      <c r="K73" s="225"/>
      <c r="L73" s="222"/>
      <c r="M73" s="225"/>
      <c r="N73" s="218"/>
      <c r="O73" s="160"/>
    </row>
    <row r="74" spans="1:19" ht="13.5" thickBot="1" x14ac:dyDescent="0.25">
      <c r="A74" s="227"/>
      <c r="B74" s="227"/>
      <c r="C74" s="228"/>
      <c r="D74" s="227"/>
      <c r="E74" s="229"/>
      <c r="F74" s="218"/>
      <c r="G74" s="218"/>
      <c r="H74" s="230"/>
      <c r="I74" s="220"/>
      <c r="J74" s="227"/>
      <c r="K74" s="229"/>
      <c r="L74" s="222"/>
      <c r="M74" s="229"/>
      <c r="N74" s="218"/>
      <c r="O74" s="160"/>
    </row>
    <row r="75" spans="1:19" ht="12.75" x14ac:dyDescent="0.2">
      <c r="A75" s="231"/>
      <c r="B75" s="231"/>
      <c r="C75" s="232"/>
      <c r="D75" s="231"/>
      <c r="E75" s="233"/>
      <c r="F75" s="218"/>
      <c r="G75" s="218"/>
      <c r="H75" s="234"/>
      <c r="I75" s="220"/>
      <c r="J75" s="231"/>
      <c r="K75" s="233"/>
      <c r="L75" s="222"/>
      <c r="M75" s="233"/>
      <c r="N75" s="218"/>
    </row>
    <row r="76" spans="1:19" ht="12.75" x14ac:dyDescent="0.2">
      <c r="A76" s="235"/>
      <c r="B76" s="235"/>
      <c r="C76" s="236"/>
      <c r="D76" s="235"/>
      <c r="E76" s="237"/>
      <c r="F76" s="218"/>
      <c r="G76" s="218"/>
      <c r="H76" s="238"/>
      <c r="I76" s="238"/>
      <c r="J76" s="235"/>
      <c r="K76" s="233"/>
      <c r="L76" s="222"/>
      <c r="M76" s="237"/>
      <c r="N76" s="218"/>
    </row>
    <row r="77" spans="1:19" ht="12.75" x14ac:dyDescent="0.2">
      <c r="A77" s="235"/>
      <c r="B77" s="235"/>
      <c r="C77" s="236"/>
      <c r="D77" s="235"/>
      <c r="E77" s="237"/>
      <c r="F77" s="218"/>
      <c r="G77" s="218"/>
      <c r="H77" s="238"/>
      <c r="I77" s="238"/>
      <c r="J77" s="235"/>
      <c r="K77" s="233"/>
      <c r="L77" s="222"/>
      <c r="M77" s="237"/>
      <c r="N77" s="218"/>
    </row>
    <row r="78" spans="1:19" ht="12.75" x14ac:dyDescent="0.2">
      <c r="A78" s="160"/>
      <c r="E78" s="181"/>
      <c r="F78" s="218"/>
      <c r="G78" s="218"/>
      <c r="K78" s="160"/>
      <c r="L78" s="222"/>
      <c r="M78" s="160"/>
      <c r="N78" s="218"/>
      <c r="O78" s="239"/>
      <c r="S78" s="160"/>
    </row>
    <row r="81" spans="1:4" ht="12.75" x14ac:dyDescent="0.2">
      <c r="A81" s="160"/>
    </row>
    <row r="82" spans="1:4" ht="12.75" x14ac:dyDescent="0.2">
      <c r="A82" s="160"/>
      <c r="C82" s="181"/>
      <c r="D82" s="160"/>
    </row>
    <row r="83" spans="1:4" ht="12.75" x14ac:dyDescent="0.2">
      <c r="A83" s="160"/>
      <c r="C83" s="206"/>
    </row>
    <row r="84" spans="1:4" ht="12.75" x14ac:dyDescent="0.2">
      <c r="A84" s="160"/>
      <c r="C84" s="181"/>
    </row>
    <row r="85" spans="1:4" ht="12.75" x14ac:dyDescent="0.2">
      <c r="A85" s="160"/>
      <c r="C85" s="160"/>
      <c r="D85" s="160"/>
    </row>
    <row r="86" spans="1:4" ht="12.75" x14ac:dyDescent="0.2">
      <c r="A86" s="160"/>
      <c r="C86" s="181"/>
    </row>
    <row r="88" spans="1:4" ht="12.75" x14ac:dyDescent="0.2">
      <c r="A88" s="160"/>
    </row>
    <row r="89" spans="1:4" ht="12.75" x14ac:dyDescent="0.2">
      <c r="A89" s="160"/>
      <c r="C89" s="160"/>
    </row>
    <row r="90" spans="1:4" ht="12.75" x14ac:dyDescent="0.2">
      <c r="A90" s="160"/>
      <c r="C90" s="161"/>
    </row>
    <row r="91" spans="1:4" ht="12.75" x14ac:dyDescent="0.2">
      <c r="C91" s="160"/>
    </row>
    <row r="92" spans="1:4" ht="12.75" x14ac:dyDescent="0.2">
      <c r="A92" s="160"/>
      <c r="C92" s="161"/>
    </row>
    <row r="93" spans="1:4" ht="12.75" x14ac:dyDescent="0.2">
      <c r="C93" s="160"/>
    </row>
    <row r="94" spans="1:4" ht="12.75" x14ac:dyDescent="0.2">
      <c r="A94" s="160"/>
      <c r="C94" s="161"/>
    </row>
    <row r="95" spans="1:4" ht="12.75" x14ac:dyDescent="0.2">
      <c r="A95" s="160"/>
      <c r="C95" s="160"/>
    </row>
    <row r="96" spans="1:4" ht="12.75" x14ac:dyDescent="0.2">
      <c r="A96" s="160"/>
    </row>
  </sheetData>
  <hyperlinks>
    <hyperlink ref="C27" r:id="rId1" xr:uid="{57479D4F-E394-400A-9FFE-1ACFAC6F7D1B}"/>
    <hyperlink ref="A13" r:id="rId2" xr:uid="{0A6FE923-5591-4977-ABE9-B15A1CCD828C}"/>
    <hyperlink ref="A25" r:id="rId3" xr:uid="{9EA9482A-9E3A-417B-828A-6675FD503929}"/>
  </hyperlinks>
  <pageMargins left="0.7" right="0.7" top="0.75" bottom="0.75" header="0.3" footer="0.3"/>
  <pageSetup orientation="portrait" verticalDpi="0"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AE5E-B714-4E4A-8004-B9449EF8A3E0}">
  <sheetPr>
    <outlinePr summaryBelow="0" summaryRight="0"/>
  </sheetPr>
  <dimension ref="A1:G83"/>
  <sheetViews>
    <sheetView workbookViewId="0">
      <selection activeCell="D4" sqref="D4"/>
    </sheetView>
  </sheetViews>
  <sheetFormatPr defaultColWidth="14.42578125" defaultRowHeight="15.75" customHeight="1" x14ac:dyDescent="0.2"/>
  <cols>
    <col min="1" max="1" width="36.42578125" style="149" customWidth="1"/>
    <col min="2" max="2" width="14.42578125" style="149"/>
    <col min="3" max="3" width="23" style="149" customWidth="1"/>
    <col min="4" max="16384" width="14.42578125" style="149"/>
  </cols>
  <sheetData>
    <row r="1" spans="1:4" s="241" customFormat="1" ht="15.75" customHeight="1" x14ac:dyDescent="0.25">
      <c r="A1" s="240" t="s">
        <v>301</v>
      </c>
    </row>
    <row r="2" spans="1:4" ht="15.75" customHeight="1" x14ac:dyDescent="0.2">
      <c r="A2" s="242" t="s">
        <v>302</v>
      </c>
      <c r="B2" s="149" t="s">
        <v>457</v>
      </c>
      <c r="C2" s="149" t="s">
        <v>303</v>
      </c>
    </row>
    <row r="3" spans="1:4" ht="15.75" customHeight="1" x14ac:dyDescent="0.25">
      <c r="A3" s="242" t="s">
        <v>279</v>
      </c>
      <c r="B3" s="243">
        <f>D19</f>
        <v>3079</v>
      </c>
      <c r="C3" s="149" t="s">
        <v>305</v>
      </c>
    </row>
    <row r="4" spans="1:4" ht="15.75" customHeight="1" x14ac:dyDescent="0.25">
      <c r="A4" s="242" t="s">
        <v>281</v>
      </c>
      <c r="B4" s="243">
        <v>304</v>
      </c>
      <c r="C4" s="149" t="s">
        <v>306</v>
      </c>
      <c r="D4" s="149" t="s">
        <v>259</v>
      </c>
    </row>
    <row r="5" spans="1:4" ht="15.75" customHeight="1" x14ac:dyDescent="0.25">
      <c r="A5" s="242" t="s">
        <v>307</v>
      </c>
      <c r="B5" s="243">
        <f>D42</f>
        <v>7708.9600000000009</v>
      </c>
      <c r="C5" s="149" t="s">
        <v>308</v>
      </c>
    </row>
    <row r="6" spans="1:4" ht="15.75" customHeight="1" x14ac:dyDescent="0.25">
      <c r="A6" s="242" t="s">
        <v>285</v>
      </c>
      <c r="B6" s="243">
        <f>D48</f>
        <v>4675.2160000000003</v>
      </c>
      <c r="C6" s="149" t="s">
        <v>309</v>
      </c>
    </row>
    <row r="7" spans="1:4" ht="15.75" customHeight="1" x14ac:dyDescent="0.25">
      <c r="A7" s="242" t="s">
        <v>310</v>
      </c>
      <c r="B7" s="243">
        <f>F56</f>
        <v>3398.2000000000003</v>
      </c>
      <c r="C7" s="149" t="s">
        <v>311</v>
      </c>
    </row>
    <row r="8" spans="1:4" ht="15.75" customHeight="1" x14ac:dyDescent="0.25">
      <c r="A8" s="242" t="s">
        <v>288</v>
      </c>
      <c r="B8" s="243">
        <f>B76</f>
        <v>6328</v>
      </c>
      <c r="C8" s="149" t="s">
        <v>312</v>
      </c>
    </row>
    <row r="9" spans="1:4" ht="15.75" customHeight="1" x14ac:dyDescent="0.25">
      <c r="A9" s="242" t="s">
        <v>313</v>
      </c>
      <c r="B9" s="243">
        <f>B83</f>
        <v>2610.2959999999998</v>
      </c>
      <c r="C9" s="149" t="s">
        <v>314</v>
      </c>
    </row>
    <row r="10" spans="1:4" ht="15.75" customHeight="1" x14ac:dyDescent="0.25">
      <c r="A10" s="242" t="s">
        <v>315</v>
      </c>
      <c r="B10" s="243">
        <f>SUM(B3:B9)</f>
        <v>28103.671999999999</v>
      </c>
    </row>
    <row r="11" spans="1:4" ht="15.75" customHeight="1" x14ac:dyDescent="0.2">
      <c r="A11" s="242"/>
    </row>
    <row r="12" spans="1:4" ht="15.75" customHeight="1" x14ac:dyDescent="0.25">
      <c r="A12" s="242" t="s">
        <v>316</v>
      </c>
      <c r="B12" s="244">
        <v>112940</v>
      </c>
      <c r="C12" s="149" t="s">
        <v>317</v>
      </c>
      <c r="D12" s="149" t="s">
        <v>318</v>
      </c>
    </row>
    <row r="13" spans="1:4" ht="15.75" customHeight="1" x14ac:dyDescent="0.25">
      <c r="A13" s="242" t="s">
        <v>319</v>
      </c>
      <c r="B13" s="244">
        <v>94567</v>
      </c>
      <c r="C13" s="149" t="s">
        <v>317</v>
      </c>
      <c r="D13" s="149" t="s">
        <v>318</v>
      </c>
    </row>
    <row r="14" spans="1:4" ht="15.75" customHeight="1" x14ac:dyDescent="0.2">
      <c r="A14" s="242" t="s">
        <v>16</v>
      </c>
    </row>
    <row r="15" spans="1:4" ht="15.75" customHeight="1" x14ac:dyDescent="0.2">
      <c r="A15" s="242" t="s">
        <v>320</v>
      </c>
    </row>
    <row r="17" spans="1:6" s="246" customFormat="1" ht="12.75" x14ac:dyDescent="0.2">
      <c r="A17" s="245" t="s">
        <v>304</v>
      </c>
      <c r="D17" s="245">
        <v>2247</v>
      </c>
      <c r="E17" s="245" t="s">
        <v>321</v>
      </c>
      <c r="F17" s="246" t="s">
        <v>111</v>
      </c>
    </row>
    <row r="18" spans="1:6" ht="15.75" customHeight="1" x14ac:dyDescent="0.2">
      <c r="A18" s="160" t="s">
        <v>322</v>
      </c>
      <c r="D18" s="160">
        <v>832</v>
      </c>
      <c r="E18" s="160" t="s">
        <v>321</v>
      </c>
      <c r="F18" s="149" t="s">
        <v>453</v>
      </c>
    </row>
    <row r="19" spans="1:6" s="248" customFormat="1" ht="15.75" customHeight="1" thickBot="1" x14ac:dyDescent="0.3">
      <c r="A19" s="247" t="s">
        <v>323</v>
      </c>
      <c r="D19" s="247">
        <f>SUM(D17:D18)</f>
        <v>3079</v>
      </c>
      <c r="E19" s="249"/>
    </row>
    <row r="20" spans="1:6" ht="15.75" customHeight="1" x14ac:dyDescent="0.25">
      <c r="C20" s="160"/>
      <c r="D20" s="160"/>
      <c r="E20" s="250"/>
    </row>
    <row r="21" spans="1:6" s="246" customFormat="1" ht="15.75" customHeight="1" x14ac:dyDescent="0.2">
      <c r="A21" s="246" t="s">
        <v>324</v>
      </c>
      <c r="F21" s="246" t="s">
        <v>259</v>
      </c>
    </row>
    <row r="22" spans="1:6" ht="15.75" customHeight="1" x14ac:dyDescent="0.2">
      <c r="A22" s="149" t="s">
        <v>325</v>
      </c>
      <c r="B22" s="412" t="s">
        <v>326</v>
      </c>
      <c r="C22" s="412" t="s">
        <v>327</v>
      </c>
      <c r="D22" s="149" t="s">
        <v>461</v>
      </c>
    </row>
    <row r="23" spans="1:6" ht="15.75" customHeight="1" x14ac:dyDescent="0.2">
      <c r="A23" s="149" t="s">
        <v>328</v>
      </c>
      <c r="B23" s="412">
        <v>3775</v>
      </c>
      <c r="C23" s="412">
        <v>4213</v>
      </c>
      <c r="D23" s="149">
        <v>5446</v>
      </c>
    </row>
    <row r="24" spans="1:6" ht="15.75" customHeight="1" x14ac:dyDescent="0.2">
      <c r="A24" s="149" t="s">
        <v>462</v>
      </c>
      <c r="B24" s="412"/>
      <c r="C24" s="412"/>
      <c r="D24" s="149">
        <v>4717</v>
      </c>
    </row>
    <row r="25" spans="1:6" ht="15.75" customHeight="1" x14ac:dyDescent="0.2">
      <c r="A25" s="149" t="s">
        <v>329</v>
      </c>
      <c r="B25" s="412">
        <v>2987</v>
      </c>
      <c r="C25" s="412">
        <v>3331</v>
      </c>
      <c r="D25" s="149">
        <v>4055</v>
      </c>
    </row>
    <row r="26" spans="1:6" ht="15.75" customHeight="1" x14ac:dyDescent="0.2">
      <c r="A26" s="149" t="s">
        <v>330</v>
      </c>
      <c r="B26" s="412">
        <v>2282</v>
      </c>
      <c r="C26" s="412">
        <v>2526</v>
      </c>
      <c r="D26" s="149">
        <v>2509</v>
      </c>
    </row>
    <row r="27" spans="1:6" ht="15.75" customHeight="1" x14ac:dyDescent="0.2">
      <c r="A27" s="149" t="s">
        <v>331</v>
      </c>
      <c r="B27" s="412">
        <v>1957</v>
      </c>
      <c r="C27" s="412">
        <v>2138</v>
      </c>
      <c r="D27" s="149">
        <v>2727</v>
      </c>
    </row>
    <row r="28" spans="1:6" ht="15.75" customHeight="1" x14ac:dyDescent="0.2">
      <c r="A28" s="149" t="s">
        <v>332</v>
      </c>
      <c r="B28" s="412">
        <v>1159</v>
      </c>
      <c r="C28" s="412">
        <v>1133</v>
      </c>
      <c r="D28" s="149">
        <v>1843</v>
      </c>
    </row>
    <row r="29" spans="1:6" ht="15.75" customHeight="1" x14ac:dyDescent="0.2">
      <c r="A29" s="149" t="s">
        <v>333</v>
      </c>
      <c r="B29" s="412">
        <v>599</v>
      </c>
      <c r="C29" s="412">
        <v>629</v>
      </c>
      <c r="D29" s="149">
        <v>858</v>
      </c>
    </row>
    <row r="30" spans="1:6" ht="15.75" customHeight="1" x14ac:dyDescent="0.2">
      <c r="A30" s="149" t="s">
        <v>334</v>
      </c>
      <c r="B30" s="412">
        <v>360</v>
      </c>
      <c r="C30" s="412">
        <v>409</v>
      </c>
      <c r="D30" s="149">
        <v>680</v>
      </c>
    </row>
    <row r="31" spans="1:6" ht="15.75" customHeight="1" x14ac:dyDescent="0.2">
      <c r="A31" s="149" t="s">
        <v>335</v>
      </c>
      <c r="B31" s="412">
        <v>464</v>
      </c>
      <c r="C31" s="412"/>
    </row>
    <row r="32" spans="1:6" ht="15.75" customHeight="1" x14ac:dyDescent="0.2">
      <c r="A32" s="149" t="s">
        <v>336</v>
      </c>
      <c r="B32" s="412">
        <v>107</v>
      </c>
      <c r="C32" s="412"/>
    </row>
    <row r="33" spans="1:5" ht="15.75" customHeight="1" x14ac:dyDescent="0.2">
      <c r="A33" s="149" t="s">
        <v>337</v>
      </c>
      <c r="B33" s="412"/>
      <c r="C33" s="412">
        <v>640</v>
      </c>
      <c r="D33" s="149">
        <v>596</v>
      </c>
    </row>
    <row r="34" spans="1:5" ht="15.75" customHeight="1" x14ac:dyDescent="0.2">
      <c r="A34" s="149" t="s">
        <v>23</v>
      </c>
      <c r="B34" s="412">
        <f>SUM(B23:B32)</f>
        <v>13690</v>
      </c>
      <c r="C34" s="412">
        <f>SUM(C23:C33)</f>
        <v>15019</v>
      </c>
      <c r="D34" s="149">
        <f>SUM(D23:D33)</f>
        <v>23431</v>
      </c>
    </row>
    <row r="35" spans="1:5" ht="53.25" customHeight="1" x14ac:dyDescent="0.2">
      <c r="A35" s="251" t="s">
        <v>338</v>
      </c>
      <c r="B35" s="149">
        <f>B23+B25+B27+B29+B30+B32</f>
        <v>9785</v>
      </c>
      <c r="C35" s="149">
        <f t="shared" ref="C35:D35" si="0">C23+C25+C27+C29+C30+C32</f>
        <v>10720</v>
      </c>
      <c r="D35" s="149">
        <f t="shared" si="0"/>
        <v>13766</v>
      </c>
    </row>
    <row r="37" spans="1:5" ht="15.75" customHeight="1" x14ac:dyDescent="0.2">
      <c r="A37" s="149" t="s">
        <v>339</v>
      </c>
      <c r="C37" s="149" t="s">
        <v>259</v>
      </c>
    </row>
    <row r="38" spans="1:5" ht="15.75" customHeight="1" x14ac:dyDescent="0.2">
      <c r="A38" s="149">
        <v>2015</v>
      </c>
      <c r="B38" s="151">
        <v>0.55000000000000004</v>
      </c>
    </row>
    <row r="39" spans="1:5" ht="15.75" customHeight="1" x14ac:dyDescent="0.2">
      <c r="A39" s="149">
        <v>2020</v>
      </c>
      <c r="B39" s="151">
        <v>0.6</v>
      </c>
    </row>
    <row r="40" spans="1:5" ht="15.75" customHeight="1" x14ac:dyDescent="0.2">
      <c r="A40" s="149">
        <v>2016</v>
      </c>
      <c r="B40" s="151">
        <v>0.56000000000000005</v>
      </c>
    </row>
    <row r="42" spans="1:5" s="252" customFormat="1" ht="15.75" customHeight="1" thickBot="1" x14ac:dyDescent="0.25">
      <c r="A42" s="252" t="s">
        <v>452</v>
      </c>
      <c r="D42" s="253">
        <f>D35*B40</f>
        <v>7708.9600000000009</v>
      </c>
    </row>
    <row r="43" spans="1:5" s="414" customFormat="1" ht="15.75" customHeight="1" thickBot="1" x14ac:dyDescent="0.25">
      <c r="A43" s="414" t="s">
        <v>463</v>
      </c>
      <c r="D43" s="415">
        <f>D42/D34</f>
        <v>0.329006871238957</v>
      </c>
    </row>
    <row r="44" spans="1:5" s="413" customFormat="1" ht="15.75" customHeight="1" x14ac:dyDescent="0.2">
      <c r="D44" s="416"/>
    </row>
    <row r="45" spans="1:5" s="413" customFormat="1" ht="15.75" customHeight="1" x14ac:dyDescent="0.2">
      <c r="A45" s="413" t="s">
        <v>285</v>
      </c>
      <c r="C45" s="413" t="s">
        <v>340</v>
      </c>
      <c r="E45" s="149" t="s">
        <v>259</v>
      </c>
    </row>
    <row r="46" spans="1:5" ht="15.75" customHeight="1" x14ac:dyDescent="0.2">
      <c r="A46" s="149" t="s">
        <v>464</v>
      </c>
      <c r="B46" s="149">
        <v>4165</v>
      </c>
    </row>
    <row r="47" spans="1:5" ht="15.75" customHeight="1" x14ac:dyDescent="0.2">
      <c r="A47" s="149" t="s">
        <v>465</v>
      </c>
      <c r="B47" s="149">
        <v>972.6</v>
      </c>
    </row>
    <row r="48" spans="1:5" s="254" customFormat="1" ht="15.75" customHeight="1" thickBot="1" x14ac:dyDescent="0.25">
      <c r="A48" s="254" t="s">
        <v>341</v>
      </c>
      <c r="B48" s="254">
        <f>B46+B47</f>
        <v>5137.6000000000004</v>
      </c>
      <c r="C48" s="255">
        <v>0.91</v>
      </c>
      <c r="D48" s="256">
        <f>B48*C48</f>
        <v>4675.2160000000003</v>
      </c>
    </row>
    <row r="50" spans="1:7" s="246" customFormat="1" ht="15.75" customHeight="1" x14ac:dyDescent="0.2">
      <c r="A50" s="246" t="s">
        <v>342</v>
      </c>
      <c r="B50" s="246" t="s">
        <v>454</v>
      </c>
      <c r="C50" s="246" t="s">
        <v>466</v>
      </c>
      <c r="E50" s="246" t="s">
        <v>340</v>
      </c>
      <c r="G50" s="149" t="s">
        <v>259</v>
      </c>
    </row>
    <row r="51" spans="1:7" ht="15.75" customHeight="1" x14ac:dyDescent="0.2">
      <c r="A51" s="149" t="s">
        <v>343</v>
      </c>
      <c r="C51" s="149">
        <v>2582</v>
      </c>
      <c r="E51" s="151">
        <v>0.26</v>
      </c>
      <c r="F51" s="149">
        <f>C51*E51</f>
        <v>671.32</v>
      </c>
    </row>
    <row r="52" spans="1:7" ht="15.75" customHeight="1" x14ac:dyDescent="0.2">
      <c r="A52" s="214" t="s">
        <v>344</v>
      </c>
      <c r="B52" s="214"/>
      <c r="C52" s="214">
        <v>2192</v>
      </c>
      <c r="D52" s="214"/>
      <c r="E52" s="214"/>
      <c r="F52" s="214">
        <f t="shared" ref="F52:F55" si="1">C52*E52</f>
        <v>0</v>
      </c>
    </row>
    <row r="53" spans="1:7" ht="15.75" customHeight="1" x14ac:dyDescent="0.2">
      <c r="A53" s="214" t="s">
        <v>345</v>
      </c>
      <c r="B53" s="214"/>
      <c r="C53" s="214">
        <v>434</v>
      </c>
      <c r="D53" s="214"/>
      <c r="E53" s="214"/>
      <c r="F53" s="214">
        <f t="shared" si="1"/>
        <v>0</v>
      </c>
    </row>
    <row r="54" spans="1:7" ht="15.75" customHeight="1" x14ac:dyDescent="0.2">
      <c r="A54" s="214" t="s">
        <v>346</v>
      </c>
      <c r="B54" s="214"/>
      <c r="C54" s="214">
        <v>962</v>
      </c>
      <c r="D54" s="214"/>
      <c r="E54" s="214"/>
      <c r="F54" s="214">
        <f t="shared" si="1"/>
        <v>0</v>
      </c>
    </row>
    <row r="55" spans="1:7" ht="15.75" customHeight="1" x14ac:dyDescent="0.2">
      <c r="A55" s="149" t="s">
        <v>347</v>
      </c>
      <c r="C55" s="149">
        <f>C52+C53+C54</f>
        <v>3588</v>
      </c>
      <c r="E55" s="151">
        <v>0.76</v>
      </c>
      <c r="F55" s="149">
        <f t="shared" si="1"/>
        <v>2726.88</v>
      </c>
    </row>
    <row r="56" spans="1:7" s="257" customFormat="1" ht="15.75" customHeight="1" thickBot="1" x14ac:dyDescent="0.25">
      <c r="A56" s="257" t="s">
        <v>348</v>
      </c>
      <c r="F56" s="258">
        <f>F55+F51</f>
        <v>3398.2000000000003</v>
      </c>
    </row>
    <row r="58" spans="1:7" s="246" customFormat="1" ht="15.75" customHeight="1" x14ac:dyDescent="0.2">
      <c r="A58" s="246" t="s">
        <v>349</v>
      </c>
    </row>
    <row r="59" spans="1:7" ht="15.75" customHeight="1" x14ac:dyDescent="0.2">
      <c r="A59" s="149" t="s">
        <v>455</v>
      </c>
    </row>
    <row r="60" spans="1:7" ht="15.75" customHeight="1" x14ac:dyDescent="0.2">
      <c r="A60" s="149" t="s">
        <v>350</v>
      </c>
      <c r="B60" s="149">
        <v>4126</v>
      </c>
    </row>
    <row r="61" spans="1:7" ht="15.75" customHeight="1" x14ac:dyDescent="0.2">
      <c r="A61" s="149" t="s">
        <v>351</v>
      </c>
      <c r="B61" s="149">
        <v>706</v>
      </c>
    </row>
    <row r="62" spans="1:7" ht="15.75" customHeight="1" x14ac:dyDescent="0.2">
      <c r="A62" s="149" t="s">
        <v>23</v>
      </c>
      <c r="B62" s="149">
        <f>B60+B61</f>
        <v>4832</v>
      </c>
    </row>
    <row r="63" spans="1:7" ht="15.75" customHeight="1" x14ac:dyDescent="0.2">
      <c r="A63" s="149" t="s">
        <v>352</v>
      </c>
      <c r="B63" s="151">
        <v>0.98</v>
      </c>
      <c r="C63" s="149" t="s">
        <v>259</v>
      </c>
    </row>
    <row r="64" spans="1:7" ht="15.75" customHeight="1" x14ac:dyDescent="0.2">
      <c r="A64" s="149" t="s">
        <v>352</v>
      </c>
      <c r="B64" s="149">
        <f>B62*B63</f>
        <v>4735.3599999999997</v>
      </c>
    </row>
    <row r="66" spans="1:3" ht="15.75" customHeight="1" x14ac:dyDescent="0.2">
      <c r="A66" s="149" t="s">
        <v>353</v>
      </c>
    </row>
    <row r="67" spans="1:3" ht="15.75" customHeight="1" x14ac:dyDescent="0.2">
      <c r="A67" s="149" t="s">
        <v>354</v>
      </c>
      <c r="B67" s="149">
        <v>895</v>
      </c>
    </row>
    <row r="68" spans="1:3" ht="15.75" customHeight="1" x14ac:dyDescent="0.2">
      <c r="A68" s="149" t="s">
        <v>355</v>
      </c>
      <c r="B68" s="149">
        <v>749</v>
      </c>
    </row>
    <row r="69" spans="1:3" ht="15.75" customHeight="1" x14ac:dyDescent="0.2">
      <c r="A69" s="149" t="s">
        <v>356</v>
      </c>
      <c r="B69" s="149">
        <v>245</v>
      </c>
    </row>
    <row r="70" spans="1:3" ht="15.75" customHeight="1" x14ac:dyDescent="0.2">
      <c r="A70" s="149" t="s">
        <v>357</v>
      </c>
      <c r="B70" s="149">
        <v>238</v>
      </c>
    </row>
    <row r="71" spans="1:3" ht="15.75" customHeight="1" x14ac:dyDescent="0.2">
      <c r="A71" s="149" t="s">
        <v>358</v>
      </c>
      <c r="B71" s="149">
        <v>717</v>
      </c>
    </row>
    <row r="72" spans="1:3" ht="15.75" customHeight="1" x14ac:dyDescent="0.2">
      <c r="B72" s="149">
        <f>SUM(B67:B71)</f>
        <v>2844</v>
      </c>
    </row>
    <row r="73" spans="1:3" ht="15.75" customHeight="1" x14ac:dyDescent="0.2">
      <c r="A73" s="149" t="s">
        <v>359</v>
      </c>
      <c r="B73" s="151">
        <v>0.56000000000000005</v>
      </c>
      <c r="C73" s="149" t="s">
        <v>259</v>
      </c>
    </row>
    <row r="74" spans="1:3" ht="15.75" customHeight="1" x14ac:dyDescent="0.2">
      <c r="A74" s="149" t="s">
        <v>360</v>
      </c>
      <c r="B74" s="149">
        <f>B72*B73</f>
        <v>1592.64</v>
      </c>
    </row>
    <row r="76" spans="1:3" s="259" customFormat="1" ht="15.75" customHeight="1" thickBot="1" x14ac:dyDescent="0.25">
      <c r="A76" s="259" t="s">
        <v>361</v>
      </c>
      <c r="B76" s="260">
        <f>B64+B74</f>
        <v>6328</v>
      </c>
    </row>
    <row r="78" spans="1:3" s="246" customFormat="1" ht="15.75" customHeight="1" x14ac:dyDescent="0.2">
      <c r="A78" s="246" t="s">
        <v>280</v>
      </c>
      <c r="B78" s="246" t="s">
        <v>362</v>
      </c>
    </row>
    <row r="79" spans="1:3" ht="15.75" customHeight="1" x14ac:dyDescent="0.2">
      <c r="A79" s="149" t="s">
        <v>363</v>
      </c>
      <c r="B79" s="149">
        <v>3140</v>
      </c>
    </row>
    <row r="80" spans="1:3" ht="15.75" customHeight="1" x14ac:dyDescent="0.2">
      <c r="A80" s="149" t="s">
        <v>467</v>
      </c>
      <c r="B80" s="149">
        <v>4613</v>
      </c>
    </row>
    <row r="81" spans="1:2" ht="15.75" customHeight="1" x14ac:dyDescent="0.2">
      <c r="A81" s="149" t="s">
        <v>456</v>
      </c>
      <c r="B81" s="149">
        <f>B79+((B80-B79)/5)</f>
        <v>3434.6</v>
      </c>
    </row>
    <row r="82" spans="1:2" ht="15.75" customHeight="1" x14ac:dyDescent="0.2">
      <c r="A82" s="149" t="s">
        <v>364</v>
      </c>
      <c r="B82" s="151">
        <v>0.76</v>
      </c>
    </row>
    <row r="83" spans="1:2" s="261" customFormat="1" ht="15.75" customHeight="1" thickBot="1" x14ac:dyDescent="0.25">
      <c r="A83" s="261" t="s">
        <v>365</v>
      </c>
      <c r="B83" s="262">
        <f>B81*B82</f>
        <v>2610.2959999999998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9B03-94D5-45AC-81B7-55F1AC51E01C}">
  <dimension ref="A1:I15"/>
  <sheetViews>
    <sheetView workbookViewId="0">
      <selection activeCell="D16" sqref="D16"/>
    </sheetView>
  </sheetViews>
  <sheetFormatPr defaultRowHeight="12.75" x14ac:dyDescent="0.2"/>
  <cols>
    <col min="1" max="1" width="10.28515625" style="149" bestFit="1" customWidth="1"/>
    <col min="2" max="2" width="9.140625" style="149"/>
    <col min="3" max="3" width="50.85546875" style="149" customWidth="1"/>
    <col min="4" max="4" width="12.85546875" style="149" bestFit="1" customWidth="1"/>
    <col min="5" max="16384" width="9.140625" style="149"/>
  </cols>
  <sheetData>
    <row r="1" spans="1:9" s="148" customFormat="1" ht="14.25" x14ac:dyDescent="0.2">
      <c r="A1" s="263" t="s">
        <v>366</v>
      </c>
      <c r="B1" s="263"/>
      <c r="C1" s="263"/>
      <c r="D1" s="263"/>
      <c r="E1" s="263"/>
      <c r="F1" s="263"/>
      <c r="G1" s="263"/>
      <c r="H1" s="263"/>
      <c r="I1" s="263"/>
    </row>
    <row r="2" spans="1:9" ht="15" x14ac:dyDescent="0.25">
      <c r="A2" s="242" t="s">
        <v>451</v>
      </c>
      <c r="B2" s="242"/>
      <c r="C2" s="242"/>
      <c r="D2" s="264">
        <v>15000</v>
      </c>
      <c r="E2" s="242" t="s">
        <v>265</v>
      </c>
      <c r="F2" s="242"/>
      <c r="G2" s="242" t="s">
        <v>266</v>
      </c>
      <c r="H2" s="242"/>
      <c r="I2" s="242" t="s">
        <v>111</v>
      </c>
    </row>
    <row r="3" spans="1:9" ht="14.25" x14ac:dyDescent="0.2">
      <c r="A3" s="242" t="s">
        <v>367</v>
      </c>
      <c r="B3" s="242"/>
      <c r="C3" s="242"/>
      <c r="D3" s="265">
        <v>0.67</v>
      </c>
      <c r="E3" s="242" t="s">
        <v>267</v>
      </c>
      <c r="F3" s="242"/>
      <c r="G3" s="242"/>
      <c r="H3" s="242"/>
      <c r="I3" s="242" t="s">
        <v>37</v>
      </c>
    </row>
    <row r="4" spans="1:9" ht="15" x14ac:dyDescent="0.25">
      <c r="A4" s="242" t="s">
        <v>268</v>
      </c>
      <c r="B4" s="242"/>
      <c r="C4" s="242"/>
      <c r="D4" s="243">
        <f>D2/D3</f>
        <v>22388.059701492537</v>
      </c>
      <c r="E4" s="242" t="s">
        <v>265</v>
      </c>
      <c r="F4" s="242"/>
      <c r="G4" s="242"/>
      <c r="H4" s="242"/>
      <c r="I4" s="242"/>
    </row>
    <row r="5" spans="1:9" s="153" customFormat="1" ht="15.75" thickBot="1" x14ac:dyDescent="0.3">
      <c r="A5" s="266" t="s">
        <v>269</v>
      </c>
      <c r="B5" s="266"/>
      <c r="C5" s="266"/>
      <c r="D5" s="267">
        <f>D4-D2</f>
        <v>7388.059701492537</v>
      </c>
      <c r="E5" s="266" t="s">
        <v>265</v>
      </c>
      <c r="F5" s="266"/>
      <c r="G5" s="266"/>
      <c r="H5" s="266"/>
      <c r="I5" s="266"/>
    </row>
    <row r="7" spans="1:9" s="269" customFormat="1" ht="15" x14ac:dyDescent="0.2">
      <c r="A7" s="268" t="s">
        <v>368</v>
      </c>
      <c r="B7" s="268"/>
      <c r="C7" s="268"/>
      <c r="D7" s="268"/>
      <c r="E7" s="268"/>
      <c r="F7" s="268"/>
      <c r="G7" s="268"/>
      <c r="H7" s="268"/>
      <c r="I7" s="268"/>
    </row>
    <row r="8" spans="1:9" ht="14.25" x14ac:dyDescent="0.2">
      <c r="A8" s="242" t="s">
        <v>451</v>
      </c>
      <c r="B8" s="242"/>
      <c r="C8" s="242"/>
      <c r="D8" s="270">
        <v>15000</v>
      </c>
      <c r="E8" s="242" t="s">
        <v>265</v>
      </c>
      <c r="F8" s="242"/>
      <c r="G8" s="242" t="s">
        <v>266</v>
      </c>
      <c r="H8" s="242"/>
      <c r="I8" s="242" t="s">
        <v>111</v>
      </c>
    </row>
    <row r="9" spans="1:9" ht="15.75" x14ac:dyDescent="0.25">
      <c r="A9" s="271" t="s">
        <v>369</v>
      </c>
      <c r="B9" s="271"/>
      <c r="C9" s="271"/>
      <c r="D9" s="272">
        <f>'8. Fig 4 b. Bar 2 - 3'!E63</f>
        <v>3753.4499999999994</v>
      </c>
      <c r="E9" s="271" t="s">
        <v>370</v>
      </c>
      <c r="F9" s="271"/>
    </row>
    <row r="10" spans="1:9" ht="15.75" x14ac:dyDescent="0.25">
      <c r="A10" s="271" t="s">
        <v>371</v>
      </c>
      <c r="B10" s="271"/>
      <c r="C10" s="271"/>
      <c r="D10" s="272">
        <f>'8. Fig 4 b. Bar 2 - 3'!E62</f>
        <v>1185.2999999999997</v>
      </c>
      <c r="E10" s="271" t="s">
        <v>370</v>
      </c>
      <c r="F10" s="271"/>
    </row>
    <row r="11" spans="1:9" ht="15.75" x14ac:dyDescent="0.25">
      <c r="A11" s="273" t="s">
        <v>372</v>
      </c>
      <c r="B11" s="271"/>
      <c r="C11" s="271"/>
      <c r="D11" s="272">
        <f>D8-D9-D10</f>
        <v>10061.250000000002</v>
      </c>
      <c r="E11" s="271"/>
      <c r="F11" s="271"/>
    </row>
    <row r="12" spans="1:9" ht="15.75" x14ac:dyDescent="0.25">
      <c r="A12" s="271"/>
      <c r="B12" s="271"/>
      <c r="C12" s="271"/>
      <c r="D12" s="274"/>
      <c r="E12" s="271"/>
      <c r="F12" s="271"/>
    </row>
    <row r="13" spans="1:9" s="153" customFormat="1" ht="16.5" thickBot="1" x14ac:dyDescent="0.3">
      <c r="A13" s="275" t="s">
        <v>269</v>
      </c>
      <c r="B13" s="275"/>
      <c r="C13" s="275"/>
      <c r="D13" s="276">
        <f>D5</f>
        <v>7388.059701492537</v>
      </c>
      <c r="E13" s="275" t="s">
        <v>265</v>
      </c>
      <c r="F13" s="275"/>
    </row>
    <row r="15" spans="1:9" x14ac:dyDescent="0.2">
      <c r="A15" s="149" t="s">
        <v>476</v>
      </c>
      <c r="D15" s="208">
        <f>D9/D8</f>
        <v>0.25022999999999995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E0239-D341-4DAF-86D8-C57AC1EEFF9E}">
  <sheetPr>
    <outlinePr summaryBelow="0" summaryRight="0"/>
  </sheetPr>
  <dimension ref="A1:P68"/>
  <sheetViews>
    <sheetView zoomScale="120" zoomScaleNormal="120" workbookViewId="0">
      <pane xSplit="1" topLeftCell="B1" activePane="topRight" state="frozen"/>
      <selection activeCell="D65" sqref="D65"/>
      <selection pane="topRight" activeCell="O43" sqref="O43"/>
    </sheetView>
  </sheetViews>
  <sheetFormatPr defaultColWidth="14.42578125" defaultRowHeight="15.75" customHeight="1" x14ac:dyDescent="0.2"/>
  <cols>
    <col min="1" max="1" width="24.28515625" style="149" customWidth="1"/>
    <col min="2" max="2" width="11.85546875" style="149" customWidth="1"/>
    <col min="3" max="3" width="15.85546875" style="149" customWidth="1"/>
    <col min="4" max="4" width="14.42578125" style="149"/>
    <col min="5" max="5" width="17.28515625" style="149" customWidth="1"/>
    <col min="6" max="6" width="14.42578125" style="149"/>
    <col min="7" max="7" width="10.7109375" style="149" customWidth="1"/>
    <col min="8" max="8" width="17.85546875" style="149" customWidth="1"/>
    <col min="9" max="9" width="14.7109375" style="149" customWidth="1"/>
    <col min="10" max="10" width="10.42578125" style="149" customWidth="1"/>
    <col min="11" max="16384" width="14.42578125" style="149"/>
  </cols>
  <sheetData>
    <row r="1" spans="1:10" ht="12.75" x14ac:dyDescent="0.2">
      <c r="A1" s="193"/>
      <c r="B1" s="194"/>
      <c r="C1" s="193"/>
      <c r="D1" s="193"/>
      <c r="E1" s="193"/>
    </row>
    <row r="2" spans="1:10" ht="12.75" x14ac:dyDescent="0.2">
      <c r="A2" s="195" t="s">
        <v>297</v>
      </c>
      <c r="B2" s="196">
        <v>0.4</v>
      </c>
      <c r="C2" s="197" t="s">
        <v>298</v>
      </c>
      <c r="D2" s="197"/>
      <c r="E2" s="198"/>
    </row>
    <row r="3" spans="1:10" ht="12.75" x14ac:dyDescent="0.2">
      <c r="A3" s="200" t="s">
        <v>299</v>
      </c>
      <c r="B3" s="201">
        <v>0.22</v>
      </c>
      <c r="C3" s="202"/>
      <c r="D3" s="202"/>
      <c r="E3" s="203"/>
    </row>
    <row r="5" spans="1:10" ht="12.75" x14ac:dyDescent="0.2">
      <c r="A5" s="277" t="s">
        <v>373</v>
      </c>
      <c r="B5" s="277"/>
      <c r="C5" s="277" t="s">
        <v>374</v>
      </c>
      <c r="D5" s="277"/>
      <c r="E5" s="277"/>
      <c r="F5" s="277" t="s">
        <v>375</v>
      </c>
      <c r="G5" s="277"/>
      <c r="H5" s="277"/>
      <c r="I5" s="277"/>
      <c r="J5" s="277"/>
    </row>
    <row r="6" spans="1:10" ht="12.75" x14ac:dyDescent="0.2">
      <c r="A6" s="160" t="s">
        <v>376</v>
      </c>
    </row>
    <row r="7" spans="1:10" ht="15" x14ac:dyDescent="0.25">
      <c r="A7" s="160" t="s">
        <v>377</v>
      </c>
      <c r="E7" s="181"/>
      <c r="F7" s="278">
        <f>'5. Fig 4 a. Bar 1 - 2'!C29*'8. Fig 4 b. Bar 2 - 3'!B2</f>
        <v>158.04</v>
      </c>
      <c r="H7" s="204"/>
    </row>
    <row r="8" spans="1:10" ht="12.75" x14ac:dyDescent="0.2">
      <c r="A8" s="279" t="s">
        <v>378</v>
      </c>
      <c r="B8" s="279"/>
      <c r="C8" s="279"/>
      <c r="D8" s="279"/>
      <c r="E8" s="280"/>
      <c r="F8" s="281">
        <f>'5. Fig 4 a. Bar 1 - 2'!C29-'8. Fig 4 b. Bar 2 - 3'!F7</f>
        <v>237.05999999999997</v>
      </c>
      <c r="G8" s="215"/>
    </row>
    <row r="9" spans="1:10" ht="12.75" x14ac:dyDescent="0.2">
      <c r="A9" s="160" t="s">
        <v>459</v>
      </c>
      <c r="E9" s="205"/>
      <c r="F9" s="282">
        <f>'5. Fig 4 a. Bar 1 - 2'!C37</f>
        <v>878</v>
      </c>
    </row>
    <row r="10" spans="1:10" ht="15" x14ac:dyDescent="0.25">
      <c r="A10" s="160" t="s">
        <v>379</v>
      </c>
      <c r="E10" s="181"/>
      <c r="F10" s="244">
        <f>'5. Fig 4 a. Bar 1 - 2'!C30+'5. Fig 4 a. Bar 1 - 2'!C31+'5. Fig 4 a. Bar 1 - 2'!C32+'5. Fig 4 a. Bar 1 - 2'!C33+'5. Fig 4 a. Bar 1 - 2'!C34+'5. Fig 4 a. Bar 1 - 2'!C35+'5. Fig 4 a. Bar 1 - 2'!C36</f>
        <v>482.9</v>
      </c>
      <c r="G10" s="215"/>
      <c r="H10" s="161"/>
      <c r="I10" s="160"/>
      <c r="J10" s="206"/>
    </row>
    <row r="11" spans="1:10" ht="12.75" x14ac:dyDescent="0.2">
      <c r="A11" s="160" t="s">
        <v>380</v>
      </c>
      <c r="E11" s="181"/>
      <c r="F11" s="278">
        <f>F10+F7</f>
        <v>640.93999999999994</v>
      </c>
      <c r="G11" s="215"/>
      <c r="H11" s="160"/>
      <c r="I11" s="160"/>
      <c r="J11" s="206"/>
    </row>
    <row r="12" spans="1:10" ht="15" x14ac:dyDescent="0.25">
      <c r="A12" s="160" t="s">
        <v>468</v>
      </c>
      <c r="E12" s="207"/>
      <c r="F12" s="283">
        <f>F10*60%</f>
        <v>289.73999999999995</v>
      </c>
      <c r="H12" s="407" t="s">
        <v>381</v>
      </c>
      <c r="I12" s="407"/>
      <c r="J12" s="407"/>
    </row>
    <row r="13" spans="1:10" ht="40.5" customHeight="1" x14ac:dyDescent="0.2">
      <c r="A13" s="160" t="s">
        <v>382</v>
      </c>
      <c r="E13" s="207"/>
      <c r="F13" s="215">
        <f>F9*60%</f>
        <v>526.79999999999995</v>
      </c>
      <c r="G13" s="208"/>
      <c r="H13" s="407"/>
      <c r="I13" s="407"/>
      <c r="J13" s="407"/>
    </row>
    <row r="14" spans="1:10" thickBot="1" x14ac:dyDescent="0.3">
      <c r="A14" s="178" t="s">
        <v>383</v>
      </c>
      <c r="B14" s="153"/>
      <c r="C14" s="153"/>
      <c r="D14" s="153"/>
      <c r="E14" s="284"/>
      <c r="F14" s="285">
        <f>F12/F13</f>
        <v>0.54999999999999993</v>
      </c>
      <c r="G14" s="153"/>
      <c r="H14" s="153"/>
      <c r="I14" s="153"/>
      <c r="J14" s="286"/>
    </row>
    <row r="15" spans="1:10" ht="15" x14ac:dyDescent="0.25">
      <c r="A15" s="160" t="s">
        <v>384</v>
      </c>
      <c r="E15" s="209"/>
      <c r="F15" s="287"/>
      <c r="J15" s="161"/>
    </row>
    <row r="16" spans="1:10" ht="15" x14ac:dyDescent="0.25">
      <c r="A16" s="160" t="s">
        <v>385</v>
      </c>
      <c r="C16" s="288" t="s">
        <v>386</v>
      </c>
      <c r="D16" s="289" t="s">
        <v>387</v>
      </c>
      <c r="E16" s="209"/>
      <c r="F16" s="417" t="s">
        <v>469</v>
      </c>
      <c r="G16" s="417"/>
      <c r="H16" s="417"/>
      <c r="J16" s="161"/>
    </row>
    <row r="17" spans="1:10" ht="15" x14ac:dyDescent="0.25">
      <c r="A17" s="160" t="s">
        <v>279</v>
      </c>
      <c r="B17" s="290">
        <v>0.55479999999999996</v>
      </c>
      <c r="C17" s="291">
        <f>'5. Fig 4 a. Bar 1 - 2'!C29</f>
        <v>395.09999999999997</v>
      </c>
      <c r="D17" s="292">
        <f>F7</f>
        <v>158.04</v>
      </c>
      <c r="E17" s="209">
        <f>D17/$D$25</f>
        <v>0.24657534246575338</v>
      </c>
      <c r="F17" s="417"/>
      <c r="G17" s="417"/>
      <c r="H17" s="417"/>
      <c r="J17" s="161"/>
    </row>
    <row r="18" spans="1:10" ht="15" x14ac:dyDescent="0.25">
      <c r="A18" s="160" t="s">
        <v>280</v>
      </c>
      <c r="B18" s="290">
        <v>0.1095</v>
      </c>
      <c r="C18" s="291">
        <f>'5. Fig 4 a. Bar 1 - 2'!C30</f>
        <v>118.53</v>
      </c>
      <c r="D18" s="292">
        <f>C18</f>
        <v>118.53</v>
      </c>
      <c r="E18" s="209">
        <f t="shared" ref="E18:E24" si="0">D18/$D$25</f>
        <v>0.18493150684931506</v>
      </c>
      <c r="F18" s="417"/>
      <c r="G18" s="417"/>
      <c r="H18" s="417"/>
      <c r="J18" s="161"/>
    </row>
    <row r="19" spans="1:10" ht="15" x14ac:dyDescent="0.25">
      <c r="A19" s="160" t="s">
        <v>282</v>
      </c>
      <c r="B19" s="290">
        <v>1.46E-2</v>
      </c>
      <c r="C19" s="291">
        <f>'5. Fig 4 a. Bar 1 - 2'!C31</f>
        <v>19.754999999999999</v>
      </c>
      <c r="D19" s="292">
        <f t="shared" ref="D19:D24" si="1">C19</f>
        <v>19.754999999999999</v>
      </c>
      <c r="E19" s="209">
        <f t="shared" si="0"/>
        <v>3.0821917808219173E-2</v>
      </c>
      <c r="F19" s="417"/>
      <c r="G19" s="417"/>
      <c r="H19" s="417"/>
      <c r="J19" s="161"/>
    </row>
    <row r="20" spans="1:10" ht="15" x14ac:dyDescent="0.25">
      <c r="A20" s="160" t="s">
        <v>284</v>
      </c>
      <c r="B20" s="290">
        <v>1.46E-2</v>
      </c>
      <c r="C20" s="291">
        <f>'5. Fig 4 a. Bar 1 - 2'!C32</f>
        <v>39.51</v>
      </c>
      <c r="D20" s="292">
        <f t="shared" si="1"/>
        <v>39.51</v>
      </c>
      <c r="E20" s="209">
        <f t="shared" si="0"/>
        <v>6.1643835616438346E-2</v>
      </c>
      <c r="F20" s="287"/>
      <c r="J20" s="161"/>
    </row>
    <row r="21" spans="1:10" ht="15" x14ac:dyDescent="0.25">
      <c r="A21" s="160" t="s">
        <v>286</v>
      </c>
      <c r="B21" s="290">
        <v>1.46E-2</v>
      </c>
      <c r="C21" s="291">
        <f>'5. Fig 4 a. Bar 1 - 2'!C33</f>
        <v>46.095000000000006</v>
      </c>
      <c r="D21" s="292">
        <f t="shared" si="1"/>
        <v>46.095000000000006</v>
      </c>
      <c r="E21" s="209">
        <f t="shared" si="0"/>
        <v>7.1917808219178092E-2</v>
      </c>
      <c r="F21" s="287"/>
      <c r="J21" s="161"/>
    </row>
    <row r="22" spans="1:10" ht="15" x14ac:dyDescent="0.25">
      <c r="A22" s="160" t="s">
        <v>288</v>
      </c>
      <c r="B22" s="290">
        <v>2.1899999999999999E-2</v>
      </c>
      <c r="C22" s="291">
        <f>'5. Fig 4 a. Bar 1 - 2'!C34</f>
        <v>39.51</v>
      </c>
      <c r="D22" s="292">
        <f t="shared" si="1"/>
        <v>39.51</v>
      </c>
      <c r="E22" s="209">
        <f t="shared" si="0"/>
        <v>6.1643835616438346E-2</v>
      </c>
      <c r="F22" s="287"/>
      <c r="J22" s="161"/>
    </row>
    <row r="23" spans="1:10" ht="15" x14ac:dyDescent="0.25">
      <c r="A23" s="160" t="s">
        <v>294</v>
      </c>
      <c r="B23" s="290">
        <v>0.22</v>
      </c>
      <c r="C23" s="291">
        <f>'5. Fig 4 a. Bar 1 - 2'!C35</f>
        <v>158.04</v>
      </c>
      <c r="D23" s="292">
        <f t="shared" si="1"/>
        <v>158.04</v>
      </c>
      <c r="E23" s="209">
        <f t="shared" si="0"/>
        <v>0.24657534246575338</v>
      </c>
      <c r="F23" s="287"/>
      <c r="J23" s="161"/>
    </row>
    <row r="24" spans="1:10" ht="15" x14ac:dyDescent="0.25">
      <c r="A24" s="160" t="s">
        <v>295</v>
      </c>
      <c r="B24" s="290">
        <v>0.05</v>
      </c>
      <c r="C24" s="291">
        <f>'5. Fig 4 a. Bar 1 - 2'!C36</f>
        <v>61.460000000000008</v>
      </c>
      <c r="D24" s="292">
        <f t="shared" si="1"/>
        <v>61.460000000000008</v>
      </c>
      <c r="E24" s="209">
        <f t="shared" si="0"/>
        <v>9.5890410958904118E-2</v>
      </c>
      <c r="F24" s="287"/>
      <c r="J24" s="161"/>
    </row>
    <row r="25" spans="1:10" thickBot="1" x14ac:dyDescent="0.3">
      <c r="A25" s="178" t="s">
        <v>23</v>
      </c>
      <c r="B25" s="293">
        <v>0.99999999999999989</v>
      </c>
      <c r="C25" s="294">
        <f>SUM(C17:C24)</f>
        <v>878</v>
      </c>
      <c r="D25" s="154">
        <f>SUM(D17:D24)</f>
        <v>640.94000000000005</v>
      </c>
      <c r="E25" s="284">
        <f>SUM(E17:E24)</f>
        <v>1</v>
      </c>
      <c r="F25" s="285"/>
      <c r="G25" s="153"/>
      <c r="H25" s="153"/>
      <c r="I25" s="153"/>
      <c r="J25" s="286"/>
    </row>
    <row r="26" spans="1:10" ht="15" x14ac:dyDescent="0.25">
      <c r="A26" s="160"/>
      <c r="E26" s="209"/>
      <c r="F26" s="287"/>
      <c r="J26" s="161"/>
    </row>
    <row r="27" spans="1:10" ht="15" x14ac:dyDescent="0.25">
      <c r="A27" s="295" t="s">
        <v>388</v>
      </c>
      <c r="B27" s="296"/>
      <c r="C27" s="296"/>
      <c r="D27" s="296"/>
      <c r="E27" s="297"/>
      <c r="F27" s="298"/>
      <c r="G27" s="296"/>
      <c r="H27" s="296"/>
      <c r="I27" s="296"/>
      <c r="J27" s="299"/>
    </row>
    <row r="28" spans="1:10" ht="12.75" x14ac:dyDescent="0.2">
      <c r="A28" s="160"/>
      <c r="E28" s="207"/>
      <c r="H28" s="208"/>
      <c r="J28" s="161"/>
    </row>
    <row r="29" spans="1:10" ht="12.75" x14ac:dyDescent="0.2">
      <c r="A29" s="160" t="s">
        <v>470</v>
      </c>
      <c r="E29" s="160"/>
      <c r="F29" s="300">
        <f>'FMFO prod'!B18</f>
        <v>4445</v>
      </c>
      <c r="H29" s="160"/>
      <c r="I29" s="185">
        <f>F12/5%</f>
        <v>5794.7999999999984</v>
      </c>
      <c r="J29" s="161"/>
    </row>
    <row r="30" spans="1:10" ht="12.75" x14ac:dyDescent="0.2">
      <c r="A30" s="160" t="s">
        <v>471</v>
      </c>
      <c r="E30" s="210"/>
      <c r="F30" s="300">
        <f>F29*B3</f>
        <v>977.9</v>
      </c>
      <c r="H30" s="208"/>
      <c r="I30" s="208">
        <f>I29*22.5%</f>
        <v>1303.8299999999997</v>
      </c>
    </row>
    <row r="31" spans="1:10" ht="12.75" x14ac:dyDescent="0.2">
      <c r="A31" s="160" t="s">
        <v>389</v>
      </c>
      <c r="E31" s="205"/>
      <c r="F31" s="300">
        <f>F29-F30</f>
        <v>3467.1</v>
      </c>
    </row>
    <row r="32" spans="1:10" ht="30" customHeight="1" thickBot="1" x14ac:dyDescent="0.25">
      <c r="A32" s="408" t="s">
        <v>472</v>
      </c>
      <c r="B32" s="408"/>
      <c r="C32" s="408"/>
      <c r="D32" s="408"/>
      <c r="E32" s="408"/>
      <c r="F32" s="300">
        <f>F31*F14</f>
        <v>1906.9049999999997</v>
      </c>
    </row>
    <row r="33" spans="1:16" thickBot="1" x14ac:dyDescent="0.3">
      <c r="A33" s="301" t="s">
        <v>390</v>
      </c>
      <c r="B33" s="254"/>
      <c r="C33" s="254"/>
      <c r="D33" s="254"/>
      <c r="E33" s="302"/>
      <c r="F33" s="354">
        <f>F30+F32</f>
        <v>2884.8049999999998</v>
      </c>
      <c r="G33" s="254"/>
      <c r="H33" s="254"/>
      <c r="I33" s="254"/>
      <c r="J33" s="254"/>
    </row>
    <row r="34" spans="1:16" ht="15" x14ac:dyDescent="0.25">
      <c r="A34" s="303"/>
      <c r="B34" s="304"/>
      <c r="C34" s="304"/>
      <c r="D34" s="304"/>
      <c r="E34" s="305"/>
      <c r="F34" s="306"/>
      <c r="G34" s="304"/>
      <c r="H34" s="304"/>
      <c r="I34" s="304"/>
      <c r="J34" s="304"/>
    </row>
    <row r="35" spans="1:16" s="307" customFormat="1" ht="15.75" customHeight="1" x14ac:dyDescent="0.2">
      <c r="A35" s="307" t="s">
        <v>391</v>
      </c>
      <c r="D35" s="308"/>
      <c r="E35" s="309"/>
    </row>
    <row r="36" spans="1:16" ht="38.25" x14ac:dyDescent="0.2">
      <c r="A36" s="303" t="s">
        <v>392</v>
      </c>
      <c r="B36" s="304"/>
      <c r="C36" s="304"/>
      <c r="D36" s="310" t="s">
        <v>393</v>
      </c>
      <c r="E36" s="311" t="s">
        <v>394</v>
      </c>
      <c r="F36" s="251" t="s">
        <v>438</v>
      </c>
      <c r="G36" s="312" t="s">
        <v>395</v>
      </c>
      <c r="H36" s="312" t="s">
        <v>396</v>
      </c>
      <c r="I36" s="313" t="s">
        <v>397</v>
      </c>
      <c r="J36" s="251" t="s">
        <v>398</v>
      </c>
      <c r="K36" s="251" t="s">
        <v>438</v>
      </c>
      <c r="L36" s="312" t="s">
        <v>439</v>
      </c>
    </row>
    <row r="37" spans="1:16" ht="12.75" x14ac:dyDescent="0.2">
      <c r="A37" s="314" t="s">
        <v>399</v>
      </c>
      <c r="B37" s="314"/>
      <c r="C37" s="315"/>
      <c r="D37" s="316">
        <f>'5. Fig 4 a. Bar 1 - 2'!J29</f>
        <v>705.42150000000004</v>
      </c>
      <c r="E37" s="316">
        <f>'6. Fig 4 a. Bar 3'!B3</f>
        <v>3079</v>
      </c>
      <c r="F37" s="369">
        <v>0.82</v>
      </c>
      <c r="G37" s="371">
        <f>E37*F37</f>
        <v>2524.7799999999997</v>
      </c>
      <c r="H37" s="317">
        <v>0.4</v>
      </c>
      <c r="I37" s="318">
        <f>D37*H37/2</f>
        <v>141.08430000000001</v>
      </c>
      <c r="J37" s="292">
        <f>E37*H37</f>
        <v>1231.6000000000001</v>
      </c>
      <c r="K37" s="369">
        <v>0.82</v>
      </c>
      <c r="L37" s="374">
        <f>J37*K37</f>
        <v>1009.912</v>
      </c>
    </row>
    <row r="38" spans="1:16" ht="12.75" x14ac:dyDescent="0.2">
      <c r="A38" s="314" t="s">
        <v>281</v>
      </c>
      <c r="B38" s="314"/>
      <c r="C38" s="315"/>
      <c r="D38" s="316">
        <f>'5. Fig 4 a. Bar 1 - 2'!J30</f>
        <v>184.02299999999997</v>
      </c>
      <c r="E38" s="316">
        <f>'6. Fig 4 a. Bar 3'!B4</f>
        <v>304</v>
      </c>
      <c r="F38" s="369">
        <v>0.5</v>
      </c>
      <c r="G38" s="371">
        <f t="shared" ref="G38:G44" si="2">E38*F38</f>
        <v>152</v>
      </c>
      <c r="H38" s="317">
        <v>1</v>
      </c>
      <c r="I38" s="318">
        <f t="shared" ref="I38:I48" si="3">D38*H38</f>
        <v>184.02299999999997</v>
      </c>
      <c r="J38" s="292">
        <f t="shared" ref="J38:J43" si="4">E38*H38</f>
        <v>304</v>
      </c>
      <c r="K38" s="369">
        <v>0.5</v>
      </c>
      <c r="L38" s="374">
        <f t="shared" ref="L38:L44" si="5">J38*K38</f>
        <v>152</v>
      </c>
    </row>
    <row r="39" spans="1:16" ht="13.5" thickBot="1" x14ac:dyDescent="0.25">
      <c r="A39" s="314" t="s">
        <v>400</v>
      </c>
      <c r="B39" s="314"/>
      <c r="C39" s="315"/>
      <c r="D39" s="316">
        <f>'5. Fig 4 a. Bar 1 - 2'!J31</f>
        <v>92.011499999999984</v>
      </c>
      <c r="E39" s="316">
        <f>'6. Fig 4 a. Bar 3'!B5</f>
        <v>7708.9600000000009</v>
      </c>
      <c r="F39" s="369">
        <v>0.54</v>
      </c>
      <c r="G39" s="371">
        <f t="shared" si="2"/>
        <v>4162.8384000000005</v>
      </c>
      <c r="H39" s="317">
        <v>3</v>
      </c>
      <c r="I39" s="318">
        <f t="shared" si="3"/>
        <v>276.03449999999998</v>
      </c>
      <c r="J39" s="292">
        <f t="shared" si="4"/>
        <v>23126.880000000005</v>
      </c>
      <c r="K39" s="369">
        <v>0.54</v>
      </c>
      <c r="L39" s="374">
        <f t="shared" si="5"/>
        <v>12488.515200000003</v>
      </c>
    </row>
    <row r="40" spans="1:16" ht="12.75" x14ac:dyDescent="0.2">
      <c r="A40" s="314" t="s">
        <v>285</v>
      </c>
      <c r="B40" s="314"/>
      <c r="C40" s="315"/>
      <c r="D40" s="316">
        <f>'5. Fig 4 a. Bar 1 - 2'!J32</f>
        <v>276.03449999999998</v>
      </c>
      <c r="E40" s="316">
        <f>'6. Fig 4 a. Bar 3'!B6</f>
        <v>4675.2160000000003</v>
      </c>
      <c r="F40" s="369">
        <v>0.45</v>
      </c>
      <c r="G40" s="371">
        <f t="shared" si="2"/>
        <v>2103.8472000000002</v>
      </c>
      <c r="H40" s="317">
        <v>1</v>
      </c>
      <c r="I40" s="318">
        <f t="shared" si="3"/>
        <v>276.03449999999998</v>
      </c>
      <c r="J40" s="292">
        <f t="shared" si="4"/>
        <v>4675.2160000000003</v>
      </c>
      <c r="K40" s="369">
        <v>0.45</v>
      </c>
      <c r="L40" s="374">
        <f t="shared" si="5"/>
        <v>2103.8472000000002</v>
      </c>
      <c r="N40" s="418" t="s">
        <v>477</v>
      </c>
      <c r="O40" s="419"/>
      <c r="P40" s="420">
        <f>L45-G45</f>
        <v>6106.1228000000046</v>
      </c>
    </row>
    <row r="41" spans="1:16" ht="13.5" thickBot="1" x14ac:dyDescent="0.25">
      <c r="A41" s="314" t="s">
        <v>287</v>
      </c>
      <c r="B41" s="314"/>
      <c r="C41" s="315"/>
      <c r="D41" s="316">
        <f>'5. Fig 4 a. Bar 1 - 2'!J33</f>
        <v>398.7165</v>
      </c>
      <c r="E41" s="316">
        <f>'6. Fig 4 a. Bar 3'!B7</f>
        <v>3398.2000000000003</v>
      </c>
      <c r="F41" s="369">
        <v>0.63</v>
      </c>
      <c r="G41" s="371">
        <f t="shared" si="2"/>
        <v>2140.866</v>
      </c>
      <c r="H41" s="317">
        <v>1</v>
      </c>
      <c r="I41" s="318">
        <f t="shared" si="3"/>
        <v>398.7165</v>
      </c>
      <c r="J41" s="292">
        <f t="shared" si="4"/>
        <v>3398.2000000000003</v>
      </c>
      <c r="K41" s="369">
        <v>0.63</v>
      </c>
      <c r="L41" s="374">
        <f t="shared" si="5"/>
        <v>2140.866</v>
      </c>
      <c r="N41" s="421" t="s">
        <v>478</v>
      </c>
      <c r="O41" s="153"/>
      <c r="P41" s="422">
        <f>P40/G45</f>
        <v>0.38539566283610549</v>
      </c>
    </row>
    <row r="42" spans="1:16" ht="12.75" x14ac:dyDescent="0.2">
      <c r="A42" s="314" t="s">
        <v>288</v>
      </c>
      <c r="B42" s="314"/>
      <c r="C42" s="315"/>
      <c r="D42" s="316">
        <f>'5. Fig 4 a. Bar 1 - 2'!J34</f>
        <v>950.78549999999996</v>
      </c>
      <c r="E42" s="316">
        <f>'6. Fig 4 a. Bar 3'!B8</f>
        <v>6328</v>
      </c>
      <c r="F42" s="369">
        <v>0.55000000000000004</v>
      </c>
      <c r="G42" s="371">
        <f t="shared" si="2"/>
        <v>3480.4</v>
      </c>
      <c r="H42" s="317">
        <v>0.6</v>
      </c>
      <c r="I42" s="318">
        <f t="shared" si="3"/>
        <v>570.47129999999993</v>
      </c>
      <c r="J42" s="292">
        <f t="shared" si="4"/>
        <v>3796.7999999999997</v>
      </c>
      <c r="K42" s="369">
        <v>0.55000000000000004</v>
      </c>
      <c r="L42" s="374">
        <f t="shared" si="5"/>
        <v>2088.2400000000002</v>
      </c>
    </row>
    <row r="43" spans="1:16" ht="12.75" x14ac:dyDescent="0.2">
      <c r="A43" s="314" t="s">
        <v>313</v>
      </c>
      <c r="B43" s="314"/>
      <c r="C43" s="315"/>
      <c r="D43" s="316">
        <f>'5. Fig 4 a. Bar 1 - 2'!J35</f>
        <v>460.0575</v>
      </c>
      <c r="E43" s="316">
        <f>'6. Fig 4 a. Bar 3'!B9</f>
        <v>2610.2959999999998</v>
      </c>
      <c r="F43" s="369">
        <v>0.49</v>
      </c>
      <c r="G43" s="371">
        <f t="shared" si="2"/>
        <v>1279.04504</v>
      </c>
      <c r="H43" s="317">
        <v>1</v>
      </c>
      <c r="I43" s="318">
        <f t="shared" si="3"/>
        <v>460.0575</v>
      </c>
      <c r="J43" s="292">
        <f t="shared" si="4"/>
        <v>2610.2959999999998</v>
      </c>
      <c r="K43" s="369">
        <v>0.49</v>
      </c>
      <c r="L43" s="374">
        <f t="shared" si="5"/>
        <v>1279.04504</v>
      </c>
    </row>
    <row r="44" spans="1:16" ht="12.75" x14ac:dyDescent="0.2">
      <c r="A44" s="314" t="s">
        <v>401</v>
      </c>
      <c r="B44" s="314"/>
      <c r="C44" s="315"/>
      <c r="D44" s="319"/>
      <c r="E44" s="316"/>
      <c r="F44" s="369">
        <v>0.57999999999999996</v>
      </c>
      <c r="G44" s="371">
        <f t="shared" si="2"/>
        <v>0</v>
      </c>
      <c r="H44" s="320"/>
      <c r="I44" s="318">
        <f t="shared" si="3"/>
        <v>0</v>
      </c>
      <c r="J44" s="292">
        <f>E62</f>
        <v>1185.2999999999997</v>
      </c>
      <c r="K44" s="369">
        <v>0.57999999999999996</v>
      </c>
      <c r="L44" s="374">
        <f t="shared" si="5"/>
        <v>687.47399999999982</v>
      </c>
    </row>
    <row r="45" spans="1:16" s="325" customFormat="1" ht="13.5" thickBot="1" x14ac:dyDescent="0.25">
      <c r="A45" s="321" t="s">
        <v>402</v>
      </c>
      <c r="B45" s="321"/>
      <c r="C45" s="322"/>
      <c r="D45" s="323"/>
      <c r="E45" s="324">
        <f>SUM(E37:E44)</f>
        <v>28103.671999999999</v>
      </c>
      <c r="G45" s="372">
        <f>SUM(G37:G44)</f>
        <v>15843.77664</v>
      </c>
      <c r="H45" s="326"/>
      <c r="I45" s="327">
        <f t="shared" si="3"/>
        <v>0</v>
      </c>
      <c r="J45" s="328">
        <f>SUM(J37:J44)</f>
        <v>40328.292000000009</v>
      </c>
      <c r="K45" s="370"/>
      <c r="L45" s="373">
        <f t="shared" ref="L45" si="6">SUM(L37:L44)</f>
        <v>21949.899440000005</v>
      </c>
    </row>
    <row r="46" spans="1:16" ht="12.75" x14ac:dyDescent="0.2">
      <c r="A46" s="329" t="s">
        <v>276</v>
      </c>
      <c r="B46" s="329"/>
      <c r="C46" s="330"/>
      <c r="D46" s="331">
        <f>'5. Fig 4 a. Bar 1 - 2'!J36</f>
        <v>1022.35</v>
      </c>
      <c r="E46" s="332"/>
      <c r="G46" s="329"/>
      <c r="H46" s="333">
        <v>0.2</v>
      </c>
      <c r="I46" s="318">
        <f t="shared" si="3"/>
        <v>204.47000000000003</v>
      </c>
    </row>
    <row r="47" spans="1:16" ht="12.75" x14ac:dyDescent="0.2">
      <c r="A47" s="329" t="s">
        <v>278</v>
      </c>
      <c r="B47" s="329"/>
      <c r="C47" s="330"/>
      <c r="D47" s="331">
        <f>'5. Fig 4 a. Bar 1 - 2'!J37</f>
        <v>222.25</v>
      </c>
      <c r="E47" s="334"/>
      <c r="G47" s="329"/>
      <c r="H47" s="333">
        <v>1</v>
      </c>
      <c r="I47" s="318">
        <f t="shared" si="3"/>
        <v>222.25</v>
      </c>
    </row>
    <row r="48" spans="1:16" ht="13.5" thickBot="1" x14ac:dyDescent="0.25">
      <c r="A48" s="329" t="s">
        <v>16</v>
      </c>
      <c r="B48" s="329"/>
      <c r="C48" s="330"/>
      <c r="D48" s="331">
        <f>'5. Fig 4 a. Bar 1 - 2'!J38</f>
        <v>133.35</v>
      </c>
      <c r="E48" s="334"/>
      <c r="G48" s="329"/>
      <c r="H48" s="333">
        <v>1</v>
      </c>
      <c r="I48" s="318">
        <f t="shared" si="3"/>
        <v>133.35</v>
      </c>
    </row>
    <row r="49" spans="1:14" s="153" customFormat="1" thickBot="1" x14ac:dyDescent="0.3">
      <c r="A49" s="335" t="s">
        <v>320</v>
      </c>
      <c r="B49" s="336"/>
      <c r="C49" s="336"/>
      <c r="D49" s="337">
        <f>SUM(D37:D48)</f>
        <v>4445</v>
      </c>
      <c r="E49" s="338"/>
      <c r="G49" s="336"/>
      <c r="H49" s="336"/>
      <c r="I49" s="355">
        <f>SUM(I37:I48)</f>
        <v>2866.4915999999998</v>
      </c>
      <c r="J49" s="339" t="s">
        <v>423</v>
      </c>
      <c r="N49" s="178"/>
    </row>
    <row r="51" spans="1:14" s="341" customFormat="1" ht="15.75" customHeight="1" x14ac:dyDescent="0.2">
      <c r="A51" s="340" t="s">
        <v>403</v>
      </c>
      <c r="B51" s="341" t="s">
        <v>404</v>
      </c>
    </row>
    <row r="52" spans="1:14" ht="12.75" x14ac:dyDescent="0.2">
      <c r="A52" s="149" t="s">
        <v>405</v>
      </c>
      <c r="B52" s="151">
        <v>0.19</v>
      </c>
      <c r="C52" s="149" t="s">
        <v>253</v>
      </c>
    </row>
    <row r="53" spans="1:14" ht="12.75" x14ac:dyDescent="0.2">
      <c r="A53" s="149" t="s">
        <v>406</v>
      </c>
      <c r="B53" s="151">
        <v>0.16</v>
      </c>
      <c r="C53" s="149" t="s">
        <v>253</v>
      </c>
    </row>
    <row r="54" spans="1:14" ht="12.75" x14ac:dyDescent="0.2">
      <c r="A54" s="149" t="s">
        <v>407</v>
      </c>
      <c r="B54" s="151">
        <v>0.05</v>
      </c>
      <c r="C54" s="149" t="s">
        <v>408</v>
      </c>
      <c r="D54" s="149" t="s">
        <v>409</v>
      </c>
    </row>
    <row r="55" spans="1:14" s="257" customFormat="1" ht="39.75" customHeight="1" thickBot="1" x14ac:dyDescent="0.25">
      <c r="A55" s="342" t="s">
        <v>442</v>
      </c>
      <c r="B55" s="343">
        <v>0.08</v>
      </c>
      <c r="C55" s="409" t="s">
        <v>473</v>
      </c>
      <c r="D55" s="409"/>
      <c r="E55" s="409"/>
      <c r="F55" s="409"/>
      <c r="G55" s="409"/>
    </row>
    <row r="56" spans="1:14" ht="12.75" x14ac:dyDescent="0.2">
      <c r="A56" s="160"/>
      <c r="C56" s="160"/>
      <c r="D56" s="160"/>
    </row>
    <row r="57" spans="1:14" s="345" customFormat="1" ht="12.75" x14ac:dyDescent="0.2">
      <c r="A57" s="344" t="s">
        <v>410</v>
      </c>
      <c r="C57" s="346"/>
    </row>
    <row r="58" spans="1:14" ht="18" customHeight="1" x14ac:dyDescent="0.2">
      <c r="A58" s="149" t="s">
        <v>411</v>
      </c>
      <c r="E58" s="215">
        <f>F8</f>
        <v>237.05999999999997</v>
      </c>
      <c r="F58" s="149" t="s">
        <v>420</v>
      </c>
    </row>
    <row r="59" spans="1:14" ht="12.75" x14ac:dyDescent="0.2">
      <c r="A59" s="160" t="s">
        <v>412</v>
      </c>
      <c r="E59" s="365">
        <v>4.8000000000000001E-2</v>
      </c>
      <c r="F59" s="149" t="s">
        <v>474</v>
      </c>
      <c r="G59" s="149" t="s">
        <v>37</v>
      </c>
    </row>
    <row r="60" spans="1:14" ht="12.75" x14ac:dyDescent="0.2">
      <c r="A60" s="160" t="s">
        <v>413</v>
      </c>
      <c r="C60" s="160"/>
      <c r="E60" s="215">
        <f>E58/E59</f>
        <v>4938.7499999999991</v>
      </c>
    </row>
    <row r="61" spans="1:14" ht="28.5" customHeight="1" x14ac:dyDescent="0.2">
      <c r="A61" s="408" t="s">
        <v>414</v>
      </c>
      <c r="B61" s="408"/>
      <c r="C61" s="408"/>
      <c r="D61" s="408"/>
      <c r="E61" s="151">
        <v>0.24</v>
      </c>
      <c r="F61" s="149" t="s">
        <v>447</v>
      </c>
    </row>
    <row r="62" spans="1:14" s="347" customFormat="1" ht="12.75" x14ac:dyDescent="0.2">
      <c r="A62" s="347" t="s">
        <v>415</v>
      </c>
      <c r="C62" s="348"/>
      <c r="E62" s="349">
        <f>E60*E61</f>
        <v>1185.2999999999997</v>
      </c>
    </row>
    <row r="63" spans="1:14" s="259" customFormat="1" thickBot="1" x14ac:dyDescent="0.3">
      <c r="A63" s="350" t="s">
        <v>416</v>
      </c>
      <c r="C63" s="351"/>
      <c r="E63" s="352">
        <f>E60-E62</f>
        <v>3753.4499999999994</v>
      </c>
    </row>
    <row r="64" spans="1:14" ht="12.75" x14ac:dyDescent="0.2">
      <c r="C64" s="160"/>
    </row>
    <row r="65" spans="1:7" ht="12.75" x14ac:dyDescent="0.2">
      <c r="A65" s="160"/>
      <c r="C65" s="161"/>
    </row>
    <row r="66" spans="1:7" ht="12.75" x14ac:dyDescent="0.2">
      <c r="A66" s="160">
        <v>460000</v>
      </c>
      <c r="B66" s="149" t="s">
        <v>445</v>
      </c>
      <c r="C66" s="160"/>
    </row>
    <row r="67" spans="1:7" ht="12.75" x14ac:dyDescent="0.2">
      <c r="A67" s="160">
        <v>350000</v>
      </c>
      <c r="B67" s="149" t="s">
        <v>446</v>
      </c>
      <c r="G67" s="149" t="s">
        <v>475</v>
      </c>
    </row>
    <row r="68" spans="1:7" ht="15.75" customHeight="1" x14ac:dyDescent="0.2">
      <c r="A68" s="366">
        <f>A67/A66</f>
        <v>0.76086956521739135</v>
      </c>
    </row>
  </sheetData>
  <mergeCells count="5">
    <mergeCell ref="H12:J13"/>
    <mergeCell ref="A32:E32"/>
    <mergeCell ref="C55:G55"/>
    <mergeCell ref="A61:D61"/>
    <mergeCell ref="F16:H19"/>
  </mergeCells>
  <pageMargins left="0.7" right="0.7" top="0.75" bottom="0.75" header="0.3" footer="0.3"/>
  <pageSetup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96FF-4F16-42A6-A740-2740D869C09A}">
  <sheetPr>
    <outlinePr summaryBelow="0" summaryRight="0"/>
  </sheetPr>
  <dimension ref="A1:H34"/>
  <sheetViews>
    <sheetView workbookViewId="0">
      <selection activeCell="A28" sqref="A28"/>
    </sheetView>
  </sheetViews>
  <sheetFormatPr defaultColWidth="14.42578125" defaultRowHeight="15.75" customHeight="1" x14ac:dyDescent="0.2"/>
  <cols>
    <col min="1" max="1" width="63.28515625" style="149" customWidth="1"/>
    <col min="2" max="2" width="14.42578125" style="149"/>
    <col min="3" max="3" width="19.85546875" style="149" customWidth="1"/>
    <col min="4" max="16384" width="14.42578125" style="149"/>
  </cols>
  <sheetData>
    <row r="1" spans="1:3" ht="12.75" x14ac:dyDescent="0.2">
      <c r="A1" s="160" t="s">
        <v>417</v>
      </c>
      <c r="C1" s="353" t="s">
        <v>253</v>
      </c>
    </row>
    <row r="2" spans="1:3" ht="12.75" hidden="1" x14ac:dyDescent="0.2">
      <c r="A2" s="160">
        <v>2010</v>
      </c>
      <c r="B2" s="160">
        <v>922</v>
      </c>
    </row>
    <row r="3" spans="1:3" ht="12.75" hidden="1" x14ac:dyDescent="0.2">
      <c r="A3" s="160">
        <v>2011</v>
      </c>
      <c r="B3" s="160">
        <v>1117</v>
      </c>
    </row>
    <row r="4" spans="1:3" ht="12.75" hidden="1" x14ac:dyDescent="0.2">
      <c r="A4" s="160">
        <v>2012</v>
      </c>
      <c r="B4" s="160">
        <v>954</v>
      </c>
    </row>
    <row r="5" spans="1:3" ht="12.75" hidden="1" x14ac:dyDescent="0.2">
      <c r="A5" s="160">
        <v>2013</v>
      </c>
      <c r="B5" s="160">
        <v>940</v>
      </c>
    </row>
    <row r="6" spans="1:3" ht="12.75" hidden="1" x14ac:dyDescent="0.2">
      <c r="A6" s="160">
        <v>2014</v>
      </c>
      <c r="B6" s="160">
        <v>952</v>
      </c>
    </row>
    <row r="7" spans="1:3" ht="12.75" hidden="1" x14ac:dyDescent="0.2">
      <c r="A7" s="160">
        <v>2015</v>
      </c>
      <c r="B7" s="160">
        <v>891</v>
      </c>
    </row>
    <row r="8" spans="1:3" ht="12.75" x14ac:dyDescent="0.2">
      <c r="A8" s="160">
        <v>2016</v>
      </c>
      <c r="B8" s="160">
        <v>878</v>
      </c>
    </row>
    <row r="9" spans="1:3" ht="12.75" hidden="1" x14ac:dyDescent="0.2">
      <c r="A9" s="160" t="s">
        <v>418</v>
      </c>
      <c r="B9" s="181">
        <f>AVERAGE(B2:B8)</f>
        <v>950.57142857142856</v>
      </c>
    </row>
    <row r="11" spans="1:3" ht="12.75" x14ac:dyDescent="0.2">
      <c r="A11" s="160" t="s">
        <v>419</v>
      </c>
      <c r="C11" s="183" t="s">
        <v>253</v>
      </c>
    </row>
    <row r="12" spans="1:3" ht="12.75" hidden="1" x14ac:dyDescent="0.2">
      <c r="A12" s="160">
        <v>2010</v>
      </c>
      <c r="B12" s="160">
        <v>4645</v>
      </c>
    </row>
    <row r="13" spans="1:3" ht="12.75" hidden="1" x14ac:dyDescent="0.2">
      <c r="A13" s="160">
        <v>2011</v>
      </c>
      <c r="B13" s="160">
        <v>5861</v>
      </c>
    </row>
    <row r="14" spans="1:3" ht="12.75" hidden="1" x14ac:dyDescent="0.2">
      <c r="A14" s="160">
        <v>2012</v>
      </c>
      <c r="B14" s="160">
        <v>4755</v>
      </c>
    </row>
    <row r="15" spans="1:3" ht="12.75" hidden="1" x14ac:dyDescent="0.2">
      <c r="A15" s="160">
        <v>2013</v>
      </c>
      <c r="B15" s="160">
        <v>4993</v>
      </c>
    </row>
    <row r="16" spans="1:3" ht="12.75" hidden="1" x14ac:dyDescent="0.2">
      <c r="A16" s="160">
        <v>2014</v>
      </c>
      <c r="B16" s="160">
        <v>4549</v>
      </c>
    </row>
    <row r="17" spans="1:8" ht="12.75" hidden="1" x14ac:dyDescent="0.2">
      <c r="A17" s="160">
        <v>2015</v>
      </c>
      <c r="B17" s="160">
        <v>4751</v>
      </c>
    </row>
    <row r="18" spans="1:8" ht="12.75" x14ac:dyDescent="0.2">
      <c r="A18" s="160">
        <v>2016</v>
      </c>
      <c r="B18" s="160">
        <v>4445</v>
      </c>
    </row>
    <row r="19" spans="1:8" ht="12.75" hidden="1" x14ac:dyDescent="0.2">
      <c r="A19" s="160" t="s">
        <v>418</v>
      </c>
      <c r="B19" s="160">
        <f>AVERAGE(B12:B18)</f>
        <v>4857</v>
      </c>
    </row>
    <row r="21" spans="1:8" ht="12.75" x14ac:dyDescent="0.2">
      <c r="A21" s="160"/>
      <c r="B21" s="181"/>
      <c r="C21" s="160"/>
      <c r="D21" s="160"/>
      <c r="E21" s="353"/>
    </row>
    <row r="22" spans="1:8" ht="12.75" x14ac:dyDescent="0.2">
      <c r="A22" s="160"/>
      <c r="B22" s="181"/>
      <c r="C22" s="160"/>
      <c r="D22" s="160"/>
      <c r="E22" s="191"/>
    </row>
    <row r="24" spans="1:8" ht="12.75" x14ac:dyDescent="0.2">
      <c r="A24" s="160"/>
      <c r="B24" s="161"/>
      <c r="C24" s="353"/>
    </row>
    <row r="25" spans="1:8" ht="12.75" x14ac:dyDescent="0.2">
      <c r="A25" s="160"/>
      <c r="B25" s="181"/>
      <c r="C25" s="160"/>
      <c r="D25" s="160"/>
      <c r="E25" s="160"/>
    </row>
    <row r="26" spans="1:8" ht="12.75" x14ac:dyDescent="0.2">
      <c r="A26" s="160"/>
      <c r="B26" s="161"/>
      <c r="C26" s="353"/>
      <c r="H26" s="160"/>
    </row>
    <row r="27" spans="1:8" ht="12.75" x14ac:dyDescent="0.2">
      <c r="A27" s="160"/>
      <c r="B27" s="181"/>
      <c r="C27" s="160"/>
      <c r="D27" s="160"/>
      <c r="E27" s="160"/>
    </row>
    <row r="28" spans="1:8" ht="15.75" customHeight="1" x14ac:dyDescent="0.2">
      <c r="A28" s="160"/>
    </row>
    <row r="30" spans="1:8" ht="15.75" customHeight="1" x14ac:dyDescent="0.2">
      <c r="C30" s="364"/>
    </row>
    <row r="31" spans="1:8" ht="12.75" x14ac:dyDescent="0.2">
      <c r="A31" s="160"/>
      <c r="B31" s="161"/>
      <c r="C31" s="353"/>
    </row>
    <row r="32" spans="1:8" ht="12.75" x14ac:dyDescent="0.2">
      <c r="A32" s="160"/>
      <c r="B32" s="181"/>
    </row>
    <row r="34" spans="1:2" ht="12.75" x14ac:dyDescent="0.2">
      <c r="A34" s="160"/>
      <c r="B34" s="181"/>
    </row>
  </sheetData>
  <hyperlinks>
    <hyperlink ref="C1" r:id="rId1" xr:uid="{6554F22B-07D6-4FAE-9EE5-E4BE9165A784}"/>
    <hyperlink ref="C11" r:id="rId2" xr:uid="{FC9DC916-2815-4680-818A-7C4CA1CEF75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Methodology overview</vt:lpstr>
      <vt:lpstr>2. FMFO species breakdown</vt:lpstr>
      <vt:lpstr>3. FMFO vol for weighting</vt:lpstr>
      <vt:lpstr>4. Seafood nutrients</vt:lpstr>
      <vt:lpstr>5. Fig 4 a. Bar 1 - 2</vt:lpstr>
      <vt:lpstr>6. Fig 4 a. Bar 3</vt:lpstr>
      <vt:lpstr>7. Fig 4 b. Bar 1</vt:lpstr>
      <vt:lpstr>8. Fig 4 b. Bar 2 - 3</vt:lpstr>
      <vt:lpstr>FMFO prod</vt:lpstr>
      <vt:lpstr>Nutrition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Luyckx</dc:creator>
  <cp:lastModifiedBy>Karen Luyckx</cp:lastModifiedBy>
  <dcterms:created xsi:type="dcterms:W3CDTF">2020-11-14T09:01:37Z</dcterms:created>
  <dcterms:modified xsi:type="dcterms:W3CDTF">2021-01-09T11:45:54Z</dcterms:modified>
</cp:coreProperties>
</file>