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74" visibility="visible" windowHeight="16080" windowWidth="28164" xWindow="720" yWindow="288"/>
  </bookViews>
  <sheets>
    <sheet name="iOS" sheetId="1" state="visible" r:id="rId1"/>
    <sheet name="安卓" sheetId="2" state="visible" r:id="rId2"/>
    <sheet name="源" sheetId="3" state="visible" r:id="rId3"/>
    <sheet name="TBC3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1">
    <numFmt formatCode="0.00_ ;[Red]\-0.00\ " numFmtId="164"/>
    <numFmt formatCode="0_ ;[Red]\-0\ " numFmtId="165"/>
    <numFmt formatCode="0.00_);[Red]\(0.00\)" numFmtId="166"/>
    <numFmt formatCode="0.0%" numFmtId="167"/>
    <numFmt formatCode="0.000_);[Red]\(0.000\)" numFmtId="168"/>
    <numFmt formatCode="0.000_ ;[Red]\-0.000\ " numFmtId="169"/>
    <numFmt formatCode="0.0000_ ;[Red]\-0.0000\ " numFmtId="170"/>
    <numFmt formatCode="0.000" numFmtId="171"/>
    <numFmt formatCode="[$-804]aaaa;@" numFmtId="172"/>
    <numFmt formatCode="0.0" numFmtId="173"/>
    <numFmt formatCode="0.0000" numFmtId="174"/>
  </numFmts>
  <fonts count="34">
    <font>
      <name val="等线"/>
      <charset val="134"/>
      <color theme="1"/>
      <sz val="12"/>
      <scheme val="minor"/>
    </font>
    <font>
      <name val="等线"/>
      <charset val="134"/>
      <family val="4"/>
      <color theme="1"/>
      <sz val="10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4"/>
      <b val="1"/>
      <color theme="1"/>
      <sz val="12"/>
      <scheme val="minor"/>
    </font>
    <font>
      <name val="等线"/>
      <charset val="134"/>
      <family val="4"/>
      <b val="1"/>
      <color theme="1"/>
      <sz val="11"/>
      <scheme val="minor"/>
    </font>
    <font>
      <name val="等线"/>
      <charset val="134"/>
      <family val="4"/>
      <b val="1"/>
      <color theme="1"/>
      <sz val="10"/>
      <scheme val="minor"/>
    </font>
    <font>
      <name val="微软雅黑"/>
      <charset val="134"/>
      <family val="2"/>
      <color theme="1"/>
      <sz val="16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color rgb="FFC00000"/>
      <sz val="10"/>
      <scheme val="minor"/>
    </font>
    <font>
      <name val="等线 (正文)"/>
      <charset val="134"/>
      <color theme="9" tint="-0.249977111117893"/>
      <sz val="10"/>
    </font>
    <font>
      <name val="等线"/>
      <charset val="134"/>
      <family val="4"/>
      <color theme="9" tint="-0.249977111117893"/>
      <sz val="10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1"/>
    </font>
    <font>
      <name val="等线"/>
      <charset val="134"/>
      <family val="4"/>
      <sz val="11"/>
      <scheme val="minor"/>
    </font>
    <font>
      <name val="Arial"/>
      <family val="2"/>
      <color rgb="FF333333"/>
      <sz val="12"/>
    </font>
    <font>
      <name val="等线"/>
      <charset val="134"/>
      <family val="4"/>
      <color theme="10"/>
      <sz val="12"/>
      <u val="single"/>
      <scheme val="minor"/>
    </font>
    <font>
      <name val="Arial"/>
      <family val="2"/>
      <sz val="12"/>
    </font>
    <font>
      <name val="等线"/>
      <charset val="134"/>
      <family val="4"/>
      <sz val="12"/>
      <u val="single"/>
      <scheme val="minor"/>
    </font>
    <font>
      <name val="微软雅黑"/>
      <charset val="134"/>
      <family val="2"/>
      <sz val="11"/>
      <u val="single"/>
    </font>
    <font>
      <name val="等线"/>
      <charset val="134"/>
      <family val="4"/>
      <sz val="11"/>
      <u val="single"/>
      <scheme val="minor"/>
    </font>
    <font>
      <name val="微软雅黑"/>
      <charset val="134"/>
      <family val="2"/>
      <color rgb="FF333333"/>
      <sz val="11"/>
    </font>
    <font>
      <name val="微软雅黑"/>
      <charset val="134"/>
      <family val="2"/>
      <b val="1"/>
      <color rgb="FFFF0000"/>
      <sz val="11"/>
    </font>
    <font>
      <name val="等线"/>
      <charset val="134"/>
      <family val="4"/>
      <color rgb="FF333333"/>
      <sz val="11"/>
      <scheme val="minor"/>
    </font>
    <font>
      <name val="微软雅黑"/>
      <charset val="134"/>
      <family val="2"/>
      <color theme="10"/>
      <sz val="11"/>
      <u val="single"/>
    </font>
    <font>
      <name val="Arial"/>
      <family val="2"/>
      <color theme="1"/>
      <sz val="11"/>
    </font>
    <font>
      <name val="Arial"/>
      <family val="2"/>
      <color rgb="FF333333"/>
      <sz val="11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C00000"/>
      <sz val="11"/>
    </font>
    <font>
      <name val="微软雅黑"/>
      <charset val="134"/>
      <family val="2"/>
      <color rgb="FF000000"/>
      <sz val="11"/>
    </font>
    <font>
      <name val="等线"/>
      <charset val="134"/>
      <family val="4"/>
      <color theme="10"/>
      <sz val="11"/>
      <u val="single"/>
      <scheme val="minor"/>
    </font>
    <font>
      <name val="等线"/>
      <charset val="134"/>
      <family val="4"/>
      <b val="1"/>
      <sz val="10"/>
      <scheme val="minor"/>
    </font>
    <font>
      <name val="等线"/>
      <charset val="134"/>
      <family val="4"/>
      <b val="1"/>
      <color theme="4" tint="-0.249977111117893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3"/>
      <sz val="9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8" tint="0.79958494827112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584948271126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F7FE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9E9E9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applyAlignment="1" borderId="0" fillId="0" fontId="0" numFmtId="0">
      <alignment vertical="center"/>
    </xf>
    <xf borderId="0" fillId="0" fontId="32" numFmtId="0"/>
    <xf applyAlignment="1" borderId="0" fillId="0" fontId="15" numFmtId="0">
      <alignment vertical="center"/>
    </xf>
  </cellStyleXfs>
  <cellXfs count="357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3" fontId="3" numFmtId="14" pivotButton="0" quotePrefix="0" xfId="0">
      <alignment vertical="center"/>
    </xf>
    <xf applyAlignment="1" borderId="0" fillId="0" fontId="0" numFmtId="9" pivotButton="0" quotePrefix="0" xfId="0">
      <alignment horizontal="center" vertical="center"/>
    </xf>
    <xf applyAlignment="1" borderId="7" fillId="0" fontId="0" numFmtId="14" pivotButton="0" quotePrefix="0" xfId="0">
      <alignment horizontal="center" vertical="center"/>
    </xf>
    <xf applyAlignment="1" borderId="0" fillId="0" fontId="0" numFmtId="14" pivotButton="0" quotePrefix="0" xfId="0">
      <alignment horizontal="center" vertical="center"/>
    </xf>
    <xf applyAlignment="1" borderId="9" fillId="0" fontId="5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4" fillId="0" fontId="4" numFmtId="0" pivotButton="0" quotePrefix="0" xfId="0">
      <alignment vertical="center"/>
    </xf>
    <xf applyAlignment="1" borderId="11" fillId="0" fontId="4" numFmtId="0" pivotButton="0" quotePrefix="0" xfId="0">
      <alignment horizontal="right" vertical="center"/>
    </xf>
    <xf applyAlignment="1" borderId="5" fillId="0" fontId="0" numFmtId="0" pivotButton="0" quotePrefix="0" xfId="0">
      <alignment horizontal="center" vertical="center"/>
    </xf>
    <xf applyAlignment="1" borderId="12" fillId="0" fontId="4" numFmtId="0" pivotButton="0" quotePrefix="0" xfId="0">
      <alignment vertical="center"/>
    </xf>
    <xf applyAlignment="1" borderId="13" fillId="0" fontId="4" numFmtId="0" pivotButton="0" quotePrefix="0" xfId="0">
      <alignment horizontal="right" vertical="center"/>
    </xf>
    <xf applyAlignment="1" borderId="14" fillId="0" fontId="0" numFmtId="0" pivotButton="0" quotePrefix="0" xfId="0">
      <alignment horizontal="center" vertical="center"/>
    </xf>
    <xf applyAlignment="1" borderId="15" fillId="0" fontId="4" numFmtId="0" pivotButton="0" quotePrefix="0" xfId="0">
      <alignment vertical="center"/>
    </xf>
    <xf applyAlignment="1" borderId="17" fillId="0" fontId="0" numFmtId="0" pivotButton="0" quotePrefix="0" xfId="0">
      <alignment horizontal="right" vertical="center"/>
    </xf>
    <xf applyAlignment="1" borderId="6" fillId="0" fontId="4" numFmtId="0" pivotButton="0" quotePrefix="0" xfId="0">
      <alignment vertical="center"/>
    </xf>
    <xf applyAlignment="1" borderId="0" fillId="0" fontId="0" numFmtId="0" pivotButton="0" quotePrefix="0" xfId="0">
      <alignment horizontal="right" vertical="center"/>
    </xf>
    <xf applyAlignment="1" borderId="14" fillId="0" fontId="0" numFmtId="0" pivotButton="0" quotePrefix="0" xfId="0">
      <alignment horizontal="right" vertical="center"/>
    </xf>
    <xf applyAlignment="1" borderId="17" fillId="0" fontId="0" numFmtId="0" pivotButton="0" quotePrefix="0" xfId="0">
      <alignment horizontal="center" vertical="center"/>
    </xf>
    <xf applyAlignment="1" borderId="13" fillId="0" fontId="4" numFmtId="2" pivotButton="0" quotePrefix="0" xfId="0">
      <alignment horizontal="right" vertical="center"/>
    </xf>
    <xf applyAlignment="1" borderId="16" fillId="0" fontId="4" numFmtId="10" pivotButton="0" quotePrefix="0" xfId="1">
      <alignment horizontal="right" vertical="center"/>
    </xf>
    <xf applyAlignment="1" borderId="17" fillId="0" fontId="32" numFmtId="10" pivotButton="0" quotePrefix="0" xfId="1">
      <alignment horizontal="center" vertical="center"/>
    </xf>
    <xf applyAlignment="1" borderId="8" fillId="0" fontId="4" numFmtId="0" pivotButton="0" quotePrefix="0" xfId="0">
      <alignment vertical="center"/>
    </xf>
    <xf applyAlignment="1" borderId="1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4" fontId="0" numFmtId="0" pivotButton="0" quotePrefix="0" xfId="0">
      <alignment vertical="center"/>
    </xf>
    <xf applyAlignment="1" borderId="0" fillId="4" fontId="0" numFmtId="0" pivotButton="0" quotePrefix="0" xfId="0">
      <alignment horizontal="center" vertical="center"/>
    </xf>
    <xf applyAlignment="1" borderId="0" fillId="0" fontId="0" numFmtId="14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19" fillId="0" fontId="0" numFmtId="14" pivotButton="0" quotePrefix="0" xfId="0">
      <alignment horizontal="center" vertical="center"/>
    </xf>
    <xf applyAlignment="1" borderId="20" fillId="5" fontId="8" numFmtId="0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14" fillId="0" fontId="0" numFmtId="2" pivotButton="0" quotePrefix="0" xfId="0">
      <alignment vertical="center"/>
    </xf>
    <xf applyAlignment="1" borderId="0" fillId="0" fontId="0" numFmtId="2" pivotButton="0" quotePrefix="0" xfId="0">
      <alignment vertical="center"/>
    </xf>
    <xf applyAlignment="1" borderId="19" fillId="5" fontId="8" numFmtId="2" pivotButton="0" quotePrefix="0" xfId="0">
      <alignment horizontal="left" vertical="center" wrapText="1"/>
    </xf>
    <xf applyAlignment="1" borderId="7" fillId="0" fontId="4" numFmtId="2" pivotButton="0" quotePrefix="0" xfId="0">
      <alignment horizontal="right" vertical="center"/>
    </xf>
    <xf applyAlignment="1" borderId="17" fillId="0" fontId="32" numFmtId="10" pivotButton="0" quotePrefix="0" xfId="1">
      <alignment vertical="center"/>
    </xf>
    <xf applyAlignment="1" borderId="19" fillId="5" fontId="8" numFmtId="2" pivotButton="0" quotePrefix="0" xfId="0">
      <alignment horizontal="left" vertical="center"/>
    </xf>
    <xf applyAlignment="1" borderId="17" fillId="0" fontId="32" numFmtId="10" pivotButton="0" quotePrefix="0" xfId="1">
      <alignment horizontal="right" vertical="center"/>
    </xf>
    <xf applyAlignment="1" borderId="0" fillId="0" fontId="7" numFmtId="2" pivotButton="0" quotePrefix="0" xfId="0">
      <alignment vertical="center"/>
    </xf>
    <xf applyAlignment="1" borderId="0" fillId="0" fontId="7" numFmtId="10" pivotButton="0" quotePrefix="0" xfId="1">
      <alignment vertical="center"/>
    </xf>
    <xf applyAlignment="1" borderId="7" fillId="0" fontId="0" numFmtId="0" pivotButton="0" quotePrefix="0" xfId="0">
      <alignment vertical="center"/>
    </xf>
    <xf applyAlignment="1" borderId="7" fillId="0" fontId="1" numFmtId="0" pivotButton="0" quotePrefix="0" xfId="0">
      <alignment vertical="center"/>
    </xf>
    <xf applyAlignment="1" borderId="0" fillId="0" fontId="7" numFmtId="0" pivotButton="0" quotePrefix="0" xfId="1">
      <alignment vertical="center"/>
    </xf>
    <xf applyAlignment="1" borderId="0" fillId="0" fontId="3" numFmtId="14" pivotButton="0" quotePrefix="0" xfId="0">
      <alignment vertical="center"/>
    </xf>
    <xf applyAlignment="1" borderId="0" fillId="0" fontId="4" numFmtId="1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2" pivotButton="0" quotePrefix="0" xfId="0">
      <alignment vertical="center"/>
    </xf>
    <xf applyAlignment="1" borderId="0" fillId="0" fontId="4" numFmtId="10" pivotButton="0" quotePrefix="0" xfId="1">
      <alignment vertical="center"/>
    </xf>
    <xf applyAlignment="1" borderId="0" fillId="0" fontId="32" numFmtId="10" pivotButton="0" quotePrefix="0" xfId="1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8" numFmtId="2" pivotButton="0" quotePrefix="0" xfId="0">
      <alignment horizontal="left" vertical="center" wrapText="1"/>
    </xf>
    <xf applyAlignment="1" borderId="0" fillId="0" fontId="32" numFmtId="10" pivotButton="0" quotePrefix="0" xfId="1">
      <alignment vertical="center"/>
    </xf>
    <xf applyAlignment="1" borderId="0" fillId="0" fontId="8" numFmtId="10" pivotButton="0" quotePrefix="0" xfId="1">
      <alignment vertical="center" wrapText="1"/>
    </xf>
    <xf applyAlignment="1" borderId="0" fillId="0" fontId="7" numFmtId="10" pivotButton="0" quotePrefix="0" xfId="1">
      <alignment horizontal="right" vertical="center"/>
    </xf>
    <xf applyAlignment="1" borderId="0" fillId="0" fontId="11" numFmtId="0" pivotButton="0" quotePrefix="0" xfId="0">
      <alignment vertical="center"/>
    </xf>
    <xf applyAlignment="1" borderId="0" fillId="0" fontId="11" numFmtId="0" pivotButton="0" quotePrefix="0" xfId="0">
      <alignment horizontal="right" vertical="center"/>
    </xf>
    <xf applyAlignment="1" borderId="0" fillId="6" fontId="12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0" fillId="0" fontId="14" numFmtId="10" pivotButton="0" quotePrefix="0" xfId="0">
      <alignment vertical="center"/>
    </xf>
    <xf applyAlignment="1" borderId="0" fillId="0" fontId="15" numFmtId="0" pivotButton="0" quotePrefix="0" xfId="2">
      <alignment vertical="center"/>
    </xf>
    <xf applyAlignment="1" borderId="0" fillId="0" fontId="14" numFmtId="9" pivotButton="0" quotePrefix="0" xfId="0">
      <alignment vertical="center"/>
    </xf>
    <xf applyAlignment="1" borderId="0" fillId="0" fontId="16" numFmtId="10" pivotButton="0" quotePrefix="0" xfId="0">
      <alignment vertical="center"/>
    </xf>
    <xf applyAlignment="1" borderId="0" fillId="0" fontId="17" numFmtId="0" pivotButton="0" quotePrefix="0" xfId="2">
      <alignment vertical="center"/>
    </xf>
    <xf applyAlignment="1" borderId="0" fillId="0" fontId="12" numFmtId="0" pivotButton="0" quotePrefix="0" xfId="0">
      <alignment vertical="center"/>
    </xf>
    <xf applyAlignment="1" borderId="0" fillId="0" fontId="12" numFmtId="10" pivotButton="0" quotePrefix="0" xfId="0">
      <alignment vertical="center"/>
    </xf>
    <xf applyAlignment="1" borderId="0" fillId="0" fontId="11" numFmtId="10" pivotButton="0" quotePrefix="0" xfId="0">
      <alignment vertical="center"/>
    </xf>
    <xf applyAlignment="1" borderId="0" fillId="0" fontId="11" numFmtId="14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20" numFmtId="0" pivotButton="0" quotePrefix="0" xfId="0">
      <alignment vertical="center"/>
    </xf>
    <xf applyAlignment="1" borderId="0" fillId="0" fontId="21" numFmtId="0" pivotButton="0" quotePrefix="0" xfId="0">
      <alignment vertical="center"/>
    </xf>
    <xf applyAlignment="1" borderId="0" fillId="0" fontId="22" numFmtId="0" pivotButton="0" quotePrefix="0" xfId="0">
      <alignment vertical="center"/>
    </xf>
    <xf applyAlignment="1" borderId="0" fillId="0" fontId="23" numFmtId="0" pivotButton="0" quotePrefix="0" xfId="2">
      <alignment vertical="center"/>
    </xf>
    <xf applyAlignment="1" borderId="0" fillId="7" fontId="11" numFmtId="0" pivotButton="0" quotePrefix="0" xfId="0">
      <alignment horizontal="right" vertical="center"/>
    </xf>
    <xf applyAlignment="1" borderId="10" fillId="0" fontId="11" numFmtId="0" pivotButton="0" quotePrefix="0" xfId="0">
      <alignment horizontal="right" vertical="center"/>
    </xf>
    <xf applyAlignment="1" borderId="10" fillId="0" fontId="11" numFmtId="0" pivotButton="0" quotePrefix="0" xfId="0">
      <alignment vertical="center"/>
    </xf>
    <xf applyAlignment="1" borderId="5" fillId="4" fontId="11" numFmtId="0" pivotButton="0" quotePrefix="0" xfId="0">
      <alignment horizontal="right" vertical="center"/>
    </xf>
    <xf applyAlignment="1" borderId="10" fillId="4" fontId="11" numFmtId="0" pivotButton="0" quotePrefix="0" xfId="0">
      <alignment horizontal="right" vertical="center"/>
    </xf>
    <xf applyAlignment="1" borderId="5" fillId="0" fontId="11" numFmtId="0" pivotButton="0" quotePrefix="0" xfId="0">
      <alignment horizontal="right" vertical="center"/>
    </xf>
    <xf applyAlignment="1" borderId="0" fillId="8" fontId="11" numFmtId="0" pivotButton="0" quotePrefix="0" xfId="0">
      <alignment horizontal="right" vertical="center"/>
    </xf>
    <xf applyAlignment="1" borderId="0" fillId="0" fontId="24" numFmtId="0" pivotButton="0" quotePrefix="0" xfId="0">
      <alignment vertical="center"/>
    </xf>
    <xf applyAlignment="1" borderId="0" fillId="0" fontId="24" numFmtId="0" pivotButton="0" quotePrefix="0" xfId="0">
      <alignment horizontal="right" vertical="center"/>
    </xf>
    <xf applyAlignment="1" borderId="0" fillId="0" fontId="25" numFmtId="14" pivotButton="0" quotePrefix="0" xfId="0">
      <alignment vertical="center"/>
    </xf>
    <xf applyAlignment="1" borderId="0" fillId="0" fontId="25" numFmtId="0" pivotButton="0" quotePrefix="0" xfId="0">
      <alignment vertical="center"/>
    </xf>
    <xf applyAlignment="1" borderId="0" fillId="0" fontId="20" numFmtId="14" pivotButton="0" quotePrefix="0" xfId="0">
      <alignment vertical="center"/>
    </xf>
    <xf applyAlignment="1" borderId="5" fillId="9" fontId="12" numFmtId="0" pivotButton="0" quotePrefix="0" xfId="0">
      <alignment vertical="center"/>
    </xf>
    <xf applyAlignment="1" borderId="10" fillId="9" fontId="12" numFmtId="0" pivotButton="0" quotePrefix="0" xfId="0">
      <alignment vertical="center"/>
    </xf>
    <xf applyAlignment="1" borderId="5" fillId="0" fontId="12" numFmtId="0" pivotButton="0" quotePrefix="0" xfId="0">
      <alignment vertical="center"/>
    </xf>
    <xf applyAlignment="1" borderId="10" fillId="0" fontId="12" numFmtId="0" pivotButton="0" quotePrefix="0" xfId="0">
      <alignment vertical="center"/>
    </xf>
    <xf applyAlignment="1" borderId="10" fillId="0" fontId="26" numFmtId="0" pivotButton="0" quotePrefix="0" xfId="0">
      <alignment vertical="center"/>
    </xf>
    <xf applyAlignment="1" borderId="0" fillId="10" fontId="12" numFmtId="0" pivotButton="0" quotePrefix="0" xfId="0">
      <alignment vertical="center"/>
    </xf>
    <xf applyAlignment="1" borderId="0" fillId="7" fontId="27" numFmtId="0" pivotButton="0" quotePrefix="0" xfId="0">
      <alignment vertical="center"/>
    </xf>
    <xf applyAlignment="1" borderId="0" fillId="0" fontId="28" numFmtId="0" pivotButton="0" quotePrefix="0" xfId="0">
      <alignment vertical="center"/>
    </xf>
    <xf applyAlignment="1" borderId="0" fillId="0" fontId="25" numFmtId="21" pivotButton="0" quotePrefix="0" xfId="0">
      <alignment vertical="center"/>
    </xf>
    <xf applyAlignment="1" borderId="0" fillId="0" fontId="20" numFmtId="21" pivotButton="0" quotePrefix="0" xfId="0">
      <alignment vertical="center"/>
    </xf>
    <xf applyAlignment="1" borderId="0" fillId="0" fontId="25" numFmtId="10" pivotButton="0" quotePrefix="0" xfId="0">
      <alignment vertical="center"/>
    </xf>
    <xf applyAlignment="1" borderId="26" fillId="0" fontId="25" numFmtId="0" pivotButton="0" quotePrefix="0" xfId="0">
      <alignment horizontal="left" indent="1" vertical="center" wrapText="1"/>
    </xf>
    <xf applyAlignment="1" borderId="26" fillId="0" fontId="29" numFmtId="0" pivotButton="0" quotePrefix="0" xfId="2">
      <alignment horizontal="left" indent="1" vertical="center" wrapText="1"/>
    </xf>
    <xf applyAlignment="1" borderId="26" fillId="11" fontId="29" numFmtId="0" pivotButton="0" quotePrefix="0" xfId="2">
      <alignment horizontal="left" indent="1" vertical="center" wrapText="1"/>
    </xf>
    <xf applyAlignment="1" borderId="26" fillId="11" fontId="25" numFmtId="0" pivotButton="0" quotePrefix="0" xfId="0">
      <alignment horizontal="left" indent="1" vertical="center" wrapText="1"/>
    </xf>
    <xf applyAlignment="1" borderId="0" fillId="0" fontId="25" numFmtId="9" pivotButton="0" quotePrefix="0" xfId="0">
      <alignment vertical="center"/>
    </xf>
    <xf applyAlignment="1" borderId="26" fillId="0" fontId="25" numFmtId="0" pivotButton="0" quotePrefix="0" xfId="0">
      <alignment horizontal="left" indent="1" vertical="center"/>
    </xf>
    <xf applyAlignment="1" borderId="26" fillId="11" fontId="25" numFmtId="0" pivotButton="0" quotePrefix="0" xfId="0">
      <alignment horizontal="left" indent="1" vertical="center"/>
    </xf>
    <xf applyAlignment="1" borderId="0" fillId="0" fontId="11" numFmtId="9" pivotButton="0" quotePrefix="0" xfId="0">
      <alignment vertical="center"/>
    </xf>
    <xf applyAlignment="1" borderId="27" fillId="0" fontId="11" numFmtId="0" pivotButton="0" quotePrefix="0" xfId="0">
      <alignment vertical="center"/>
    </xf>
    <xf applyAlignment="1" borderId="0" fillId="0" fontId="7" numFmtId="14" pivotButton="0" quotePrefix="0" xfId="0">
      <alignment horizontal="center" vertical="center"/>
    </xf>
    <xf applyAlignment="1" borderId="0" fillId="0" fontId="7" numFmtId="10" pivotButton="0" quotePrefix="0" xfId="0">
      <alignment horizontal="right" vertical="center"/>
    </xf>
    <xf applyAlignment="1" borderId="0" fillId="0" fontId="4" numFmtId="10" pivotButton="0" quotePrefix="0" xfId="1">
      <alignment horizontal="right" vertical="center"/>
    </xf>
    <xf applyAlignment="1" borderId="0" fillId="14" fontId="7" numFmtId="14" pivotButton="0" quotePrefix="0" xfId="0">
      <alignment horizontal="center" vertical="center"/>
    </xf>
    <xf applyAlignment="1" borderId="0" fillId="8" fontId="7" numFmtId="14" pivotButton="0" quotePrefix="0" xfId="0">
      <alignment horizontal="center" vertical="center"/>
    </xf>
    <xf applyAlignment="1" borderId="0" fillId="0" fontId="31" numFmtId="9" pivotButton="0" quotePrefix="0" xfId="0">
      <alignment horizontal="left" vertical="center"/>
    </xf>
    <xf applyAlignment="1" borderId="0" fillId="8" fontId="31" numFmtId="10" pivotButton="0" quotePrefix="0" xfId="0">
      <alignment horizontal="left" vertical="center"/>
    </xf>
    <xf applyAlignment="1" borderId="0" fillId="8" fontId="31" numFmtId="10" pivotButton="0" quotePrefix="0" xfId="0">
      <alignment horizontal="right" vertical="center"/>
    </xf>
    <xf applyAlignment="1" borderId="0" fillId="8" fontId="7" numFmtId="10" pivotButton="0" quotePrefix="0" xfId="0">
      <alignment horizontal="right" vertical="center"/>
    </xf>
    <xf applyAlignment="1" borderId="0" fillId="8" fontId="7" numFmtId="10" pivotButton="0" quotePrefix="0" xfId="1">
      <alignment horizontal="right" vertical="center"/>
    </xf>
    <xf applyAlignment="1" borderId="0" fillId="8" fontId="4" numFmtId="10" pivotButton="0" quotePrefix="0" xfId="1">
      <alignment horizontal="right" vertical="center"/>
    </xf>
    <xf applyAlignment="1" borderId="0" fillId="15" fontId="7" numFmtId="14" pivotButton="0" quotePrefix="0" xfId="0">
      <alignment horizontal="center" vertical="center"/>
    </xf>
    <xf applyAlignment="1" borderId="0" fillId="0" fontId="31" numFmtId="0" pivotButton="0" quotePrefix="0" xfId="0">
      <alignment vertical="center"/>
    </xf>
    <xf applyAlignment="1" borderId="0" fillId="0" fontId="7" numFmtId="10" pivotButton="0" quotePrefix="0" xfId="1">
      <alignment horizontal="left" vertical="center"/>
    </xf>
    <xf applyAlignment="1" borderId="0" fillId="0" fontId="7" numFmtId="10" pivotButton="0" quotePrefix="0" xfId="0">
      <alignment horizontal="left" vertical="center"/>
    </xf>
    <xf applyAlignment="1" borderId="0" fillId="0" fontId="4" numFmtId="10" pivotButton="0" quotePrefix="0" xfId="0">
      <alignment horizontal="right" vertical="center"/>
    </xf>
    <xf applyAlignment="1" borderId="0" fillId="0" fontId="4" numFmtId="10" pivotButton="0" quotePrefix="0" xfId="1">
      <alignment horizontal="left" vertical="center"/>
    </xf>
    <xf applyAlignment="1" borderId="0" fillId="0" fontId="31" numFmtId="9" pivotButton="0" quotePrefix="0" xfId="0">
      <alignment horizontal="right" vertical="center"/>
    </xf>
    <xf applyAlignment="1" borderId="0" fillId="8" fontId="7" numFmtId="10" pivotButton="0" quotePrefix="0" xfId="0">
      <alignment horizontal="left" vertical="center"/>
    </xf>
    <xf applyAlignment="1" borderId="0" fillId="8" fontId="7" numFmtId="10" pivotButton="0" quotePrefix="0" xfId="1">
      <alignment horizontal="left" vertical="center"/>
    </xf>
    <xf applyAlignment="1" borderId="0" fillId="8" fontId="4" numFmtId="10" pivotButton="0" quotePrefix="0" xfId="1">
      <alignment horizontal="left" vertical="center"/>
    </xf>
    <xf applyAlignment="1" borderId="0" fillId="8" fontId="25" numFmtId="21" pivotButton="0" quotePrefix="0" xfId="0">
      <alignment vertical="center"/>
    </xf>
    <xf applyAlignment="1" borderId="0" fillId="0" fontId="4" numFmtId="10" pivotButton="0" quotePrefix="0" xfId="0">
      <alignment horizontal="left" vertical="center"/>
    </xf>
    <xf applyAlignment="1" borderId="0" fillId="0" fontId="7" numFmtId="0" pivotButton="0" quotePrefix="0" xfId="0">
      <alignment horizontal="center" vertical="center"/>
    </xf>
    <xf applyAlignment="1" borderId="0" fillId="0" fontId="31" numFmtId="10" pivotButton="0" quotePrefix="0" xfId="0">
      <alignment horizontal="left" vertical="center"/>
    </xf>
    <xf applyAlignment="1" borderId="0" fillId="0" fontId="31" numFmtId="10" pivotButton="0" quotePrefix="0" xfId="0">
      <alignment horizontal="right" vertical="center"/>
    </xf>
    <xf applyAlignment="1" borderId="0" fillId="2" fontId="2" numFmtId="0" pivotButton="0" quotePrefix="0" xfId="0">
      <alignment vertical="center"/>
    </xf>
    <xf applyAlignment="1" borderId="0" fillId="0" fontId="7" numFmtId="164" pivotButton="0" quotePrefix="0" xfId="0">
      <alignment horizontal="center" vertical="center"/>
    </xf>
    <xf applyAlignment="1" borderId="0" fillId="0" fontId="31" numFmtId="165" pivotButton="0" quotePrefix="0" xfId="0">
      <alignment vertical="center"/>
    </xf>
    <xf applyAlignment="1" borderId="0" fillId="0" fontId="31" numFmtId="164" pivotButton="0" quotePrefix="0" xfId="0">
      <alignment vertical="center"/>
    </xf>
    <xf applyAlignment="1" borderId="0" fillId="0" fontId="7" numFmtId="164" pivotButton="0" quotePrefix="0" xfId="0">
      <alignment vertical="center"/>
    </xf>
    <xf applyAlignment="1" borderId="0" fillId="0" fontId="31" numFmtId="166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7" numFmtId="167" pivotButton="0" quotePrefix="0" xfId="1">
      <alignment horizontal="left" vertical="center"/>
    </xf>
    <xf applyAlignment="1" borderId="0" fillId="0" fontId="7" numFmtId="166" pivotButton="0" quotePrefix="0" xfId="0">
      <alignment vertical="center"/>
    </xf>
    <xf applyAlignment="1" borderId="0" fillId="0" fontId="7" numFmtId="165" pivotButton="0" quotePrefix="0" xfId="0">
      <alignment vertical="center"/>
    </xf>
    <xf applyAlignment="1" borderId="0" fillId="0" fontId="7" numFmtId="168" pivotButton="0" quotePrefix="0" xfId="0">
      <alignment vertical="center"/>
    </xf>
    <xf applyAlignment="1" borderId="0" fillId="0" fontId="31" numFmtId="169" pivotButton="0" quotePrefix="0" xfId="0">
      <alignment vertical="center"/>
    </xf>
    <xf applyAlignment="1" borderId="0" fillId="0" fontId="30" numFmtId="164" pivotButton="0" quotePrefix="0" xfId="0">
      <alignment wrapText="1"/>
    </xf>
    <xf applyAlignment="1" borderId="31" fillId="12" fontId="30" numFmtId="164" pivotButton="0" quotePrefix="0" xfId="0">
      <alignment horizontal="center" vertical="center" wrapText="1"/>
    </xf>
    <xf applyAlignment="1" borderId="0" fillId="3" fontId="7" numFmtId="164" pivotButton="0" quotePrefix="0" xfId="0">
      <alignment horizontal="center" vertical="center"/>
    </xf>
    <xf applyAlignment="1" borderId="0" fillId="0" fontId="7" numFmtId="170" pivotButton="0" quotePrefix="0" xfId="0">
      <alignment vertical="center"/>
    </xf>
    <xf applyAlignment="1" borderId="10" fillId="0" fontId="31" numFmtId="166" pivotButton="0" quotePrefix="0" xfId="0">
      <alignment vertical="center"/>
    </xf>
    <xf borderId="0" fillId="0" fontId="31" numFmtId="166" pivotButton="0" quotePrefix="0" xfId="0"/>
    <xf applyAlignment="1" borderId="0" fillId="8" fontId="7" numFmtId="165" pivotButton="0" quotePrefix="0" xfId="0">
      <alignment vertical="center"/>
    </xf>
    <xf applyAlignment="1" borderId="0" fillId="8" fontId="7" numFmtId="164" pivotButton="0" quotePrefix="0" xfId="0">
      <alignment vertical="center"/>
    </xf>
    <xf applyAlignment="1" borderId="0" fillId="8" fontId="7" numFmtId="164" pivotButton="0" quotePrefix="0" xfId="0">
      <alignment horizontal="center" vertical="center"/>
    </xf>
    <xf applyAlignment="1" borderId="0" fillId="8" fontId="31" numFmtId="165" pivotButton="0" quotePrefix="0" xfId="0">
      <alignment vertical="center"/>
    </xf>
    <xf applyAlignment="1" borderId="0" fillId="8" fontId="31" numFmtId="164" pivotButton="0" quotePrefix="0" xfId="0">
      <alignment vertical="center"/>
    </xf>
    <xf borderId="0" fillId="8" fontId="31" numFmtId="166" pivotButton="0" quotePrefix="0" xfId="0"/>
    <xf applyAlignment="1" borderId="0" fillId="8" fontId="4" numFmtId="164" pivotButton="0" quotePrefix="0" xfId="0">
      <alignment vertical="center"/>
    </xf>
    <xf applyAlignment="1" borderId="0" fillId="8" fontId="7" numFmtId="167" pivotButton="0" quotePrefix="0" xfId="1">
      <alignment horizontal="left" vertical="center"/>
    </xf>
    <xf applyAlignment="1" borderId="0" fillId="8" fontId="7" numFmtId="166" pivotButton="0" quotePrefix="0" xfId="0">
      <alignment vertical="center"/>
    </xf>
    <xf applyAlignment="1" borderId="0" fillId="8" fontId="7" numFmtId="170" pivotButton="0" quotePrefix="0" xfId="0">
      <alignment vertical="center"/>
    </xf>
    <xf applyAlignment="1" borderId="0" fillId="8" fontId="7" numFmtId="168" pivotButton="0" quotePrefix="0" xfId="0">
      <alignment vertical="center"/>
    </xf>
    <xf applyAlignment="1" borderId="0" fillId="8" fontId="31" numFmtId="169" pivotButton="0" quotePrefix="0" xfId="0">
      <alignment vertical="center"/>
    </xf>
    <xf applyAlignment="1" borderId="0" fillId="2" fontId="7" numFmtId="164" pivotButton="0" quotePrefix="0" xfId="0">
      <alignment horizontal="center" vertical="center"/>
    </xf>
    <xf applyAlignment="1" borderId="0" fillId="8" fontId="31" numFmtId="166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7" numFmtId="171" pivotButton="0" quotePrefix="0" xfId="0">
      <alignment vertical="center"/>
    </xf>
    <xf applyAlignment="1" borderId="0" fillId="0" fontId="7" numFmtId="164" pivotButton="0" quotePrefix="0" xfId="0">
      <alignment horizontal="right" vertical="center"/>
    </xf>
    <xf applyAlignment="1" borderId="0" fillId="0" fontId="7" numFmtId="167" pivotButton="0" quotePrefix="0" xfId="0">
      <alignment horizontal="left" vertical="center"/>
    </xf>
    <xf applyAlignment="1" borderId="0" fillId="16" fontId="7" numFmtId="164" pivotButton="0" quotePrefix="0" xfId="0">
      <alignment horizontal="center" vertical="center"/>
    </xf>
    <xf applyAlignment="1" borderId="0" fillId="17" fontId="7" numFmtId="164" pivotButton="0" quotePrefix="0" xfId="0">
      <alignment horizontal="center" vertical="center"/>
    </xf>
    <xf applyAlignment="1" borderId="0" fillId="18" fontId="7" numFmtId="164" pivotButton="0" quotePrefix="0" xfId="0">
      <alignment horizontal="center" vertical="center"/>
    </xf>
    <xf applyAlignment="1" borderId="0" fillId="19" fontId="7" numFmtId="164" pivotButton="0" quotePrefix="0" xfId="0">
      <alignment horizontal="center" vertical="center"/>
    </xf>
    <xf applyAlignment="1" borderId="0" fillId="20" fontId="7" numFmtId="164" pivotButton="0" quotePrefix="0" xfId="0">
      <alignment horizontal="center" vertical="center"/>
    </xf>
    <xf applyAlignment="1" borderId="0" fillId="21" fontId="7" numFmtId="164" pivotButton="0" quotePrefix="0" xfId="0">
      <alignment horizontal="center" vertical="center"/>
    </xf>
    <xf applyAlignment="1" borderId="0" fillId="22" fontId="7" numFmtId="164" pivotButton="0" quotePrefix="0" xfId="0">
      <alignment horizontal="center" vertical="center"/>
    </xf>
    <xf applyAlignment="1" borderId="0" fillId="23" fontId="7" numFmtId="164" pivotButton="0" quotePrefix="0" xfId="0">
      <alignment horizontal="center" vertical="center"/>
    </xf>
    <xf applyAlignment="1" borderId="0" fillId="24" fontId="7" numFmtId="164" pivotButton="0" quotePrefix="0" xfId="0">
      <alignment horizontal="center" vertical="center"/>
    </xf>
    <xf applyAlignment="1" borderId="0" fillId="25" fontId="7" numFmtId="164" pivotButton="0" quotePrefix="0" xfId="0">
      <alignment horizontal="center" vertical="center"/>
    </xf>
    <xf applyAlignment="1" borderId="0" fillId="26" fontId="7" numFmtId="164" pivotButton="0" quotePrefix="0" xfId="0">
      <alignment horizontal="center" vertical="center"/>
    </xf>
    <xf applyAlignment="1" borderId="0" fillId="27" fontId="7" numFmtId="164" pivotButton="0" quotePrefix="0" xfId="0">
      <alignment horizontal="center" vertical="center"/>
    </xf>
    <xf applyAlignment="1" borderId="0" fillId="0" fontId="25" numFmtId="168" pivotButton="0" quotePrefix="0" xfId="0">
      <alignment vertical="center"/>
    </xf>
    <xf applyAlignment="1" borderId="0" fillId="8" fontId="25" numFmtId="168" pivotButton="0" quotePrefix="0" xfId="0">
      <alignment vertical="center"/>
    </xf>
    <xf applyAlignment="1" borderId="0" fillId="0" fontId="0" numFmtId="172" pivotButton="0" quotePrefix="0" xfId="0">
      <alignment vertical="center"/>
    </xf>
    <xf applyAlignment="1" borderId="16" fillId="0" fontId="4" numFmtId="167" pivotButton="0" quotePrefix="0" xfId="1">
      <alignment horizontal="right" vertical="center"/>
    </xf>
    <xf applyAlignment="1" borderId="17" fillId="0" fontId="32" numFmtId="167" pivotButton="0" quotePrefix="0" xfId="1">
      <alignment horizontal="right" vertical="center"/>
    </xf>
    <xf applyAlignment="1" borderId="17" fillId="0" fontId="32" numFmtId="167" pivotButton="0" quotePrefix="0" xfId="1">
      <alignment vertical="center"/>
    </xf>
    <xf applyAlignment="1" borderId="17" fillId="0" fontId="0" numFmtId="167" pivotButton="0" quotePrefix="0" xfId="0">
      <alignment horizontal="center" vertical="center"/>
    </xf>
    <xf applyAlignment="1" borderId="0" fillId="0" fontId="4" numFmtId="167" pivotButton="0" quotePrefix="0" xfId="1">
      <alignment vertical="center"/>
    </xf>
    <xf applyAlignment="1" borderId="0" fillId="0" fontId="32" numFmtId="167" pivotButton="0" quotePrefix="0" xfId="1">
      <alignment vertical="center"/>
    </xf>
    <xf applyAlignment="1" borderId="0" fillId="0" fontId="8" numFmtId="167" pivotButton="0" quotePrefix="0" xfId="1">
      <alignment vertical="center" wrapText="1"/>
    </xf>
    <xf applyAlignment="1" borderId="7" fillId="0" fontId="4" numFmtId="167" pivotButton="0" quotePrefix="0" xfId="1">
      <alignment horizontal="right" vertical="center"/>
    </xf>
    <xf applyAlignment="1" borderId="0" fillId="0" fontId="32" numFmtId="167" pivotButton="0" quotePrefix="0" xfId="1">
      <alignment horizontal="right" vertical="center"/>
    </xf>
    <xf applyAlignment="1" borderId="0" fillId="0" fontId="0" numFmtId="167" pivotButton="0" quotePrefix="0" xfId="0">
      <alignment horizontal="center" vertical="center"/>
    </xf>
    <xf applyAlignment="1" borderId="13" fillId="0" fontId="4" numFmtId="167" pivotButton="0" quotePrefix="0" xfId="1">
      <alignment horizontal="right" vertical="center"/>
    </xf>
    <xf applyAlignment="1" borderId="14" fillId="0" fontId="32" numFmtId="167" pivotButton="0" quotePrefix="0" xfId="1">
      <alignment horizontal="right" vertical="center"/>
    </xf>
    <xf applyAlignment="1" borderId="14" fillId="0" fontId="32" numFmtId="167" pivotButton="0" quotePrefix="0" xfId="1">
      <alignment vertical="center"/>
    </xf>
    <xf applyAlignment="1" borderId="14" fillId="0" fontId="0" numFmtId="167" pivotButton="0" quotePrefix="0" xfId="0">
      <alignment horizontal="center" vertical="center"/>
    </xf>
    <xf applyAlignment="1" borderId="16" fillId="0" fontId="4" numFmtId="173" pivotButton="0" quotePrefix="0" xfId="0">
      <alignment horizontal="right" vertical="center"/>
    </xf>
    <xf applyAlignment="1" borderId="17" fillId="0" fontId="0" numFmtId="173" pivotButton="0" quotePrefix="0" xfId="0">
      <alignment vertical="center"/>
    </xf>
    <xf applyAlignment="1" borderId="13" fillId="0" fontId="4" numFmtId="173" pivotButton="0" quotePrefix="0" xfId="0">
      <alignment horizontal="right" vertical="center"/>
    </xf>
    <xf applyAlignment="1" borderId="14" fillId="0" fontId="0" numFmtId="173" pivotButton="0" quotePrefix="0" xfId="0">
      <alignment vertical="center"/>
    </xf>
    <xf applyAlignment="1" borderId="15" fillId="0" fontId="4" numFmtId="167" pivotButton="0" quotePrefix="0" xfId="1">
      <alignment vertical="center"/>
    </xf>
    <xf applyAlignment="1" borderId="17" fillId="0" fontId="32" numFmtId="167" pivotButton="0" quotePrefix="0" xfId="1">
      <alignment horizontal="center" vertical="center"/>
    </xf>
    <xf applyAlignment="1" borderId="7" fillId="0" fontId="32" numFmtId="167" pivotButton="0" quotePrefix="0" xfId="1">
      <alignment vertical="center"/>
    </xf>
    <xf applyAlignment="1" borderId="0" fillId="0" fontId="32" numFmtId="167" pivotButton="0" quotePrefix="0" xfId="1">
      <alignment horizontal="center" vertical="center"/>
    </xf>
    <xf applyAlignment="1" borderId="0" fillId="0" fontId="8" numFmtId="167" pivotButton="0" quotePrefix="0" xfId="1">
      <alignment horizontal="left" vertical="center" wrapText="1"/>
    </xf>
    <xf applyAlignment="1" borderId="9" fillId="0" fontId="4" numFmtId="174" pivotButton="0" quotePrefix="0" xfId="0">
      <alignment horizontal="right" vertical="center"/>
    </xf>
    <xf applyAlignment="1" borderId="10" fillId="0" fontId="0" numFmtId="174" pivotButton="0" quotePrefix="0" xfId="0">
      <alignment vertical="center"/>
    </xf>
    <xf applyAlignment="1" borderId="0" fillId="0" fontId="4" numFmtId="174" pivotButton="0" quotePrefix="0" xfId="0">
      <alignment vertical="center"/>
    </xf>
    <xf applyAlignment="1" borderId="0" fillId="0" fontId="0" numFmtId="174" pivotButton="0" quotePrefix="0" xfId="0">
      <alignment vertical="center"/>
    </xf>
    <xf applyAlignment="1" borderId="0" fillId="0" fontId="7" numFmtId="167" pivotButton="0" quotePrefix="0" xfId="1">
      <alignment vertical="center"/>
    </xf>
    <xf applyAlignment="1" borderId="0" fillId="0" fontId="7" numFmtId="174" pivotButton="0" quotePrefix="0" xfId="0">
      <alignment vertical="center"/>
    </xf>
    <xf applyAlignment="1" borderId="29" fillId="12" fontId="30" numFmtId="164" pivotButton="0" quotePrefix="0" xfId="0">
      <alignment horizontal="center" vertical="center" wrapText="1"/>
    </xf>
    <xf borderId="32" fillId="0" fontId="0" numFmtId="0" pivotButton="0" quotePrefix="0" xfId="0"/>
    <xf borderId="28" fillId="0" fontId="0" numFmtId="0" pivotButton="0" quotePrefix="0" xfId="0"/>
    <xf applyAlignment="1" borderId="28" fillId="12" fontId="30" numFmtId="14" pivotButton="0" quotePrefix="0" xfId="0">
      <alignment horizontal="center" vertical="center" wrapText="1"/>
    </xf>
    <xf borderId="29" fillId="0" fontId="0" numFmtId="0" pivotButton="0" quotePrefix="0" xfId="0"/>
    <xf applyAlignment="1" borderId="29" fillId="13" fontId="30" numFmtId="165" pivotButton="0" quotePrefix="0" xfId="0">
      <alignment horizontal="center" vertical="center" wrapText="1"/>
    </xf>
    <xf applyAlignment="1" borderId="29" fillId="13" fontId="30" numFmtId="164" pivotButton="0" quotePrefix="0" xfId="0">
      <alignment horizontal="center" vertical="center" wrapText="1"/>
    </xf>
    <xf applyAlignment="1" borderId="29" fillId="13" fontId="30" numFmtId="166" pivotButton="0" quotePrefix="0" xfId="0">
      <alignment horizontal="center" vertical="center" wrapText="1"/>
    </xf>
    <xf applyAlignment="1" borderId="30" fillId="13" fontId="30" numFmtId="166" pivotButton="0" quotePrefix="0" xfId="0">
      <alignment horizontal="center" vertical="center" wrapText="1"/>
    </xf>
    <xf borderId="30" fillId="0" fontId="0" numFmtId="0" pivotButton="0" quotePrefix="0" xfId="0"/>
    <xf applyAlignment="1" borderId="29" fillId="13" fontId="30" numFmtId="10" pivotButton="0" quotePrefix="0" xfId="0">
      <alignment horizontal="right" vertical="center" wrapText="1"/>
    </xf>
    <xf applyAlignment="1" borderId="30" fillId="12" fontId="30" numFmtId="167" pivotButton="0" quotePrefix="0" xfId="1">
      <alignment horizontal="left" vertical="center" wrapText="1"/>
    </xf>
    <xf applyAlignment="1" borderId="29" fillId="12" fontId="30" numFmtId="166" pivotButton="0" quotePrefix="0" xfId="0">
      <alignment horizontal="center" vertical="center" wrapText="1"/>
    </xf>
    <xf applyAlignment="1" borderId="29" fillId="13" fontId="30" numFmtId="10" pivotButton="0" quotePrefix="0" xfId="0">
      <alignment horizontal="center" vertical="center" wrapText="1"/>
    </xf>
    <xf applyAlignment="1" borderId="29" fillId="12" fontId="30" numFmtId="165" pivotButton="0" quotePrefix="0" xfId="0">
      <alignment horizontal="center" vertical="center" wrapText="1"/>
    </xf>
    <xf applyAlignment="1" borderId="29" fillId="12" fontId="30" numFmtId="168" pivotButton="0" quotePrefix="0" xfId="0">
      <alignment horizontal="center" vertical="center" wrapText="1"/>
    </xf>
    <xf applyAlignment="1" borderId="29" fillId="13" fontId="30" numFmtId="10" pivotButton="0" quotePrefix="0" xfId="0">
      <alignment horizontal="left" vertical="center" wrapText="1"/>
    </xf>
    <xf applyAlignment="1" borderId="29" fillId="12" fontId="30" numFmtId="10" pivotButton="0" quotePrefix="0" xfId="1">
      <alignment horizontal="left" vertical="center" wrapText="1"/>
    </xf>
    <xf applyAlignment="1" borderId="29" fillId="12" fontId="30" numFmtId="10" pivotButton="0" quotePrefix="0" xfId="1">
      <alignment horizontal="center" vertical="center" wrapText="1"/>
    </xf>
    <xf applyAlignment="1" borderId="29" fillId="12" fontId="30" numFmtId="10" pivotButton="0" quotePrefix="0" xfId="0">
      <alignment horizontal="left" vertical="center" wrapText="1"/>
    </xf>
    <xf applyAlignment="1" borderId="29" fillId="12" fontId="30" numFmtId="10" pivotButton="0" quotePrefix="0" xfId="1">
      <alignment horizontal="right" vertical="center" wrapText="1"/>
    </xf>
    <xf applyAlignment="1" borderId="29" fillId="12" fontId="30" numFmtId="168" pivotButton="0" quotePrefix="0" xfId="1">
      <alignment horizontal="center" vertical="center" wrapText="1"/>
    </xf>
    <xf applyAlignment="1" borderId="29" fillId="12" fontId="30" numFmtId="10" pivotButton="0" quotePrefix="0" xfId="0">
      <alignment horizontal="right" vertical="center" wrapText="1"/>
    </xf>
    <xf applyAlignment="1" borderId="2" fillId="3" fontId="4" numFmtId="14" pivotButton="0" quotePrefix="0" xfId="0">
      <alignment horizontal="center" vertical="center"/>
    </xf>
    <xf borderId="3" fillId="0" fontId="0" numFmtId="0" pivotButton="0" quotePrefix="0" xfId="0"/>
    <xf borderId="25" fillId="0" fontId="0" numFmtId="0" pivotButton="0" quotePrefix="0" xfId="0"/>
    <xf applyAlignment="1" borderId="4" fillId="0" fontId="3" numFmtId="0" pivotButton="0" quotePrefix="0" xfId="0">
      <alignment horizontal="center" vertical="center"/>
    </xf>
    <xf borderId="5" fillId="0" fontId="0" numFmtId="0" pivotButton="0" quotePrefix="0" xfId="0"/>
    <xf borderId="18" fillId="0" fontId="0" numFmtId="0" pivotButton="0" quotePrefix="0" xfId="0"/>
    <xf applyAlignment="1" borderId="2" fillId="0" fontId="4" numFmtId="0" pivotButton="0" quotePrefix="0" xfId="0">
      <alignment horizontal="center" vertical="center"/>
    </xf>
    <xf borderId="6" fillId="0" fontId="0" numFmtId="0" pivotButton="0" quotePrefix="0" xfId="0"/>
    <xf borderId="8" fillId="0" fontId="0" numFmtId="0" pivotButton="0" quotePrefix="0" xfId="0"/>
    <xf applyAlignment="1" borderId="21" fillId="5" fontId="8" numFmtId="0" pivotButton="0" quotePrefix="0" xfId="0">
      <alignment horizontal="left" vertical="center" wrapText="1"/>
    </xf>
    <xf borderId="22" fillId="0" fontId="0" numFmtId="0" pivotButton="0" quotePrefix="0" xfId="0"/>
    <xf applyAlignment="1" borderId="0" fillId="4" fontId="6" numFmtId="0" pivotButton="0" quotePrefix="0" xfId="0">
      <alignment horizontal="center" vertical="center"/>
    </xf>
    <xf applyAlignment="1" borderId="0" fillId="2" fontId="2" numFmtId="0" pivotButton="0" quotePrefix="0" xfId="0">
      <alignment vertical="center"/>
    </xf>
    <xf applyAlignment="1" borderId="23" fillId="5" fontId="9" numFmtId="167" pivotButton="0" quotePrefix="0" xfId="1">
      <alignment horizontal="left" vertical="center" wrapText="1"/>
    </xf>
    <xf borderId="19" fillId="0" fontId="0" numFmtId="0" pivotButton="0" quotePrefix="0" xfId="0"/>
    <xf applyAlignment="1" borderId="23" fillId="5" fontId="8" numFmtId="0" pivotButton="0" quotePrefix="0" xfId="0">
      <alignment horizontal="left" vertical="center" wrapText="1"/>
    </xf>
    <xf applyAlignment="1" borderId="23" fillId="5" fontId="8" numFmtId="2" pivotButton="0" quotePrefix="0" xfId="0">
      <alignment horizontal="left" vertical="center" wrapText="1"/>
    </xf>
    <xf applyAlignment="1" borderId="24" fillId="5" fontId="8" numFmtId="10" pivotButton="0" quotePrefix="0" xfId="1">
      <alignment horizontal="left" vertical="center" wrapText="1"/>
    </xf>
    <xf borderId="20" fillId="0" fontId="0" numFmtId="0" pivotButton="0" quotePrefix="0" xfId="0"/>
    <xf applyAlignment="1" borderId="23" fillId="5" fontId="10" numFmtId="0" pivotButton="0" quotePrefix="0" xfId="0">
      <alignment horizontal="left" vertical="center" wrapText="1"/>
    </xf>
    <xf applyAlignment="1" borderId="23" fillId="5" fontId="8" numFmtId="2" pivotButton="0" quotePrefix="0" xfId="0">
      <alignment horizontal="left" vertical="center"/>
    </xf>
    <xf applyAlignment="1" borderId="0" fillId="0" fontId="7" numFmtId="164" pivotButton="0" quotePrefix="0" xfId="0">
      <alignment horizontal="center" vertical="center"/>
    </xf>
    <xf applyAlignment="1" borderId="0" fillId="0" fontId="31" numFmtId="165" pivotButton="0" quotePrefix="0" xfId="0">
      <alignment vertical="center"/>
    </xf>
    <xf applyAlignment="1" borderId="0" fillId="0" fontId="31" numFmtId="164" pivotButton="0" quotePrefix="0" xfId="0">
      <alignment vertical="center"/>
    </xf>
    <xf applyAlignment="1" borderId="0" fillId="0" fontId="7" numFmtId="164" pivotButton="0" quotePrefix="0" xfId="0">
      <alignment vertical="center"/>
    </xf>
    <xf applyAlignment="1" borderId="0" fillId="0" fontId="31" numFmtId="166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7" numFmtId="167" pivotButton="0" quotePrefix="0" xfId="1">
      <alignment horizontal="left" vertical="center"/>
    </xf>
    <xf applyAlignment="1" borderId="0" fillId="0" fontId="7" numFmtId="166" pivotButton="0" quotePrefix="0" xfId="0">
      <alignment vertical="center"/>
    </xf>
    <xf applyAlignment="1" borderId="0" fillId="0" fontId="7" numFmtId="165" pivotButton="0" quotePrefix="0" xfId="0">
      <alignment vertical="center"/>
    </xf>
    <xf applyAlignment="1" borderId="0" fillId="0" fontId="7" numFmtId="168" pivotButton="0" quotePrefix="0" xfId="0">
      <alignment vertical="center"/>
    </xf>
    <xf applyAlignment="1" borderId="0" fillId="0" fontId="31" numFmtId="169" pivotButton="0" quotePrefix="0" xfId="0">
      <alignment vertical="center"/>
    </xf>
    <xf applyAlignment="1" borderId="0" fillId="0" fontId="30" numFmtId="164" pivotButton="0" quotePrefix="0" xfId="0">
      <alignment wrapText="1"/>
    </xf>
    <xf applyAlignment="1" borderId="29" fillId="12" fontId="30" numFmtId="164" pivotButton="0" quotePrefix="0" xfId="0">
      <alignment horizontal="center" vertical="center" wrapText="1"/>
    </xf>
    <xf applyAlignment="1" borderId="29" fillId="13" fontId="30" numFmtId="165" pivotButton="0" quotePrefix="0" xfId="0">
      <alignment horizontal="center" vertical="center" wrapText="1"/>
    </xf>
    <xf applyAlignment="1" borderId="29" fillId="13" fontId="30" numFmtId="164" pivotButton="0" quotePrefix="0" xfId="0">
      <alignment horizontal="center" vertical="center" wrapText="1"/>
    </xf>
    <xf applyAlignment="1" borderId="29" fillId="13" fontId="30" numFmtId="166" pivotButton="0" quotePrefix="0" xfId="0">
      <alignment horizontal="center" vertical="center" wrapText="1"/>
    </xf>
    <xf applyAlignment="1" borderId="30" fillId="13" fontId="30" numFmtId="166" pivotButton="0" quotePrefix="0" xfId="0">
      <alignment horizontal="center" vertical="center" wrapText="1"/>
    </xf>
    <xf applyAlignment="1" borderId="30" fillId="12" fontId="30" numFmtId="167" pivotButton="0" quotePrefix="0" xfId="1">
      <alignment horizontal="left" vertical="center" wrapText="1"/>
    </xf>
    <xf applyAlignment="1" borderId="29" fillId="12" fontId="30" numFmtId="166" pivotButton="0" quotePrefix="0" xfId="0">
      <alignment horizontal="center" vertical="center" wrapText="1"/>
    </xf>
    <xf applyAlignment="1" borderId="29" fillId="12" fontId="30" numFmtId="165" pivotButton="0" quotePrefix="0" xfId="0">
      <alignment horizontal="center" vertical="center" wrapText="1"/>
    </xf>
    <xf applyAlignment="1" borderId="29" fillId="12" fontId="30" numFmtId="168" pivotButton="0" quotePrefix="0" xfId="0">
      <alignment horizontal="center" vertical="center" wrapText="1"/>
    </xf>
    <xf applyAlignment="1" borderId="31" fillId="12" fontId="30" numFmtId="164" pivotButton="0" quotePrefix="0" xfId="0">
      <alignment horizontal="center" vertical="center" wrapText="1"/>
    </xf>
    <xf applyAlignment="1" borderId="0" fillId="3" fontId="7" numFmtId="164" pivotButton="0" quotePrefix="0" xfId="0">
      <alignment horizontal="center" vertical="center"/>
    </xf>
    <xf applyAlignment="1" borderId="0" fillId="0" fontId="7" numFmtId="170" pivotButton="0" quotePrefix="0" xfId="0">
      <alignment vertical="center"/>
    </xf>
    <xf applyAlignment="1" borderId="10" fillId="0" fontId="31" numFmtId="166" pivotButton="0" quotePrefix="0" xfId="0">
      <alignment vertical="center"/>
    </xf>
    <xf borderId="0" fillId="0" fontId="31" numFmtId="166" pivotButton="0" quotePrefix="0" xfId="0"/>
    <xf applyAlignment="1" borderId="0" fillId="8" fontId="7" numFmtId="165" pivotButton="0" quotePrefix="0" xfId="0">
      <alignment vertical="center"/>
    </xf>
    <xf applyAlignment="1" borderId="0" fillId="8" fontId="7" numFmtId="164" pivotButton="0" quotePrefix="0" xfId="0">
      <alignment vertical="center"/>
    </xf>
    <xf applyAlignment="1" borderId="0" fillId="8" fontId="7" numFmtId="164" pivotButton="0" quotePrefix="0" xfId="0">
      <alignment horizontal="center" vertical="center"/>
    </xf>
    <xf applyAlignment="1" borderId="0" fillId="8" fontId="31" numFmtId="165" pivotButton="0" quotePrefix="0" xfId="0">
      <alignment vertical="center"/>
    </xf>
    <xf applyAlignment="1" borderId="0" fillId="8" fontId="31" numFmtId="164" pivotButton="0" quotePrefix="0" xfId="0">
      <alignment vertical="center"/>
    </xf>
    <xf borderId="0" fillId="8" fontId="31" numFmtId="166" pivotButton="0" quotePrefix="0" xfId="0"/>
    <xf applyAlignment="1" borderId="0" fillId="8" fontId="4" numFmtId="164" pivotButton="0" quotePrefix="0" xfId="0">
      <alignment vertical="center"/>
    </xf>
    <xf applyAlignment="1" borderId="0" fillId="8" fontId="7" numFmtId="167" pivotButton="0" quotePrefix="0" xfId="1">
      <alignment horizontal="left" vertical="center"/>
    </xf>
    <xf applyAlignment="1" borderId="0" fillId="8" fontId="7" numFmtId="166" pivotButton="0" quotePrefix="0" xfId="0">
      <alignment vertical="center"/>
    </xf>
    <xf applyAlignment="1" borderId="0" fillId="8" fontId="7" numFmtId="170" pivotButton="0" quotePrefix="0" xfId="0">
      <alignment vertical="center"/>
    </xf>
    <xf applyAlignment="1" borderId="0" fillId="8" fontId="7" numFmtId="168" pivotButton="0" quotePrefix="0" xfId="0">
      <alignment vertical="center"/>
    </xf>
    <xf applyAlignment="1" borderId="0" fillId="8" fontId="31" numFmtId="169" pivotButton="0" quotePrefix="0" xfId="0">
      <alignment vertical="center"/>
    </xf>
    <xf applyAlignment="1" borderId="0" fillId="2" fontId="7" numFmtId="164" pivotButton="0" quotePrefix="0" xfId="0">
      <alignment horizontal="center" vertical="center"/>
    </xf>
    <xf applyAlignment="1" borderId="0" fillId="8" fontId="31" numFmtId="166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7" numFmtId="171" pivotButton="0" quotePrefix="0" xfId="0">
      <alignment vertical="center"/>
    </xf>
    <xf applyAlignment="1" borderId="0" fillId="0" fontId="7" numFmtId="164" pivotButton="0" quotePrefix="0" xfId="0">
      <alignment horizontal="right" vertical="center"/>
    </xf>
    <xf applyAlignment="1" borderId="0" fillId="0" fontId="7" numFmtId="167" pivotButton="0" quotePrefix="0" xfId="0">
      <alignment horizontal="left" vertical="center"/>
    </xf>
    <xf applyAlignment="1" borderId="0" fillId="16" fontId="7" numFmtId="164" pivotButton="0" quotePrefix="0" xfId="0">
      <alignment horizontal="center" vertical="center"/>
    </xf>
    <xf applyAlignment="1" borderId="0" fillId="17" fontId="7" numFmtId="164" pivotButton="0" quotePrefix="0" xfId="0">
      <alignment horizontal="center" vertical="center"/>
    </xf>
    <xf applyAlignment="1" borderId="0" fillId="18" fontId="7" numFmtId="164" pivotButton="0" quotePrefix="0" xfId="0">
      <alignment horizontal="center" vertical="center"/>
    </xf>
    <xf applyAlignment="1" borderId="0" fillId="19" fontId="7" numFmtId="164" pivotButton="0" quotePrefix="0" xfId="0">
      <alignment horizontal="center" vertical="center"/>
    </xf>
    <xf applyAlignment="1" borderId="0" fillId="20" fontId="7" numFmtId="164" pivotButton="0" quotePrefix="0" xfId="0">
      <alignment horizontal="center" vertical="center"/>
    </xf>
    <xf applyAlignment="1" borderId="0" fillId="21" fontId="7" numFmtId="164" pivotButton="0" quotePrefix="0" xfId="0">
      <alignment horizontal="center" vertical="center"/>
    </xf>
    <xf applyAlignment="1" borderId="0" fillId="22" fontId="7" numFmtId="164" pivotButton="0" quotePrefix="0" xfId="0">
      <alignment horizontal="center" vertical="center"/>
    </xf>
    <xf applyAlignment="1" borderId="0" fillId="23" fontId="7" numFmtId="164" pivotButton="0" quotePrefix="0" xfId="0">
      <alignment horizontal="center" vertical="center"/>
    </xf>
    <xf applyAlignment="1" borderId="0" fillId="24" fontId="7" numFmtId="164" pivotButton="0" quotePrefix="0" xfId="0">
      <alignment horizontal="center" vertical="center"/>
    </xf>
    <xf applyAlignment="1" borderId="0" fillId="25" fontId="7" numFmtId="164" pivotButton="0" quotePrefix="0" xfId="0">
      <alignment horizontal="center" vertical="center"/>
    </xf>
    <xf applyAlignment="1" borderId="0" fillId="26" fontId="7" numFmtId="164" pivotButton="0" quotePrefix="0" xfId="0">
      <alignment horizontal="center" vertical="center"/>
    </xf>
    <xf applyAlignment="1" borderId="0" fillId="27" fontId="7" numFmtId="164" pivotButton="0" quotePrefix="0" xfId="0">
      <alignment horizontal="center" vertical="center"/>
    </xf>
    <xf applyAlignment="1" borderId="29" fillId="12" fontId="30" numFmtId="168" pivotButton="0" quotePrefix="0" xfId="1">
      <alignment horizontal="center" vertical="center" wrapText="1"/>
    </xf>
    <xf applyAlignment="1" borderId="0" fillId="0" fontId="25" numFmtId="168" pivotButton="0" quotePrefix="0" xfId="0">
      <alignment vertical="center"/>
    </xf>
    <xf applyAlignment="1" borderId="0" fillId="8" fontId="25" numFmtId="168" pivotButton="0" quotePrefix="0" xfId="0">
      <alignment vertical="center"/>
    </xf>
    <xf applyAlignment="1" borderId="0" fillId="0" fontId="0" numFmtId="172" pivotButton="0" quotePrefix="0" xfId="0">
      <alignment vertical="center"/>
    </xf>
    <xf applyAlignment="1" borderId="16" fillId="0" fontId="4" numFmtId="167" pivotButton="0" quotePrefix="0" xfId="1">
      <alignment horizontal="right" vertical="center"/>
    </xf>
    <xf applyAlignment="1" borderId="17" fillId="0" fontId="32" numFmtId="167" pivotButton="0" quotePrefix="0" xfId="1">
      <alignment horizontal="right" vertical="center"/>
    </xf>
    <xf applyAlignment="1" borderId="17" fillId="0" fontId="32" numFmtId="167" pivotButton="0" quotePrefix="0" xfId="1">
      <alignment vertical="center"/>
    </xf>
    <xf applyAlignment="1" borderId="23" fillId="5" fontId="9" numFmtId="167" pivotButton="0" quotePrefix="0" xfId="1">
      <alignment horizontal="left" vertical="center" wrapText="1"/>
    </xf>
    <xf applyAlignment="1" borderId="17" fillId="0" fontId="0" numFmtId="167" pivotButton="0" quotePrefix="0" xfId="0">
      <alignment horizontal="center" vertical="center"/>
    </xf>
    <xf applyAlignment="1" borderId="0" fillId="0" fontId="4" numFmtId="167" pivotButton="0" quotePrefix="0" xfId="1">
      <alignment vertical="center"/>
    </xf>
    <xf applyAlignment="1" borderId="0" fillId="0" fontId="32" numFmtId="167" pivotButton="0" quotePrefix="0" xfId="1">
      <alignment vertical="center"/>
    </xf>
    <xf applyAlignment="1" borderId="0" fillId="0" fontId="8" numFmtId="167" pivotButton="0" quotePrefix="0" xfId="1">
      <alignment vertical="center" wrapText="1"/>
    </xf>
    <xf applyAlignment="1" borderId="7" fillId="0" fontId="4" numFmtId="167" pivotButton="0" quotePrefix="0" xfId="1">
      <alignment horizontal="right" vertical="center"/>
    </xf>
    <xf applyAlignment="1" borderId="0" fillId="0" fontId="32" numFmtId="167" pivotButton="0" quotePrefix="0" xfId="1">
      <alignment horizontal="right" vertical="center"/>
    </xf>
    <xf applyAlignment="1" borderId="0" fillId="0" fontId="0" numFmtId="167" pivotButton="0" quotePrefix="0" xfId="0">
      <alignment horizontal="center" vertical="center"/>
    </xf>
    <xf applyAlignment="1" borderId="13" fillId="0" fontId="4" numFmtId="167" pivotButton="0" quotePrefix="0" xfId="1">
      <alignment horizontal="right" vertical="center"/>
    </xf>
    <xf applyAlignment="1" borderId="14" fillId="0" fontId="32" numFmtId="167" pivotButton="0" quotePrefix="0" xfId="1">
      <alignment horizontal="right" vertical="center"/>
    </xf>
    <xf applyAlignment="1" borderId="14" fillId="0" fontId="32" numFmtId="167" pivotButton="0" quotePrefix="0" xfId="1">
      <alignment vertical="center"/>
    </xf>
    <xf applyAlignment="1" borderId="14" fillId="0" fontId="0" numFmtId="167" pivotButton="0" quotePrefix="0" xfId="0">
      <alignment horizontal="center" vertical="center"/>
    </xf>
    <xf applyAlignment="1" borderId="16" fillId="0" fontId="4" numFmtId="173" pivotButton="0" quotePrefix="0" xfId="0">
      <alignment horizontal="right" vertical="center"/>
    </xf>
    <xf applyAlignment="1" borderId="17" fillId="0" fontId="0" numFmtId="173" pivotButton="0" quotePrefix="0" xfId="0">
      <alignment vertical="center"/>
    </xf>
    <xf applyAlignment="1" borderId="13" fillId="0" fontId="4" numFmtId="173" pivotButton="0" quotePrefix="0" xfId="0">
      <alignment horizontal="right" vertical="center"/>
    </xf>
    <xf applyAlignment="1" borderId="14" fillId="0" fontId="0" numFmtId="173" pivotButton="0" quotePrefix="0" xfId="0">
      <alignment vertical="center"/>
    </xf>
    <xf applyAlignment="1" borderId="15" fillId="0" fontId="4" numFmtId="167" pivotButton="0" quotePrefix="0" xfId="1">
      <alignment vertical="center"/>
    </xf>
    <xf applyAlignment="1" borderId="17" fillId="0" fontId="32" numFmtId="167" pivotButton="0" quotePrefix="0" xfId="1">
      <alignment horizontal="center" vertical="center"/>
    </xf>
    <xf applyAlignment="1" borderId="7" fillId="0" fontId="32" numFmtId="167" pivotButton="0" quotePrefix="0" xfId="1">
      <alignment vertical="center"/>
    </xf>
    <xf applyAlignment="1" borderId="0" fillId="0" fontId="32" numFmtId="167" pivotButton="0" quotePrefix="0" xfId="1">
      <alignment horizontal="center" vertical="center"/>
    </xf>
    <xf applyAlignment="1" borderId="0" fillId="0" fontId="8" numFmtId="167" pivotButton="0" quotePrefix="0" xfId="1">
      <alignment horizontal="left" vertical="center" wrapText="1"/>
    </xf>
    <xf applyAlignment="1" borderId="9" fillId="0" fontId="4" numFmtId="174" pivotButton="0" quotePrefix="0" xfId="0">
      <alignment horizontal="right" vertical="center"/>
    </xf>
    <xf applyAlignment="1" borderId="10" fillId="0" fontId="0" numFmtId="174" pivotButton="0" quotePrefix="0" xfId="0">
      <alignment vertical="center"/>
    </xf>
    <xf applyAlignment="1" borderId="0" fillId="0" fontId="4" numFmtId="174" pivotButton="0" quotePrefix="0" xfId="0">
      <alignment vertical="center"/>
    </xf>
    <xf applyAlignment="1" borderId="0" fillId="0" fontId="0" numFmtId="174" pivotButton="0" quotePrefix="0" xfId="0">
      <alignment vertical="center"/>
    </xf>
    <xf applyAlignment="1" borderId="0" fillId="0" fontId="7" numFmtId="167" pivotButton="0" quotePrefix="0" xfId="1">
      <alignment vertical="center"/>
    </xf>
    <xf applyAlignment="1" borderId="0" fillId="0" fontId="7" numFmtId="174" pivotButton="0" quotePrefix="0" xfId="0">
      <alignment vertical="center"/>
    </xf>
  </cellXfs>
  <cellStyles count="3">
    <cellStyle builtinId="0" name="常规" xfId="0"/>
    <cellStyle builtinId="5" name="百分比" xfId="1"/>
    <cellStyle builtinId="8" name="超链接" xfId="2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新增与活跃（安卓）</a:t>
            </a:r>
            <a:endParaRPr altLang="zh-CN" lang="en-US"/>
          </a:p>
        </rich>
      </tx>
      <layout>
        <manualLayout>
          <xMode val="edge"/>
          <yMode val="edge"/>
          <wMode val="factor"/>
          <hMode val="factor"/>
          <x val="0.316581628019798"/>
          <y val="0.0420888594140038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9186784431899"/>
          <y val="0.217430737824439"/>
          <w val="0.875814326099815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'TBC3'!$C$54</f>
              <strCache>
                <ptCount val="1"/>
                <pt idx="0">
                  <v>新增</v>
                </pt>
              </strCache>
            </strRef>
          </tx>
          <spPr>
            <a:ln algn="ctr" cap="rnd" cmpd="sng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'TBC3'!$C$55:$C$95</f>
              <numCache>
                <formatCode>General</formatCode>
                <ptCount val="41"/>
                <pt idx="0">
                  <v>41160</v>
                </pt>
                <pt idx="1">
                  <v>43623</v>
                </pt>
                <pt idx="2">
                  <v>37389</v>
                </pt>
                <pt idx="3">
                  <v>68486</v>
                </pt>
                <pt idx="4">
                  <v>68920</v>
                </pt>
                <pt idx="5">
                  <v>69404</v>
                </pt>
                <pt idx="6">
                  <v>76970</v>
                </pt>
                <pt idx="7">
                  <v>85445</v>
                </pt>
                <pt idx="8">
                  <v>69352</v>
                </pt>
                <pt idx="9">
                  <v>59732</v>
                </pt>
                <pt idx="10">
                  <v>21970</v>
                </pt>
                <pt idx="11">
                  <v>16602</v>
                </pt>
                <pt idx="12">
                  <v>15564</v>
                </pt>
                <pt idx="13">
                  <v>16784</v>
                </pt>
                <pt idx="14">
                  <v>17353</v>
                </pt>
                <pt idx="15">
                  <v>17503</v>
                </pt>
                <pt idx="16">
                  <v>16650</v>
                </pt>
                <pt idx="17">
                  <v>16797</v>
                </pt>
                <pt idx="18">
                  <v>18757</v>
                </pt>
                <pt idx="19">
                  <v>15642</v>
                </pt>
                <pt idx="20">
                  <v>18684</v>
                </pt>
                <pt idx="21">
                  <v>21289</v>
                </pt>
                <pt idx="22">
                  <v>21185</v>
                </pt>
                <pt idx="23">
                  <v>19525</v>
                </pt>
                <pt idx="24">
                  <v>16334</v>
                </pt>
                <pt idx="25">
                  <v>11244</v>
                </pt>
                <pt idx="26">
                  <v>9558</v>
                </pt>
                <pt idx="27">
                  <v>11063</v>
                </pt>
                <pt idx="28">
                  <v>16550</v>
                </pt>
                <pt idx="29">
                  <v>17203</v>
                </pt>
                <pt idx="30">
                  <v>12975</v>
                </pt>
                <pt idx="31">
                  <v>8732</v>
                </pt>
                <pt idx="32">
                  <v>8734</v>
                </pt>
                <pt idx="33">
                  <v>6871</v>
                </pt>
                <pt idx="34">
                  <v>10053</v>
                </pt>
                <pt idx="35">
                  <v>13622</v>
                </pt>
                <pt idx="36">
                  <v>11746</v>
                </pt>
                <pt idx="37">
                  <v>10918</v>
                </pt>
                <pt idx="38">
                  <v>6907</v>
                </pt>
                <pt idx="39">
                  <v>10818</v>
                </pt>
                <pt idx="40">
                  <v>13375</v>
                </pt>
              </numCache>
            </numRef>
          </val>
          <smooth val="0"/>
        </ser>
        <ser>
          <idx val="1"/>
          <order val="1"/>
          <tx>
            <strRef>
              <f>'TBC3'!$D$54</f>
              <strCache>
                <ptCount val="1"/>
                <pt idx="0">
                  <v>活跃</v>
                </pt>
              </strCache>
            </strRef>
          </tx>
          <spPr>
            <a:ln algn="ctr" cap="rnd" cmpd="sng" w="28575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'TBC3'!$D$55:$D$95</f>
              <numCache>
                <formatCode>General</formatCode>
                <ptCount val="41"/>
                <pt idx="0">
                  <v>91232</v>
                </pt>
                <pt idx="1">
                  <v>94099</v>
                </pt>
                <pt idx="2">
                  <v>86961</v>
                </pt>
                <pt idx="3">
                  <v>117453</v>
                </pt>
                <pt idx="4">
                  <v>121872</v>
                </pt>
                <pt idx="5">
                  <v>125261</v>
                </pt>
                <pt idx="6">
                  <v>135933</v>
                </pt>
                <pt idx="7">
                  <v>148617</v>
                </pt>
                <pt idx="8">
                  <v>133273</v>
                </pt>
                <pt idx="9">
                  <v>123791</v>
                </pt>
                <pt idx="10">
                  <v>84439</v>
                </pt>
                <pt idx="11">
                  <v>71799</v>
                </pt>
                <pt idx="12">
                  <v>67339</v>
                </pt>
                <pt idx="13">
                  <v>67676</v>
                </pt>
                <pt idx="14">
                  <v>68005</v>
                </pt>
                <pt idx="15">
                  <v>66305</v>
                </pt>
                <pt idx="16">
                  <v>63855</v>
                </pt>
                <pt idx="17">
                  <v>61899</v>
                </pt>
                <pt idx="18">
                  <v>63042</v>
                </pt>
                <pt idx="19">
                  <v>60390</v>
                </pt>
                <pt idx="20">
                  <v>63582</v>
                </pt>
                <pt idx="21">
                  <v>67593</v>
                </pt>
                <pt idx="22">
                  <v>68449</v>
                </pt>
                <pt idx="23">
                  <v>65779</v>
                </pt>
                <pt idx="24">
                  <v>60765</v>
                </pt>
                <pt idx="25">
                  <v>53981</v>
                </pt>
                <pt idx="26">
                  <v>49828</v>
                </pt>
                <pt idx="27">
                  <v>51956</v>
                </pt>
                <pt idx="28">
                  <v>58220</v>
                </pt>
                <pt idx="29">
                  <v>59539</v>
                </pt>
                <pt idx="30">
                  <v>53839</v>
                </pt>
                <pt idx="31">
                  <v>47186</v>
                </pt>
                <pt idx="32">
                  <v>45387</v>
                </pt>
                <pt idx="33">
                  <v>42426</v>
                </pt>
                <pt idx="34">
                  <v>46017</v>
                </pt>
                <pt idx="35">
                  <v>50322</v>
                </pt>
                <pt idx="36">
                  <v>48671</v>
                </pt>
                <pt idx="37">
                  <v>47061</v>
                </pt>
                <pt idx="38">
                  <v>40949</v>
                </pt>
                <pt idx="39">
                  <v>43759</v>
                </pt>
                <pt idx="40">
                  <v>47198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07871728"/>
        <axId val="129673040"/>
      </lineChart>
      <dateAx>
        <axId val="307871728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bg1">
                <a:lumMod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29673040"/>
        <crosses val="autoZero"/>
        <lblOffset val="100"/>
        <baseTimeUnit val="days"/>
      </dateAx>
      <valAx>
        <axId val="129673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0787172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65558155427611"/>
          <y val="0.134743635394853"/>
          <w val="0.266666666666667"/>
          <h val="0.0817931612715076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iap</a:t>
            </a:r>
            <a:r>
              <a:rPr altLang="en-US" lang="zh-CN"/>
              <a:t>付费率（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'TBC3'!$AA$54</f>
              <strCache>
                <ptCount val="1"/>
                <pt idx="0">
                  <v>iap付费率（付费人数/日活）</v>
                </pt>
              </strCache>
            </strRef>
          </tx>
          <spPr>
            <a:ln algn="ctr" cap="rnd" cmpd="sng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'TBC3'!$AA$55:$AA$95</f>
              <numCache>
                <formatCode>0.00%</formatCode>
                <ptCount val="41"/>
                <pt idx="0">
                  <v>0.00422</v>
                </pt>
                <pt idx="1">
                  <v>0.0045</v>
                </pt>
                <pt idx="2">
                  <v>0.0047</v>
                </pt>
                <pt idx="3">
                  <v>0.0047</v>
                </pt>
                <pt idx="4">
                  <v>0.0044</v>
                </pt>
                <pt idx="5">
                  <v>0.004</v>
                </pt>
                <pt idx="6">
                  <v>0.00497</v>
                </pt>
                <pt idx="7">
                  <v>0.00475</v>
                </pt>
                <pt idx="8">
                  <v>0.00468</v>
                </pt>
                <pt idx="9">
                  <v>0.005</v>
                </pt>
                <pt idx="10">
                  <v>0.00423</v>
                </pt>
                <pt idx="11">
                  <v>0.00464</v>
                </pt>
                <pt idx="12">
                  <v>0.00517</v>
                </pt>
                <pt idx="13">
                  <v>0.00566</v>
                </pt>
                <pt idx="14">
                  <v>0.00597</v>
                </pt>
                <pt idx="15">
                  <v>0.00531</v>
                </pt>
                <pt idx="16">
                  <v>0.0055</v>
                </pt>
                <pt idx="17">
                  <v>0.00535</v>
                </pt>
                <pt idx="18">
                  <v>0.00529</v>
                </pt>
                <pt idx="19">
                  <v>0.00506</v>
                </pt>
                <pt idx="20">
                  <v>0.00637</v>
                </pt>
                <pt idx="21">
                  <v>0.00589</v>
                </pt>
                <pt idx="22">
                  <v>0.00545</v>
                </pt>
                <pt idx="23">
                  <v>0.0057</v>
                </pt>
                <pt idx="24">
                  <v>0.00545</v>
                </pt>
                <pt idx="25">
                  <v>0.00526</v>
                </pt>
                <pt idx="26">
                  <v>0.00528</v>
                </pt>
                <pt idx="27">
                  <v>0.00627</v>
                </pt>
                <pt idx="28">
                  <v>0.00595</v>
                </pt>
                <pt idx="29">
                  <v>0.00587</v>
                </pt>
                <pt idx="30">
                  <v>0.00602</v>
                </pt>
                <pt idx="31">
                  <v>0.00557</v>
                </pt>
                <pt idx="32">
                  <v>0.00543</v>
                </pt>
                <pt idx="33">
                  <v>0.00571</v>
                </pt>
                <pt idx="34">
                  <v>0.00718</v>
                </pt>
                <pt idx="35">
                  <v>0.00634</v>
                </pt>
                <pt idx="36">
                  <v>0.00663</v>
                </pt>
                <pt idx="37">
                  <v>0.00634</v>
                </pt>
                <pt idx="38">
                  <v>0.00544</v>
                </pt>
                <pt idx="39">
                  <v>0.00592</v>
                </pt>
                <pt idx="40">
                  <v>0.00575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7735264"/>
        <axId val="377735824"/>
      </lineChart>
      <dateAx>
        <axId val="377735264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7735824"/>
        <crosses val="autoZero"/>
        <lblOffset val="100"/>
        <baseTimeUnit val="days"/>
      </dateAx>
      <valAx>
        <axId val="377735824"/>
        <scaling>
          <orientation val="minMax"/>
          <min val="0.002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7735264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iap</a:t>
            </a:r>
            <a:r>
              <a:rPr altLang="en-US" lang="zh-CN"/>
              <a:t>人均付费金额（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91057784827129"/>
        </manualLayout>
      </layout>
      <lineChart>
        <grouping val="standard"/>
        <varyColors val="0"/>
        <ser>
          <idx val="0"/>
          <order val="0"/>
          <tx>
            <strRef>
              <f>'TBC3'!$AB$54</f>
              <strCache>
                <ptCount val="1"/>
                <pt idx="0">
                  <v>iap人均付费金额（日活）</v>
                </pt>
              </strCache>
            </strRef>
          </tx>
          <spPr>
            <a:ln algn="ctr" cap="rnd" cmpd="sng" w="28575">
              <a:solidFill>
                <a:schemeClr val="accent2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'TBC3'!$AB$55:$AB$95</f>
              <numCache>
                <formatCode>0.0000</formatCode>
                <ptCount val="41"/>
                <pt idx="0">
                  <v>0.0427</v>
                </pt>
                <pt idx="1">
                  <v>0.0418</v>
                </pt>
                <pt idx="2">
                  <v>0.0431</v>
                </pt>
                <pt idx="3">
                  <v>0.0382</v>
                </pt>
                <pt idx="4">
                  <v>0.031</v>
                </pt>
                <pt idx="5">
                  <v>0.0298</v>
                </pt>
                <pt idx="6">
                  <v>0.0574</v>
                </pt>
                <pt idx="7">
                  <v>0.0501</v>
                </pt>
                <pt idx="8">
                  <v>0.0467</v>
                </pt>
                <pt idx="9">
                  <v>0.0468</v>
                </pt>
                <pt idx="10">
                  <v>0.0377</v>
                </pt>
                <pt idx="11">
                  <v>0.0336</v>
                </pt>
                <pt idx="12">
                  <v>0.0438</v>
                </pt>
                <pt idx="13">
                  <v>0.07099999999999999</v>
                </pt>
                <pt idx="14">
                  <v>0.06469999999999999</v>
                </pt>
                <pt idx="15">
                  <v>0.0549</v>
                </pt>
                <pt idx="16">
                  <v>0.0512</v>
                </pt>
                <pt idx="17">
                  <v>0.0461</v>
                </pt>
                <pt idx="18">
                  <v>0.0423</v>
                </pt>
                <pt idx="19">
                  <v>0.0384</v>
                </pt>
                <pt idx="20">
                  <v>0.0701</v>
                </pt>
                <pt idx="21">
                  <v>0.0548</v>
                </pt>
                <pt idx="22">
                  <v>0.0542</v>
                </pt>
                <pt idx="23">
                  <v>0.0479</v>
                </pt>
                <pt idx="24">
                  <v>0.0411</v>
                </pt>
                <pt idx="25">
                  <v>0.0417</v>
                </pt>
                <pt idx="26">
                  <v>0.0414</v>
                </pt>
                <pt idx="27">
                  <v>0.0646</v>
                </pt>
                <pt idx="28">
                  <v>0.0557</v>
                </pt>
                <pt idx="29">
                  <v>0.0509</v>
                </pt>
                <pt idx="30">
                  <v>0.0545</v>
                </pt>
                <pt idx="31">
                  <v>0.0461</v>
                </pt>
                <pt idx="32">
                  <v>0.0422</v>
                </pt>
                <pt idx="33">
                  <v>0.0516</v>
                </pt>
                <pt idx="34">
                  <v>0.0834</v>
                </pt>
                <pt idx="35">
                  <v>0.0646</v>
                </pt>
                <pt idx="36">
                  <v>0.06660000000000001</v>
                </pt>
                <pt idx="37">
                  <v>0.0555</v>
                </pt>
                <pt idx="38">
                  <v>0.0402</v>
                </pt>
                <pt idx="39">
                  <v>0.0415</v>
                </pt>
                <pt idx="40">
                  <v>0.0472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7738064"/>
        <axId val="377738624"/>
      </lineChart>
      <dateAx>
        <axId val="377738064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7738624"/>
        <crosses val="autoZero"/>
        <lblOffset val="100"/>
        <baseTimeUnit val="days"/>
      </dateAx>
      <valAx>
        <axId val="377738624"/>
        <scaling>
          <orientation val="minMax"/>
          <min val="0.02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7738064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人均广告次数（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12517272388305"/>
          <y val="0.217430737824439"/>
          <w val="0.900970543723817"/>
          <h val="0.5891057784827129"/>
        </manualLayout>
      </layout>
      <lineChart>
        <grouping val="standard"/>
        <varyColors val="0"/>
        <ser>
          <idx val="0"/>
          <order val="0"/>
          <tx>
            <strRef>
              <f>'TBC3'!$Z$54</f>
              <strCache>
                <ptCount val="1"/>
                <pt idx="0">
                  <v>人均广告次数（日活）</v>
                </pt>
              </strCache>
            </strRef>
          </tx>
          <spPr>
            <a:ln algn="ctr" cap="rnd" cmpd="sng" w="28575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'TBC3'!$Z$55:$Z$95</f>
              <numCache>
                <formatCode>0.00</formatCode>
                <ptCount val="41"/>
                <pt idx="0">
                  <v>6.42</v>
                </pt>
                <pt idx="1">
                  <v>6.82</v>
                </pt>
                <pt idx="2">
                  <v>6.53</v>
                </pt>
                <pt idx="3">
                  <v>5.76</v>
                </pt>
                <pt idx="4">
                  <v>5.71</v>
                </pt>
                <pt idx="5">
                  <v>5.37</v>
                </pt>
                <pt idx="6">
                  <v>6.99</v>
                </pt>
                <pt idx="7">
                  <v>6.81</v>
                </pt>
                <pt idx="8">
                  <v>7.02</v>
                </pt>
                <pt idx="9">
                  <v>6.99</v>
                </pt>
                <pt idx="10">
                  <v>6.32</v>
                </pt>
                <pt idx="11">
                  <v>6.32</v>
                </pt>
                <pt idx="12">
                  <v>6.05</v>
                </pt>
                <pt idx="13">
                  <v>7.8</v>
                </pt>
                <pt idx="14">
                  <v>7.74</v>
                </pt>
                <pt idx="15">
                  <v>7.8</v>
                </pt>
                <pt idx="16">
                  <v>7.55</v>
                </pt>
                <pt idx="17">
                  <v>6.74</v>
                </pt>
                <pt idx="18">
                  <v>6.72</v>
                </pt>
                <pt idx="19">
                  <v>6.72</v>
                </pt>
                <pt idx="20">
                  <v>8.539999999999999</v>
                </pt>
                <pt idx="21">
                  <v>8.039999999999999</v>
                </pt>
                <pt idx="22">
                  <v>7.98</v>
                </pt>
                <pt idx="23">
                  <v>7.69</v>
                </pt>
                <pt idx="24">
                  <v>7.1</v>
                </pt>
                <pt idx="25">
                  <v>7.02</v>
                </pt>
                <pt idx="26">
                  <v>6.57</v>
                </pt>
                <pt idx="27">
                  <v>8.619999999999999</v>
                </pt>
                <pt idx="28">
                  <v>8.119999999999999</v>
                </pt>
                <pt idx="29">
                  <v>8.08</v>
                </pt>
                <pt idx="30">
                  <v>7.79</v>
                </pt>
                <pt idx="31">
                  <v>7.06</v>
                </pt>
                <pt idx="32">
                  <v>6.94</v>
                </pt>
                <pt idx="33">
                  <v>6.83</v>
                </pt>
                <pt idx="34">
                  <v>8.94</v>
                </pt>
                <pt idx="35">
                  <v>8.630000000000001</v>
                </pt>
                <pt idx="36">
                  <v>8.529999999999999</v>
                </pt>
                <pt idx="37">
                  <v>8.07</v>
                </pt>
                <pt idx="38">
                  <v>7.06</v>
                </pt>
                <pt idx="39">
                  <v>6.96</v>
                </pt>
                <pt idx="40">
                  <v>6.7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8365680"/>
        <axId val="378366240"/>
      </lineChart>
      <dateAx>
        <axId val="378365680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8366240"/>
        <crosses val="autoZero"/>
        <lblOffset val="100"/>
        <baseTimeUnit val="days"/>
      </dateAx>
      <valAx>
        <axId val="378366240"/>
        <scaling>
          <orientation val="minMax"/>
          <max val="10"/>
          <min val="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8365680"/>
        <crosses val="autoZero"/>
        <crossBetween val="between"/>
        <majorUnit val="1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美国</a:t>
            </a:r>
            <a:r>
              <a:rPr altLang="zh-CN" lang="en-US"/>
              <a:t>facebook 24</a:t>
            </a:r>
            <a:r>
              <a:rPr altLang="en-US" lang="zh-CN"/>
              <a:t>小时视频数（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'TBC3'!$M$54</f>
              <strCache>
                <ptCount val="1"/>
                <pt idx="0">
                  <v>美国facebook 24小时视频数</v>
                </pt>
              </strCache>
            </strRef>
          </tx>
          <spPr>
            <a:ln algn="ctr" cap="rnd" cmpd="sng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'TBC3'!$B$55:$B$93</f>
              <numCache>
                <formatCode>m/d/yyyy</formatCode>
                <ptCount val="39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</numCache>
            </numRef>
          </cat>
          <val>
            <numRef>
              <f>'TBC3'!$M$55:$M$93</f>
              <numCache>
                <formatCode>General</formatCode>
                <ptCount val="39"/>
                <pt idx="0">
                  <v>4.51</v>
                </pt>
                <pt idx="1">
                  <v>5.62</v>
                </pt>
                <pt idx="2">
                  <v>5.36</v>
                </pt>
                <pt idx="3">
                  <v>5.78</v>
                </pt>
                <pt idx="4">
                  <v>5.49</v>
                </pt>
                <pt idx="5">
                  <v>5.69</v>
                </pt>
                <pt idx="6">
                  <v>6.11</v>
                </pt>
                <pt idx="7">
                  <v>6.67</v>
                </pt>
                <pt idx="8">
                  <v>6.36</v>
                </pt>
                <pt idx="9">
                  <v>5.82</v>
                </pt>
                <pt idx="10">
                  <v>6.2</v>
                </pt>
                <pt idx="11">
                  <v>5.72</v>
                </pt>
                <pt idx="12">
                  <v>6.676</v>
                </pt>
                <pt idx="13">
                  <v>6.937</v>
                </pt>
                <pt idx="14">
                  <v>7.655</v>
                </pt>
                <pt idx="15">
                  <v>7.194</v>
                </pt>
                <pt idx="16">
                  <v>6.284</v>
                </pt>
                <pt idx="17">
                  <v>6.84</v>
                </pt>
                <pt idx="18">
                  <v>7.07</v>
                </pt>
                <pt idx="19">
                  <v>5.34</v>
                </pt>
                <pt idx="20">
                  <v>6.26</v>
                </pt>
                <pt idx="21">
                  <v>6.8</v>
                </pt>
                <pt idx="22">
                  <v>5.86</v>
                </pt>
                <pt idx="23">
                  <v>5.89</v>
                </pt>
                <pt idx="24">
                  <v>5.42</v>
                </pt>
                <pt idx="25">
                  <v>5.03</v>
                </pt>
                <pt idx="26">
                  <v>4.63</v>
                </pt>
                <pt idx="27">
                  <v>6.51</v>
                </pt>
                <pt idx="28">
                  <v>5.55</v>
                </pt>
                <pt idx="29">
                  <v>5.81</v>
                </pt>
                <pt idx="30">
                  <v>4.88</v>
                </pt>
                <pt idx="31">
                  <v>5.15</v>
                </pt>
                <pt idx="32">
                  <v>4.18</v>
                </pt>
                <pt idx="33">
                  <v>4.37</v>
                </pt>
                <pt idx="34">
                  <v>4.51</v>
                </pt>
                <pt idx="35">
                  <v>2.89</v>
                </pt>
                <pt idx="36">
                  <v>4.18</v>
                </pt>
                <pt idx="37">
                  <v>4.46</v>
                </pt>
                <pt idx="38">
                  <v>3.77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0576"/>
        <axId val="376871136"/>
      </lineChart>
      <dateAx>
        <axId val="3768705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1136"/>
        <crosses val="autoZero"/>
        <lblOffset val="100"/>
        <baseTimeUnit val="days"/>
      </dateAx>
      <valAx>
        <axId val="376871136"/>
        <scaling>
          <orientation val="minMax"/>
          <min val="2.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0576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美国</a:t>
            </a:r>
            <a:r>
              <a:rPr altLang="zh-CN" lang="en-US"/>
              <a:t>facebook 24</a:t>
            </a:r>
            <a:r>
              <a:rPr altLang="en-US" lang="zh-CN"/>
              <a:t>小时视频数（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'TBC3'!$AC$54</f>
              <strCache>
                <ptCount val="1"/>
                <pt idx="0">
                  <v>美国facebook 24小时视频数</v>
                </pt>
              </strCache>
            </strRef>
          </tx>
          <spPr>
            <a:ln algn="ctr" cap="rnd" cmpd="sng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'TBC3'!$B$55:$B$93</f>
              <numCache>
                <formatCode>m/d/yyyy</formatCode>
                <ptCount val="39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</numCache>
            </numRef>
          </cat>
          <val>
            <numRef>
              <f>'TBC3'!$AC$55:$AC$93</f>
              <numCache>
                <formatCode>0.0000</formatCode>
                <ptCount val="39"/>
                <pt idx="0">
                  <v>3.61</v>
                </pt>
                <pt idx="1">
                  <v>4.65</v>
                </pt>
                <pt idx="2">
                  <v>5.12</v>
                </pt>
                <pt idx="3">
                  <v>5.18</v>
                </pt>
                <pt idx="4">
                  <v>4.89</v>
                </pt>
                <pt idx="5">
                  <v>4.61</v>
                </pt>
                <pt idx="6">
                  <v>4.96</v>
                </pt>
                <pt idx="7">
                  <v>4.83</v>
                </pt>
                <pt idx="8">
                  <v>4.86</v>
                </pt>
                <pt idx="9">
                  <v>5.49</v>
                </pt>
                <pt idx="10">
                  <v>5.61</v>
                </pt>
                <pt idx="11">
                  <v>4.75</v>
                </pt>
                <pt idx="12">
                  <v>5.136</v>
                </pt>
                <pt idx="13">
                  <v>5.657</v>
                </pt>
                <pt idx="14">
                  <v>5.922</v>
                </pt>
                <pt idx="15">
                  <v>6.774</v>
                </pt>
                <pt idx="16">
                  <v>6.337</v>
                </pt>
                <pt idx="17">
                  <v>6.59</v>
                </pt>
                <pt idx="18">
                  <v>6.51</v>
                </pt>
                <pt idx="19">
                  <v>5.74</v>
                </pt>
                <pt idx="20">
                  <v>6.38</v>
                </pt>
                <pt idx="21">
                  <v>6.51</v>
                </pt>
                <pt idx="22">
                  <v>6.19</v>
                </pt>
                <pt idx="23">
                  <v>6.94</v>
                </pt>
                <pt idx="24">
                  <v>6.3</v>
                </pt>
                <pt idx="25">
                  <v>5.96</v>
                </pt>
                <pt idx="26">
                  <v>6.02</v>
                </pt>
                <pt idx="27">
                  <v>6.37</v>
                </pt>
                <pt idx="28">
                  <v>6.34</v>
                </pt>
                <pt idx="29">
                  <v>6.57</v>
                </pt>
                <pt idx="30">
                  <v>6.07</v>
                </pt>
                <pt idx="31">
                  <v>6.03</v>
                </pt>
                <pt idx="32">
                  <v>5.94</v>
                </pt>
                <pt idx="33">
                  <v>5.93</v>
                </pt>
                <pt idx="34">
                  <v>5.55</v>
                </pt>
                <pt idx="35">
                  <v>4.15</v>
                </pt>
                <pt idx="36">
                  <v>5.71</v>
                </pt>
                <pt idx="37">
                  <v>5.25</v>
                </pt>
                <pt idx="38">
                  <v>5.33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0576"/>
        <axId val="376871136"/>
      </lineChart>
      <dateAx>
        <axId val="3768705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1136"/>
        <crosses val="autoZero"/>
        <lblOffset val="100"/>
        <baseTimeUnit val="days"/>
      </dateAx>
      <valAx>
        <axId val="376871136"/>
        <scaling>
          <orientation val="minMax"/>
          <max val="7.5"/>
          <min val="3.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057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留存率（安卓）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74816309521198"/>
          <y val="0.217430597943608"/>
          <w val="0.877460136424451"/>
          <h val="0.590037898300096"/>
        </manualLayout>
      </layout>
      <lineChart>
        <grouping val="standard"/>
        <varyColors val="0"/>
        <ser>
          <idx val="0"/>
          <order val="0"/>
          <tx>
            <strRef>
              <f>'TBC3'!$E$54</f>
              <strCache>
                <ptCount val="1"/>
                <pt idx="0">
                  <v>次留（主轴）</v>
                </pt>
              </strCache>
            </strRef>
          </tx>
          <spPr>
            <a:ln algn="ctr" cap="rnd" cmpd="sng" w="28575">
              <a:solidFill>
                <a:schemeClr val="accent1">
                  <a:shade val="6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'TBC3'!$E$55:$E$94</f>
              <numCache>
                <formatCode>0.0%</formatCode>
                <ptCount val="40"/>
                <pt idx="0">
                  <v>0.202</v>
                </pt>
                <pt idx="1">
                  <v>0.187</v>
                </pt>
                <pt idx="2">
                  <v>0.194</v>
                </pt>
                <pt idx="3">
                  <v>0.166</v>
                </pt>
                <pt idx="4">
                  <v>0.165</v>
                </pt>
                <pt idx="5">
                  <v>0.166</v>
                </pt>
                <pt idx="6">
                  <v>0.168</v>
                </pt>
                <pt idx="7">
                  <v>0.159</v>
                </pt>
                <pt idx="8">
                  <v>0.181</v>
                </pt>
                <pt idx="9">
                  <v>0.19</v>
                </pt>
                <pt idx="10">
                  <v>0.243</v>
                </pt>
                <pt idx="11">
                  <v>0.255</v>
                </pt>
                <pt idx="12">
                  <v>0.262</v>
                </pt>
                <pt idx="13">
                  <v>0.258</v>
                </pt>
                <pt idx="14">
                  <v>0.248</v>
                </pt>
                <pt idx="15">
                  <v>0.272</v>
                </pt>
                <pt idx="16">
                  <v>0.264</v>
                </pt>
                <pt idx="17">
                  <v>0.262</v>
                </pt>
                <pt idx="18">
                  <v>0.264</v>
                </pt>
                <pt idx="19">
                  <v>0.256</v>
                </pt>
                <pt idx="20">
                  <v>0.248</v>
                </pt>
                <pt idx="21">
                  <v>0.257</v>
                </pt>
                <pt idx="22">
                  <v>0.253</v>
                </pt>
                <pt idx="23">
                  <v>0.26</v>
                </pt>
                <pt idx="24">
                  <v>0.248</v>
                </pt>
                <pt idx="25">
                  <v>0.242</v>
                </pt>
                <pt idx="26">
                  <v>0.237</v>
                </pt>
                <pt idx="27">
                  <v>0.276</v>
                </pt>
                <pt idx="28">
                  <v>0.244</v>
                </pt>
                <pt idx="29">
                  <v>0.247</v>
                </pt>
                <pt idx="30">
                  <v>0.24</v>
                </pt>
                <pt idx="31">
                  <v>0.249</v>
                </pt>
                <pt idx="32">
                  <v>0.256</v>
                </pt>
                <pt idx="33">
                  <v>0.248</v>
                </pt>
                <pt idx="34">
                  <v>0.242</v>
                </pt>
                <pt idx="35">
                  <v>0.228</v>
                </pt>
                <pt idx="36">
                  <v>0.234</v>
                </pt>
                <pt idx="37">
                  <v>0.237</v>
                </pt>
                <pt idx="38">
                  <v>0.236</v>
                </pt>
                <pt idx="39">
                  <v>0.277</v>
                </pt>
              </numCache>
            </numRef>
          </val>
          <smooth val="0"/>
        </ser>
        <ser>
          <idx val="1"/>
          <order val="1"/>
          <tx>
            <strRef>
              <f>'TBC3'!$F$54</f>
              <strCache>
                <ptCount val="1"/>
                <pt idx="0">
                  <v>3日留存（次轴）</v>
                </pt>
              </strCache>
            </strRef>
          </tx>
          <spPr>
            <a:ln algn="ctr" cap="rnd" cmpd="sng" w="2540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'TBC3'!$F$55:$F$92</f>
              <numCache>
                <formatCode>0.0%</formatCode>
                <ptCount val="38"/>
                <pt idx="0">
                  <v>0.082</v>
                </pt>
                <pt idx="1">
                  <v>0.081</v>
                </pt>
                <pt idx="2">
                  <v>0.083</v>
                </pt>
                <pt idx="3">
                  <v>0.063</v>
                </pt>
                <pt idx="4">
                  <v>0.064</v>
                </pt>
                <pt idx="5">
                  <v>0.062</v>
                </pt>
                <pt idx="6">
                  <v>0.058</v>
                </pt>
                <pt idx="7">
                  <v>0.064</v>
                </pt>
                <pt idx="8">
                  <v>0.06900000000000001</v>
                </pt>
                <pt idx="9">
                  <v>0.07099999999999999</v>
                </pt>
                <pt idx="10">
                  <v>0.105</v>
                </pt>
                <pt idx="11">
                  <v>0.114</v>
                </pt>
                <pt idx="12">
                  <v>0.123</v>
                </pt>
                <pt idx="13">
                  <v>0.117</v>
                </pt>
                <pt idx="14">
                  <v>0.116</v>
                </pt>
                <pt idx="15">
                  <v>0.129</v>
                </pt>
                <pt idx="16">
                  <v>0.13</v>
                </pt>
                <pt idx="17">
                  <v>0.118</v>
                </pt>
                <pt idx="18">
                  <v>0.124</v>
                </pt>
                <pt idx="19">
                  <v>0.123</v>
                </pt>
                <pt idx="20">
                  <v>0.113</v>
                </pt>
                <pt idx="21">
                  <v>0.107</v>
                </pt>
                <pt idx="22">
                  <v>0.117</v>
                </pt>
                <pt idx="23">
                  <v>0.12</v>
                </pt>
                <pt idx="24">
                  <v>0.12</v>
                </pt>
                <pt idx="25">
                  <v>0.122</v>
                </pt>
                <pt idx="26">
                  <v>0.112</v>
                </pt>
                <pt idx="27">
                  <v>0.115</v>
                </pt>
                <pt idx="28">
                  <v>0.108</v>
                </pt>
                <pt idx="29">
                  <v>0.117</v>
                </pt>
                <pt idx="30">
                  <v>0.115</v>
                </pt>
                <pt idx="31">
                  <v>0.124</v>
                </pt>
                <pt idx="32">
                  <v>0.124</v>
                </pt>
                <pt idx="33">
                  <v>0.121</v>
                </pt>
                <pt idx="34">
                  <v>0.11</v>
                </pt>
                <pt idx="35">
                  <v>0.101</v>
                </pt>
                <pt idx="36">
                  <v>0.11</v>
                </pt>
                <pt idx="37">
                  <v>0.117</v>
                </pt>
              </numCache>
            </numRef>
          </val>
          <smooth val="0"/>
        </ser>
        <ser>
          <idx val="2"/>
          <order val="2"/>
          <tx>
            <strRef>
              <f>'TBC3'!$G$54</f>
              <strCache>
                <ptCount val="1"/>
                <pt idx="0">
                  <v>7日留存（次轴）</v>
                </pt>
              </strCache>
            </strRef>
          </tx>
          <spPr>
            <a:ln algn="ctr" cap="rnd" cmpd="sng" w="25400">
              <a:solidFill>
                <a:schemeClr val="accent1">
                  <a:tint val="6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'TBC3'!$G$55:$G$88</f>
              <numCache>
                <formatCode>0.0%</formatCode>
                <ptCount val="34"/>
                <pt idx="0">
                  <v>0.048</v>
                </pt>
                <pt idx="1">
                  <v>0.041</v>
                </pt>
                <pt idx="2">
                  <v>0.04</v>
                </pt>
                <pt idx="3">
                  <v>0.027</v>
                </pt>
                <pt idx="4">
                  <v>0.026</v>
                </pt>
                <pt idx="5">
                  <v>0.027</v>
                </pt>
                <pt idx="6">
                  <v>0.028</v>
                </pt>
                <pt idx="7">
                  <v>0.032</v>
                </pt>
                <pt idx="8">
                  <v>0.031</v>
                </pt>
                <pt idx="9">
                  <v>0.03</v>
                </pt>
                <pt idx="10">
                  <v>0.051</v>
                </pt>
                <pt idx="11">
                  <v>0.059</v>
                </pt>
                <pt idx="12">
                  <v>0.06</v>
                </pt>
                <pt idx="13">
                  <v>0.065</v>
                </pt>
                <pt idx="14">
                  <v>0.065</v>
                </pt>
                <pt idx="15">
                  <v>0.06900000000000001</v>
                </pt>
                <pt idx="16">
                  <v>0.065</v>
                </pt>
                <pt idx="17">
                  <v>0.059</v>
                </pt>
                <pt idx="18">
                  <v>0.062</v>
                </pt>
                <pt idx="19">
                  <v>0.061</v>
                </pt>
                <pt idx="20">
                  <v>0.061</v>
                </pt>
                <pt idx="21">
                  <v>0.064</v>
                </pt>
                <pt idx="22">
                  <v>0.067</v>
                </pt>
                <pt idx="23">
                  <v>0.061</v>
                </pt>
                <pt idx="24">
                  <v>0.063</v>
                </pt>
                <pt idx="25">
                  <v>0.061</v>
                </pt>
                <pt idx="26">
                  <v>0.06</v>
                </pt>
                <pt idx="27">
                  <v>0.063</v>
                </pt>
                <pt idx="28">
                  <v>0.063</v>
                </pt>
                <pt idx="29">
                  <v>0.06</v>
                </pt>
                <pt idx="30">
                  <v>0.064</v>
                </pt>
                <pt idx="31">
                  <v>0.065</v>
                </pt>
                <pt idx="32">
                  <v>0.064</v>
                </pt>
                <pt idx="33">
                  <v>0.064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0120192"/>
        <axId val="376863856"/>
      </lineChart>
      <dateAx>
        <axId val="70120192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bg1">
                <a:lumMod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63856"/>
        <crosses val="autoZero"/>
        <lblOffset val="100"/>
        <baseTimeUnit val="days"/>
      </dateAx>
      <valAx>
        <axId val="376863856"/>
        <scaling>
          <orientation val="minMax"/>
          <max val="0.3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012019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81615598885794"/>
          <y val="0.130078004268158"/>
          <w val="0.802596231877701"/>
          <h val="0.0816671416555016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ecpm</a:t>
            </a:r>
            <a:r>
              <a:rPr altLang="en-US" lang="zh-CN"/>
              <a:t>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12517272388305"/>
          <y val="0.217430737824439"/>
          <w val="0.900970543723817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'TBC3'!$H$54</f>
              <strCache>
                <ptCount val="1"/>
                <pt idx="0">
                  <v>整体ecpm</v>
                </pt>
              </strCache>
            </strRef>
          </tx>
          <spPr>
            <a:ln algn="ctr" cap="rnd" cmpd="sng" w="28575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'TBC3'!$H$55:$H$95</f>
              <numCache>
                <formatCode>General</formatCode>
                <ptCount val="41"/>
                <pt idx="0">
                  <v>11.87</v>
                </pt>
                <pt idx="1">
                  <v>11.74</v>
                </pt>
                <pt idx="2">
                  <v>12.66</v>
                </pt>
                <pt idx="3">
                  <v>12</v>
                </pt>
                <pt idx="4">
                  <v>12.21</v>
                </pt>
                <pt idx="5">
                  <v>11.32</v>
                </pt>
                <pt idx="6">
                  <v>10.27</v>
                </pt>
                <pt idx="7">
                  <v>10.05</v>
                </pt>
                <pt idx="8">
                  <v>10.18</v>
                </pt>
                <pt idx="9">
                  <v>10.87</v>
                </pt>
                <pt idx="10">
                  <v>11.91</v>
                </pt>
                <pt idx="11">
                  <v>12.69</v>
                </pt>
                <pt idx="12">
                  <v>11.72</v>
                </pt>
                <pt idx="13">
                  <v>11.01</v>
                </pt>
                <pt idx="14">
                  <v>11.02</v>
                </pt>
                <pt idx="15">
                  <v>11.26</v>
                </pt>
                <pt idx="16">
                  <v>13.37</v>
                </pt>
                <pt idx="17">
                  <v>13.92</v>
                </pt>
                <pt idx="18">
                  <v>13.78</v>
                </pt>
                <pt idx="19">
                  <v>12.33</v>
                </pt>
                <pt idx="20">
                  <v>11.1</v>
                </pt>
                <pt idx="21">
                  <v>11.2</v>
                </pt>
                <pt idx="22">
                  <v>11.41</v>
                </pt>
                <pt idx="23">
                  <v>13.04</v>
                </pt>
                <pt idx="24">
                  <v>12.93</v>
                </pt>
                <pt idx="25">
                  <v>12.4</v>
                </pt>
                <pt idx="26">
                  <v>11.26</v>
                </pt>
                <pt idx="27">
                  <v>10.27</v>
                </pt>
                <pt idx="28">
                  <v>10.53</v>
                </pt>
                <pt idx="29">
                  <v>10.95</v>
                </pt>
                <pt idx="30">
                  <v>11.85</v>
                </pt>
                <pt idx="31">
                  <v>12.78</v>
                </pt>
                <pt idx="32">
                  <v>12.76</v>
                </pt>
                <pt idx="33">
                  <v>11.77</v>
                </pt>
                <pt idx="34">
                  <v>10.14</v>
                </pt>
                <pt idx="35">
                  <v>10.28</v>
                </pt>
                <pt idx="36">
                  <v>10.2</v>
                </pt>
                <pt idx="37">
                  <v>11.6</v>
                </pt>
                <pt idx="38">
                  <v>11.7</v>
                </pt>
                <pt idx="39">
                  <v>13.5</v>
                </pt>
                <pt idx="40">
                  <v>11.7</v>
                </pt>
              </numCache>
            </numRef>
          </val>
          <smooth val="0"/>
        </ser>
        <ser>
          <idx val="1"/>
          <order val="1"/>
          <tx>
            <strRef>
              <f>'TBC3'!$I$54</f>
              <strCache>
                <ptCount val="1"/>
                <pt idx="0">
                  <v>美国ecpm</v>
                </pt>
              </strCache>
            </strRef>
          </tx>
          <spPr>
            <a:ln algn="ctr" cap="rnd" cmpd="sng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'TBC3'!$I$55:$I$95</f>
              <numCache>
                <formatCode>General</formatCode>
                <ptCount val="41"/>
                <pt idx="0">
                  <v>20.6</v>
                </pt>
                <pt idx="1">
                  <v>20.2</v>
                </pt>
                <pt idx="2">
                  <v>21.51</v>
                </pt>
                <pt idx="3">
                  <v>21.79</v>
                </pt>
                <pt idx="4">
                  <v>22.62</v>
                </pt>
                <pt idx="5">
                  <v>20.58</v>
                </pt>
                <pt idx="6">
                  <v>18.79</v>
                </pt>
                <pt idx="7">
                  <v>18.98</v>
                </pt>
                <pt idx="8">
                  <v>19.66</v>
                </pt>
                <pt idx="9">
                  <v>19.64</v>
                </pt>
                <pt idx="10">
                  <v>20.8</v>
                </pt>
                <pt idx="11">
                  <v>21.2</v>
                </pt>
                <pt idx="12">
                  <v>19.34</v>
                </pt>
                <pt idx="13">
                  <v>19.01</v>
                </pt>
                <pt idx="14">
                  <v>19.44</v>
                </pt>
                <pt idx="15">
                  <v>18.79</v>
                </pt>
                <pt idx="16">
                  <v>22.04</v>
                </pt>
                <pt idx="17">
                  <v>23.37</v>
                </pt>
                <pt idx="18">
                  <v>23.1</v>
                </pt>
                <pt idx="19">
                  <v>20.59</v>
                </pt>
                <pt idx="20">
                  <v>19.33</v>
                </pt>
                <pt idx="21">
                  <v>18.94</v>
                </pt>
                <pt idx="22">
                  <v>19.59</v>
                </pt>
                <pt idx="23">
                  <v>22.74</v>
                </pt>
                <pt idx="24">
                  <v>22.34</v>
                </pt>
                <pt idx="25">
                  <v>21.1</v>
                </pt>
                <pt idx="26">
                  <v>19.8</v>
                </pt>
                <pt idx="27">
                  <v>18.42</v>
                </pt>
                <pt idx="28">
                  <v>18.55</v>
                </pt>
                <pt idx="29">
                  <v>18.96</v>
                </pt>
                <pt idx="30">
                  <v>20.62</v>
                </pt>
                <pt idx="31">
                  <v>21.86</v>
                </pt>
                <pt idx="32">
                  <v>21.98</v>
                </pt>
                <pt idx="33">
                  <v>20.38</v>
                </pt>
                <pt idx="34">
                  <v>17.32</v>
                </pt>
                <pt idx="35">
                  <v>17.66</v>
                </pt>
                <pt idx="36">
                  <v>18.3</v>
                </pt>
                <pt idx="37">
                  <v>20.1</v>
                </pt>
                <pt idx="38">
                  <v>19.3</v>
                </pt>
                <pt idx="39">
                  <v>21.2</v>
                </pt>
                <pt idx="40">
                  <v>19.5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67216"/>
        <axId val="376867776"/>
      </lineChart>
      <dateAx>
        <axId val="37686721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67776"/>
        <crosses val="autoZero"/>
        <lblOffset val="100"/>
        <baseTimeUnit val="days"/>
      </dateAx>
      <valAx>
        <axId val="37686777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6721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2245577043455"/>
          <y val="0.130160994490152"/>
          <w val="0.432777777777778"/>
          <h val="0.0873848060659084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iap</a:t>
            </a:r>
            <a:r>
              <a:rPr altLang="en-US" lang="zh-CN"/>
              <a:t>付费率（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'TBC3'!$K$54</f>
              <strCache>
                <ptCount val="1"/>
                <pt idx="0">
                  <v>iap付费率（付费人数/日活）</v>
                </pt>
              </strCache>
            </strRef>
          </tx>
          <spPr>
            <a:ln algn="ctr" cap="rnd" cmpd="sng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'TBC3'!$K$55:$K$95</f>
              <numCache>
                <formatCode>0.00%</formatCode>
                <ptCount val="41"/>
                <pt idx="0">
                  <v>0.00476</v>
                </pt>
                <pt idx="1">
                  <v>0.0042</v>
                </pt>
                <pt idx="2">
                  <v>0.004</v>
                </pt>
                <pt idx="3">
                  <v>0.0027</v>
                </pt>
                <pt idx="4">
                  <v>0.0024</v>
                </pt>
                <pt idx="5">
                  <v>0.00259</v>
                </pt>
                <pt idx="6">
                  <v>0.00327</v>
                </pt>
                <pt idx="7">
                  <v>0.003</v>
                </pt>
                <pt idx="8">
                  <v>0.00321</v>
                </pt>
                <pt idx="9">
                  <v>0.00299</v>
                </pt>
                <pt idx="10">
                  <v>0.00381</v>
                </pt>
                <pt idx="11">
                  <v>0.00416</v>
                </pt>
                <pt idx="12">
                  <v>0.00495</v>
                </pt>
                <pt idx="13">
                  <v>0.00665</v>
                </pt>
                <pt idx="14">
                  <v>0.00581</v>
                </pt>
                <pt idx="15">
                  <v>0.00603</v>
                </pt>
                <pt idx="16">
                  <v>0.00615</v>
                </pt>
                <pt idx="17">
                  <v>0.00448</v>
                </pt>
                <pt idx="18">
                  <v>0.00485</v>
                </pt>
                <pt idx="19">
                  <v>0.00495</v>
                </pt>
                <pt idx="20">
                  <v>0.00705</v>
                </pt>
                <pt idx="21">
                  <v>0.00578</v>
                </pt>
                <pt idx="22">
                  <v>0.00612</v>
                </pt>
                <pt idx="23">
                  <v>0.00547</v>
                </pt>
                <pt idx="24">
                  <v>0.0049</v>
                </pt>
                <pt idx="25">
                  <v>0.00502</v>
                </pt>
                <pt idx="26">
                  <v>0.00526</v>
                </pt>
                <pt idx="27">
                  <v>0.00741</v>
                </pt>
                <pt idx="28">
                  <v>0.00591</v>
                </pt>
                <pt idx="29">
                  <v>0.00584</v>
                </pt>
                <pt idx="30">
                  <v>0.00529</v>
                </pt>
                <pt idx="31">
                  <v>0.00487</v>
                </pt>
                <pt idx="32">
                  <v>0.00535</v>
                </pt>
                <pt idx="33">
                  <v>0.00596</v>
                </pt>
                <pt idx="34">
                  <v>0.00817</v>
                </pt>
                <pt idx="35">
                  <v>0.00777</v>
                </pt>
                <pt idx="36">
                  <v>0.00725</v>
                </pt>
                <pt idx="37">
                  <v>0.00657</v>
                </pt>
                <pt idx="38">
                  <v>0.00567</v>
                </pt>
                <pt idx="39">
                  <v>0.00628</v>
                </pt>
                <pt idx="40">
                  <v>0.00617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0576"/>
        <axId val="376871136"/>
      </lineChart>
      <dateAx>
        <axId val="3768705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1136"/>
        <crosses val="autoZero"/>
        <lblOffset val="100"/>
        <baseTimeUnit val="days"/>
      </dateAx>
      <valAx>
        <axId val="376871136"/>
        <scaling>
          <orientation val="minMax"/>
          <max val="0.01"/>
          <min val="0.002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057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iap</a:t>
            </a:r>
            <a:r>
              <a:rPr altLang="en-US" lang="zh-CN"/>
              <a:t>人均付费金额（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91057784827129"/>
        </manualLayout>
      </layout>
      <lineChart>
        <grouping val="standard"/>
        <varyColors val="0"/>
        <ser>
          <idx val="0"/>
          <order val="0"/>
          <tx>
            <strRef>
              <f>'TBC3'!$L$54</f>
              <strCache>
                <ptCount val="1"/>
                <pt idx="0">
                  <v>iap人均付费金额（日活）</v>
                </pt>
              </strCache>
            </strRef>
          </tx>
          <spPr>
            <a:ln algn="ctr" cap="rnd" cmpd="sng" w="28575">
              <a:solidFill>
                <a:schemeClr val="accent2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'TBC3'!$L$55:$L$95</f>
              <numCache>
                <formatCode>0.0000</formatCode>
                <ptCount val="41"/>
                <pt idx="0">
                  <v>0.0432</v>
                </pt>
                <pt idx="1">
                  <v>0.0351</v>
                </pt>
                <pt idx="2">
                  <v>0.0328</v>
                </pt>
                <pt idx="3">
                  <v>0.0198</v>
                </pt>
                <pt idx="4">
                  <v>0.0205</v>
                </pt>
                <pt idx="5">
                  <v>0.0197</v>
                </pt>
                <pt idx="6">
                  <v>0.0336</v>
                </pt>
                <pt idx="7">
                  <v>0.0331</v>
                </pt>
                <pt idx="8">
                  <v>0.0292</v>
                </pt>
                <pt idx="9">
                  <v>0.0249</v>
                </pt>
                <pt idx="10">
                  <v>0.0277</v>
                </pt>
                <pt idx="11">
                  <v>0.036</v>
                </pt>
                <pt idx="12">
                  <v>0.045</v>
                </pt>
                <pt idx="13">
                  <v>0.0694</v>
                </pt>
                <pt idx="14">
                  <v>0.0609</v>
                </pt>
                <pt idx="15">
                  <v>0.0502</v>
                </pt>
                <pt idx="16">
                  <v>0.0579</v>
                </pt>
                <pt idx="17">
                  <v>0.036</v>
                </pt>
                <pt idx="18">
                  <v>0.0368</v>
                </pt>
                <pt idx="19">
                  <v>0.0443</v>
                </pt>
                <pt idx="20">
                  <v>0.07480000000000001</v>
                </pt>
                <pt idx="21">
                  <v>0.0555</v>
                </pt>
                <pt idx="22">
                  <v>0.0576</v>
                </pt>
                <pt idx="23">
                  <v>0.0431</v>
                </pt>
                <pt idx="24">
                  <v>0.0339</v>
                </pt>
                <pt idx="25">
                  <v>0.0396</v>
                </pt>
                <pt idx="26">
                  <v>0.0381</v>
                </pt>
                <pt idx="27">
                  <v>0.0765</v>
                </pt>
                <pt idx="28">
                  <v>0.0556</v>
                </pt>
                <pt idx="29">
                  <v>0.0559</v>
                </pt>
                <pt idx="30">
                  <v>0.0413</v>
                </pt>
                <pt idx="31">
                  <v>0.0367</v>
                </pt>
                <pt idx="32">
                  <v>0.0423</v>
                </pt>
                <pt idx="33">
                  <v>0.0401</v>
                </pt>
                <pt idx="34">
                  <v>0.0878</v>
                </pt>
                <pt idx="35">
                  <v>0.0634</v>
                </pt>
                <pt idx="36">
                  <v>0.0616</v>
                </pt>
                <pt idx="37">
                  <v>0.0612</v>
                </pt>
                <pt idx="38">
                  <v>0.0436</v>
                </pt>
                <pt idx="39">
                  <v>0.0489</v>
                </pt>
                <pt idx="40">
                  <v>0.0439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3376"/>
        <axId val="376873936"/>
      </lineChart>
      <dateAx>
        <axId val="3768733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3936"/>
        <crosses val="autoZero"/>
        <lblOffset val="100"/>
        <baseTimeUnit val="days"/>
      </dateAx>
      <valAx>
        <axId val="376873936"/>
        <scaling>
          <orientation val="minMax"/>
          <max val="0.12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3376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人均广告次数（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12517272388305"/>
          <y val="0.217430737824439"/>
          <w val="0.900970543723817"/>
          <h val="0.5891057784827129"/>
        </manualLayout>
      </layout>
      <lineChart>
        <grouping val="standard"/>
        <varyColors val="0"/>
        <ser>
          <idx val="0"/>
          <order val="0"/>
          <tx>
            <strRef>
              <f>'TBC3'!$J$54</f>
              <strCache>
                <ptCount val="1"/>
                <pt idx="0">
                  <v>人均广告次数（日活）</v>
                </pt>
              </strCache>
            </strRef>
          </tx>
          <spPr>
            <a:ln algn="ctr" cap="rnd" cmpd="sng" w="28575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'TBC3'!$J$55:$J$95</f>
              <numCache>
                <formatCode>0.00</formatCode>
                <ptCount val="41"/>
                <pt idx="0">
                  <v>7.09</v>
                </pt>
                <pt idx="1">
                  <v>6.7</v>
                </pt>
                <pt idx="2">
                  <v>6.56</v>
                </pt>
                <pt idx="3">
                  <v>4.33</v>
                </pt>
                <pt idx="4">
                  <v>4.26</v>
                </pt>
                <pt idx="5">
                  <v>4.14</v>
                </pt>
                <pt idx="6">
                  <v>5.45</v>
                </pt>
                <pt idx="7">
                  <v>5.23</v>
                </pt>
                <pt idx="8">
                  <v>5.53</v>
                </pt>
                <pt idx="9">
                  <v>5.34</v>
                </pt>
                <pt idx="10">
                  <v>5.9</v>
                </pt>
                <pt idx="11">
                  <v>6.47</v>
                </pt>
                <pt idx="12">
                  <v>6.49</v>
                </pt>
                <pt idx="13">
                  <v>9.470000000000001</v>
                </pt>
                <pt idx="14">
                  <v>9.34</v>
                </pt>
                <pt idx="15">
                  <v>9.369999999999999</v>
                </pt>
                <pt idx="16">
                  <v>8.789999999999999</v>
                </pt>
                <pt idx="17">
                  <v>7.32</v>
                </pt>
                <pt idx="18">
                  <v>7.32</v>
                </pt>
                <pt idx="19">
                  <v>7.3</v>
                </pt>
                <pt idx="20">
                  <v>10.2</v>
                </pt>
                <pt idx="21">
                  <v>9.34</v>
                </pt>
                <pt idx="22">
                  <v>9.279999999999999</v>
                </pt>
                <pt idx="23">
                  <v>8.619999999999999</v>
                </pt>
                <pt idx="24">
                  <v>7.64</v>
                </pt>
                <pt idx="25">
                  <v>7.93</v>
                </pt>
                <pt idx="26">
                  <v>7.74</v>
                </pt>
                <pt idx="27">
                  <v>11.5</v>
                </pt>
                <pt idx="28">
                  <v>10.3</v>
                </pt>
                <pt idx="29">
                  <v>9.82</v>
                </pt>
                <pt idx="30">
                  <v>9.48</v>
                </pt>
                <pt idx="31">
                  <v>8.18</v>
                </pt>
                <pt idx="32">
                  <v>8.15</v>
                </pt>
                <pt idx="33">
                  <v>8.09</v>
                </pt>
                <pt idx="34">
                  <v>11.9</v>
                </pt>
                <pt idx="35">
                  <v>11</v>
                </pt>
                <pt idx="36">
                  <v>10.9</v>
                </pt>
                <pt idx="37">
                  <v>9.93</v>
                </pt>
                <pt idx="38">
                  <v>8.68</v>
                </pt>
                <pt idx="39">
                  <v>7.95</v>
                </pt>
                <pt idx="40">
                  <v>7.52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6176"/>
        <axId val="376876736"/>
      </lineChart>
      <dateAx>
        <axId val="3768761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6736"/>
        <crosses val="autoZero"/>
        <lblOffset val="100"/>
        <baseTimeUnit val="days"/>
      </dateAx>
      <valAx>
        <axId val="376876736"/>
        <scaling>
          <orientation val="minMax"/>
          <max val="16"/>
          <min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617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新增与活跃（</a:t>
            </a:r>
            <a:r>
              <a:rPr altLang="zh-CN" lang="en-US"/>
              <a:t>iOS</a:t>
            </a:r>
            <a:r>
              <a:rPr altLang="en-US" lang="zh-CN"/>
              <a:t>）</a:t>
            </a:r>
            <a:endParaRPr altLang="zh-CN" lang="en-US"/>
          </a:p>
        </rich>
      </tx>
      <layout>
        <manualLayout>
          <xMode val="edge"/>
          <yMode val="edge"/>
          <wMode val="factor"/>
          <hMode val="factor"/>
          <x val="0.316581628019798"/>
          <y val="0.0420888594140038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9186784431899"/>
          <y val="0.217430737824439"/>
          <w val="0.875814326099815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'TBC3'!$S$54</f>
              <strCache>
                <ptCount val="1"/>
                <pt idx="0">
                  <v>新增</v>
                </pt>
              </strCache>
            </strRef>
          </tx>
          <spPr>
            <a:ln algn="ctr" cap="rnd" cmpd="sng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'TBC3'!$S$55:$S$95</f>
              <numCache>
                <formatCode>General</formatCode>
                <ptCount val="41"/>
                <pt idx="0">
                  <v>48566</v>
                </pt>
                <pt idx="1">
                  <v>38511</v>
                </pt>
                <pt idx="2">
                  <v>33612</v>
                </pt>
                <pt idx="3">
                  <v>32606</v>
                </pt>
                <pt idx="4">
                  <v>32127</v>
                </pt>
                <pt idx="5">
                  <v>38063</v>
                </pt>
                <pt idx="6">
                  <v>46040</v>
                </pt>
                <pt idx="7">
                  <v>45195</v>
                </pt>
                <pt idx="8">
                  <v>38636</v>
                </pt>
                <pt idx="9">
                  <v>28799</v>
                </pt>
                <pt idx="10">
                  <v>17830</v>
                </pt>
                <pt idx="11">
                  <v>18628</v>
                </pt>
                <pt idx="12">
                  <v>22641</v>
                </pt>
                <pt idx="13">
                  <v>28716</v>
                </pt>
                <pt idx="14">
                  <v>32693</v>
                </pt>
                <pt idx="15">
                  <v>36046</v>
                </pt>
                <pt idx="16">
                  <v>35306</v>
                </pt>
                <pt idx="17">
                  <v>37271</v>
                </pt>
                <pt idx="18">
                  <v>36114</v>
                </pt>
                <pt idx="19">
                  <v>30042</v>
                </pt>
                <pt idx="20">
                  <v>29202</v>
                </pt>
                <pt idx="21">
                  <v>33483</v>
                </pt>
                <pt idx="22">
                  <v>37063</v>
                </pt>
                <pt idx="23">
                  <v>32636</v>
                </pt>
                <pt idx="24">
                  <v>28079</v>
                </pt>
                <pt idx="25">
                  <v>24190</v>
                </pt>
                <pt idx="26">
                  <v>23637</v>
                </pt>
                <pt idx="27">
                  <v>29100</v>
                </pt>
                <pt idx="28">
                  <v>34147</v>
                </pt>
                <pt idx="29">
                  <v>35622</v>
                </pt>
                <pt idx="30">
                  <v>31402</v>
                </pt>
                <pt idx="31">
                  <v>25472</v>
                </pt>
                <pt idx="32">
                  <v>24878</v>
                </pt>
                <pt idx="33">
                  <v>22197</v>
                </pt>
                <pt idx="34">
                  <v>22474</v>
                </pt>
                <pt idx="35">
                  <v>26219</v>
                </pt>
                <pt idx="36">
                  <v>27360</v>
                </pt>
                <pt idx="37">
                  <v>26103</v>
                </pt>
                <pt idx="38">
                  <v>21630</v>
                </pt>
                <pt idx="39">
                  <v>24036</v>
                </pt>
                <pt idx="40">
                  <v>24338</v>
                </pt>
              </numCache>
            </numRef>
          </val>
          <smooth val="0"/>
        </ser>
        <ser>
          <idx val="1"/>
          <order val="1"/>
          <tx>
            <strRef>
              <f>'TBC3'!$T$54</f>
              <strCache>
                <ptCount val="1"/>
                <pt idx="0">
                  <v>活跃</v>
                </pt>
              </strCache>
            </strRef>
          </tx>
          <spPr>
            <a:ln algn="ctr" cap="rnd" cmpd="sng" w="28575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'TBC3'!$T$55:$T$95</f>
              <numCache>
                <formatCode>General</formatCode>
                <ptCount val="41"/>
                <pt idx="0">
                  <v>125548</v>
                </pt>
                <pt idx="1">
                  <v>116450</v>
                </pt>
                <pt idx="2">
                  <v>108322</v>
                </pt>
                <pt idx="3">
                  <v>105706</v>
                </pt>
                <pt idx="4">
                  <v>104104</v>
                </pt>
                <pt idx="5">
                  <v>110114</v>
                </pt>
                <pt idx="6">
                  <v>121300</v>
                </pt>
                <pt idx="7">
                  <v>123062</v>
                </pt>
                <pt idx="8">
                  <v>117567</v>
                </pt>
                <pt idx="9">
                  <v>105655</v>
                </pt>
                <pt idx="10">
                  <v>90743</v>
                </pt>
                <pt idx="11">
                  <v>87553</v>
                </pt>
                <pt idx="12">
                  <v>89880</v>
                </pt>
                <pt idx="13">
                  <v>97040</v>
                </pt>
                <pt idx="14">
                  <v>103095</v>
                </pt>
                <pt idx="15">
                  <v>109443</v>
                </pt>
                <pt idx="16">
                  <v>108584</v>
                </pt>
                <pt idx="17">
                  <v>110756</v>
                </pt>
                <pt idx="18">
                  <v>111757</v>
                </pt>
                <pt idx="19">
                  <v>106720</v>
                </pt>
                <pt idx="20">
                  <v>104887</v>
                </pt>
                <pt idx="21">
                  <v>109506</v>
                </pt>
                <pt idx="22">
                  <v>116820</v>
                </pt>
                <pt idx="23">
                  <v>110926</v>
                </pt>
                <pt idx="24">
                  <v>105005</v>
                </pt>
                <pt idx="25">
                  <v>99188</v>
                </pt>
                <pt idx="26">
                  <v>94537</v>
                </pt>
                <pt idx="27">
                  <v>101667</v>
                </pt>
                <pt idx="28">
                  <v>108586</v>
                </pt>
                <pt idx="29">
                  <v>113233</v>
                </pt>
                <pt idx="30">
                  <v>108070</v>
                </pt>
                <pt idx="31">
                  <v>100525</v>
                </pt>
                <pt idx="32">
                  <v>98672</v>
                </pt>
                <pt idx="33">
                  <v>94810</v>
                </pt>
                <pt idx="34">
                  <v>94807</v>
                </pt>
                <pt idx="35">
                  <v>98765</v>
                </pt>
                <pt idx="36">
                  <v>101772</v>
                </pt>
                <pt idx="37">
                  <v>99543</v>
                </pt>
                <pt idx="38">
                  <v>93256</v>
                </pt>
                <pt idx="39">
                  <v>93570</v>
                </pt>
                <pt idx="40">
                  <v>93466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9536"/>
        <axId val="377724064"/>
      </lineChart>
      <dateAx>
        <axId val="37687953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bg1">
                <a:lumMod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7724064"/>
        <crosses val="autoZero"/>
        <lblOffset val="100"/>
        <baseTimeUnit val="days"/>
      </dateAx>
      <valAx>
        <axId val="377724064"/>
        <scaling>
          <orientation val="minMax"/>
          <max val="14000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687953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65558155427611"/>
          <y val="0.134743635394853"/>
          <w val="0.266790200099215"/>
          <h val="0.0826219407788021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留存率（</a:t>
            </a:r>
            <a:r>
              <a:rPr altLang="zh-CN" lang="en-US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639353674540679"/>
          <y val="0.217430597943608"/>
          <w val="0.878069430774278"/>
          <h val="0.590037898300096"/>
        </manualLayout>
      </layout>
      <lineChart>
        <grouping val="standard"/>
        <varyColors val="0"/>
        <ser>
          <idx val="0"/>
          <order val="0"/>
          <tx>
            <strRef>
              <f>'TBC3'!$U$54</f>
              <strCache>
                <ptCount val="1"/>
                <pt idx="0">
                  <v>次留（主轴）</v>
                </pt>
              </strCache>
            </strRef>
          </tx>
          <spPr>
            <a:ln algn="ctr" cap="rnd" cmpd="sng" w="28575">
              <a:solidFill>
                <a:schemeClr val="accent1">
                  <a:shade val="6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'TBC3'!$U$55:$U$95</f>
              <numCache>
                <formatCode>0.0%</formatCode>
                <ptCount val="41"/>
                <pt idx="0">
                  <v>0.265</v>
                </pt>
                <pt idx="1">
                  <v>0.277</v>
                </pt>
                <pt idx="2">
                  <v>0.295</v>
                </pt>
                <pt idx="3">
                  <v>0.295</v>
                </pt>
                <pt idx="4">
                  <v>0.3</v>
                </pt>
                <pt idx="5">
                  <v>0.284</v>
                </pt>
                <pt idx="6">
                  <v>0.273</v>
                </pt>
                <pt idx="7">
                  <v>0.269</v>
                </pt>
                <pt idx="8">
                  <v>0.285</v>
                </pt>
                <pt idx="9">
                  <v>0.289</v>
                </pt>
                <pt idx="10">
                  <v>0.321</v>
                </pt>
                <pt idx="11">
                  <v>0.328</v>
                </pt>
                <pt idx="12">
                  <v>0.318</v>
                </pt>
                <pt idx="13">
                  <v>0.318</v>
                </pt>
                <pt idx="14">
                  <v>0.309</v>
                </pt>
                <pt idx="15">
                  <v>0.315</v>
                </pt>
                <pt idx="16">
                  <v>0.324</v>
                </pt>
                <pt idx="17">
                  <v>0.323</v>
                </pt>
                <pt idx="18">
                  <v>0.319</v>
                </pt>
                <pt idx="19">
                  <v>0.302</v>
                </pt>
                <pt idx="20">
                  <v>0.303</v>
                </pt>
                <pt idx="21">
                  <v>0.307</v>
                </pt>
                <pt idx="22">
                  <v>0.302</v>
                </pt>
                <pt idx="23">
                  <v>0.315</v>
                </pt>
                <pt idx="24">
                  <v>0.314</v>
                </pt>
                <pt idx="25">
                  <v>0.303</v>
                </pt>
                <pt idx="26">
                  <v>0.309</v>
                </pt>
                <pt idx="27">
                  <v>0.303</v>
                </pt>
                <pt idx="28">
                  <v>0.303</v>
                </pt>
                <pt idx="29">
                  <v>0.301</v>
                </pt>
                <pt idx="30">
                  <v>0.308</v>
                </pt>
                <pt idx="31">
                  <v>0.32</v>
                </pt>
                <pt idx="32">
                  <v>0.311</v>
                </pt>
                <pt idx="33">
                  <v>0.316</v>
                </pt>
                <pt idx="34">
                  <v>0.306</v>
                </pt>
                <pt idx="35">
                  <v>0.306</v>
                </pt>
                <pt idx="36">
                  <v>0.311</v>
                </pt>
                <pt idx="37">
                  <v>0.315</v>
                </pt>
                <pt idx="38">
                  <v>0.315</v>
                </pt>
                <pt idx="39">
                  <v>0.312</v>
                </pt>
              </numCache>
            </numRef>
          </val>
          <smooth val="0"/>
        </ser>
        <ser>
          <idx val="1"/>
          <order val="1"/>
          <tx>
            <strRef>
              <f>'TBC3'!$V$54</f>
              <strCache>
                <ptCount val="1"/>
                <pt idx="0">
                  <v>3日留存（次轴）</v>
                </pt>
              </strCache>
            </strRef>
          </tx>
          <spPr>
            <a:ln algn="ctr" cap="rnd" cmpd="sng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'TBC3'!$V$55:$V$95</f>
              <numCache>
                <formatCode>0.0%</formatCode>
                <ptCount val="41"/>
                <pt idx="0">
                  <v>0.124</v>
                </pt>
                <pt idx="1">
                  <v>0.139</v>
                </pt>
                <pt idx="2">
                  <v>0.146</v>
                </pt>
                <pt idx="3">
                  <v>0.148</v>
                </pt>
                <pt idx="4">
                  <v>0.142</v>
                </pt>
                <pt idx="5">
                  <v>0.13</v>
                </pt>
                <pt idx="6">
                  <v>0.12</v>
                </pt>
                <pt idx="7">
                  <v>0.122</v>
                </pt>
                <pt idx="8">
                  <v>0.14</v>
                </pt>
                <pt idx="9">
                  <v>0.148</v>
                </pt>
                <pt idx="10">
                  <v>0.16</v>
                </pt>
                <pt idx="11">
                  <v>0.164</v>
                </pt>
                <pt idx="12">
                  <v>0.163</v>
                </pt>
                <pt idx="13">
                  <v>0.151</v>
                </pt>
                <pt idx="14">
                  <v>0.143</v>
                </pt>
                <pt idx="15">
                  <v>0.157</v>
                </pt>
                <pt idx="16">
                  <v>0.162</v>
                </pt>
                <pt idx="17">
                  <v>0.155</v>
                </pt>
                <pt idx="18">
                  <v>0.154</v>
                </pt>
                <pt idx="19">
                  <v>0.159</v>
                </pt>
                <pt idx="20">
                  <v>0.146</v>
                </pt>
                <pt idx="21">
                  <v>0.14</v>
                </pt>
                <pt idx="22">
                  <v>0.149</v>
                </pt>
                <pt idx="23">
                  <v>0.149</v>
                </pt>
                <pt idx="24">
                  <v>0.154</v>
                </pt>
                <pt idx="25">
                  <v>0.155</v>
                </pt>
                <pt idx="26">
                  <v>0.147</v>
                </pt>
                <pt idx="27">
                  <v>0.138</v>
                </pt>
                <pt idx="28">
                  <v>0.139</v>
                </pt>
                <pt idx="29">
                  <v>0.149</v>
                </pt>
                <pt idx="30">
                  <v>0.155</v>
                </pt>
                <pt idx="31">
                  <v>0.16</v>
                </pt>
                <pt idx="32">
                  <v>0.153</v>
                </pt>
                <pt idx="33">
                  <v>0.159</v>
                </pt>
                <pt idx="34">
                  <v>0.143</v>
                </pt>
                <pt idx="35">
                  <v>0.145</v>
                </pt>
                <pt idx="36">
                  <v>0.154</v>
                </pt>
                <pt idx="37">
                  <v>0.157</v>
                </pt>
              </numCache>
            </numRef>
          </val>
          <smooth val="0"/>
        </ser>
        <ser>
          <idx val="2"/>
          <order val="2"/>
          <tx>
            <strRef>
              <f>'TBC3'!$W$54</f>
              <strCache>
                <ptCount val="1"/>
                <pt idx="0">
                  <v>7日留存（次轴）</v>
                </pt>
              </strCache>
            </strRef>
          </tx>
          <spPr>
            <a:ln algn="ctr" cap="rnd" cmpd="sng" w="28575">
              <a:solidFill>
                <a:schemeClr val="accent1">
                  <a:tint val="6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'TBC3'!$W$55:$W$95</f>
              <numCache>
                <formatCode>0.0%</formatCode>
                <ptCount val="41"/>
                <pt idx="0">
                  <v>0.075</v>
                </pt>
                <pt idx="1">
                  <v>0.077</v>
                </pt>
                <pt idx="2">
                  <v>0.073</v>
                </pt>
                <pt idx="3">
                  <v>0.074</v>
                </pt>
                <pt idx="4">
                  <v>0.06900000000000001</v>
                </pt>
                <pt idx="5">
                  <v>0.065</v>
                </pt>
                <pt idx="6">
                  <v>0.067</v>
                </pt>
                <pt idx="7">
                  <v>0.07099999999999999</v>
                </pt>
                <pt idx="8">
                  <v>0.079</v>
                </pt>
                <pt idx="9">
                  <v>0.075</v>
                </pt>
                <pt idx="10">
                  <v>0.083</v>
                </pt>
                <pt idx="11">
                  <v>0.08400000000000001</v>
                </pt>
                <pt idx="12">
                  <v>0.078</v>
                </pt>
                <pt idx="13">
                  <v>0.08</v>
                </pt>
                <pt idx="14">
                  <v>0.081</v>
                </pt>
                <pt idx="15">
                  <v>0.09</v>
                </pt>
                <pt idx="16">
                  <v>0.08699999999999999</v>
                </pt>
                <pt idx="17">
                  <v>0.083</v>
                </pt>
                <pt idx="18">
                  <v>0.081</v>
                </pt>
                <pt idx="19">
                  <v>0.076</v>
                </pt>
                <pt idx="20">
                  <v>0.079</v>
                </pt>
                <pt idx="21">
                  <v>0.078</v>
                </pt>
                <pt idx="22">
                  <v>0.08400000000000001</v>
                </pt>
                <pt idx="23">
                  <v>0.08</v>
                </pt>
                <pt idx="24">
                  <v>0.079</v>
                </pt>
                <pt idx="25">
                  <v>0.078</v>
                </pt>
                <pt idx="26">
                  <v>0.075</v>
                </pt>
                <pt idx="27">
                  <v>0.075</v>
                </pt>
                <pt idx="28">
                  <v>0.079</v>
                </pt>
                <pt idx="29">
                  <v>0.081</v>
                </pt>
                <pt idx="30">
                  <v>0.081</v>
                </pt>
                <pt idx="31">
                  <v>0.08599999999999999</v>
                </pt>
                <pt idx="32">
                  <v>0.078</v>
                </pt>
                <pt idx="33">
                  <v>0.081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7727984"/>
        <axId val="377728544"/>
      </lineChart>
      <dateAx>
        <axId val="377727984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bg1">
                <a:lumMod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7728544"/>
        <crosses val="autoZero"/>
        <lblOffset val="100"/>
        <baseTimeUnit val="days"/>
      </dateAx>
      <valAx>
        <axId val="377728544"/>
        <scaling>
          <orientation val="minMax"/>
          <max val="0.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772798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81615598885794"/>
          <y val="0.130078004268158"/>
          <w val="0.802596231877701"/>
          <h val="0.0825575833394657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ecpm</a:t>
            </a:r>
            <a:r>
              <a:rPr altLang="en-US" lang="zh-CN"/>
              <a:t>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12517272388305"/>
          <y val="0.217430737824439"/>
          <w val="0.900970543723817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'TBC3'!$X$54</f>
              <strCache>
                <ptCount val="1"/>
                <pt idx="0">
                  <v>整体ecpm</v>
                </pt>
              </strCache>
            </strRef>
          </tx>
          <spPr>
            <a:ln algn="ctr" cap="rnd" cmpd="sng" w="28575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'TBC3'!$X$55:$X$95</f>
              <numCache>
                <formatCode>General</formatCode>
                <ptCount val="41"/>
                <pt idx="0">
                  <v>21.15</v>
                </pt>
                <pt idx="1">
                  <v>22.03</v>
                </pt>
                <pt idx="2">
                  <v>24.21</v>
                </pt>
                <pt idx="3">
                  <v>25.13</v>
                </pt>
                <pt idx="4">
                  <v>25.46</v>
                </pt>
                <pt idx="5">
                  <v>22.76</v>
                </pt>
                <pt idx="6">
                  <v>19.23</v>
                </pt>
                <pt idx="7">
                  <v>19.12</v>
                </pt>
                <pt idx="8">
                  <v>19.87</v>
                </pt>
                <pt idx="9">
                  <v>21.4</v>
                </pt>
                <pt idx="10">
                  <v>22.77</v>
                </pt>
                <pt idx="11">
                  <v>23.32</v>
                </pt>
                <pt idx="12">
                  <v>22.67</v>
                </pt>
                <pt idx="13">
                  <v>20.66</v>
                </pt>
                <pt idx="14">
                  <v>19.63</v>
                </pt>
                <pt idx="15">
                  <v>21.07</v>
                </pt>
                <pt idx="16">
                  <v>23.77</v>
                </pt>
                <pt idx="17">
                  <v>24.59</v>
                </pt>
                <pt idx="18">
                  <v>24.23</v>
                </pt>
                <pt idx="19">
                  <v>21.68</v>
                </pt>
                <pt idx="20">
                  <v>19.11</v>
                </pt>
                <pt idx="21">
                  <v>19.56</v>
                </pt>
                <pt idx="22">
                  <v>19.14</v>
                </pt>
                <pt idx="23">
                  <v>21.86</v>
                </pt>
                <pt idx="24">
                  <v>21.64</v>
                </pt>
                <pt idx="25">
                  <v>20.76</v>
                </pt>
                <pt idx="26">
                  <v>19.69</v>
                </pt>
                <pt idx="27">
                  <v>18.08</v>
                </pt>
                <pt idx="28">
                  <v>18.53</v>
                </pt>
                <pt idx="29">
                  <v>19.2</v>
                </pt>
                <pt idx="30">
                  <v>21.13</v>
                </pt>
                <pt idx="31">
                  <v>21.83</v>
                </pt>
                <pt idx="32">
                  <v>22.56</v>
                </pt>
                <pt idx="33">
                  <v>21.2</v>
                </pt>
                <pt idx="34">
                  <v>18.66</v>
                </pt>
                <pt idx="35">
                  <v>19.02</v>
                </pt>
                <pt idx="36">
                  <v>19.44</v>
                </pt>
                <pt idx="37">
                  <v>21.3</v>
                </pt>
                <pt idx="38">
                  <v>22.8</v>
                </pt>
                <pt idx="39">
                  <v>23.4</v>
                </pt>
                <pt idx="40">
                  <v>23.1</v>
                </pt>
              </numCache>
            </numRef>
          </val>
          <smooth val="0"/>
        </ser>
        <ser>
          <idx val="1"/>
          <order val="1"/>
          <tx>
            <strRef>
              <f>'TBC3'!$Y$54</f>
              <strCache>
                <ptCount val="1"/>
                <pt idx="0">
                  <v>美国ecpm</v>
                </pt>
              </strCache>
            </strRef>
          </tx>
          <spPr>
            <a:ln algn="ctr" cap="rnd" cmpd="sng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'TBC3'!$Y$55:$Y$95</f>
              <numCache>
                <formatCode>General</formatCode>
                <ptCount val="41"/>
                <pt idx="0">
                  <v>29.13</v>
                </pt>
                <pt idx="1">
                  <v>30.45</v>
                </pt>
                <pt idx="2">
                  <v>31.81</v>
                </pt>
                <pt idx="3">
                  <v>34.14</v>
                </pt>
                <pt idx="4">
                  <v>34.7</v>
                </pt>
                <pt idx="5">
                  <v>31.2</v>
                </pt>
                <pt idx="6">
                  <v>26.98</v>
                </pt>
                <pt idx="7">
                  <v>27.43</v>
                </pt>
                <pt idx="8">
                  <v>27.6</v>
                </pt>
                <pt idx="9">
                  <v>29.35</v>
                </pt>
                <pt idx="10">
                  <v>32.24</v>
                </pt>
                <pt idx="11">
                  <v>32.15</v>
                </pt>
                <pt idx="12">
                  <v>29.92</v>
                </pt>
                <pt idx="13">
                  <v>28.9</v>
                </pt>
                <pt idx="14">
                  <v>29.81</v>
                </pt>
                <pt idx="15">
                  <v>31.2</v>
                </pt>
                <pt idx="16">
                  <v>34.39</v>
                </pt>
                <pt idx="17">
                  <v>36.58</v>
                </pt>
                <pt idx="18">
                  <v>35.94</v>
                </pt>
                <pt idx="19">
                  <v>32.09</v>
                </pt>
                <pt idx="20">
                  <v>29.14</v>
                </pt>
                <pt idx="21">
                  <v>29.21</v>
                </pt>
                <pt idx="22">
                  <v>28.55</v>
                </pt>
                <pt idx="23">
                  <v>32.49</v>
                </pt>
                <pt idx="24">
                  <v>32</v>
                </pt>
                <pt idx="25">
                  <v>31.05</v>
                </pt>
                <pt idx="26">
                  <v>29.04</v>
                </pt>
                <pt idx="27">
                  <v>27.32</v>
                </pt>
                <pt idx="28">
                  <v>27.76</v>
                </pt>
                <pt idx="29">
                  <v>27.62</v>
                </pt>
                <pt idx="30">
                  <v>30.44</v>
                </pt>
                <pt idx="31">
                  <v>31.64</v>
                </pt>
                <pt idx="32">
                  <v>32.27</v>
                </pt>
                <pt idx="33">
                  <v>29.93</v>
                </pt>
                <pt idx="34">
                  <v>26.76</v>
                </pt>
                <pt idx="35">
                  <v>27.72</v>
                </pt>
                <pt idx="36">
                  <v>27.65</v>
                </pt>
                <pt idx="37">
                  <v>30.2</v>
                </pt>
                <pt idx="38">
                  <v>33.3</v>
                </pt>
                <pt idx="39">
                  <v>34.7</v>
                </pt>
                <pt idx="40">
                  <v>33.6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7731904"/>
        <axId val="377732464"/>
      </lineChart>
      <dateAx>
        <axId val="377731904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7732464"/>
        <crosses val="autoZero"/>
        <lblOffset val="100"/>
        <baseTimeUnit val="days"/>
      </dateAx>
      <valAx>
        <axId val="377732464"/>
        <scaling>
          <orientation val="minMax"/>
          <min val="1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777319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2245577043455"/>
          <y val="0.130160994490152"/>
          <w val="0.432777777777778"/>
          <h val="0.0873848060659084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Microsoft Office 用户</author>
  </authors>
  <commentList>
    <comment authorId="0" ref="AB67" shapeId="0">
      <text>
        <t>吴嘉铭：
1.3.7版本iap打点问题，11月4日至11月17日付费取check字段，即Google play返回购买成功消息的数据(未通过服务器校验)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508000</colOff>
      <row>22</row>
      <rowOff>0</rowOff>
    </from>
    <to>
      <col>5</col>
      <colOff>628650</colOff>
      <row>35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508000</colOff>
      <row>35</row>
      <rowOff>139700</rowOff>
    </from>
    <to>
      <col>5</col>
      <colOff>622300</colOff>
      <row>49</row>
      <rowOff>42333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698500</colOff>
      <row>21</row>
      <rowOff>171450</rowOff>
    </from>
    <to>
      <col>10</col>
      <colOff>520700</colOff>
      <row>35</row>
      <rowOff>92075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533400</colOff>
      <row>22</row>
      <rowOff>0</rowOff>
    </from>
    <to>
      <col>14</col>
      <colOff>609600</colOff>
      <row>35</row>
      <rowOff>101600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10</col>
      <colOff>533400</colOff>
      <row>35</row>
      <rowOff>139700</rowOff>
    </from>
    <to>
      <col>14</col>
      <colOff>609600</colOff>
      <row>49</row>
      <rowOff>38100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5</col>
      <colOff>660400</colOff>
      <row>35</row>
      <rowOff>152400</rowOff>
    </from>
    <to>
      <col>10</col>
      <colOff>482600</colOff>
      <row>49</row>
      <rowOff>50800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16</col>
      <colOff>546100</colOff>
      <row>22</row>
      <rowOff>0</rowOff>
    </from>
    <to>
      <col>21</col>
      <colOff>628650</colOff>
      <row>35</row>
      <rowOff>101600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17</col>
      <colOff>0</colOff>
      <row>35</row>
      <rowOff>139700</rowOff>
    </from>
    <to>
      <col>21</col>
      <colOff>622300</colOff>
      <row>49</row>
      <rowOff>42333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21</col>
      <colOff>660400</colOff>
      <row>22</row>
      <rowOff>0</rowOff>
    </from>
    <to>
      <col>26</col>
      <colOff>482600</colOff>
      <row>35</row>
      <rowOff>101600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26</col>
      <colOff>533400</colOff>
      <row>22</row>
      <rowOff>0</rowOff>
    </from>
    <to>
      <col>30</col>
      <colOff>609600</colOff>
      <row>35</row>
      <rowOff>101600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26</col>
      <colOff>533400</colOff>
      <row>35</row>
      <rowOff>139700</rowOff>
    </from>
    <to>
      <col>31</col>
      <colOff>2822</colOff>
      <row>49</row>
      <rowOff>38100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21</col>
      <colOff>660400</colOff>
      <row>35</row>
      <rowOff>139700</rowOff>
    </from>
    <to>
      <col>26</col>
      <colOff>482600</colOff>
      <row>49</row>
      <rowOff>38100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14</col>
      <colOff>621665</colOff>
      <row>22</row>
      <rowOff>8890</rowOff>
    </from>
    <to>
      <col>15</col>
      <colOff>4888865</colOff>
      <row>35</row>
      <rowOff>110490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31</col>
      <colOff>0</colOff>
      <row>22</row>
      <rowOff>0</rowOff>
    </from>
    <to>
      <col>31</col>
      <colOff>4889500</colOff>
      <row>35</row>
      <rowOff>101600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rId1" Target="https://mobile.umeng.com/apps/150000aed7d9a4f8eb9317b5/events/5b84cc7ca40fa34b91000015?version=" TargetMode="External" Type="http://schemas.openxmlformats.org/officeDocument/2006/relationships/hyperlink" /><Relationship Id="rId2" Target="https://mobile.umeng.com/apps/eb00006c4684e34ff9d8d3b5/events/5b3de4bca40fa35729000065?version=" TargetMode="External" Type="http://schemas.openxmlformats.org/officeDocument/2006/relationships/hyperlink" /><Relationship Id="rId3" Target="https://mobile.umeng.com/apps/150000aed7d9a4f8eb9317b5/events/5b7289a4f43e487686000096?version=" TargetMode="External" Type="http://schemas.openxmlformats.org/officeDocument/2006/relationships/hyperlink" /><Relationship Id="rId4" Target="https://mobile.umeng.com/apps/150000aed7d9a4f8eb9317b5/events/5b84cc7ca40fa34b91000015?version=" TargetMode="External" Type="http://schemas.openxmlformats.org/officeDocument/2006/relationships/hyperlink" /><Relationship Id="rId5" Target="https://mobile.umeng.com/apps/eb00006c4684e34ff9d8d3b5/events/5b3de4bca40fa35729000065?version=" TargetMode="External" Type="http://schemas.openxmlformats.org/officeDocument/2006/relationships/hyperlink" /><Relationship Id="rId6" Target="https://mobile.umeng.com/apps/150000aed7d9a4f8eb9317b5/events/5b7289a4f43e487686000096?version=" TargetMode="External" Type="http://schemas.openxmlformats.org/officeDocument/2006/relationships/hyperlink" /><Relationship Id="rId7" Target="https://mobile.umeng.com/apps/150000aed7d9a4f8eb9317b5/events/5b84cc7ca40fa34b91000015?version=" TargetMode="External" Type="http://schemas.openxmlformats.org/officeDocument/2006/relationships/hyperlink" /><Relationship Id="rId8" Target="https://mobile.umeng.com/apps/eb00006c4684e34ff9d8d3b5/events/5b3de4bca40fa35729000065?version=" TargetMode="External" Type="http://schemas.openxmlformats.org/officeDocument/2006/relationships/hyperlink" /><Relationship Id="rId9" Target="https://mobile.umeng.com/apps/150000aed7d9a4f8eb9317b5/events/5b7289a4f43e487686000096?version=" TargetMode="External" Type="http://schemas.openxmlformats.org/officeDocument/2006/relationships/hyperlink" /><Relationship Id="rId10" Target="https://mobile.umeng.com/apps/150000aed7d9a4f8eb9317b5/events/5b84cc7ca40fa34b91000015?version=" TargetMode="External" Type="http://schemas.openxmlformats.org/officeDocument/2006/relationships/hyperlink" /><Relationship Id="rId11" Target="https://mobile.umeng.com/apps/eb00006c4684e34ff9d8d3b5/events/5b3de4bca40fa35729000065?version=" TargetMode="External" Type="http://schemas.openxmlformats.org/officeDocument/2006/relationships/hyperlink" /><Relationship Id="rId12" Target="https://mobile.umeng.com/apps/150000aed7d9a4f8eb9317b5/events/5b7289a4f43e487686000096?version=" TargetMode="External" Type="http://schemas.openxmlformats.org/officeDocument/2006/relationships/hyperlink" /><Relationship Id="rId13" Target="https://mobile.umeng.com/apps/150000aed7d9a4f8eb9317b5/events/5b84cc7ca40fa34b91000015?version=" TargetMode="External" Type="http://schemas.openxmlformats.org/officeDocument/2006/relationships/hyperlink" /><Relationship Id="rId14" Target="https://mobile.umeng.com/apps/eb00006c4684e34ff9d8d3b5/events/5b3de4bca40fa35729000065?version=" TargetMode="External" Type="http://schemas.openxmlformats.org/officeDocument/2006/relationships/hyperlink" /><Relationship Id="rId15" Target="https://mobile.umeng.com/apps/150000aed7d9a4f8eb9317b5/events/5b7289a4f43e487686000096?version=" TargetMode="External" Type="http://schemas.openxmlformats.org/officeDocument/2006/relationships/hyperlink" /><Relationship Id="rId16" Target="https://mobile.umeng.com/apps/150000aed7d9a4f8eb9317b5/events/5b84cc7ca40fa34b91000015?version=" TargetMode="External" Type="http://schemas.openxmlformats.org/officeDocument/2006/relationships/hyperlink" /><Relationship Id="rId17" Target="https://mobile.umeng.com/apps/eb00006c4684e34ff9d8d3b5/events/5b3de4bca40fa35729000065?version=" TargetMode="External" Type="http://schemas.openxmlformats.org/officeDocument/2006/relationships/hyperlink" /><Relationship Id="rId18" Target="https://mobile.umeng.com/apps/150000aed7d9a4f8eb9317b5/events/5b7289a4f43e487686000096?version=" TargetMode="External" Type="http://schemas.openxmlformats.org/officeDocument/2006/relationships/hyperlink" /><Relationship Id="rId19" Target="https://mobile.umeng.com/apps/150000aed7d9a4f8eb9317b5/events/5b84cc7ca40fa34b91000015?version=" TargetMode="External" Type="http://schemas.openxmlformats.org/officeDocument/2006/relationships/hyperlink" /><Relationship Id="rId20" Target="https://mobile.umeng.com/apps/eb00006c4684e34ff9d8d3b5/events/5b3de4bca40fa35729000065?version=" TargetMode="External" Type="http://schemas.openxmlformats.org/officeDocument/2006/relationships/hyperlink" /><Relationship Id="rId21" Target="https://mobile.umeng.com/apps/150000aed7d9a4f8eb9317b5/events/5b7289a4f43e487686000096?version=" TargetMode="External" Type="http://schemas.openxmlformats.org/officeDocument/2006/relationships/hyperlink" /><Relationship Id="rId22" Target="https://mobile.umeng.com/apps/150000aed7d9a4f8eb9317b5/events/5b84cc7ca40fa34b91000015?version=" TargetMode="External" Type="http://schemas.openxmlformats.org/officeDocument/2006/relationships/hyperlink" /><Relationship Id="rId23" Target="https://mobile.umeng.com/apps/eb00006c4684e34ff9d8d3b5/events/5b3de4bca40fa35729000065?version=" TargetMode="External" Type="http://schemas.openxmlformats.org/officeDocument/2006/relationships/hyperlink" /><Relationship Id="rId24" Target="https://mobile.umeng.com/apps/150000aed7d9a4f8eb9317b5/events/5b7289a4f43e487686000096?version=" TargetMode="External" Type="http://schemas.openxmlformats.org/officeDocument/2006/relationships/hyperlink" /><Relationship Id="rId25" Target="https://mobile.umeng.com/apps/150000aed7d9a4f8eb9317b5/events/5b84cc7ca40fa34b91000015?version=" TargetMode="External" Type="http://schemas.openxmlformats.org/officeDocument/2006/relationships/hyperlink" /><Relationship Id="rId26" Target="https://mobile.umeng.com/apps/eb00006c4684e34ff9d8d3b5/events/5b3de4bca40fa35729000065?version=" TargetMode="External" Type="http://schemas.openxmlformats.org/officeDocument/2006/relationships/hyperlink" /><Relationship Id="rId27" Target="https://mobile.umeng.com/apps/150000aed7d9a4f8eb9317b5/events/5b7289a4f43e487686000096?version=" TargetMode="External" Type="http://schemas.openxmlformats.org/officeDocument/2006/relationships/hyperlink" /><Relationship Id="rId28" Target="https://mobile.umeng.com/apps/150000aed7d9a4f8eb9317b5/events/5b84cc7ca40fa34b91000015?version=" TargetMode="External" Type="http://schemas.openxmlformats.org/officeDocument/2006/relationships/hyperlink" /><Relationship Id="rId29" Target="https://mobile.umeng.com/apps/eb00006c4684e34ff9d8d3b5/events/5b3de4bca40fa35729000065?version=" TargetMode="External" Type="http://schemas.openxmlformats.org/officeDocument/2006/relationships/hyperlink" /><Relationship Id="rId30" Target="https://mobile.umeng.com/apps/150000aed7d9a4f8eb9317b5/events/5b7289a4f43e487686000096?version=" TargetMode="External" Type="http://schemas.openxmlformats.org/officeDocument/2006/relationships/hyperlink" /><Relationship Id="rId31" Target="https://mobile.umeng.com/apps/150000aed7d9a4f8eb9317b5/events/5b84cc7ca40fa34b91000015?version=" TargetMode="External" Type="http://schemas.openxmlformats.org/officeDocument/2006/relationships/hyperlink" /><Relationship Id="rId32" Target="https://mobile.umeng.com/apps/eb00006c4684e34ff9d8d3b5/events/5b3de4bca40fa35729000065?version=" TargetMode="External" Type="http://schemas.openxmlformats.org/officeDocument/2006/relationships/hyperlink" /><Relationship Id="rId33" Target="https://mobile.umeng.com/apps/150000aed7d9a4f8eb9317b5/events/5b7289a4f43e487686000096?version=" TargetMode="External" Type="http://schemas.openxmlformats.org/officeDocument/2006/relationships/hyperlink" /><Relationship Id="rId34" Target="https://mobile.umeng.com/apps/150000aed7d9a4f8eb9317b5/events/5b84cc7ca40fa34b91000015?version=" TargetMode="External" Type="http://schemas.openxmlformats.org/officeDocument/2006/relationships/hyperlink" /><Relationship Id="rId35" Target="https://mobile.umeng.com/apps/eb00006c4684e34ff9d8d3b5/events/5b3de4bca40fa35729000065?version=" TargetMode="External" Type="http://schemas.openxmlformats.org/officeDocument/2006/relationships/hyperlink" /><Relationship Id="rId36" Target="https://mobile.umeng.com/apps/150000aed7d9a4f8eb9317b5/events/5b7289a4f43e487686000096?version=" TargetMode="External" Type="http://schemas.openxmlformats.org/officeDocument/2006/relationships/hyperlink" /><Relationship Id="rId37" Target="https://mobile.umeng.com/apps/eb00006c4684e34ff9d8d3b5/events/5b3de4bca40fa35729000065?version=" TargetMode="External" Type="http://schemas.openxmlformats.org/officeDocument/2006/relationships/hyperlink" /><Relationship Id="rId38" Target="https://mobile.umeng.com/apps/150000aed7d9a4f8eb9317b5/events/5b7289a4f43e487686000096?version=" TargetMode="External" Type="http://schemas.openxmlformats.org/officeDocument/2006/relationships/hyperlink" /><Relationship Id="rId39" Target="https://mobile.umeng.com/apps/eb00006c4684e34ff9d8d3b5/events/5b3de4bca40fa35729000065?version=" TargetMode="External" Type="http://schemas.openxmlformats.org/officeDocument/2006/relationships/hyperlink" /><Relationship Id="rId40" Target="https://mobile.umeng.com/apps/150000aed7d9a4f8eb9317b5/events/5b7289a4f43e487686000096?version=" TargetMode="External" Type="http://schemas.openxmlformats.org/officeDocument/2006/relationships/hyperlink" /><Relationship Id="rId41" Target="https://mobile.umeng.com/apps/eb00006c4684e34ff9d8d3b5/events/5b3de4bca40fa35729000065?version=" TargetMode="External" Type="http://schemas.openxmlformats.org/officeDocument/2006/relationships/hyperlink" /><Relationship Id="rId42" Target="https://mobile.umeng.com/apps/150000aed7d9a4f8eb9317b5/events/5b7289a4f43e487686000096?version=" TargetMode="External" Type="http://schemas.openxmlformats.org/officeDocument/2006/relationships/hyperlink" /><Relationship Id="rId43" Target="https://mobile.umeng.com/apps/eb00006c4684e34ff9d8d3b5/events/5b3de4bca40fa35729000065?version=" TargetMode="External" Type="http://schemas.openxmlformats.org/officeDocument/2006/relationships/hyperlink" /><Relationship Id="rId44" Target="https://mobile.umeng.com/apps/150000aed7d9a4f8eb9317b5/events/5b7289a4f43e487686000096?version=" TargetMode="External" Type="http://schemas.openxmlformats.org/officeDocument/2006/relationships/hyperlink" /><Relationship Id="rId45" Target="https://mobile.umeng.com/apps/eb00006c4684e34ff9d8d3b5/events/5b3de4bca40fa35729000065?version=" TargetMode="External" Type="http://schemas.openxmlformats.org/officeDocument/2006/relationships/hyperlink" /><Relationship Id="rId46" Target="https://mobile.umeng.com/apps/150000aed7d9a4f8eb9317b5/events/5b7289a4f43e487686000096?version=" TargetMode="External" Type="http://schemas.openxmlformats.org/officeDocument/2006/relationships/hyperlink" /><Relationship Id="rId47" Target="https://mobile.umeng.com/apps/eb00006c4684e34ff9d8d3b5/events/5b3de4bca40fa35729000065?version=" TargetMode="External" Type="http://schemas.openxmlformats.org/officeDocument/2006/relationships/hyperlink" /><Relationship Id="rId48" Target="https://mobile.umeng.com/apps/150000aed7d9a4f8eb9317b5/events/5b7289a4f43e487686000096?version=" TargetMode="External" Type="http://schemas.openxmlformats.org/officeDocument/2006/relationships/hyperlink" /><Relationship Id="rId49" Target="https://mobile.umeng.com/apps/eb00006c4684e34ff9d8d3b5/events/5b3de4bca40fa35729000065?version=" TargetMode="External" Type="http://schemas.openxmlformats.org/officeDocument/2006/relationships/hyperlink" /><Relationship Id="rId50" Target="https://mobile.umeng.com/apps/150000aed7d9a4f8eb9317b5/events/5b7289a4f43e487686000096?version=" TargetMode="External" Type="http://schemas.openxmlformats.org/officeDocument/2006/relationships/hyperlink" /><Relationship Id="rId51" Target="https://mobile.umeng.com/apps/eb00006c4684e34ff9d8d3b5/events/5b3de4bca40fa35729000065?version=" TargetMode="External" Type="http://schemas.openxmlformats.org/officeDocument/2006/relationships/hyperlink" /><Relationship Id="rId52" Target="https://mobile.umeng.com/apps/150000aed7d9a4f8eb9317b5/events/5b7289a4f43e487686000096?version=" TargetMode="External" Type="http://schemas.openxmlformats.org/officeDocument/2006/relationships/hyperlink" /><Relationship Id="rId53" Target="https://mobile.umeng.com/apps/eb00006c4684e34ff9d8d3b5/events/5b3de4bca40fa35729000065?version=" TargetMode="External" Type="http://schemas.openxmlformats.org/officeDocument/2006/relationships/hyperlink" /><Relationship Id="rId54" Target="https://mobile.umeng.com/apps/150000aed7d9a4f8eb9317b5/events/5b7289a4f43e487686000096?version=" TargetMode="External" Type="http://schemas.openxmlformats.org/officeDocument/2006/relationships/hyperlink" /><Relationship Id="rId55" Target="https://mobile.umeng.com/apps/eb00006c4684e34ff9d8d3b5/events/5b3de4bca40fa35729000065?version=" TargetMode="External" Type="http://schemas.openxmlformats.org/officeDocument/2006/relationships/hyperlink" /><Relationship Id="rId56" Target="https://mobile.umeng.com/apps/150000aed7d9a4f8eb9317b5/events/5b7289a4f43e487686000096?version=" TargetMode="External" Type="http://schemas.openxmlformats.org/officeDocument/2006/relationships/hyperlink" /><Relationship Id="rId57" Target="https://mobile.umeng.com/apps/eb00006c4684e34ff9d8d3b5/events/5b3de4bca40fa35729000065?version=" TargetMode="External" Type="http://schemas.openxmlformats.org/officeDocument/2006/relationships/hyperlink" /><Relationship Id="rId58" Target="https://mobile.umeng.com/apps/150000aed7d9a4f8eb9317b5/events/5b7289a4f43e487686000096?version=" TargetMode="External" Type="http://schemas.openxmlformats.org/officeDocument/2006/relationships/hyperlink" /><Relationship Id="rId59" Target="https://mobile.umeng.com/apps/eb00006c4684e34ff9d8d3b5/events/5b3de4bca40fa35729000065?version=" TargetMode="External" Type="http://schemas.openxmlformats.org/officeDocument/2006/relationships/hyperlink" /><Relationship Id="rId60" Target="https://mobile.umeng.com/apps/150000aed7d9a4f8eb9317b5/events/5b7289a4f43e487686000096?version=" TargetMode="External" Type="http://schemas.openxmlformats.org/officeDocument/2006/relationships/hyperlink" /><Relationship Id="rId61" Target="https://mobile.umeng.com/apps/eb00006c4684e34ff9d8d3b5/events/5b3de4bca40fa35729000065?version=" TargetMode="External" Type="http://schemas.openxmlformats.org/officeDocument/2006/relationships/hyperlink" /><Relationship Id="rId62" Target="https://mobile.umeng.com/apps/150000aed7d9a4f8eb9317b5/events/5b7289a4f43e487686000096?version=" TargetMode="External" Type="http://schemas.openxmlformats.org/officeDocument/2006/relationships/hyperlink" /><Relationship Id="rId63" Target="https://mobile.umeng.com/apps/eb00006c4684e34ff9d8d3b5/events/5b3de4bca40fa35729000065?version=" TargetMode="External" Type="http://schemas.openxmlformats.org/officeDocument/2006/relationships/hyperlink" /><Relationship Id="rId64" Target="https://mobile.umeng.com/apps/150000aed7d9a4f8eb9317b5/events/5b7289a4f43e487686000096?version=" TargetMode="External" Type="http://schemas.openxmlformats.org/officeDocument/2006/relationships/hyperlink" /><Relationship Id="rId65" Target="https://mobile.umeng.com/apps/eb00006c4684e34ff9d8d3b5/events/5b3de4bca40fa35729000065?version=" TargetMode="External" Type="http://schemas.openxmlformats.org/officeDocument/2006/relationships/hyperlink" /><Relationship Id="rId66" Target="https://mobile.umeng.com/apps/150000aed7d9a4f8eb9317b5/events/5b7289a4f43e487686000096?version=" TargetMode="External" Type="http://schemas.openxmlformats.org/officeDocument/2006/relationships/hyperlink" /><Relationship Id="rId67" Target="https://mobile.umeng.com/apps/eb00006c4684e34ff9d8d3b5/events/5b3de4bca40fa35729000065?version=" TargetMode="External" Type="http://schemas.openxmlformats.org/officeDocument/2006/relationships/hyperlink" /><Relationship Id="rId68" Target="https://mobile.umeng.com/apps/150000aed7d9a4f8eb9317b5/events/5b7289a4f43e487686000096?version=" TargetMode="External" Type="http://schemas.openxmlformats.org/officeDocument/2006/relationships/hyperlink" /><Relationship Id="rId69" Target="https://mobile.umeng.com/apps/eb00006c4684e34ff9d8d3b5/events/5b3de4bca40fa35729000065?version=" TargetMode="External" Type="http://schemas.openxmlformats.org/officeDocument/2006/relationships/hyperlink" /><Relationship Id="rId70" Target="https://mobile.umeng.com/apps/150000aed7d9a4f8eb9317b5/events/5b7289a4f43e487686000096?version=" TargetMode="External" Type="http://schemas.openxmlformats.org/officeDocument/2006/relationships/hyperlink" /><Relationship Id="rId71" Target="https://mobile.umeng.com/apps/eb00006c4684e34ff9d8d3b5/events/5b3de4bca40fa35729000065?version=" TargetMode="External" Type="http://schemas.openxmlformats.org/officeDocument/2006/relationships/hyperlink" /><Relationship Id="rId72" Target="https://mobile.umeng.com/apps/150000aed7d9a4f8eb9317b5/events/5b7289a4f43e487686000096?version=" TargetMode="External" Type="http://schemas.openxmlformats.org/officeDocument/2006/relationships/hyperlink" /><Relationship Id="rId73" Target="https://mobile.umeng.com/apps/eb00006c4684e34ff9d8d3b5/events/5b3de4bca40fa35729000065?version=" TargetMode="External" Type="http://schemas.openxmlformats.org/officeDocument/2006/relationships/hyperlink" /><Relationship Id="rId74" Target="https://mobile.umeng.com/apps/150000aed7d9a4f8eb9317b5/events/5b7289a4f43e487686000096?version=" TargetMode="External" Type="http://schemas.openxmlformats.org/officeDocument/2006/relationships/hyperlink" /><Relationship Id="rId75" Target="https://mobile.umeng.com/apps/eb00006c4684e34ff9d8d3b5/events/5b3de4bca40fa35729000065?version=" TargetMode="External" Type="http://schemas.openxmlformats.org/officeDocument/2006/relationships/hyperlink" /><Relationship Id="rId76" Target="https://mobile.umeng.com/apps/150000aed7d9a4f8eb9317b5/events/5b7289a4f43e487686000096?version=" TargetMode="External" Type="http://schemas.openxmlformats.org/officeDocument/2006/relationships/hyperlink" /><Relationship Id="rId77" Target="https://mobile.umeng.com/apps/eb00006c4684e34ff9d8d3b5/events/5b3de4bca40fa35729000065?version=" TargetMode="External" Type="http://schemas.openxmlformats.org/officeDocument/2006/relationships/hyperlink" /><Relationship Id="rId78" Target="https://mobile.umeng.com/apps/150000aed7d9a4f8eb9317b5/events/5b7289a4f43e487686000096?version=" TargetMode="External" Type="http://schemas.openxmlformats.org/officeDocument/2006/relationships/hyperlink" /><Relationship Id="rId79" Target="https://mobile.umeng.com/apps/eb00006c4684e34ff9d8d3b5/events/5b3de4bca40fa35729000065?version=" TargetMode="External" Type="http://schemas.openxmlformats.org/officeDocument/2006/relationships/hyperlink" /><Relationship Id="rId80" Target="https://mobile.umeng.com/apps/150000aed7d9a4f8eb9317b5/events/5b7289a4f43e487686000096?version=" TargetMode="External" Type="http://schemas.openxmlformats.org/officeDocument/2006/relationships/hyperlink" /><Relationship Id="rId81" Target="https://mobile.umeng.com/apps/eb00006c4684e34ff9d8d3b5/events/5b3de4bca40fa35729000065?version=" TargetMode="External" Type="http://schemas.openxmlformats.org/officeDocument/2006/relationships/hyperlink" /><Relationship Id="rId82" Target="https://mobile.umeng.com/apps/150000aed7d9a4f8eb9317b5/events/5b7289a4f43e487686000096?version=" TargetMode="External" Type="http://schemas.openxmlformats.org/officeDocument/2006/relationships/hyperlink" /><Relationship Id="rId83" Target="https://mobile.umeng.com/apps/150000aed7d9a4f8eb9317b5/events/dashboard?game=true&amp;frame=0" TargetMode="External" Type="http://schemas.openxmlformats.org/officeDocument/2006/relationships/hyperlink" /><Relationship Id="rId84" Target="https://mobile.umeng.com/apps/150000aed7d9a4f8eb9317b5/events/5b7289ddf43e4838c7000268?version=" TargetMode="External" Type="http://schemas.openxmlformats.org/officeDocument/2006/relationships/hyperlink" /><Relationship Id="rId85" Target="https://mobile.umeng.com/apps/150000aed7d9a4f8eb9317b5/events/dashboard?game=true&amp;frame=0" TargetMode="External" Type="http://schemas.openxmlformats.org/officeDocument/2006/relationships/hyperlink" /><Relationship Id="rId86" Target="https://mobile.umeng.com/apps/150000aed7d9a4f8eb9317b5/events/5b7289a4f43e487686000096?version=" TargetMode="External" Type="http://schemas.openxmlformats.org/officeDocument/2006/relationships/hyperlink" /><Relationship Id="rId87" Target="https://mobile.umeng.com/apps/150000aed7d9a4f8eb9317b5/events/dashboard?game=true&amp;frame=0" TargetMode="External" Type="http://schemas.openxmlformats.org/officeDocument/2006/relationships/hyperlink" /><Relationship Id="rId88" Target="https://mobile.umeng.com/apps/150000aed7d9a4f8eb9317b5/events/5b84cc7ca40fa34b91000015?version=" TargetMode="External" Type="http://schemas.openxmlformats.org/officeDocument/2006/relationships/hyperlink" /><Relationship Id="rId89" Target="https://mobile.umeng.com/apps/150000aed7d9a4f8eb9317b5/events/dashboard?game=true&amp;frame=0" TargetMode="External" Type="http://schemas.openxmlformats.org/officeDocument/2006/relationships/hyperlink" /><Relationship Id="rId90" Target="https://mobile.umeng.com/apps/150000aed7d9a4f8eb9317b5/events/5b84cc7ca40fa34b91000019?version=" TargetMode="External" Type="http://schemas.openxmlformats.org/officeDocument/2006/relationships/hyperlink" /><Relationship Id="rId91" Target="https://mobile.umeng.com/apps/150000aed7d9a4f8eb9317b5/events/dashboard?game=true&amp;frame=0" TargetMode="External" Type="http://schemas.openxmlformats.org/officeDocument/2006/relationships/hyperlink" /><Relationship Id="rId92" Target="https://mobile.umeng.com/apps/150000aed7d9a4f8eb9317b5/events/5b9a2569b27b0a5cb8000054?version=" TargetMode="External" Type="http://schemas.openxmlformats.org/officeDocument/2006/relationships/hyperlink" /><Relationship Id="rId93" Target="https://mobile.umeng.com/apps/150000aed7d9a4f8eb9317b5/events/dashboard?game=true&amp;frame=0" TargetMode="External" Type="http://schemas.openxmlformats.org/officeDocument/2006/relationships/hyperlink" /><Relationship Id="rId94" Target="https://mobile.umeng.com/apps/150000aed7d9a4f8eb9317b5/events/5b7289ddf43e4838c7000282?version=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N444"/>
  <sheetViews>
    <sheetView workbookViewId="0" zoomScale="119" zoomScaleNormal="119">
      <pane activePane="bottomRight" state="frozen" topLeftCell="C424" xSplit="2" ySplit="2"/>
      <selection activeCell="A1" pane="topRight" sqref="A1"/>
      <selection activeCell="A1" pane="bottomLeft" sqref="A1"/>
      <selection activeCell="A453" pane="bottomRight" sqref="A453"/>
    </sheetView>
  </sheetViews>
  <sheetFormatPr baseColWidth="8" customHeight="1" defaultColWidth="10.81640625" defaultRowHeight="16.05" outlineLevelRow="1"/>
  <cols>
    <col customWidth="1" max="1" min="1" style="117" width="11.6328125"/>
    <col customWidth="1" max="2" min="2" style="267" width="5.1796875"/>
    <col customWidth="1" max="3" min="3" style="268" width="13"/>
    <col customWidth="1" max="4" min="4" outlineLevel="1" style="268" width="13"/>
    <col customWidth="1" max="5" min="5" style="269" width="13"/>
    <col customWidth="1" max="6" min="6" style="270" width="13"/>
    <col customWidth="1" max="8" min="7" style="271" width="13"/>
    <col customWidth="1" max="11" min="9" style="142" width="13"/>
    <col customWidth="1" max="12" min="12" style="270" width="13"/>
    <col customWidth="1" max="13" min="13" style="272" width="13"/>
    <col customWidth="1" max="14" min="14" style="270" width="13"/>
    <col customWidth="1" max="15" min="15" style="273" width="13"/>
    <col customWidth="1" max="23" min="16" style="270" width="13"/>
    <col customWidth="1" max="24" min="24" style="274" width="13"/>
    <col customWidth="1" max="25" min="25" style="269" width="13"/>
    <col customWidth="1" max="27" min="26" style="275" width="13"/>
    <col customWidth="1" max="28" min="28" style="270" width="13"/>
    <col customWidth="1" hidden="1" max="29" min="29" style="270" width="13"/>
    <col customWidth="1" max="30" min="30" style="276" width="13"/>
    <col customWidth="1" max="31" min="31" style="141" width="13"/>
    <col customWidth="1" max="32" min="32" style="270" width="13"/>
    <col customWidth="1" max="33" min="33" style="277" width="13"/>
    <col customWidth="1" max="35" min="34" style="131" width="13"/>
    <col customWidth="1" max="36" min="36" style="270" width="13"/>
    <col customWidth="1" max="38" min="37" style="130" width="13"/>
    <col customWidth="1" max="39" min="39" style="133" width="13"/>
    <col customWidth="1" max="40" min="40" style="270" width="11.81640625"/>
    <col customWidth="1" max="66" min="41" style="270" width="10.81640625"/>
    <col customWidth="1" max="16384" min="67" style="270" width="10.81640625"/>
  </cols>
  <sheetData>
    <row customFormat="1" customHeight="1" ht="11.25" r="1" s="278">
      <c r="A1" s="226" t="inlineStr">
        <is>
          <t>日期</t>
        </is>
      </c>
      <c r="B1" s="279" t="inlineStr">
        <is>
          <t>版本</t>
        </is>
      </c>
      <c r="C1" s="280" t="inlineStr">
        <is>
          <t>新增</t>
        </is>
      </c>
      <c r="D1" s="280" t="inlineStr">
        <is>
          <t>日活</t>
        </is>
      </c>
      <c r="E1" s="281" t="inlineStr">
        <is>
          <t>平均生命周期(日活/新增)</t>
        </is>
      </c>
      <c r="F1" s="279" t="inlineStr">
        <is>
          <t>LTV</t>
        </is>
      </c>
      <c r="G1" s="282" t="inlineStr">
        <is>
          <t>ecpm</t>
        </is>
      </c>
      <c r="H1" s="283" t="inlineStr">
        <is>
          <t>美国ecpm</t>
        </is>
      </c>
      <c r="I1" s="233" t="inlineStr">
        <is>
          <t>次留</t>
        </is>
      </c>
      <c r="J1" s="233" t="inlineStr">
        <is>
          <t>3日留存</t>
        </is>
      </c>
      <c r="K1" s="233" t="inlineStr">
        <is>
          <t>7日留存</t>
        </is>
      </c>
      <c r="L1" s="279" t="inlineStr">
        <is>
          <t>人均启动次数</t>
        </is>
      </c>
      <c r="M1" s="279" t="inlineStr">
        <is>
          <t>人均视频次数(日活)</t>
        </is>
      </c>
      <c r="N1" s="279" t="inlineStr">
        <is>
          <t>人均视频次数(独立)</t>
        </is>
      </c>
      <c r="O1" s="284" t="inlineStr">
        <is>
          <t>视频用户覆盖率</t>
        </is>
      </c>
      <c r="P1" s="279" t="inlineStr">
        <is>
          <t>各视频位人均播放次数（独立）</t>
        </is>
      </c>
      <c r="Q1" s="224" t="n"/>
      <c r="R1" s="224" t="n"/>
      <c r="S1" s="224" t="n"/>
      <c r="T1" s="224" t="n"/>
      <c r="U1" s="224" t="n"/>
      <c r="V1" s="224" t="n"/>
      <c r="W1" s="225" t="n"/>
      <c r="X1" s="285" t="inlineStr">
        <is>
          <t>人均插屏次数（日活）</t>
        </is>
      </c>
      <c r="Y1" s="236" t="inlineStr">
        <is>
          <t>人均视频+插屏次数（日活）</t>
        </is>
      </c>
      <c r="Z1" s="286" t="inlineStr">
        <is>
          <t>IAP购买次数</t>
        </is>
      </c>
      <c r="AA1" s="286" t="inlineStr">
        <is>
          <t>IAP购买人数</t>
        </is>
      </c>
      <c r="AB1" s="279" t="inlineStr">
        <is>
          <t>付费金额</t>
        </is>
      </c>
      <c r="AC1" s="279" t="inlineStr">
        <is>
          <t>itunes收入</t>
        </is>
      </c>
      <c r="AD1" s="287" t="inlineStr">
        <is>
          <t>人均付费次数(日活)</t>
        </is>
      </c>
      <c r="AE1" s="239" t="inlineStr">
        <is>
          <t>付费率(购买人数/日活)</t>
        </is>
      </c>
      <c r="AF1" s="279" t="inlineStr">
        <is>
          <t>单次付费价值</t>
        </is>
      </c>
      <c r="AG1" s="236" t="inlineStr">
        <is>
          <t>人均付费金额(日活)</t>
        </is>
      </c>
      <c r="AH1" s="242" t="inlineStr">
        <is>
          <t>第5个产业解锁率（新增）</t>
        </is>
      </c>
      <c r="AI1" s="242" t="inlineStr">
        <is>
          <t>第10个产业解锁率（新增）</t>
        </is>
      </c>
      <c r="AJ1" s="279" t="inlineStr">
        <is>
          <t>人均claim次数(日活)</t>
        </is>
      </c>
      <c r="AK1" s="240" t="inlineStr">
        <is>
          <t>进入地图2的用户占比(日活)</t>
        </is>
      </c>
      <c r="AL1" s="240" t="inlineStr">
        <is>
          <t>进入地图3的用户占比(日活)</t>
        </is>
      </c>
      <c r="AM1" s="240" t="inlineStr">
        <is>
          <t>进入event的用户占比(日活)</t>
        </is>
      </c>
      <c r="AN1" s="241" t="inlineStr">
        <is>
          <t>美国facebook 24小时视频数</t>
        </is>
      </c>
    </row>
    <row customFormat="1" customHeight="1" ht="12" r="2" s="278">
      <c r="A2" s="225" t="n"/>
      <c r="B2" s="227" t="n"/>
      <c r="C2" s="227" t="n"/>
      <c r="D2" s="227" t="n"/>
      <c r="E2" s="227" t="n"/>
      <c r="F2" s="227" t="n"/>
      <c r="G2" s="227" t="n"/>
      <c r="H2" s="232" t="n"/>
      <c r="I2" s="227" t="n"/>
      <c r="J2" s="227" t="n"/>
      <c r="K2" s="227" t="n"/>
      <c r="L2" s="227" t="n"/>
      <c r="M2" s="227" t="n"/>
      <c r="N2" s="227" t="n"/>
      <c r="O2" s="232" t="n"/>
      <c r="P2" s="288" t="inlineStr">
        <is>
          <t>doublecash</t>
        </is>
      </c>
      <c r="Q2" s="288" t="inlineStr">
        <is>
          <t>offline</t>
        </is>
      </c>
      <c r="R2" s="288" t="inlineStr">
        <is>
          <t>claim</t>
        </is>
      </c>
      <c r="S2" s="288" t="inlineStr">
        <is>
          <t>freebonus</t>
        </is>
      </c>
      <c r="T2" s="288" t="inlineStr">
        <is>
          <t>speed</t>
        </is>
      </c>
      <c r="U2" s="288" t="inlineStr">
        <is>
          <t>spin</t>
        </is>
      </c>
      <c r="V2" s="288" t="inlineStr">
        <is>
          <t>skiptime</t>
        </is>
      </c>
      <c r="W2" s="288" t="inlineStr">
        <is>
          <t>50%discount</t>
        </is>
      </c>
      <c r="X2" s="227" t="n"/>
      <c r="Y2" s="227" t="n"/>
      <c r="Z2" s="227" t="n"/>
      <c r="AA2" s="227" t="n"/>
      <c r="AB2" s="227" t="n"/>
      <c r="AC2" s="227" t="n"/>
      <c r="AD2" s="227" t="n"/>
      <c r="AE2" s="227" t="n"/>
      <c r="AF2" s="227" t="n"/>
      <c r="AG2" s="227" t="n"/>
      <c r="AH2" s="227" t="n"/>
      <c r="AI2" s="227" t="n"/>
      <c r="AJ2" s="227" t="n"/>
      <c r="AK2" s="227" t="n"/>
      <c r="AL2" s="227" t="n"/>
      <c r="AM2" s="227" t="n"/>
      <c r="AN2" s="227" t="n"/>
    </row>
    <row customHeight="1" ht="13.2" r="3" s="3">
      <c r="A3" s="117" t="n">
        <v>43344</v>
      </c>
      <c r="B3" s="267" t="inlineStr">
        <is>
          <t>iOS</t>
        </is>
      </c>
      <c r="C3" s="268" t="n">
        <v>784</v>
      </c>
      <c r="D3" s="268" t="n">
        <v>2288</v>
      </c>
      <c r="E3" s="269">
        <f>D3/C3</f>
        <v/>
      </c>
      <c r="F3" s="270">
        <f>E3*M3*G3/1000+E3*AB3/D3*0.7</f>
        <v/>
      </c>
      <c r="G3" s="271" t="n">
        <v>27.14</v>
      </c>
      <c r="I3" s="142" t="n">
        <v>0.481</v>
      </c>
      <c r="J3" s="142" t="n">
        <v>0.24</v>
      </c>
      <c r="K3" s="142" t="n">
        <v>0.098</v>
      </c>
      <c r="L3" s="270" t="n">
        <v>10.6490384615385</v>
      </c>
      <c r="M3" s="272" t="n">
        <v>7.27447552447552</v>
      </c>
      <c r="N3" s="270" t="n">
        <v>10.8218465539662</v>
      </c>
      <c r="O3" s="273">
        <f>M3/N3</f>
        <v/>
      </c>
      <c r="P3" s="270" t="n">
        <v>2.39791937581274</v>
      </c>
      <c r="Q3" s="270" t="n">
        <v>2.1553966189857</v>
      </c>
      <c r="R3" s="270" t="n">
        <v>2.56566970091027</v>
      </c>
      <c r="S3" s="270" t="n">
        <v>0.842652795838752</v>
      </c>
      <c r="T3" s="270" t="n">
        <v>1.425877763329</v>
      </c>
      <c r="U3" s="270" t="n">
        <v>0.000650195058517555</v>
      </c>
      <c r="V3" s="270" t="n">
        <v>1.09557867360208</v>
      </c>
      <c r="W3" s="270" t="n">
        <v>0.338101430429129</v>
      </c>
      <c r="X3" s="274" t="n">
        <v>0.0144230769230769</v>
      </c>
      <c r="Y3" s="269">
        <f>X3+M3</f>
        <v/>
      </c>
      <c r="Z3" s="275" t="n">
        <v>50</v>
      </c>
      <c r="AA3" s="275" t="n">
        <v>28</v>
      </c>
      <c r="AB3" s="270" t="n">
        <v>271.5</v>
      </c>
      <c r="AC3" s="270" t="n">
        <v>149</v>
      </c>
      <c r="AD3" s="276">
        <f>Z3/D3</f>
        <v/>
      </c>
      <c r="AE3" s="141">
        <f>AA3/D3</f>
        <v/>
      </c>
      <c r="AF3" s="270">
        <f>AB3/Z3</f>
        <v/>
      </c>
      <c r="AG3" s="277">
        <f>AD3*AF3</f>
        <v/>
      </c>
      <c r="AH3" s="131">
        <f>624/C3</f>
        <v/>
      </c>
      <c r="AI3" s="131">
        <f>396/C3</f>
        <v/>
      </c>
      <c r="AJ3" s="270">
        <f>1334/D3</f>
        <v/>
      </c>
    </row>
    <row customHeight="1" ht="13.2" outlineLevel="1" r="4" s="3">
      <c r="A4" s="117" t="n">
        <v>43345</v>
      </c>
      <c r="B4" s="267" t="inlineStr">
        <is>
          <t>iOS</t>
        </is>
      </c>
      <c r="C4" s="268" t="n">
        <v>728</v>
      </c>
      <c r="D4" s="268" t="n">
        <v>2301</v>
      </c>
      <c r="E4" s="269">
        <f>D4/C4</f>
        <v/>
      </c>
      <c r="F4" s="270">
        <f>E4*M4*G4/1000+E4*AB4/D4*0.7</f>
        <v/>
      </c>
      <c r="G4" s="271" t="n">
        <v>23.98</v>
      </c>
      <c r="I4" s="142" t="n">
        <v>0.455</v>
      </c>
      <c r="J4" s="142" t="n">
        <v>0.213</v>
      </c>
      <c r="K4" s="142" t="n">
        <v>0.128</v>
      </c>
      <c r="L4" s="270" t="n">
        <v>9.310734463276839</v>
      </c>
      <c r="M4" s="272" t="n">
        <v>6.90786614515428</v>
      </c>
      <c r="N4" s="270" t="n">
        <v>10.1825752722614</v>
      </c>
      <c r="O4" s="273">
        <f>M4/N4</f>
        <v/>
      </c>
      <c r="P4" s="270" t="n">
        <v>2.35938500960922</v>
      </c>
      <c r="Q4" s="270" t="n">
        <v>1.99871877001922</v>
      </c>
      <c r="R4" s="270" t="n">
        <v>2.10762331838565</v>
      </c>
      <c r="S4" s="270" t="n">
        <v>0.839205637411915</v>
      </c>
      <c r="T4" s="270" t="n">
        <v>1.40038436899423</v>
      </c>
      <c r="U4" s="270" t="n">
        <v>0</v>
      </c>
      <c r="V4" s="270" t="n">
        <v>1.11531069827034</v>
      </c>
      <c r="W4" s="270" t="n">
        <v>0.361947469570788</v>
      </c>
      <c r="X4" s="274" t="n">
        <v>0.015645371577575</v>
      </c>
      <c r="Y4" s="269">
        <f>X4+M4</f>
        <v/>
      </c>
      <c r="Z4" s="275" t="n">
        <v>40</v>
      </c>
      <c r="AA4" s="275" t="n">
        <v>28</v>
      </c>
      <c r="AB4" s="270" t="n">
        <v>233.6</v>
      </c>
      <c r="AC4" s="270" t="n">
        <v>177</v>
      </c>
      <c r="AD4" s="276">
        <f>Z4/D4</f>
        <v/>
      </c>
      <c r="AE4" s="141">
        <f>AA4/D4</f>
        <v/>
      </c>
      <c r="AF4" s="270">
        <f>AB4/Z4</f>
        <v/>
      </c>
      <c r="AG4" s="277">
        <f>AD4*AF4</f>
        <v/>
      </c>
      <c r="AH4" s="131">
        <f>598/C4</f>
        <v/>
      </c>
      <c r="AI4" s="131">
        <f>407/C4</f>
        <v/>
      </c>
      <c r="AJ4" s="270">
        <f>1440/D4</f>
        <v/>
      </c>
    </row>
    <row customHeight="1" ht="13.2" outlineLevel="1" r="5" s="3">
      <c r="A5" s="117" t="n">
        <v>43346</v>
      </c>
      <c r="B5" s="267" t="inlineStr">
        <is>
          <t>iOS</t>
        </is>
      </c>
      <c r="C5" s="268" t="n">
        <v>800</v>
      </c>
      <c r="D5" s="268" t="n">
        <v>2410</v>
      </c>
      <c r="E5" s="269">
        <f>D5/C5</f>
        <v/>
      </c>
      <c r="F5" s="270">
        <f>E5*M5*G5/1000+E5*AB5/D5*0.7</f>
        <v/>
      </c>
      <c r="G5" s="271" t="n">
        <v>25.09</v>
      </c>
      <c r="I5" s="142" t="n">
        <v>0.468</v>
      </c>
      <c r="J5" s="142" t="n">
        <v>0.209</v>
      </c>
      <c r="K5" s="142" t="n">
        <v>0.128</v>
      </c>
      <c r="L5" s="270" t="n">
        <v>9.118672199170121</v>
      </c>
      <c r="M5" s="272" t="n">
        <v>6.72365145228216</v>
      </c>
      <c r="N5" s="270" t="n">
        <v>10.0645962732919</v>
      </c>
      <c r="O5" s="273">
        <f>M5/N5</f>
        <v/>
      </c>
      <c r="P5" s="270" t="n">
        <v>2.3111801242236</v>
      </c>
      <c r="Q5" s="270" t="n">
        <v>2.02173913043478</v>
      </c>
      <c r="R5" s="270" t="n">
        <v>2.08385093167702</v>
      </c>
      <c r="S5" s="270" t="n">
        <v>0.828571428571429</v>
      </c>
      <c r="T5" s="270" t="n">
        <v>1.33105590062112</v>
      </c>
      <c r="U5" s="270" t="n">
        <v>0</v>
      </c>
      <c r="V5" s="270" t="n">
        <v>1.15900621118012</v>
      </c>
      <c r="W5" s="270" t="n">
        <v>0.329192546583851</v>
      </c>
      <c r="X5" s="274" t="n">
        <v>0.009958506224066389</v>
      </c>
      <c r="Y5" s="269">
        <f>X5+M5</f>
        <v/>
      </c>
      <c r="Z5" s="275" t="n">
        <v>57</v>
      </c>
      <c r="AA5" s="275" t="n">
        <v>39</v>
      </c>
      <c r="AB5" s="270" t="n">
        <v>352.43</v>
      </c>
      <c r="AC5" s="270" t="n">
        <v>310</v>
      </c>
      <c r="AD5" s="276">
        <f>Z5/D5</f>
        <v/>
      </c>
      <c r="AE5" s="141">
        <f>AA5/D5</f>
        <v/>
      </c>
      <c r="AF5" s="270">
        <f>AB5/Z5</f>
        <v/>
      </c>
      <c r="AG5" s="277">
        <f>AD5*AF5</f>
        <v/>
      </c>
      <c r="AH5" s="131">
        <f>592/C5</f>
        <v/>
      </c>
      <c r="AI5" s="131">
        <f>373/C5</f>
        <v/>
      </c>
      <c r="AJ5" s="270">
        <f>1497/D5</f>
        <v/>
      </c>
    </row>
    <row customHeight="1" ht="13.2" outlineLevel="1" r="6" s="3">
      <c r="A6" s="117" t="n">
        <v>43347</v>
      </c>
      <c r="B6" s="267" t="inlineStr">
        <is>
          <t>iOS</t>
        </is>
      </c>
      <c r="C6" s="268" t="n">
        <v>751</v>
      </c>
      <c r="D6" s="268" t="n">
        <v>2397</v>
      </c>
      <c r="E6" s="269">
        <f>D6/C6</f>
        <v/>
      </c>
      <c r="F6" s="270">
        <f>E6*M6*G6/1000+E6*AB6/D6*0.7</f>
        <v/>
      </c>
      <c r="G6" s="271" t="n">
        <v>28.27</v>
      </c>
      <c r="I6" s="142" t="n">
        <v>0.494</v>
      </c>
      <c r="J6" s="142" t="n">
        <v>0.242</v>
      </c>
      <c r="K6" s="142" t="n">
        <v>0.029</v>
      </c>
      <c r="L6" s="270" t="n">
        <v>8.719649561952441</v>
      </c>
      <c r="M6" s="272" t="n">
        <v>6.31455986649979</v>
      </c>
      <c r="N6" s="270" t="n">
        <v>9.383756974581519</v>
      </c>
      <c r="O6" s="273">
        <f>M6/N6</f>
        <v/>
      </c>
      <c r="P6" s="270" t="n">
        <v>2.2957222566646</v>
      </c>
      <c r="Q6" s="270" t="n">
        <v>1.86856788592684</v>
      </c>
      <c r="R6" s="270" t="n">
        <v>1.84314941103534</v>
      </c>
      <c r="S6" s="270" t="n">
        <v>0.846869187848729</v>
      </c>
      <c r="T6" s="270" t="n">
        <v>1.31680099194048</v>
      </c>
      <c r="U6" s="270" t="n">
        <v>0.00123992560446373</v>
      </c>
      <c r="V6" s="270" t="n">
        <v>0.918164910105394</v>
      </c>
      <c r="W6" s="270" t="n">
        <v>0.293242405455673</v>
      </c>
      <c r="X6" s="274" t="n">
        <v>0.0116812682519816</v>
      </c>
      <c r="Y6" s="269">
        <f>X6+M6</f>
        <v/>
      </c>
      <c r="Z6" s="275" t="n">
        <v>69</v>
      </c>
      <c r="AA6" s="275" t="n">
        <v>36</v>
      </c>
      <c r="AB6" s="270" t="n">
        <v>335.31</v>
      </c>
      <c r="AC6" s="270" t="n">
        <v>184</v>
      </c>
      <c r="AD6" s="276">
        <f>Z6/D6</f>
        <v/>
      </c>
      <c r="AE6" s="141">
        <f>AA6/D6</f>
        <v/>
      </c>
      <c r="AF6" s="270">
        <f>AB6/Z6</f>
        <v/>
      </c>
      <c r="AG6" s="277">
        <f>AD6*AF6</f>
        <v/>
      </c>
      <c r="AH6" s="131">
        <f>611/C6</f>
        <v/>
      </c>
      <c r="AI6" s="131">
        <f>416/C6</f>
        <v/>
      </c>
      <c r="AJ6" s="270">
        <f>1441/D6</f>
        <v/>
      </c>
    </row>
    <row customHeight="1" ht="13.2" outlineLevel="1" r="7" s="3">
      <c r="A7" s="117" t="n">
        <v>43348</v>
      </c>
      <c r="B7" s="267" t="inlineStr">
        <is>
          <t>iOS</t>
        </is>
      </c>
      <c r="C7" s="268" t="n">
        <v>768</v>
      </c>
      <c r="D7" s="268" t="n">
        <v>2398</v>
      </c>
      <c r="E7" s="269">
        <f>D7/C7</f>
        <v/>
      </c>
      <c r="F7" s="270">
        <f>E7*M7*G7/1000+E7*AB7/D7*0.7</f>
        <v/>
      </c>
      <c r="G7" s="271" t="n">
        <v>28.01</v>
      </c>
      <c r="I7" s="142" t="n">
        <v>0.503</v>
      </c>
      <c r="J7" s="142" t="n">
        <v>0.276</v>
      </c>
      <c r="K7" s="142" t="n">
        <v>0.121</v>
      </c>
      <c r="L7" s="270" t="n">
        <v>8.592160133444541</v>
      </c>
      <c r="M7" s="272" t="n">
        <v>5.76021684737281</v>
      </c>
      <c r="N7" s="270" t="n">
        <v>8.52128315854411</v>
      </c>
      <c r="O7" s="273">
        <f>M7/N7</f>
        <v/>
      </c>
      <c r="P7" s="270" t="n">
        <v>2.0610734114744</v>
      </c>
      <c r="Q7" s="270" t="n">
        <v>1.65021591610117</v>
      </c>
      <c r="R7" s="270" t="n">
        <v>1.64034546576188</v>
      </c>
      <c r="S7" s="270" t="n">
        <v>0.897594077729796</v>
      </c>
      <c r="T7" s="270" t="n">
        <v>1.14743985194324</v>
      </c>
      <c r="U7" s="270" t="n">
        <v>0</v>
      </c>
      <c r="V7" s="270" t="n">
        <v>0.806292412091302</v>
      </c>
      <c r="W7" s="270" t="n">
        <v>0.317705120296114</v>
      </c>
      <c r="X7" s="274" t="n">
        <v>0.0066750104297038</v>
      </c>
      <c r="Y7" s="269">
        <f>X7+M7</f>
        <v/>
      </c>
      <c r="Z7" s="275" t="n">
        <v>67</v>
      </c>
      <c r="AA7" s="275" t="n">
        <v>39</v>
      </c>
      <c r="AB7" s="270" t="n">
        <v>317.33</v>
      </c>
      <c r="AC7" s="270" t="n">
        <v>245</v>
      </c>
      <c r="AD7" s="276">
        <f>Z7/D7</f>
        <v/>
      </c>
      <c r="AE7" s="141">
        <f>AA7/D7</f>
        <v/>
      </c>
      <c r="AF7" s="270">
        <f>AB7/Z7</f>
        <v/>
      </c>
      <c r="AG7" s="277">
        <f>AD7*AF7</f>
        <v/>
      </c>
      <c r="AH7" s="131">
        <f>589/C7</f>
        <v/>
      </c>
      <c r="AI7" s="131">
        <f>374/C7</f>
        <v/>
      </c>
      <c r="AJ7" s="270">
        <f>1726/D7</f>
        <v/>
      </c>
    </row>
    <row customHeight="1" ht="13.2" outlineLevel="1" r="8" s="3">
      <c r="A8" s="117" t="n">
        <v>43349</v>
      </c>
      <c r="B8" s="267" t="inlineStr">
        <is>
          <t>iOS</t>
        </is>
      </c>
      <c r="C8" s="268" t="n">
        <v>852</v>
      </c>
      <c r="D8" s="268" t="n">
        <v>2550</v>
      </c>
      <c r="E8" s="269">
        <f>D8/C8</f>
        <v/>
      </c>
      <c r="F8" s="270">
        <f>E8*M8*G8/1000+E8*AB8/D8*0.7</f>
        <v/>
      </c>
      <c r="G8" s="271" t="n">
        <v>27.59</v>
      </c>
      <c r="I8" s="142" t="n">
        <v>0.508</v>
      </c>
      <c r="J8" s="142" t="n">
        <v>0.263</v>
      </c>
      <c r="K8" s="142" t="n">
        <v>0.144</v>
      </c>
      <c r="L8" s="270" t="n">
        <v>8.59137254901961</v>
      </c>
      <c r="M8" s="272" t="n">
        <v>4.99960784313726</v>
      </c>
      <c r="N8" s="270" t="n">
        <v>7.42516016307513</v>
      </c>
      <c r="O8" s="273">
        <f>M8/N8</f>
        <v/>
      </c>
      <c r="P8" s="270" t="n">
        <v>1.9126383226558</v>
      </c>
      <c r="Q8" s="270" t="n">
        <v>1.38788584740827</v>
      </c>
      <c r="R8" s="270" t="n">
        <v>1.0768782760629</v>
      </c>
      <c r="S8" s="270" t="n">
        <v>1.12172393709959</v>
      </c>
      <c r="T8" s="270" t="n">
        <v>1.15084449621433</v>
      </c>
      <c r="U8" s="270" t="n">
        <v>0.0005824111822947</v>
      </c>
      <c r="V8" s="270" t="n">
        <v>0.570762958648806</v>
      </c>
      <c r="W8" s="270" t="n">
        <v>0.205591147350029</v>
      </c>
      <c r="X8" s="274" t="n">
        <v>0.0166805671392827</v>
      </c>
      <c r="Y8" s="269">
        <f>X8+M8</f>
        <v/>
      </c>
      <c r="Z8" s="275" t="n">
        <v>76</v>
      </c>
      <c r="AA8" s="275" t="n">
        <v>29</v>
      </c>
      <c r="AB8" s="270" t="n">
        <v>387.24</v>
      </c>
      <c r="AC8" s="270" t="n">
        <v>227</v>
      </c>
      <c r="AD8" s="276">
        <f>Z8/D8</f>
        <v/>
      </c>
      <c r="AE8" s="141">
        <f>AA8/D8</f>
        <v/>
      </c>
      <c r="AF8" s="270">
        <f>AB8/Z8</f>
        <v/>
      </c>
      <c r="AG8" s="277">
        <f>AD8*AF8</f>
        <v/>
      </c>
      <c r="AH8" s="131">
        <f>704/C8</f>
        <v/>
      </c>
      <c r="AI8" s="131">
        <f>471/C8</f>
        <v/>
      </c>
      <c r="AJ8" s="270">
        <f>2553/D8</f>
        <v/>
      </c>
    </row>
    <row customHeight="1" ht="13.2" outlineLevel="1" r="9" s="3">
      <c r="A9" s="120" t="n">
        <v>43350</v>
      </c>
      <c r="B9" s="267" t="inlineStr">
        <is>
          <t>iOS</t>
        </is>
      </c>
      <c r="C9" s="268" t="n">
        <v>697</v>
      </c>
      <c r="D9" s="268" t="n">
        <v>2450</v>
      </c>
      <c r="E9" s="269">
        <f>D9/C9</f>
        <v/>
      </c>
      <c r="F9" s="270">
        <f>E9*M9*G9/1000+E9*AB9/D9*0.7</f>
        <v/>
      </c>
      <c r="G9" s="271" t="n">
        <v>27.43</v>
      </c>
      <c r="I9" s="142" t="n">
        <v>0.479</v>
      </c>
      <c r="J9" s="142" t="n">
        <v>0.209</v>
      </c>
      <c r="K9" s="142" t="n">
        <v>0.109</v>
      </c>
      <c r="L9" s="270" t="n">
        <v>8.094285714285711</v>
      </c>
      <c r="M9" s="272" t="n">
        <v>5.08244897959184</v>
      </c>
      <c r="N9" s="270" t="n">
        <v>7.65334972341733</v>
      </c>
      <c r="O9" s="273">
        <f>M9/N9</f>
        <v/>
      </c>
      <c r="P9" s="270" t="n">
        <v>1.8260602335587</v>
      </c>
      <c r="Q9" s="270" t="n">
        <v>1.57652120467117</v>
      </c>
      <c r="R9" s="270" t="n">
        <v>1.10018438844499</v>
      </c>
      <c r="S9" s="270" t="n">
        <v>1.11677934849416</v>
      </c>
      <c r="T9" s="270" t="n">
        <v>1.14136447449293</v>
      </c>
      <c r="U9" s="270" t="n">
        <v>0.00122925629993854</v>
      </c>
      <c r="V9" s="270" t="n">
        <v>0.650891210817455</v>
      </c>
      <c r="W9" s="270" t="n">
        <v>0.240319606637984</v>
      </c>
      <c r="X9" s="274" t="n">
        <v>0.0236734693877551</v>
      </c>
      <c r="Y9" s="269">
        <f>X9+M9</f>
        <v/>
      </c>
      <c r="Z9" s="275" t="n">
        <v>75</v>
      </c>
      <c r="AA9" s="275" t="n">
        <v>46</v>
      </c>
      <c r="AB9" s="270" t="n">
        <v>283.25</v>
      </c>
      <c r="AC9" s="270" t="n">
        <v>173</v>
      </c>
      <c r="AD9" s="276">
        <f>Z9/D9</f>
        <v/>
      </c>
      <c r="AE9" s="141">
        <f>AA9/D9</f>
        <v/>
      </c>
      <c r="AF9" s="270">
        <f>AB9/Z9</f>
        <v/>
      </c>
      <c r="AG9" s="277">
        <f>AD9*AF9</f>
        <v/>
      </c>
      <c r="AH9" s="131">
        <f>522/C9</f>
        <v/>
      </c>
      <c r="AI9" s="131">
        <f>370/C9</f>
        <v/>
      </c>
      <c r="AJ9" s="270">
        <f>2335/D9</f>
        <v/>
      </c>
    </row>
    <row customHeight="1" ht="13.2" outlineLevel="1" r="10" s="3">
      <c r="A10" s="117" t="n">
        <v>43351</v>
      </c>
      <c r="B10" s="289" t="inlineStr">
        <is>
          <t>iOS</t>
        </is>
      </c>
      <c r="C10" s="268" t="n">
        <v>684</v>
      </c>
      <c r="D10" s="268" t="n">
        <v>2439</v>
      </c>
      <c r="E10" s="269">
        <f>D10/C10</f>
        <v/>
      </c>
      <c r="F10" s="270">
        <f>E10*M10*G10/1000+E10*AB10/D10*0.7</f>
        <v/>
      </c>
      <c r="G10" s="271" t="n">
        <v>23.73</v>
      </c>
      <c r="I10" s="142" t="n">
        <v>0.442</v>
      </c>
      <c r="J10" s="142" t="n">
        <v>0.171</v>
      </c>
      <c r="K10" s="142" t="n">
        <v>0.114</v>
      </c>
      <c r="L10" s="270" t="n">
        <v>10.0356703567036</v>
      </c>
      <c r="M10" s="272" t="n">
        <v>7.14227142271423</v>
      </c>
      <c r="N10" s="270" t="n">
        <v>11.0955414012739</v>
      </c>
      <c r="O10" s="273">
        <f>M10/N10</f>
        <v/>
      </c>
      <c r="P10" s="270" t="n">
        <v>2.50955414012739</v>
      </c>
      <c r="Q10" s="270" t="n">
        <v>2.48980891719745</v>
      </c>
      <c r="R10" s="270" t="n">
        <v>1.35923566878981</v>
      </c>
      <c r="S10" s="270" t="n">
        <v>0.901910828025478</v>
      </c>
      <c r="T10" s="270" t="n">
        <v>1.62165605095541</v>
      </c>
      <c r="U10" s="270" t="n">
        <v>0.000636942675159236</v>
      </c>
      <c r="V10" s="270" t="n">
        <v>1.72738853503185</v>
      </c>
      <c r="W10" s="270" t="n">
        <v>0.485350318471338</v>
      </c>
      <c r="X10" s="274" t="n">
        <v>0.01640016400164</v>
      </c>
      <c r="Y10" s="269">
        <f>X10+M10</f>
        <v/>
      </c>
      <c r="Z10" s="275" t="n">
        <v>59</v>
      </c>
      <c r="AA10" s="275" t="n">
        <v>32</v>
      </c>
      <c r="AB10" s="270" t="n">
        <v>220.41</v>
      </c>
      <c r="AC10" s="270" t="n">
        <v>169</v>
      </c>
      <c r="AD10" s="276">
        <f>Z10/D10</f>
        <v/>
      </c>
      <c r="AE10" s="141">
        <f>AA10/D10</f>
        <v/>
      </c>
      <c r="AF10" s="270">
        <f>AB10/Z10</f>
        <v/>
      </c>
      <c r="AG10" s="277">
        <f>AD10*AF10</f>
        <v/>
      </c>
      <c r="AH10" s="131">
        <f>524/C10</f>
        <v/>
      </c>
      <c r="AI10" s="131">
        <f>331/C10</f>
        <v/>
      </c>
      <c r="AJ10" s="270">
        <f>1664/D10</f>
        <v/>
      </c>
    </row>
    <row customHeight="1" ht="13.2" outlineLevel="1" r="11" s="3">
      <c r="A11" s="117" t="n">
        <v>43352</v>
      </c>
      <c r="B11" s="289" t="inlineStr">
        <is>
          <t>iOS</t>
        </is>
      </c>
      <c r="C11" s="268" t="n">
        <v>719</v>
      </c>
      <c r="D11" s="268" t="n">
        <v>2464</v>
      </c>
      <c r="E11" s="269">
        <f>D11/C11</f>
        <v/>
      </c>
      <c r="F11" s="270">
        <f>E11*M11*G11/1000+E11*AB11/D11*0.7</f>
        <v/>
      </c>
      <c r="G11" s="271" t="n">
        <v>26.48</v>
      </c>
      <c r="I11" s="142" t="n">
        <v>0.433</v>
      </c>
      <c r="J11" s="142" t="n">
        <v>0.202</v>
      </c>
      <c r="K11" s="142" t="n">
        <v>0.122</v>
      </c>
      <c r="L11" s="270" t="n">
        <v>9.37621753246753</v>
      </c>
      <c r="M11" s="272" t="n">
        <v>7.33076298701299</v>
      </c>
      <c r="N11" s="270" t="n">
        <v>11.0883977900552</v>
      </c>
      <c r="O11" s="273">
        <f>M11/N11</f>
        <v/>
      </c>
      <c r="P11" s="270" t="n">
        <v>2.38735420503376</v>
      </c>
      <c r="Q11" s="270" t="n">
        <v>2.43032535297729</v>
      </c>
      <c r="R11" s="270" t="n">
        <v>1.42295887047268</v>
      </c>
      <c r="S11" s="270" t="n">
        <v>0.972989564149785</v>
      </c>
      <c r="T11" s="270" t="n">
        <v>1.52670349907919</v>
      </c>
      <c r="U11" s="270" t="n">
        <v>0.000613873542050338</v>
      </c>
      <c r="V11" s="270" t="n">
        <v>1.86556169429098</v>
      </c>
      <c r="W11" s="270" t="n">
        <v>0.481890730509515</v>
      </c>
      <c r="X11" s="274" t="n">
        <v>0.0117694805194805</v>
      </c>
      <c r="Y11" s="269">
        <f>X11+M11</f>
        <v/>
      </c>
      <c r="Z11" s="275" t="n">
        <v>48</v>
      </c>
      <c r="AA11" s="275" t="n">
        <v>31</v>
      </c>
      <c r="AB11" s="270" t="n">
        <v>291.52</v>
      </c>
      <c r="AC11" s="270" t="n">
        <v>339</v>
      </c>
      <c r="AD11" s="276">
        <f>Z11/D11</f>
        <v/>
      </c>
      <c r="AE11" s="141">
        <f>AA11/D11</f>
        <v/>
      </c>
      <c r="AF11" s="270">
        <f>AB11/Z11</f>
        <v/>
      </c>
      <c r="AG11" s="277">
        <f>AD11*AF11</f>
        <v/>
      </c>
      <c r="AH11" s="131">
        <f>557/C11</f>
        <v/>
      </c>
      <c r="AI11" s="131">
        <f>355/C11</f>
        <v/>
      </c>
      <c r="AJ11" s="270">
        <f>1648/D11</f>
        <v/>
      </c>
    </row>
    <row customHeight="1" ht="13.2" outlineLevel="1" r="12" s="3">
      <c r="A12" s="117" t="n">
        <v>43353</v>
      </c>
      <c r="B12" s="289" t="inlineStr">
        <is>
          <t>iOS</t>
        </is>
      </c>
      <c r="C12" s="268" t="n">
        <v>587</v>
      </c>
      <c r="D12" s="268" t="n">
        <v>2346</v>
      </c>
      <c r="E12" s="269">
        <f>D12/C12</f>
        <v/>
      </c>
      <c r="F12" s="270">
        <f>E12*M12*G12/1000+E12*AB12/D12*0.7</f>
        <v/>
      </c>
      <c r="G12" s="271" t="n">
        <v>22.59</v>
      </c>
      <c r="I12" s="142" t="n">
        <v>0.453</v>
      </c>
      <c r="J12" s="142" t="n">
        <v>0.194</v>
      </c>
      <c r="K12" s="142" t="n">
        <v>0.106</v>
      </c>
      <c r="L12" s="270" t="n">
        <v>9.195652173913039</v>
      </c>
      <c r="M12" s="272" t="n">
        <v>7.71398124467178</v>
      </c>
      <c r="N12" s="270" t="n">
        <v>11.64</v>
      </c>
      <c r="O12" s="273">
        <f>M12/N12</f>
        <v/>
      </c>
      <c r="P12" s="270" t="n">
        <v>2.3957528957529</v>
      </c>
      <c r="Q12" s="270" t="n">
        <v>2.64350064350064</v>
      </c>
      <c r="R12" s="270" t="n">
        <v>1.55469755469755</v>
      </c>
      <c r="S12" s="270" t="n">
        <v>0.9459459459459461</v>
      </c>
      <c r="T12" s="270" t="n">
        <v>1.54504504504505</v>
      </c>
      <c r="U12" s="270" t="n">
        <v>2.74296949488765e-07</v>
      </c>
      <c r="V12" s="270" t="n">
        <v>2.01415701415701</v>
      </c>
      <c r="W12" s="270" t="n">
        <v>0.545688545688546</v>
      </c>
      <c r="X12" s="274" t="n">
        <v>0.0144927536231884</v>
      </c>
      <c r="Y12" s="269">
        <f>X12+M12</f>
        <v/>
      </c>
      <c r="Z12" s="275" t="n">
        <v>79</v>
      </c>
      <c r="AA12" s="275" t="n">
        <v>54</v>
      </c>
      <c r="AB12" s="270" t="n">
        <v>489.21</v>
      </c>
      <c r="AC12" s="270" t="n">
        <v>228</v>
      </c>
      <c r="AD12" s="276">
        <f>Z12/D12</f>
        <v/>
      </c>
      <c r="AE12" s="141">
        <f>AA12/D12</f>
        <v/>
      </c>
      <c r="AF12" s="270">
        <f>AB12/Z12</f>
        <v/>
      </c>
      <c r="AG12" s="277">
        <f>AD12*AF12</f>
        <v/>
      </c>
      <c r="AH12" s="131">
        <f>474/C12</f>
        <v/>
      </c>
      <c r="AI12" s="131">
        <f>307/C12</f>
        <v/>
      </c>
      <c r="AJ12" s="270">
        <f>1790/D12</f>
        <v/>
      </c>
    </row>
    <row customHeight="1" ht="13.2" outlineLevel="1" r="13" s="3">
      <c r="A13" s="120" t="n">
        <v>43354</v>
      </c>
      <c r="B13" s="289" t="inlineStr">
        <is>
          <t>iOS</t>
        </is>
      </c>
      <c r="C13" s="268" t="n">
        <v>564</v>
      </c>
      <c r="D13" s="268" t="n">
        <v>2272</v>
      </c>
      <c r="E13" s="269">
        <f>D13/C13</f>
        <v/>
      </c>
      <c r="F13" s="270">
        <f>E13*M13*G13/1000+E13*AB13/D13*0.7</f>
        <v/>
      </c>
      <c r="G13" s="271" t="n">
        <v>25.07</v>
      </c>
      <c r="I13" s="142" t="n">
        <v>0.495</v>
      </c>
      <c r="J13" s="142" t="n">
        <v>0.232</v>
      </c>
      <c r="K13" s="142" t="n">
        <v>0.096</v>
      </c>
      <c r="L13" s="270" t="n">
        <v>8.86091549295775</v>
      </c>
      <c r="M13" s="272" t="n">
        <v>7.73547535211268</v>
      </c>
      <c r="N13" s="270" t="n">
        <v>11.6159947124917</v>
      </c>
      <c r="O13" s="273">
        <f>M13/N13</f>
        <v/>
      </c>
      <c r="P13" s="270" t="n">
        <v>2.27032385988103</v>
      </c>
      <c r="Q13" s="270" t="n">
        <v>2.52808988764045</v>
      </c>
      <c r="R13" s="270" t="n">
        <v>1.49966953073364</v>
      </c>
      <c r="S13" s="270" t="n">
        <v>1.00066093853272</v>
      </c>
      <c r="T13" s="270" t="n">
        <v>1.4659616655651</v>
      </c>
      <c r="U13" s="270" t="n">
        <v>0.00198281559814937</v>
      </c>
      <c r="V13" s="270" t="n">
        <v>2.15928618638467</v>
      </c>
      <c r="W13" s="270" t="n">
        <v>0.690019828155982</v>
      </c>
      <c r="X13" s="274" t="n">
        <v>0.0167253521126761</v>
      </c>
      <c r="Y13" s="269">
        <f>X13+M13</f>
        <v/>
      </c>
      <c r="Z13" s="275" t="n">
        <v>50</v>
      </c>
      <c r="AA13" s="275" t="n">
        <v>34</v>
      </c>
      <c r="AB13" s="270" t="n">
        <v>210.5</v>
      </c>
      <c r="AC13" s="270" t="n">
        <v>143</v>
      </c>
      <c r="AD13" s="276">
        <f>Z13/D13</f>
        <v/>
      </c>
      <c r="AE13" s="141">
        <f>AA13/D13</f>
        <v/>
      </c>
      <c r="AF13" s="270">
        <f>AB13/Z13</f>
        <v/>
      </c>
      <c r="AG13" s="277">
        <f>AD13*AF13</f>
        <v/>
      </c>
      <c r="AH13" s="131">
        <f>446/C13</f>
        <v/>
      </c>
      <c r="AI13" s="131">
        <f>305/C13</f>
        <v/>
      </c>
      <c r="AJ13" s="270">
        <f>1837/D13</f>
        <v/>
      </c>
    </row>
    <row customHeight="1" ht="13.2" outlineLevel="1" r="14" s="3">
      <c r="A14" s="117" t="n">
        <v>43355</v>
      </c>
      <c r="B14" s="267" t="inlineStr">
        <is>
          <t>iOS</t>
        </is>
      </c>
      <c r="C14" s="268" t="n">
        <v>510</v>
      </c>
      <c r="D14" s="268" t="n">
        <v>2181</v>
      </c>
      <c r="E14" s="269">
        <f>D14/C14</f>
        <v/>
      </c>
      <c r="F14" s="270">
        <f>E14*M14*G14/1000+E14*AB14/D14*0.7</f>
        <v/>
      </c>
      <c r="G14" s="271" t="n">
        <v>31.63</v>
      </c>
      <c r="I14" s="142" t="n">
        <v>0.494</v>
      </c>
      <c r="J14" s="142" t="n">
        <v>0.243</v>
      </c>
      <c r="K14" s="142" t="n">
        <v>0.106</v>
      </c>
      <c r="L14" s="270" t="n">
        <v>9.038972948188899</v>
      </c>
      <c r="M14" s="272" t="n">
        <v>7.08023842274186</v>
      </c>
      <c r="N14" s="270" t="n">
        <v>10.562243502052</v>
      </c>
      <c r="O14" s="273">
        <f>M14/N14</f>
        <v/>
      </c>
      <c r="P14" s="270" t="n">
        <v>2.0608755129959</v>
      </c>
      <c r="Q14" s="270" t="n">
        <v>2.14705882352941</v>
      </c>
      <c r="R14" s="270" t="n">
        <v>1.5</v>
      </c>
      <c r="S14" s="270" t="n">
        <v>1.05608755129959</v>
      </c>
      <c r="T14" s="270" t="n">
        <v>1.27154582763338</v>
      </c>
      <c r="U14" s="270" t="n">
        <v>0</v>
      </c>
      <c r="V14" s="270" t="n">
        <v>1.98426812585499</v>
      </c>
      <c r="W14" s="270" t="n">
        <v>0.542407660738714</v>
      </c>
      <c r="X14" s="274" t="n">
        <v>0.015130674002751</v>
      </c>
      <c r="Y14" s="269">
        <f>X14+M14</f>
        <v/>
      </c>
      <c r="Z14" s="275" t="n">
        <v>45</v>
      </c>
      <c r="AA14" s="275" t="n">
        <v>33</v>
      </c>
      <c r="AB14" s="270" t="n">
        <v>262.55</v>
      </c>
      <c r="AC14" s="270" t="n">
        <v>331.428571428571</v>
      </c>
      <c r="AD14" s="276">
        <f>Z14/D14</f>
        <v/>
      </c>
      <c r="AE14" s="141">
        <f>AA14/D14</f>
        <v/>
      </c>
      <c r="AF14" s="270">
        <f>AB14/Z14</f>
        <v/>
      </c>
      <c r="AG14" s="277">
        <f>AD14*AF14</f>
        <v/>
      </c>
      <c r="AH14" s="131">
        <f>392/C14</f>
        <v/>
      </c>
      <c r="AI14" s="131">
        <f>277/C14</f>
        <v/>
      </c>
      <c r="AJ14" s="270">
        <f>1991/D14</f>
        <v/>
      </c>
    </row>
    <row customHeight="1" ht="13.2" outlineLevel="1" r="15" s="3">
      <c r="A15" s="117" t="n">
        <v>43356</v>
      </c>
      <c r="B15" s="267" t="inlineStr">
        <is>
          <t>iOS</t>
        </is>
      </c>
      <c r="C15" s="268" t="n">
        <v>569</v>
      </c>
      <c r="D15" s="268" t="n">
        <v>2228</v>
      </c>
      <c r="E15" s="269">
        <f>D15/C15</f>
        <v/>
      </c>
      <c r="F15" s="270">
        <f>E15*M15*G15/1000+E15*AB15/D15*0.7</f>
        <v/>
      </c>
      <c r="G15" s="271" t="n">
        <v>32.37</v>
      </c>
      <c r="I15" s="142" t="n">
        <v>0.515</v>
      </c>
      <c r="J15" s="142" t="n">
        <v>0.262</v>
      </c>
      <c r="K15" s="142" t="n">
        <v>0.112</v>
      </c>
      <c r="L15" s="270">
        <f>19569/D15</f>
        <v/>
      </c>
      <c r="M15" s="272">
        <f>14794/D15</f>
        <v/>
      </c>
      <c r="N15" s="270">
        <f>14794/1499</f>
        <v/>
      </c>
      <c r="O15" s="273">
        <f>M15/N15</f>
        <v/>
      </c>
      <c r="P15" s="270">
        <f>2753/1499</f>
        <v/>
      </c>
      <c r="Q15" s="270">
        <f>2558/1499</f>
        <v/>
      </c>
      <c r="R15" s="270">
        <f>2156/1499</f>
        <v/>
      </c>
      <c r="S15" s="270">
        <f>2344/1499</f>
        <v/>
      </c>
      <c r="T15" s="270">
        <f>1804/1499</f>
        <v/>
      </c>
      <c r="U15" s="270">
        <f>216/1499</f>
        <v/>
      </c>
      <c r="V15" s="270">
        <f>2098/1499</f>
        <v/>
      </c>
      <c r="W15" s="270">
        <f>863/1499</f>
        <v/>
      </c>
      <c r="X15" s="274">
        <f>26/D15</f>
        <v/>
      </c>
      <c r="Y15" s="269">
        <f>X15+M15</f>
        <v/>
      </c>
      <c r="Z15" s="275">
        <f>37+10+10+17</f>
        <v/>
      </c>
      <c r="AA15" s="275" t="n">
        <v>42</v>
      </c>
      <c r="AB15" s="270" t="n">
        <v>301.26</v>
      </c>
      <c r="AC15" s="270" t="n">
        <v>294.285714285714</v>
      </c>
      <c r="AD15" s="276">
        <f>Z15/D15</f>
        <v/>
      </c>
      <c r="AE15" s="141">
        <f>AA15/D15</f>
        <v/>
      </c>
      <c r="AF15" s="270">
        <f>AB15/Z15</f>
        <v/>
      </c>
      <c r="AG15" s="277">
        <f>AD15*AF15</f>
        <v/>
      </c>
      <c r="AH15" s="131">
        <f>444/C15</f>
        <v/>
      </c>
      <c r="AI15" s="131">
        <f>303/C15</f>
        <v/>
      </c>
      <c r="AJ15" s="270">
        <f>2785/D15</f>
        <v/>
      </c>
    </row>
    <row customHeight="1" ht="13.2" outlineLevel="1" r="16" s="3">
      <c r="A16" s="117" t="n">
        <v>43357</v>
      </c>
      <c r="B16" s="267" t="inlineStr">
        <is>
          <t>iOS</t>
        </is>
      </c>
      <c r="C16" s="268" t="n">
        <v>588</v>
      </c>
      <c r="D16" s="268" t="n">
        <v>2263</v>
      </c>
      <c r="E16" s="269">
        <f>D16/C16</f>
        <v/>
      </c>
      <c r="F16" s="270">
        <f>E16*M16*G16/1000+E16*AB16/D16*0.7</f>
        <v/>
      </c>
      <c r="G16" s="271" t="n">
        <v>27.2</v>
      </c>
      <c r="I16" s="142" t="n">
        <v>0.442</v>
      </c>
      <c r="J16" s="142" t="n">
        <v>0.226</v>
      </c>
      <c r="K16" s="142" t="n">
        <v>0.094</v>
      </c>
      <c r="L16" s="270">
        <f>19018/D16</f>
        <v/>
      </c>
      <c r="M16" s="272">
        <f>16310/D16</f>
        <v/>
      </c>
      <c r="N16" s="270">
        <f>16310/1535</f>
        <v/>
      </c>
      <c r="O16" s="273">
        <f>M16/N16</f>
        <v/>
      </c>
      <c r="P16" s="270">
        <f>2728/1535</f>
        <v/>
      </c>
      <c r="Q16" s="270">
        <f>2514/1535</f>
        <v/>
      </c>
      <c r="R16" s="270">
        <f>2142/1535</f>
        <v/>
      </c>
      <c r="S16" s="270">
        <f>2782/1535</f>
        <v/>
      </c>
      <c r="T16" s="270">
        <f>1684/1535</f>
        <v/>
      </c>
      <c r="U16" s="270">
        <f>254/1535</f>
        <v/>
      </c>
      <c r="V16" s="270">
        <f>2957/1535</f>
        <v/>
      </c>
      <c r="W16" s="270">
        <f>1247/1535</f>
        <v/>
      </c>
      <c r="X16" s="274">
        <f>43/D16</f>
        <v/>
      </c>
      <c r="Y16" s="269">
        <f>X16+M16</f>
        <v/>
      </c>
      <c r="Z16" s="275">
        <f>25+27+10</f>
        <v/>
      </c>
      <c r="AA16" s="275" t="n">
        <v>41</v>
      </c>
      <c r="AB16" s="270" t="n">
        <v>265.38</v>
      </c>
      <c r="AC16" s="270" t="n">
        <v>268.571428571429</v>
      </c>
      <c r="AD16" s="276">
        <f>Z16/D16</f>
        <v/>
      </c>
      <c r="AE16" s="141">
        <f>AA16/D16</f>
        <v/>
      </c>
      <c r="AF16" s="270">
        <f>AB16/Z16</f>
        <v/>
      </c>
      <c r="AG16" s="277">
        <f>AD16*AF16</f>
        <v/>
      </c>
      <c r="AH16" s="131">
        <f>467/C16</f>
        <v/>
      </c>
      <c r="AI16" s="131">
        <f>302/C16</f>
        <v/>
      </c>
      <c r="AJ16" s="270">
        <f>2749/D16</f>
        <v/>
      </c>
    </row>
    <row customHeight="1" ht="13.2" outlineLevel="1" r="17" s="3">
      <c r="A17" s="117" t="n">
        <v>43358</v>
      </c>
      <c r="B17" s="289" t="inlineStr">
        <is>
          <t>iOS</t>
        </is>
      </c>
      <c r="C17" s="268" t="n">
        <v>757</v>
      </c>
      <c r="D17" s="268" t="n">
        <v>2419</v>
      </c>
      <c r="E17" s="269">
        <f>D17/C17</f>
        <v/>
      </c>
      <c r="F17" s="270">
        <f>E17*M17*G17/1000+E17*AB17/D17*0.7</f>
        <v/>
      </c>
      <c r="G17" s="271" t="n">
        <v>25.77</v>
      </c>
      <c r="I17" s="142" t="n">
        <v>0.445</v>
      </c>
      <c r="J17" s="142" t="n">
        <v>0.186</v>
      </c>
      <c r="K17" s="142" t="n">
        <v>0.092</v>
      </c>
      <c r="L17" s="270">
        <f>24499/D17</f>
        <v/>
      </c>
      <c r="M17" s="272">
        <f>24729/D17</f>
        <v/>
      </c>
      <c r="N17" s="270">
        <f>24729/1671</f>
        <v/>
      </c>
      <c r="O17" s="273">
        <f>M17/N17</f>
        <v/>
      </c>
      <c r="P17" s="270" t="n">
        <v>2.39257929383603</v>
      </c>
      <c r="Q17" s="270" t="n">
        <v>2.31358467983244</v>
      </c>
      <c r="R17" s="270" t="n">
        <v>2.73907839616996</v>
      </c>
      <c r="S17" s="270" t="n">
        <v>1.51705565529623</v>
      </c>
      <c r="T17" s="270" t="n">
        <v>1.53859964093357</v>
      </c>
      <c r="U17" s="270" t="n">
        <v>0.365649311789348</v>
      </c>
      <c r="V17" s="270" t="n">
        <v>2.93297426690604</v>
      </c>
      <c r="W17" s="270" t="n">
        <v>0.999401555954518</v>
      </c>
      <c r="X17" s="274">
        <f>68/D17</f>
        <v/>
      </c>
      <c r="Y17" s="269">
        <f>X17+M17</f>
        <v/>
      </c>
      <c r="Z17" s="275" t="n">
        <v>18</v>
      </c>
      <c r="AA17" s="275" t="n">
        <v>14</v>
      </c>
      <c r="AB17" s="270" t="n">
        <v>43.82</v>
      </c>
      <c r="AC17" s="270" t="n">
        <v>116.857142857143</v>
      </c>
      <c r="AD17" s="276">
        <f>Z17/D17</f>
        <v/>
      </c>
      <c r="AE17" s="141">
        <f>AA17/D17</f>
        <v/>
      </c>
      <c r="AF17" s="270">
        <f>AB17/Z17</f>
        <v/>
      </c>
      <c r="AG17" s="277">
        <f>AD17*AF17</f>
        <v/>
      </c>
      <c r="AH17" s="131">
        <f>563/C17</f>
        <v/>
      </c>
      <c r="AI17" s="131">
        <f>297/C17</f>
        <v/>
      </c>
      <c r="AJ17" s="270">
        <f>1424/D17</f>
        <v/>
      </c>
    </row>
    <row customHeight="1" ht="13.2" outlineLevel="1" r="18" s="3">
      <c r="A18" s="117" t="n">
        <v>43359</v>
      </c>
      <c r="B18" s="289" t="inlineStr">
        <is>
          <t>iOS</t>
        </is>
      </c>
      <c r="C18" s="268" t="n">
        <v>888</v>
      </c>
      <c r="D18" s="268" t="n">
        <v>2730</v>
      </c>
      <c r="E18" s="269">
        <f>D18/C18</f>
        <v/>
      </c>
      <c r="F18" s="270">
        <f>E18*M18*G18/1000+E18*AB18/D18*0.7</f>
        <v/>
      </c>
      <c r="G18" s="271" t="n">
        <v>30.19</v>
      </c>
      <c r="I18" s="142" t="n">
        <v>0.438</v>
      </c>
      <c r="J18" s="142" t="n">
        <v>0.206</v>
      </c>
      <c r="K18" s="142" t="n">
        <v>0.116</v>
      </c>
      <c r="L18" s="270">
        <f>24949/D18</f>
        <v/>
      </c>
      <c r="M18" s="272">
        <f>22733/D18</f>
        <v/>
      </c>
      <c r="N18" s="270">
        <f>22733/1905</f>
        <v/>
      </c>
      <c r="O18" s="273">
        <f>M18/N18</f>
        <v/>
      </c>
      <c r="P18" s="270" t="n">
        <v>2.04776902887139</v>
      </c>
      <c r="Q18" s="270" t="n">
        <v>1.92860892388451</v>
      </c>
      <c r="R18" s="270" t="n">
        <v>1.79002624671916</v>
      </c>
      <c r="S18" s="270" t="n">
        <v>1.75853018372703</v>
      </c>
      <c r="T18" s="270" t="n">
        <v>1.35433070866142</v>
      </c>
      <c r="U18" s="270" t="n">
        <v>0.426771653543307</v>
      </c>
      <c r="V18" s="270" t="n">
        <v>1.99632545931759</v>
      </c>
      <c r="W18" s="270" t="n">
        <v>0.630971128608924</v>
      </c>
      <c r="X18" s="274">
        <f>105/D18</f>
        <v/>
      </c>
      <c r="Y18" s="269">
        <f>X18+M18</f>
        <v/>
      </c>
      <c r="Z18" s="275">
        <f>21+10+5</f>
        <v/>
      </c>
      <c r="AA18" s="275" t="n">
        <v>20</v>
      </c>
      <c r="AB18" s="270" t="n">
        <v>202.64</v>
      </c>
      <c r="AC18" s="270" t="n">
        <v>465.714285714286</v>
      </c>
      <c r="AD18" s="276">
        <f>Z18/D18</f>
        <v/>
      </c>
      <c r="AE18" s="141">
        <f>AA18/D18</f>
        <v/>
      </c>
      <c r="AF18" s="270">
        <f>AB18/Z18</f>
        <v/>
      </c>
      <c r="AG18" s="277">
        <f>AD18*AF18</f>
        <v/>
      </c>
      <c r="AH18" s="131">
        <f>684/C18</f>
        <v/>
      </c>
      <c r="AI18" s="131">
        <f>352/C18</f>
        <v/>
      </c>
      <c r="AJ18" s="270">
        <f>1448/D18</f>
        <v/>
      </c>
    </row>
    <row customHeight="1" ht="13.2" outlineLevel="1" r="19" s="3">
      <c r="A19" s="117" t="n">
        <v>43360</v>
      </c>
      <c r="B19" s="289" t="inlineStr">
        <is>
          <t>iOS</t>
        </is>
      </c>
      <c r="C19" s="268" t="n">
        <v>910</v>
      </c>
      <c r="D19" s="268" t="n">
        <v>2865</v>
      </c>
      <c r="E19" s="269">
        <f>D19/C19</f>
        <v/>
      </c>
      <c r="F19" s="270">
        <f>E19*M19*G19/1000+E19*AB19/D19*0.7</f>
        <v/>
      </c>
      <c r="G19" s="271" t="n">
        <v>27.04</v>
      </c>
      <c r="I19" s="142" t="n">
        <v>0.477</v>
      </c>
      <c r="J19" s="142" t="n">
        <v>0.203</v>
      </c>
      <c r="K19" s="142" t="n">
        <v>0.099</v>
      </c>
      <c r="L19" s="270">
        <f>25882/D19</f>
        <v/>
      </c>
      <c r="M19" s="272">
        <f>22165/D19</f>
        <v/>
      </c>
      <c r="N19" s="270">
        <f>22165/1992</f>
        <v/>
      </c>
      <c r="O19" s="273">
        <f>M19/N19</f>
        <v/>
      </c>
      <c r="P19" s="270">
        <f>3886/1992</f>
        <v/>
      </c>
      <c r="Q19" s="270">
        <f>3525/1992</f>
        <v/>
      </c>
      <c r="R19" s="270">
        <f>3103/1992</f>
        <v/>
      </c>
      <c r="S19" s="270">
        <f>3587/1992</f>
        <v/>
      </c>
      <c r="T19" s="270">
        <f>2582/1992</f>
        <v/>
      </c>
      <c r="U19" s="270">
        <f>950/1992</f>
        <v/>
      </c>
      <c r="V19" s="270">
        <f>3401/1992</f>
        <v/>
      </c>
      <c r="W19" s="270">
        <f>1131/1992</f>
        <v/>
      </c>
      <c r="X19" s="274">
        <f>73/D19</f>
        <v/>
      </c>
      <c r="Y19" s="269">
        <f>X19+M19</f>
        <v/>
      </c>
      <c r="Z19" s="275" t="n">
        <v>59</v>
      </c>
      <c r="AA19" s="275" t="n">
        <v>31</v>
      </c>
      <c r="AB19" s="270" t="n">
        <v>353.41</v>
      </c>
      <c r="AD19" s="276">
        <f>Z19/D19</f>
        <v/>
      </c>
      <c r="AE19" s="141">
        <f>AA19/D19</f>
        <v/>
      </c>
      <c r="AF19" s="270">
        <f>AB19/Z19</f>
        <v/>
      </c>
      <c r="AG19" s="277">
        <f>AD19*AF19</f>
        <v/>
      </c>
      <c r="AH19" s="131">
        <f>725/C19</f>
        <v/>
      </c>
      <c r="AI19" s="131">
        <f>380/C19</f>
        <v/>
      </c>
      <c r="AJ19" s="270">
        <f>1659/D19</f>
        <v/>
      </c>
    </row>
    <row customHeight="1" ht="13.2" outlineLevel="1" r="20" s="3">
      <c r="A20" s="120" t="n">
        <v>43361</v>
      </c>
      <c r="B20" s="289" t="inlineStr">
        <is>
          <t>iOS</t>
        </is>
      </c>
      <c r="C20" s="268" t="n">
        <v>810</v>
      </c>
      <c r="D20" s="268" t="n">
        <v>2766</v>
      </c>
      <c r="E20" s="269">
        <f>D20/C20</f>
        <v/>
      </c>
      <c r="F20" s="270">
        <f>E20*M20*G20/1000+E20*AB20/D20*0.7</f>
        <v/>
      </c>
      <c r="G20" s="271" t="n">
        <v>31.88</v>
      </c>
      <c r="I20" s="142" t="n">
        <v>0.442</v>
      </c>
      <c r="J20" s="142" t="n">
        <v>0.24</v>
      </c>
      <c r="K20" s="142" t="n">
        <v>0.098</v>
      </c>
      <c r="L20" s="270">
        <f>24179/D20</f>
        <v/>
      </c>
      <c r="M20" s="272">
        <f>20726/D20</f>
        <v/>
      </c>
      <c r="N20" s="270">
        <f>20726/1862</f>
        <v/>
      </c>
      <c r="O20" s="273">
        <f>M20/N20</f>
        <v/>
      </c>
      <c r="P20" s="270">
        <f>3589/1862</f>
        <v/>
      </c>
      <c r="Q20" s="270">
        <f>3220/1862</f>
        <v/>
      </c>
      <c r="R20" s="270">
        <f>2785/1862</f>
        <v/>
      </c>
      <c r="S20" s="270">
        <f>3438/1862</f>
        <v/>
      </c>
      <c r="T20" s="270">
        <f>2367/1862</f>
        <v/>
      </c>
      <c r="U20" s="270">
        <f>903/1862</f>
        <v/>
      </c>
      <c r="V20" s="270">
        <f>3352/1862</f>
        <v/>
      </c>
      <c r="W20" s="270">
        <f>1072/1862</f>
        <v/>
      </c>
      <c r="X20" s="274">
        <f>90/D20</f>
        <v/>
      </c>
      <c r="Y20" s="269">
        <f>X20+M20</f>
        <v/>
      </c>
      <c r="Z20" s="275">
        <f>20+11+6+4+9</f>
        <v/>
      </c>
      <c r="AA20" s="275" t="n">
        <v>37</v>
      </c>
      <c r="AB20" s="270" t="n">
        <v>294.5</v>
      </c>
      <c r="AD20" s="276">
        <f>Z20/D20</f>
        <v/>
      </c>
      <c r="AE20" s="141">
        <f>AA20/D20</f>
        <v/>
      </c>
      <c r="AF20" s="270">
        <f>AB20/Z20</f>
        <v/>
      </c>
      <c r="AG20" s="277">
        <f>AD20*AF20</f>
        <v/>
      </c>
      <c r="AH20" s="131">
        <f>677/C20</f>
        <v/>
      </c>
      <c r="AI20" s="131">
        <f>382/C20</f>
        <v/>
      </c>
      <c r="AJ20" s="270">
        <f>1657/D20</f>
        <v/>
      </c>
    </row>
    <row customHeight="1" ht="13.2" outlineLevel="1" r="21" s="3">
      <c r="A21" s="117" t="n">
        <v>43362</v>
      </c>
      <c r="B21" s="267" t="inlineStr">
        <is>
          <t>iOS</t>
        </is>
      </c>
      <c r="C21" s="268" t="n">
        <v>975</v>
      </c>
      <c r="D21" s="268" t="n">
        <v>2907</v>
      </c>
      <c r="E21" s="269">
        <f>D21/C21</f>
        <v/>
      </c>
      <c r="F21" s="270">
        <f>E21*M21*G21/1000+E21*AB21/D21*0.7</f>
        <v/>
      </c>
      <c r="G21" s="271" t="n">
        <v>30.07</v>
      </c>
      <c r="I21" s="142" t="n">
        <v>0.476</v>
      </c>
      <c r="J21" s="142" t="n">
        <v>0.207</v>
      </c>
      <c r="K21" s="142" t="n">
        <v>0.093</v>
      </c>
      <c r="L21" s="270">
        <f>24146/D21</f>
        <v/>
      </c>
      <c r="M21" s="272">
        <f>19722/D21</f>
        <v/>
      </c>
      <c r="N21" s="270">
        <f>19722/1842</f>
        <v/>
      </c>
      <c r="O21" s="273">
        <f>M21/N21</f>
        <v/>
      </c>
      <c r="P21" s="270">
        <f>3516/1842</f>
        <v/>
      </c>
      <c r="Q21" s="270">
        <f>2980/1842</f>
        <v/>
      </c>
      <c r="R21" s="270">
        <f>2520/1842</f>
        <v/>
      </c>
      <c r="S21" s="270">
        <f>3369/1842</f>
        <v/>
      </c>
      <c r="T21" s="270">
        <f>2273/1842</f>
        <v/>
      </c>
      <c r="U21" s="270">
        <f>970/1842</f>
        <v/>
      </c>
      <c r="V21" s="270">
        <f>2971/1842</f>
        <v/>
      </c>
      <c r="W21" s="270">
        <f>1121/1842</f>
        <v/>
      </c>
      <c r="X21" s="274">
        <f>85/D21</f>
        <v/>
      </c>
      <c r="Y21" s="269">
        <f>X21+M21</f>
        <v/>
      </c>
      <c r="Z21" s="275" t="n">
        <v>54</v>
      </c>
      <c r="AA21" s="275" t="n">
        <v>38</v>
      </c>
      <c r="AB21" s="270" t="n">
        <v>415.46</v>
      </c>
      <c r="AD21" s="276">
        <f>Z21/D21</f>
        <v/>
      </c>
      <c r="AE21" s="141">
        <f>AA21/D21</f>
        <v/>
      </c>
      <c r="AF21" s="270">
        <f>AB21/Z21</f>
        <v/>
      </c>
      <c r="AG21" s="277">
        <f>AD21*AF21</f>
        <v/>
      </c>
      <c r="AH21" s="131">
        <f>741/C21</f>
        <v/>
      </c>
      <c r="AI21" s="131">
        <f>381/C21</f>
        <v/>
      </c>
      <c r="AJ21" s="270">
        <f>1656/D21</f>
        <v/>
      </c>
    </row>
    <row customHeight="1" ht="13.2" outlineLevel="1" r="22" s="3">
      <c r="A22" s="117" t="n">
        <v>43363</v>
      </c>
      <c r="B22" s="267" t="inlineStr">
        <is>
          <t>iOS</t>
        </is>
      </c>
      <c r="C22" s="268" t="n">
        <v>1129</v>
      </c>
      <c r="D22" s="268" t="n">
        <v>3140</v>
      </c>
      <c r="E22" s="269">
        <f>D22/C22</f>
        <v/>
      </c>
      <c r="F22" s="270">
        <f>E22*M22*G22/1000+E22*AB22/D22*0.7</f>
        <v/>
      </c>
      <c r="G22" s="271" t="n">
        <v>28.07</v>
      </c>
      <c r="I22" s="142" t="n">
        <v>0.445</v>
      </c>
      <c r="J22" s="142" t="n">
        <v>0.176</v>
      </c>
      <c r="K22" s="142" t="n">
        <v>0.074</v>
      </c>
      <c r="L22" s="270">
        <f>25042/D22</f>
        <v/>
      </c>
      <c r="M22" s="272">
        <f>19624/D22</f>
        <v/>
      </c>
      <c r="N22" s="270">
        <f>19624/1931</f>
        <v/>
      </c>
      <c r="O22" s="273">
        <f>M22/N22</f>
        <v/>
      </c>
      <c r="P22" s="270">
        <f>3426/1931</f>
        <v/>
      </c>
      <c r="Q22" s="270">
        <f>3039/1931</f>
        <v/>
      </c>
      <c r="R22" s="270">
        <f>2093/1931</f>
        <v/>
      </c>
      <c r="S22" s="270">
        <f>3557/1931</f>
        <v/>
      </c>
      <c r="T22" s="270">
        <f>2297/1931</f>
        <v/>
      </c>
      <c r="U22" s="270">
        <f>1146/1931</f>
        <v/>
      </c>
      <c r="V22" s="270" t="n">
        <v>1.52459865354738</v>
      </c>
      <c r="W22" s="270">
        <f>1122/1931</f>
        <v/>
      </c>
      <c r="X22" s="274">
        <f>84/D22</f>
        <v/>
      </c>
      <c r="Y22" s="269">
        <f>X22+M22</f>
        <v/>
      </c>
      <c r="Z22" s="275">
        <f>17+12+9+8+7+4+2+1</f>
        <v/>
      </c>
      <c r="AA22" s="275" t="n">
        <v>42</v>
      </c>
      <c r="AB22" s="270" t="n">
        <v>371.4</v>
      </c>
      <c r="AD22" s="276">
        <f>Z22/D22</f>
        <v/>
      </c>
      <c r="AE22" s="141">
        <f>AA22/D22</f>
        <v/>
      </c>
      <c r="AF22" s="270">
        <f>AB22/Z22</f>
        <v/>
      </c>
      <c r="AG22" s="277">
        <f>AD22*AF22</f>
        <v/>
      </c>
      <c r="AH22" s="131">
        <f>783/C22</f>
        <v/>
      </c>
      <c r="AI22" s="131">
        <f>447/C22</f>
        <v/>
      </c>
      <c r="AJ22" s="270">
        <f>2152/D22</f>
        <v/>
      </c>
    </row>
    <row customHeight="1" ht="13.2" outlineLevel="1" r="23" s="3">
      <c r="A23" s="117" t="n">
        <v>43364</v>
      </c>
      <c r="B23" s="267" t="inlineStr">
        <is>
          <t>iOS</t>
        </is>
      </c>
      <c r="C23" s="268" t="n">
        <v>1288</v>
      </c>
      <c r="D23" s="268" t="n">
        <v>3417</v>
      </c>
      <c r="E23" s="269">
        <f>D23/C23</f>
        <v/>
      </c>
      <c r="F23" s="270">
        <f>E23*M23*G23/1000+E23*AB23/D23*0.7</f>
        <v/>
      </c>
      <c r="G23" s="271" t="n">
        <v>28.97</v>
      </c>
      <c r="I23" s="142" t="n">
        <v>0.418</v>
      </c>
      <c r="J23" s="142" t="n">
        <v>0.196</v>
      </c>
      <c r="K23" s="142" t="n">
        <v>0.097</v>
      </c>
      <c r="L23" s="270">
        <f>27370/D23</f>
        <v/>
      </c>
      <c r="M23" s="272">
        <f>20252/D23</f>
        <v/>
      </c>
      <c r="N23" s="270">
        <f>20252/2082</f>
        <v/>
      </c>
      <c r="O23" s="273">
        <f>M23/N23</f>
        <v/>
      </c>
      <c r="P23" s="270">
        <f>3618/2082</f>
        <v/>
      </c>
      <c r="Q23" s="270">
        <f>3189/2082</f>
        <v/>
      </c>
      <c r="R23" s="270">
        <f>2124/2082</f>
        <v/>
      </c>
      <c r="S23" s="270">
        <f>3689/2082</f>
        <v/>
      </c>
      <c r="T23" s="270">
        <f>2314/2082</f>
        <v/>
      </c>
      <c r="U23" s="270">
        <f>1213/2082</f>
        <v/>
      </c>
      <c r="V23" s="270">
        <f>2992/2082</f>
        <v/>
      </c>
      <c r="W23" s="270">
        <f>1113/2082</f>
        <v/>
      </c>
      <c r="X23" s="274">
        <f>113/D23</f>
        <v/>
      </c>
      <c r="Y23" s="269">
        <f>X23+M23</f>
        <v/>
      </c>
      <c r="Z23" s="275">
        <f>18+9+11+9</f>
        <v/>
      </c>
      <c r="AA23" s="275" t="n">
        <v>36</v>
      </c>
      <c r="AB23" s="270">
        <f>(18*0.99+9*7.99+7*4.99+4*9.99+3*19.99+2*9.99+2*2.99+19.99)</f>
        <v/>
      </c>
      <c r="AD23" s="276">
        <f>Z23/D23</f>
        <v/>
      </c>
      <c r="AE23" s="141">
        <f>AA23/D23</f>
        <v/>
      </c>
      <c r="AF23" s="270">
        <f>AB23/Z23</f>
        <v/>
      </c>
      <c r="AG23" s="277">
        <f>AD23*AF23</f>
        <v/>
      </c>
      <c r="AH23" s="131">
        <f>912/C23</f>
        <v/>
      </c>
      <c r="AI23" s="131">
        <f>445/C23</f>
        <v/>
      </c>
      <c r="AJ23" s="270">
        <f>2141/D23</f>
        <v/>
      </c>
    </row>
    <row customHeight="1" ht="13.2" outlineLevel="1" r="24" s="3">
      <c r="A24" s="117" t="n">
        <v>43365</v>
      </c>
      <c r="B24" s="289" t="inlineStr">
        <is>
          <t>iOS</t>
        </is>
      </c>
      <c r="C24" s="268" t="n">
        <v>1439</v>
      </c>
      <c r="D24" s="268" t="n">
        <v>3685</v>
      </c>
      <c r="E24" s="269">
        <f>D24/C24</f>
        <v/>
      </c>
      <c r="F24" s="270">
        <f>E24*M24*G24/1000+E24*AB24/D24*0.7</f>
        <v/>
      </c>
      <c r="G24" s="271" t="n">
        <v>29.64</v>
      </c>
      <c r="I24" s="142" t="n">
        <v>0.452</v>
      </c>
      <c r="J24" s="142" t="n">
        <v>0.177</v>
      </c>
      <c r="K24" s="142" t="n">
        <v>0.074</v>
      </c>
      <c r="L24" s="270">
        <f>34857/D24</f>
        <v/>
      </c>
      <c r="M24" s="272">
        <f>25277/D24</f>
        <v/>
      </c>
      <c r="N24" s="270">
        <f>25277/2459</f>
        <v/>
      </c>
      <c r="O24" s="273">
        <f>M24/N24</f>
        <v/>
      </c>
      <c r="P24" s="270">
        <f>4854/2459</f>
        <v/>
      </c>
      <c r="Q24" s="270">
        <f>3930/2459</f>
        <v/>
      </c>
      <c r="R24" s="270">
        <f>2342/2459</f>
        <v/>
      </c>
      <c r="S24" s="270">
        <f>4309/2459</f>
        <v/>
      </c>
      <c r="T24" s="270">
        <f>3034/2459</f>
        <v/>
      </c>
      <c r="U24" s="270">
        <f>1453/2459</f>
        <v/>
      </c>
      <c r="V24" s="270">
        <f>3830/2459</f>
        <v/>
      </c>
      <c r="W24" s="270">
        <f>1525/2459</f>
        <v/>
      </c>
      <c r="X24" s="274">
        <f>81/D24</f>
        <v/>
      </c>
      <c r="Y24" s="269">
        <f>X24+M24</f>
        <v/>
      </c>
      <c r="Z24" s="275">
        <f>32+17+11+8</f>
        <v/>
      </c>
      <c r="AA24" s="275" t="n">
        <v>46</v>
      </c>
      <c r="AB24" s="270" t="n">
        <v>669.3200000000001</v>
      </c>
      <c r="AD24" s="276">
        <f>Z24/D24</f>
        <v/>
      </c>
      <c r="AE24" s="141">
        <f>AA24/D24</f>
        <v/>
      </c>
      <c r="AF24" s="270">
        <f>AB24/Z24</f>
        <v/>
      </c>
      <c r="AG24" s="277">
        <f>AD24*AF24</f>
        <v/>
      </c>
      <c r="AH24" s="131">
        <f>1159/C24</f>
        <v/>
      </c>
      <c r="AI24" s="131">
        <f>618/C24</f>
        <v/>
      </c>
      <c r="AJ24" s="270">
        <f>9371/D24</f>
        <v/>
      </c>
    </row>
    <row customHeight="1" ht="13.2" outlineLevel="1" r="25" s="3">
      <c r="A25" s="117" t="n">
        <v>43366</v>
      </c>
      <c r="B25" s="289" t="inlineStr">
        <is>
          <t>iOS</t>
        </is>
      </c>
      <c r="C25" s="268" t="n">
        <v>1773</v>
      </c>
      <c r="D25" s="268" t="n">
        <v>4285</v>
      </c>
      <c r="E25" s="269">
        <f>D25/C25</f>
        <v/>
      </c>
      <c r="F25" s="270">
        <f>E25*M25*G25/1000+E25*AB25/D25*0.7</f>
        <v/>
      </c>
      <c r="G25" s="271" t="n">
        <v>28.89</v>
      </c>
      <c r="I25" s="142" t="n">
        <v>0.439</v>
      </c>
      <c r="J25" s="142" t="n">
        <v>0.199</v>
      </c>
      <c r="K25" s="142" t="n">
        <v>0.099</v>
      </c>
      <c r="L25" s="270">
        <f>39642/D25</f>
        <v/>
      </c>
      <c r="M25" s="272">
        <f>30152/D25</f>
        <v/>
      </c>
      <c r="N25" s="270">
        <f>30152/2914</f>
        <v/>
      </c>
      <c r="O25" s="273">
        <f>M25/N25</f>
        <v/>
      </c>
      <c r="P25" s="270">
        <f>5645/2914</f>
        <v/>
      </c>
      <c r="Q25" s="270">
        <f>4716/2914</f>
        <v/>
      </c>
      <c r="R25" s="270">
        <f>3035/2914</f>
        <v/>
      </c>
      <c r="S25" s="270">
        <f>5103/2914</f>
        <v/>
      </c>
      <c r="T25" s="270">
        <f>3660/2914</f>
        <v/>
      </c>
      <c r="U25" s="270">
        <f>1843/2914</f>
        <v/>
      </c>
      <c r="V25" s="270">
        <f>4278/2914</f>
        <v/>
      </c>
      <c r="W25" s="270">
        <f>1872/2914</f>
        <v/>
      </c>
      <c r="X25" s="274">
        <f>106/D25</f>
        <v/>
      </c>
      <c r="Y25" s="269">
        <f>X25+M25</f>
        <v/>
      </c>
      <c r="Z25" s="275">
        <f>39+24+11+12+10</f>
        <v/>
      </c>
      <c r="AA25" s="275" t="n">
        <v>72</v>
      </c>
      <c r="AB25" s="270" t="n">
        <v>533.04</v>
      </c>
      <c r="AD25" s="276">
        <f>Z25/D25</f>
        <v/>
      </c>
      <c r="AE25" s="141">
        <f>AA25/D25</f>
        <v/>
      </c>
      <c r="AF25" s="270">
        <f>AB25/Z25</f>
        <v/>
      </c>
      <c r="AG25" s="277">
        <f>AD25*AF25</f>
        <v/>
      </c>
      <c r="AH25" s="131">
        <f>1433/C25</f>
        <v/>
      </c>
      <c r="AI25" s="131">
        <f>732/C25</f>
        <v/>
      </c>
      <c r="AJ25" s="270">
        <f>1935/D25</f>
        <v/>
      </c>
    </row>
    <row customHeight="1" ht="13.2" outlineLevel="1" r="26" s="3">
      <c r="A26" s="117" t="n">
        <v>43367</v>
      </c>
      <c r="B26" s="289" t="inlineStr">
        <is>
          <t>iOS</t>
        </is>
      </c>
      <c r="C26" s="268" t="n">
        <v>1175</v>
      </c>
      <c r="D26" s="268" t="n">
        <v>3953</v>
      </c>
      <c r="E26" s="269">
        <f>D26/C26</f>
        <v/>
      </c>
      <c r="F26" s="270">
        <f>E26*M26*G26/1000+E26*AB26/D26*0.7</f>
        <v/>
      </c>
      <c r="G26" s="271" t="n">
        <v>33.49</v>
      </c>
      <c r="I26" s="142" t="n">
        <v>0.454</v>
      </c>
      <c r="J26" s="142" t="n">
        <v>0.205</v>
      </c>
      <c r="K26" s="142" t="n">
        <v>0.107</v>
      </c>
      <c r="L26" s="270">
        <f>36104/D26</f>
        <v/>
      </c>
      <c r="M26" s="272">
        <f>28153/D26</f>
        <v/>
      </c>
      <c r="N26" s="270">
        <f>28153/2648</f>
        <v/>
      </c>
      <c r="O26" s="273">
        <f>M26/N26</f>
        <v/>
      </c>
      <c r="P26" s="270">
        <f>5024/2648</f>
        <v/>
      </c>
      <c r="Q26" s="270">
        <f>4690/2648</f>
        <v/>
      </c>
      <c r="R26" s="270">
        <f>3013/2648</f>
        <v/>
      </c>
      <c r="S26" s="270">
        <f>4785/2648</f>
        <v/>
      </c>
      <c r="T26" s="270">
        <f>3469/2648</f>
        <v/>
      </c>
      <c r="U26" s="270">
        <f>1535/2648</f>
        <v/>
      </c>
      <c r="V26" s="270">
        <f>3898/2648</f>
        <v/>
      </c>
      <c r="W26" s="270">
        <f>1739/2648</f>
        <v/>
      </c>
      <c r="X26" s="274">
        <f>118/D26</f>
        <v/>
      </c>
      <c r="Y26" s="269">
        <f>X26+M26</f>
        <v/>
      </c>
      <c r="Z26" s="275">
        <f>22+22+12+6+7</f>
        <v/>
      </c>
      <c r="AA26" s="275" t="n">
        <v>57</v>
      </c>
      <c r="AB26" s="270" t="n">
        <v>353.31</v>
      </c>
      <c r="AD26" s="276">
        <f>Z26/D26</f>
        <v/>
      </c>
      <c r="AE26" s="141">
        <f>AA26/D26</f>
        <v/>
      </c>
      <c r="AF26" s="270">
        <f>AB26/Z26</f>
        <v/>
      </c>
      <c r="AG26" s="277">
        <f>AD26*AF26</f>
        <v/>
      </c>
      <c r="AH26" s="131">
        <f>982/C26</f>
        <v/>
      </c>
      <c r="AI26" s="131">
        <f>654/C26</f>
        <v/>
      </c>
      <c r="AJ26" s="270">
        <f>2050/D26</f>
        <v/>
      </c>
    </row>
    <row customHeight="1" ht="13.2" outlineLevel="1" r="27" s="3">
      <c r="A27" s="117" t="n">
        <v>43368</v>
      </c>
      <c r="B27" s="289" t="inlineStr">
        <is>
          <t>iOS</t>
        </is>
      </c>
      <c r="C27" s="268" t="n">
        <v>877</v>
      </c>
      <c r="D27" s="268" t="n">
        <v>3484</v>
      </c>
      <c r="E27" s="269">
        <f>D27/C27</f>
        <v/>
      </c>
      <c r="F27" s="270">
        <f>E27*M27*G27/1000+E27*AB27/D27*0.7</f>
        <v/>
      </c>
      <c r="G27" s="271" t="n">
        <v>29.83</v>
      </c>
      <c r="I27" s="142" t="n">
        <v>0.472</v>
      </c>
      <c r="J27" s="142" t="n">
        <v>0.198</v>
      </c>
      <c r="K27" s="142" t="n">
        <v>0.094</v>
      </c>
      <c r="L27" s="270">
        <f>31885/D27</f>
        <v/>
      </c>
      <c r="M27" s="272">
        <f>23255/D27</f>
        <v/>
      </c>
      <c r="N27" s="270">
        <f>23255/2264</f>
        <v/>
      </c>
      <c r="O27" s="273">
        <f>M27/N27</f>
        <v/>
      </c>
      <c r="P27" s="270" t="n">
        <v>1.82376325088339</v>
      </c>
      <c r="Q27" s="270" t="n">
        <v>1.64443462897526</v>
      </c>
      <c r="R27" s="270" t="n">
        <v>1.27385159010601</v>
      </c>
      <c r="S27" s="270" t="n">
        <v>1.72835689045936</v>
      </c>
      <c r="T27" s="270" t="n">
        <v>1.28666077738516</v>
      </c>
      <c r="U27" s="270" t="n">
        <v>0.558745583038869</v>
      </c>
      <c r="V27" s="270" t="n">
        <v>1.32641342756184</v>
      </c>
      <c r="W27" s="270" t="n">
        <v>0.629416961130742</v>
      </c>
      <c r="X27" s="274">
        <f>68/D27</f>
        <v/>
      </c>
      <c r="Y27" s="269">
        <f>X27+M27</f>
        <v/>
      </c>
      <c r="Z27" s="275">
        <f>24+14+11+12+6</f>
        <v/>
      </c>
      <c r="AA27" s="275" t="n">
        <v>46</v>
      </c>
      <c r="AB27" s="270">
        <f>24*0.99+14*2.99+11*7.99+7*9.99+5*4.99+4*19.99+2*9.99</f>
        <v/>
      </c>
      <c r="AC27" s="290" t="n"/>
      <c r="AD27" s="276">
        <f>Z27/D27</f>
        <v/>
      </c>
      <c r="AE27" s="141">
        <f>AA27/D27</f>
        <v/>
      </c>
      <c r="AF27" s="270">
        <f>AB27/Z27</f>
        <v/>
      </c>
      <c r="AG27" s="277">
        <f>AD27*AF27</f>
        <v/>
      </c>
      <c r="AH27" s="131">
        <f>692/C27</f>
        <v/>
      </c>
      <c r="AI27" s="131">
        <f>433/C27</f>
        <v/>
      </c>
      <c r="AJ27" s="270">
        <f>2179/D27</f>
        <v/>
      </c>
    </row>
    <row customHeight="1" ht="13.2" outlineLevel="1" r="28" s="3">
      <c r="A28" s="117" t="n">
        <v>43369</v>
      </c>
      <c r="B28" s="267" t="inlineStr">
        <is>
          <t>iOS</t>
        </is>
      </c>
      <c r="C28" s="268" t="n">
        <v>1020</v>
      </c>
      <c r="D28" s="268" t="n">
        <v>3420</v>
      </c>
      <c r="E28" s="269">
        <f>D28/C28</f>
        <v/>
      </c>
      <c r="F28" s="270">
        <f>E28*M28*G28/1000+E28*AB28/D28*0.7</f>
        <v/>
      </c>
      <c r="G28" s="271" t="n">
        <v>28.1</v>
      </c>
      <c r="I28" s="142" t="n">
        <v>0.461</v>
      </c>
      <c r="J28" s="142" t="n">
        <v>0.182</v>
      </c>
      <c r="K28" s="142" t="n">
        <v>0.075</v>
      </c>
      <c r="L28" s="270">
        <f>30891/D28</f>
        <v/>
      </c>
      <c r="M28" s="272">
        <f>21643/D28</f>
        <v/>
      </c>
      <c r="N28" s="270">
        <f>21643/2236</f>
        <v/>
      </c>
      <c r="O28" s="273">
        <f>M28/N28</f>
        <v/>
      </c>
      <c r="P28" s="270">
        <f>3897/2236</f>
        <v/>
      </c>
      <c r="Q28" s="270">
        <f>2961/2236</f>
        <v/>
      </c>
      <c r="R28" s="270">
        <f>2430/2236</f>
        <v/>
      </c>
      <c r="S28" s="270">
        <f>4393/2236</f>
        <v/>
      </c>
      <c r="T28" s="270">
        <f>2678/2236</f>
        <v/>
      </c>
      <c r="U28" s="270">
        <f>1300/2236</f>
        <v/>
      </c>
      <c r="V28" s="270">
        <f>2623/2236</f>
        <v/>
      </c>
      <c r="W28" s="270">
        <f>1363/2236</f>
        <v/>
      </c>
      <c r="X28" s="274">
        <f>76/D28</f>
        <v/>
      </c>
      <c r="Y28" s="269">
        <f>X28+M28</f>
        <v/>
      </c>
      <c r="Z28" s="275">
        <f>42+16</f>
        <v/>
      </c>
      <c r="AA28" s="275" t="n">
        <v>37</v>
      </c>
      <c r="AB28" s="270">
        <f>20*0.99+12*7.99+10*4.99+9*2.99+7*9.99</f>
        <v/>
      </c>
      <c r="AC28" s="290" t="n"/>
      <c r="AD28" s="276">
        <f>Z28/D28</f>
        <v/>
      </c>
      <c r="AE28" s="141">
        <f>AA28/D28</f>
        <v/>
      </c>
      <c r="AF28" s="270">
        <f>AB28/Z28</f>
        <v/>
      </c>
      <c r="AG28" s="277">
        <f>AD28*AF28</f>
        <v/>
      </c>
      <c r="AH28" s="131">
        <f>825/C28</f>
        <v/>
      </c>
      <c r="AI28" s="131">
        <f>473/C28</f>
        <v/>
      </c>
      <c r="AJ28" s="270">
        <f>2302/D28</f>
        <v/>
      </c>
    </row>
    <row customHeight="1" ht="13.2" outlineLevel="1" r="29" s="3">
      <c r="A29" s="117" t="n">
        <v>43370</v>
      </c>
      <c r="B29" s="267" t="inlineStr">
        <is>
          <t>iOS</t>
        </is>
      </c>
      <c r="C29" s="268" t="n">
        <v>1345</v>
      </c>
      <c r="D29" s="268" t="n">
        <v>3717</v>
      </c>
      <c r="E29" s="269">
        <f>D29/C29</f>
        <v/>
      </c>
      <c r="F29" s="270">
        <f>E29*M29*G29/1000+E29*AB29/D29*0.7</f>
        <v/>
      </c>
      <c r="G29" s="271" t="n">
        <v>26.81</v>
      </c>
      <c r="I29" s="142" t="n">
        <v>0.482</v>
      </c>
      <c r="J29" s="142" t="n">
        <v>0.181</v>
      </c>
      <c r="K29" s="142" t="n">
        <v>0.099</v>
      </c>
      <c r="L29" s="270">
        <f>32903/D29</f>
        <v/>
      </c>
      <c r="M29" s="272">
        <f>22662/D29</f>
        <v/>
      </c>
      <c r="N29" s="270">
        <f>22662/2443</f>
        <v/>
      </c>
      <c r="O29" s="273">
        <f>M29/N29</f>
        <v/>
      </c>
      <c r="P29" s="270">
        <f>4269/2443</f>
        <v/>
      </c>
      <c r="Q29" s="270">
        <f>2998/2443</f>
        <v/>
      </c>
      <c r="R29" s="270">
        <f>2478/2443</f>
        <v/>
      </c>
      <c r="S29" s="270">
        <f>4167/2443</f>
        <v/>
      </c>
      <c r="T29" s="270">
        <f>2891/2443</f>
        <v/>
      </c>
      <c r="U29" s="270">
        <f>1506/2443</f>
        <v/>
      </c>
      <c r="V29" s="270">
        <f>2849/2443</f>
        <v/>
      </c>
      <c r="W29" s="270">
        <f>1503/2443</f>
        <v/>
      </c>
      <c r="X29" s="274">
        <f>70/D29</f>
        <v/>
      </c>
      <c r="Y29" s="269">
        <f>X29+M29</f>
        <v/>
      </c>
      <c r="Z29" s="275">
        <f>20+15+8+8+12</f>
        <v/>
      </c>
      <c r="AA29" s="275" t="n">
        <v>40</v>
      </c>
      <c r="AB29" s="270">
        <f>20*0.99+15*7.99+8*4.99+10*9.99+6*2.99+4*19.99</f>
        <v/>
      </c>
      <c r="AC29" s="290" t="n"/>
      <c r="AD29" s="276">
        <f>Z29/D29</f>
        <v/>
      </c>
      <c r="AE29" s="141">
        <f>AA29/D29</f>
        <v/>
      </c>
      <c r="AF29" s="270">
        <f>AB29/Z29</f>
        <v/>
      </c>
      <c r="AG29" s="277">
        <f>AD29*AF29</f>
        <v/>
      </c>
      <c r="AH29" s="131">
        <f>1070/C29</f>
        <v/>
      </c>
      <c r="AI29" s="131">
        <f>557/C29</f>
        <v/>
      </c>
      <c r="AJ29" s="270">
        <f>2405/D29</f>
        <v/>
      </c>
    </row>
    <row customHeight="1" ht="13.2" outlineLevel="1" r="30" s="3">
      <c r="A30" s="120" t="n">
        <v>43371</v>
      </c>
      <c r="B30" s="267" t="inlineStr">
        <is>
          <t>iOS</t>
        </is>
      </c>
      <c r="C30" s="268" t="n">
        <v>1498</v>
      </c>
      <c r="D30" s="268" t="n">
        <v>3960</v>
      </c>
      <c r="E30" s="269">
        <f>D30/C30</f>
        <v/>
      </c>
      <c r="F30" s="270">
        <f>E30*M30*G30/1000+E30*AB30/D30*0.7</f>
        <v/>
      </c>
      <c r="G30" s="271" t="n">
        <v>28.68</v>
      </c>
      <c r="I30" s="142" t="n">
        <v>0.466</v>
      </c>
      <c r="J30" s="142" t="n">
        <v>0.208</v>
      </c>
      <c r="K30" s="142" t="n">
        <v>0.093</v>
      </c>
      <c r="L30" s="270">
        <f>34740/D30</f>
        <v/>
      </c>
      <c r="M30" s="272">
        <f>23897/D30</f>
        <v/>
      </c>
      <c r="N30" s="270">
        <f>23897/2603</f>
        <v/>
      </c>
      <c r="O30" s="273">
        <f>M30/N30</f>
        <v/>
      </c>
      <c r="P30" s="270">
        <f>4552/2603</f>
        <v/>
      </c>
      <c r="Q30" s="270">
        <f>3340/2603</f>
        <v/>
      </c>
      <c r="R30" s="270">
        <f>2390/2603</f>
        <v/>
      </c>
      <c r="S30" s="270">
        <f>4593/2603</f>
        <v/>
      </c>
      <c r="T30" s="270">
        <f>3033/2603</f>
        <v/>
      </c>
      <c r="U30" s="270">
        <f>1593/2603</f>
        <v/>
      </c>
      <c r="V30" s="270">
        <f>2861/2603</f>
        <v/>
      </c>
      <c r="W30" s="270">
        <f>1535/2603</f>
        <v/>
      </c>
      <c r="X30" s="274">
        <f>70/D30</f>
        <v/>
      </c>
      <c r="Y30" s="269">
        <f>X30+M30</f>
        <v/>
      </c>
      <c r="Z30" s="275">
        <f>33+15+3</f>
        <v/>
      </c>
      <c r="AA30" s="275" t="n">
        <v>39</v>
      </c>
      <c r="AB30" s="270">
        <f>23*0.99+79.9+6*2.99+4*19.99+3*4.99+2*9.99+19.99+9.99+19.99</f>
        <v/>
      </c>
      <c r="AC30" s="290" t="n"/>
      <c r="AD30" s="276">
        <f>Z30/D30</f>
        <v/>
      </c>
      <c r="AE30" s="141">
        <f>AA30/D30</f>
        <v/>
      </c>
      <c r="AF30" s="270">
        <f>AB30/Z30</f>
        <v/>
      </c>
      <c r="AG30" s="277">
        <f>AD30*AF30</f>
        <v/>
      </c>
      <c r="AH30" s="131">
        <f>1232/C30</f>
        <v/>
      </c>
      <c r="AI30" s="131">
        <f>589/C30</f>
        <v/>
      </c>
      <c r="AJ30" s="270">
        <f>2147/D30</f>
        <v/>
      </c>
    </row>
    <row customHeight="1" ht="13.2" outlineLevel="1" r="31" s="3">
      <c r="A31" s="117" t="n">
        <v>43372</v>
      </c>
      <c r="B31" s="289" t="inlineStr">
        <is>
          <t>iOS</t>
        </is>
      </c>
      <c r="C31" s="268" t="n">
        <v>1387</v>
      </c>
      <c r="D31" s="268" t="n">
        <v>3979</v>
      </c>
      <c r="E31" s="269">
        <f>D31/C31</f>
        <v/>
      </c>
      <c r="F31" s="270">
        <f>E31*M31*G31/1000+E31*AB31/D31*0.7</f>
        <v/>
      </c>
      <c r="G31" s="271" t="n">
        <v>28.98</v>
      </c>
      <c r="I31" s="142" t="n">
        <v>0.425</v>
      </c>
      <c r="J31" s="142" t="n">
        <v>0.177</v>
      </c>
      <c r="K31" s="142" t="n">
        <v>0.1</v>
      </c>
      <c r="L31" s="270">
        <f>37922/D31</f>
        <v/>
      </c>
      <c r="M31" s="272">
        <f>26810/D31</f>
        <v/>
      </c>
      <c r="N31" s="270">
        <f>26810/2568</f>
        <v/>
      </c>
      <c r="O31" s="273">
        <f>M31/N31</f>
        <v/>
      </c>
      <c r="P31" s="270">
        <f>5185/2568</f>
        <v/>
      </c>
      <c r="Q31" s="270">
        <f>4059/2568</f>
        <v/>
      </c>
      <c r="R31" s="270">
        <f>3057/2569</f>
        <v/>
      </c>
      <c r="S31" s="270">
        <f>4391/2568</f>
        <v/>
      </c>
      <c r="T31" s="270">
        <f>3474/2568</f>
        <v/>
      </c>
      <c r="U31" s="270">
        <f>1397/2568</f>
        <v/>
      </c>
      <c r="V31" s="270">
        <f>3517/2568</f>
        <v/>
      </c>
      <c r="W31" s="270">
        <f>1709/2568</f>
        <v/>
      </c>
      <c r="X31" s="274">
        <f>61/D31</f>
        <v/>
      </c>
      <c r="Y31" s="269">
        <f>X31+M31</f>
        <v/>
      </c>
      <c r="Z31" s="275">
        <f>17+15+13+12+8+7+3</f>
        <v/>
      </c>
      <c r="AA31" s="275" t="n">
        <v>51</v>
      </c>
      <c r="AB31" s="270">
        <f>17*0.99+15*7.99+13*2.99+12*4.99+8*9.99+5*19.99+2*9.99+49.99+19.99+99.99</f>
        <v/>
      </c>
      <c r="AC31" s="290" t="n"/>
      <c r="AD31" s="276">
        <f>Z31/D31</f>
        <v/>
      </c>
      <c r="AE31" s="141">
        <f>AA31/D31</f>
        <v/>
      </c>
      <c r="AF31" s="270">
        <f>AB31/Z31</f>
        <v/>
      </c>
      <c r="AG31" s="277">
        <f>AD31*AF31</f>
        <v/>
      </c>
      <c r="AH31" s="131">
        <f>1104/C31</f>
        <v/>
      </c>
      <c r="AI31" s="131">
        <f>629/C31</f>
        <v/>
      </c>
      <c r="AJ31" s="270">
        <f>1769/D31</f>
        <v/>
      </c>
    </row>
    <row customHeight="1" ht="13.2" outlineLevel="1" r="32" s="3">
      <c r="A32" s="117" t="n">
        <v>43373</v>
      </c>
      <c r="B32" s="289" t="inlineStr">
        <is>
          <t>iOS</t>
        </is>
      </c>
      <c r="C32" s="268" t="n">
        <v>1266</v>
      </c>
      <c r="D32" s="268" t="n">
        <v>3951</v>
      </c>
      <c r="E32" s="269">
        <f>D32/C32</f>
        <v/>
      </c>
      <c r="F32" s="270">
        <f>3.3*M32*G32/1000+AB32/D32*3.3*0.7</f>
        <v/>
      </c>
      <c r="G32" s="271" t="n">
        <v>27.16</v>
      </c>
      <c r="I32" s="142" t="n">
        <v>0.415</v>
      </c>
      <c r="J32" s="142" t="n">
        <v>0.179</v>
      </c>
      <c r="K32" s="142" t="n">
        <v>0.08799999999999999</v>
      </c>
      <c r="L32" s="270" t="n">
        <v>8.608200455580871</v>
      </c>
      <c r="M32" s="272" t="n">
        <v>6.44621614781068</v>
      </c>
      <c r="N32" s="270" t="n">
        <v>9.898561989895059</v>
      </c>
      <c r="O32" s="273">
        <f>M32/N32</f>
        <v/>
      </c>
      <c r="P32" s="270" t="n">
        <v>1.87796346677031</v>
      </c>
      <c r="Q32" s="270" t="n">
        <v>1.48231636222309</v>
      </c>
      <c r="R32" s="270" t="n">
        <v>1.26389428682472</v>
      </c>
      <c r="S32" s="270" t="n">
        <v>1.61212592304703</v>
      </c>
      <c r="T32" s="270" t="n">
        <v>1.26039642440731</v>
      </c>
      <c r="U32" s="270" t="n">
        <v>0.566265060240964</v>
      </c>
      <c r="V32" s="270" t="n">
        <v>1.20987174504469</v>
      </c>
      <c r="W32" s="270" t="n">
        <v>0.625728721336961</v>
      </c>
      <c r="X32" s="274" t="n">
        <v>0.0245507466464186</v>
      </c>
      <c r="Y32" s="269">
        <f>X32+M32</f>
        <v/>
      </c>
      <c r="Z32" s="275" t="n">
        <v>74</v>
      </c>
      <c r="AA32" s="275" t="n">
        <v>50</v>
      </c>
      <c r="AB32" s="270" t="n">
        <v>839.26</v>
      </c>
      <c r="AC32" s="290" t="n"/>
      <c r="AD32" s="276">
        <f>Z32/D32</f>
        <v/>
      </c>
      <c r="AE32" s="141">
        <f>AA32/D32</f>
        <v/>
      </c>
      <c r="AF32" s="270">
        <f>AB32/Z32</f>
        <v/>
      </c>
      <c r="AG32" s="277">
        <f>AD32*AF32</f>
        <v/>
      </c>
      <c r="AH32" s="131" t="n">
        <v>0.796208530805687</v>
      </c>
      <c r="AI32" s="131" t="n">
        <v>0.473143759873618</v>
      </c>
      <c r="AJ32" s="270" t="n">
        <v>0.443432042520881</v>
      </c>
    </row>
    <row customHeight="1" ht="13.2" r="33" s="3">
      <c r="A33" s="117" t="n">
        <v>43374</v>
      </c>
      <c r="B33" s="289" t="inlineStr">
        <is>
          <t>iOS</t>
        </is>
      </c>
      <c r="C33" s="268" t="n">
        <v>1598</v>
      </c>
      <c r="D33" s="268" t="n">
        <v>4338</v>
      </c>
      <c r="E33" s="269">
        <f>D33/C33</f>
        <v/>
      </c>
      <c r="F33" s="270">
        <f>3.3*M33*G33/1000+AB33/D33*3.3*0.7</f>
        <v/>
      </c>
      <c r="G33" s="271" t="n">
        <v>25.3</v>
      </c>
      <c r="I33" s="142" t="n">
        <v>0.442</v>
      </c>
      <c r="J33" s="142" t="n">
        <v>0.19</v>
      </c>
      <c r="K33" s="142" t="n">
        <v>0.107</v>
      </c>
      <c r="L33" s="270" t="n">
        <v>9.18510834485938</v>
      </c>
      <c r="M33" s="272" t="n">
        <v>6.58137390502536</v>
      </c>
      <c r="N33" s="270" t="n">
        <v>10</v>
      </c>
      <c r="O33" s="273">
        <f>M33/N33</f>
        <v/>
      </c>
      <c r="P33" s="270" t="n">
        <v>1.87635726795096</v>
      </c>
      <c r="Q33" s="270" t="n">
        <v>1.46374781085814</v>
      </c>
      <c r="R33" s="270" t="n">
        <v>1.2077057793345</v>
      </c>
      <c r="S33" s="270" t="n">
        <v>1.74010507880911</v>
      </c>
      <c r="T33" s="270" t="n">
        <v>1.25359019264448</v>
      </c>
      <c r="U33" s="270" t="n">
        <v>0.591243432574431</v>
      </c>
      <c r="V33" s="270" t="n">
        <v>1.22872154115587</v>
      </c>
      <c r="W33" s="270" t="n">
        <v>0.638528896672504</v>
      </c>
      <c r="X33" s="274" t="n">
        <v>0.0405716920239742</v>
      </c>
      <c r="Y33" s="269">
        <f>X33+M33</f>
        <v/>
      </c>
      <c r="Z33" s="275" t="n">
        <v>66</v>
      </c>
      <c r="AA33" s="275" t="n">
        <v>54</v>
      </c>
      <c r="AB33" s="270" t="n">
        <v>454.34</v>
      </c>
      <c r="AC33" s="290" t="n"/>
      <c r="AD33" s="276">
        <f>Z33/D33</f>
        <v/>
      </c>
      <c r="AE33" s="141">
        <f>AA33/D33</f>
        <v/>
      </c>
      <c r="AF33" s="270">
        <f>AB33/Z33</f>
        <v/>
      </c>
      <c r="AG33" s="277">
        <f>AD33*AF33</f>
        <v/>
      </c>
      <c r="AH33" s="131" t="n">
        <v>0.772841051314143</v>
      </c>
      <c r="AI33" s="131" t="n">
        <v>0.439924906132666</v>
      </c>
      <c r="AJ33" s="270" t="n">
        <v>0.467957584140157</v>
      </c>
    </row>
    <row customHeight="1" ht="13.2" outlineLevel="1" r="34" s="3">
      <c r="A34" s="117" t="n">
        <v>43375</v>
      </c>
      <c r="B34" s="289" t="inlineStr">
        <is>
          <t>iOS</t>
        </is>
      </c>
      <c r="C34" s="268" t="n">
        <v>1665</v>
      </c>
      <c r="D34" s="268" t="n">
        <v>4493</v>
      </c>
      <c r="E34" s="269">
        <f>D34/C34</f>
        <v/>
      </c>
      <c r="F34" s="270">
        <f>3.3*M34*G34/1000+AB34/D34*3.3*0.7</f>
        <v/>
      </c>
      <c r="G34" s="271" t="n">
        <v>26.31</v>
      </c>
      <c r="I34" s="142" t="n">
        <v>0.475</v>
      </c>
      <c r="J34" s="142" t="n">
        <v>0.213</v>
      </c>
      <c r="K34" s="142" t="n">
        <v>0.116</v>
      </c>
      <c r="L34" s="270" t="n">
        <v>9.370576452259071</v>
      </c>
      <c r="M34" s="272" t="n">
        <v>6.50612063209437</v>
      </c>
      <c r="N34" s="270" t="n">
        <v>9.73102529960053</v>
      </c>
      <c r="O34" s="273">
        <f>M34/N34</f>
        <v/>
      </c>
      <c r="P34" s="270" t="n">
        <v>1.78129161118509</v>
      </c>
      <c r="Q34" s="270" t="n">
        <v>1.38715046604527</v>
      </c>
      <c r="R34" s="270" t="n">
        <v>0.9950066577896139</v>
      </c>
      <c r="S34" s="270" t="n">
        <v>1.7939414114514</v>
      </c>
      <c r="T34" s="270" t="n">
        <v>1.25299600532623</v>
      </c>
      <c r="U34" s="270" t="n">
        <v>0.645805592543276</v>
      </c>
      <c r="V34" s="270" t="n">
        <v>1.21604527296937</v>
      </c>
      <c r="W34" s="270" t="n">
        <v>0.65878828229028</v>
      </c>
      <c r="X34" s="274" t="n">
        <v>0.0342755397284665</v>
      </c>
      <c r="Y34" s="269">
        <f>X34+M34</f>
        <v/>
      </c>
      <c r="Z34" s="275" t="n">
        <v>49</v>
      </c>
      <c r="AA34" s="275" t="n">
        <v>32</v>
      </c>
      <c r="AB34" s="270" t="n">
        <v>450.51</v>
      </c>
      <c r="AC34" s="290" t="n"/>
      <c r="AD34" s="276">
        <f>Z34/D34</f>
        <v/>
      </c>
      <c r="AE34" s="141">
        <f>AA34/D34</f>
        <v/>
      </c>
      <c r="AF34" s="270">
        <f>AB34/Z34</f>
        <v/>
      </c>
      <c r="AG34" s="277">
        <f>AD34*AF34</f>
        <v/>
      </c>
      <c r="AH34" s="131" t="n">
        <v>0.791591591591592</v>
      </c>
      <c r="AI34" s="131" t="n">
        <v>0.467867867867868</v>
      </c>
      <c r="AJ34" s="270" t="n">
        <v>0.515023369686178</v>
      </c>
    </row>
    <row customHeight="1" ht="13.2" outlineLevel="1" r="35" s="3">
      <c r="A35" s="117" t="n">
        <v>43376</v>
      </c>
      <c r="B35" s="267" t="inlineStr">
        <is>
          <t>iOS</t>
        </is>
      </c>
      <c r="C35" s="268" t="n">
        <v>1242</v>
      </c>
      <c r="D35" s="268" t="n">
        <v>4238</v>
      </c>
      <c r="E35" s="269">
        <f>D35/C35</f>
        <v/>
      </c>
      <c r="F35" s="270">
        <f>3.3*M35*G35/1000+AB35/D35*3.3*0.7</f>
        <v/>
      </c>
      <c r="G35" s="271" t="n">
        <v>27.51</v>
      </c>
      <c r="I35" s="142" t="n">
        <v>0.454</v>
      </c>
      <c r="J35" s="142" t="n">
        <v>0.213</v>
      </c>
      <c r="K35" s="142" t="n">
        <v>0.102</v>
      </c>
      <c r="L35" s="270" t="n">
        <v>8.36833411986786</v>
      </c>
      <c r="M35" s="272" t="n">
        <v>6.15408211420481</v>
      </c>
      <c r="N35" s="270" t="n">
        <v>9.418923799205491</v>
      </c>
      <c r="O35" s="273">
        <f>M35/N35</f>
        <v/>
      </c>
      <c r="P35" s="270" t="n">
        <v>1.73564463705309</v>
      </c>
      <c r="Q35" s="270" t="n">
        <v>1.33586132177681</v>
      </c>
      <c r="R35" s="270" t="n">
        <v>0.970025279884435</v>
      </c>
      <c r="S35" s="270" t="n">
        <v>1.8324304803178</v>
      </c>
      <c r="T35" s="270" t="n">
        <v>1.1957385337667</v>
      </c>
      <c r="U35" s="270" t="n">
        <v>0.628024557602022</v>
      </c>
      <c r="V35" s="270" t="n">
        <v>1.11231491513182</v>
      </c>
      <c r="W35" s="270" t="n">
        <v>0.6088840736728059</v>
      </c>
      <c r="X35" s="274" t="n">
        <v>0.0285512033978292</v>
      </c>
      <c r="Y35" s="269">
        <f>X35+M35</f>
        <v/>
      </c>
      <c r="Z35" s="275" t="n">
        <v>50</v>
      </c>
      <c r="AA35" s="275" t="n">
        <v>36</v>
      </c>
      <c r="AB35" s="270" t="n">
        <v>319.5</v>
      </c>
      <c r="AC35" s="290" t="n"/>
      <c r="AD35" s="276">
        <f>Z35/D35</f>
        <v/>
      </c>
      <c r="AE35" s="141">
        <f>AA35/D35</f>
        <v/>
      </c>
      <c r="AF35" s="270">
        <f>AB35/Z35</f>
        <v/>
      </c>
      <c r="AG35" s="277">
        <f>AD35*AF35</f>
        <v/>
      </c>
      <c r="AH35" s="131" t="n">
        <v>0.802737520128824</v>
      </c>
      <c r="AI35" s="131" t="n">
        <v>0.512882447665056</v>
      </c>
      <c r="AJ35" s="270" t="n">
        <v>0.626002831524304</v>
      </c>
    </row>
    <row customHeight="1" ht="13.2" outlineLevel="1" r="36" s="3">
      <c r="A36" s="117" t="n">
        <v>43377</v>
      </c>
      <c r="B36" s="267" t="inlineStr">
        <is>
          <t>iOS</t>
        </is>
      </c>
      <c r="C36" s="268" t="n">
        <v>1278</v>
      </c>
      <c r="D36" s="268" t="n">
        <v>4146</v>
      </c>
      <c r="E36" s="269">
        <f>D36/C36</f>
        <v/>
      </c>
      <c r="F36" s="270">
        <f>3.3*M36*G36/1000+AB36/D36*3.3*0.7</f>
        <v/>
      </c>
      <c r="G36" s="271" t="n">
        <v>28.16</v>
      </c>
      <c r="I36" s="142" t="n">
        <v>0.481</v>
      </c>
      <c r="J36" s="142" t="n">
        <v>0.203</v>
      </c>
      <c r="K36" s="142" t="n">
        <v>0.11</v>
      </c>
      <c r="L36" s="270" t="n">
        <v>8.20356970574047</v>
      </c>
      <c r="M36" s="272" t="n">
        <v>5.94524843222383</v>
      </c>
      <c r="N36" s="270" t="n">
        <v>9.129259259259261</v>
      </c>
      <c r="O36" s="273">
        <f>M36/N36</f>
        <v/>
      </c>
      <c r="P36" s="270" t="n">
        <v>1.68555555555556</v>
      </c>
      <c r="Q36" s="270" t="n">
        <v>1.32518518518519</v>
      </c>
      <c r="R36" s="270" t="n">
        <v>0.915185185185185</v>
      </c>
      <c r="S36" s="270" t="n">
        <v>1.74259259259259</v>
      </c>
      <c r="T36" s="270" t="n">
        <v>1.16888888888889</v>
      </c>
      <c r="U36" s="270" t="n">
        <v>0.61962962962963</v>
      </c>
      <c r="V36" s="270" t="n">
        <v>1.05888888888889</v>
      </c>
      <c r="W36" s="270" t="n">
        <v>0.613333333333333</v>
      </c>
      <c r="X36" s="274" t="n">
        <v>0.0173661360347323</v>
      </c>
      <c r="Y36" s="269">
        <f>X36+M36</f>
        <v/>
      </c>
      <c r="Z36" s="275" t="n">
        <v>64</v>
      </c>
      <c r="AA36" s="275" t="n">
        <v>49</v>
      </c>
      <c r="AB36" s="270" t="n">
        <v>529.36</v>
      </c>
      <c r="AC36" s="290" t="n"/>
      <c r="AD36" s="276">
        <f>Z36/D36</f>
        <v/>
      </c>
      <c r="AE36" s="141">
        <f>AA36/D36</f>
        <v/>
      </c>
      <c r="AF36" s="270">
        <f>AB36/Z36</f>
        <v/>
      </c>
      <c r="AG36" s="277">
        <f>AD36*AF36</f>
        <v/>
      </c>
      <c r="AH36" s="131" t="n">
        <v>0.802034428794992</v>
      </c>
      <c r="AI36" s="131" t="n">
        <v>0.479655712050078</v>
      </c>
      <c r="AJ36" s="270" t="n">
        <v>0.573806078147612</v>
      </c>
    </row>
    <row customHeight="1" ht="13.2" outlineLevel="1" r="37" s="3">
      <c r="A37" s="120" t="n">
        <v>43378</v>
      </c>
      <c r="B37" s="267" t="inlineStr">
        <is>
          <t>iOS</t>
        </is>
      </c>
      <c r="C37" s="268" t="n">
        <v>1596</v>
      </c>
      <c r="D37" s="268" t="n">
        <v>4417</v>
      </c>
      <c r="E37" s="269">
        <f>D37/C37</f>
        <v/>
      </c>
      <c r="F37" s="270">
        <f>3.3*M37*G37/1000+AB37/D37*3.3*0.7</f>
        <v/>
      </c>
      <c r="G37" s="271" t="n">
        <v>28.24</v>
      </c>
      <c r="I37" s="142" t="n">
        <v>0.451</v>
      </c>
      <c r="J37" s="142" t="n">
        <v>0.228</v>
      </c>
      <c r="K37" s="142" t="n">
        <v>0.093</v>
      </c>
      <c r="L37" s="270" t="n">
        <v>8.269187231152371</v>
      </c>
      <c r="M37" s="272" t="n">
        <v>5.75979171383292</v>
      </c>
      <c r="N37" s="270" t="n">
        <v>8.970733427362481</v>
      </c>
      <c r="O37" s="273">
        <f>M37/N37</f>
        <v/>
      </c>
      <c r="P37" s="270" t="n">
        <v>1.70486600846262</v>
      </c>
      <c r="Q37" s="270" t="n">
        <v>1.23660084626234</v>
      </c>
      <c r="R37" s="270" t="n">
        <v>0.895275035260931</v>
      </c>
      <c r="S37" s="270" t="n">
        <v>1.69287729196051</v>
      </c>
      <c r="T37" s="270" t="n">
        <v>1.17313117066291</v>
      </c>
      <c r="U37" s="270" t="n">
        <v>0.642101551480959</v>
      </c>
      <c r="V37" s="270" t="n">
        <v>1.04231311706629</v>
      </c>
      <c r="W37" s="270" t="n">
        <v>0.583568406205924</v>
      </c>
      <c r="X37" s="274" t="n">
        <v>0.0158478605388273</v>
      </c>
      <c r="Y37" s="269">
        <f>X37+M37</f>
        <v/>
      </c>
      <c r="Z37" s="275" t="n">
        <v>56</v>
      </c>
      <c r="AA37" s="275" t="n">
        <v>48</v>
      </c>
      <c r="AB37" s="270" t="n">
        <v>295.44</v>
      </c>
      <c r="AC37" s="290" t="n"/>
      <c r="AD37" s="276">
        <f>Z37/D37</f>
        <v/>
      </c>
      <c r="AE37" s="141">
        <f>AA37/D37</f>
        <v/>
      </c>
      <c r="AF37" s="270">
        <f>AB37/Z37</f>
        <v/>
      </c>
      <c r="AG37" s="277">
        <f>AD37*AF37</f>
        <v/>
      </c>
      <c r="AH37" s="131" t="n">
        <v>0.771929824561403</v>
      </c>
      <c r="AI37" s="131" t="n">
        <v>0.424185463659148</v>
      </c>
      <c r="AJ37" s="270" t="n">
        <v>0.540638442381707</v>
      </c>
    </row>
    <row customHeight="1" ht="13.2" outlineLevel="1" r="38" s="3">
      <c r="A38" s="117" t="n">
        <v>43379</v>
      </c>
      <c r="B38" s="289" t="inlineStr">
        <is>
          <t>iOS</t>
        </is>
      </c>
      <c r="C38" s="268" t="n">
        <v>1293</v>
      </c>
      <c r="D38" s="268" t="n">
        <v>4310</v>
      </c>
      <c r="E38" s="269">
        <f>D38/C38</f>
        <v/>
      </c>
      <c r="F38" s="270">
        <f>3.3*M38*G38/1000+AB38/D38*3.3*0.7</f>
        <v/>
      </c>
      <c r="G38" s="271" t="n">
        <v>28.84</v>
      </c>
      <c r="I38" s="142" t="n">
        <v>0.429</v>
      </c>
      <c r="J38" s="142" t="n">
        <v>0.176</v>
      </c>
      <c r="K38" s="142" t="n">
        <v>0.077</v>
      </c>
      <c r="L38" s="270" t="n">
        <v>10.0874709976798</v>
      </c>
      <c r="M38" s="272" t="n">
        <v>7.51020881670534</v>
      </c>
      <c r="N38" s="270" t="n">
        <v>11.4499469402193</v>
      </c>
      <c r="O38" s="273">
        <f>M38/N38</f>
        <v/>
      </c>
      <c r="P38" s="270" t="n">
        <v>2.12875840113194</v>
      </c>
      <c r="Q38" s="270" t="n">
        <v>1.81075344888574</v>
      </c>
      <c r="R38" s="270" t="n">
        <v>1.0212239122745</v>
      </c>
      <c r="S38" s="270" t="n">
        <v>1.95436858860983</v>
      </c>
      <c r="T38" s="270" t="n">
        <v>1.48425893172975</v>
      </c>
      <c r="U38" s="270" t="n">
        <v>0.570923240183941</v>
      </c>
      <c r="V38" s="270" t="n">
        <v>1.70958613371065</v>
      </c>
      <c r="W38" s="270" t="n">
        <v>0.770074283692961</v>
      </c>
      <c r="X38" s="274" t="n">
        <v>0.017169373549884</v>
      </c>
      <c r="Y38" s="269">
        <f>X38+M38</f>
        <v/>
      </c>
      <c r="Z38" s="275" t="n">
        <v>106</v>
      </c>
      <c r="AA38" s="275" t="n">
        <v>79</v>
      </c>
      <c r="AB38" s="270" t="n">
        <v>875.9400000000001</v>
      </c>
      <c r="AC38" s="290" t="n"/>
      <c r="AD38" s="276">
        <f>Z38/D38</f>
        <v/>
      </c>
      <c r="AE38" s="141">
        <f>AA38/D38</f>
        <v/>
      </c>
      <c r="AF38" s="270">
        <f>AB38/Z38</f>
        <v/>
      </c>
      <c r="AG38" s="277">
        <f>AD38*AF38</f>
        <v/>
      </c>
      <c r="AH38" s="131" t="n">
        <v>0.787316318638824</v>
      </c>
      <c r="AI38" s="131" t="n">
        <v>0.498839907192575</v>
      </c>
      <c r="AJ38" s="270" t="n">
        <v>0.438051044083527</v>
      </c>
    </row>
    <row customHeight="1" ht="13.2" outlineLevel="1" r="39" s="3">
      <c r="A39" s="117" t="n">
        <v>43380</v>
      </c>
      <c r="B39" s="289" t="inlineStr">
        <is>
          <t>iOS</t>
        </is>
      </c>
      <c r="C39" s="268" t="n">
        <v>1223</v>
      </c>
      <c r="D39" s="268" t="n">
        <v>4164</v>
      </c>
      <c r="E39" s="269">
        <f>D39/C39</f>
        <v/>
      </c>
      <c r="F39" s="270">
        <f>3.3*M39*G39/1000+3.3*AB39/D39*0.7</f>
        <v/>
      </c>
      <c r="G39" s="271" t="n">
        <v>30.68</v>
      </c>
      <c r="I39" s="142" t="n">
        <v>0.439</v>
      </c>
      <c r="J39" s="142" t="n">
        <v>0.209</v>
      </c>
      <c r="K39" s="142" t="n">
        <v>0.098</v>
      </c>
      <c r="L39" s="270" t="n">
        <v>9.14361191162344</v>
      </c>
      <c r="M39" s="272" t="n">
        <v>7.33165225744476</v>
      </c>
      <c r="N39" s="270" t="n">
        <v>11.1419708029197</v>
      </c>
      <c r="O39" s="273">
        <f>M39/N39</f>
        <v/>
      </c>
      <c r="P39" s="270" t="n">
        <v>1.97518248175182</v>
      </c>
      <c r="Q39" s="270" t="n">
        <v>1.83540145985401</v>
      </c>
      <c r="R39" s="270" t="n">
        <v>1.12700729927007</v>
      </c>
      <c r="S39" s="270" t="n">
        <v>1.89306569343066</v>
      </c>
      <c r="T39" s="270" t="n">
        <v>1.41423357664234</v>
      </c>
      <c r="U39" s="270" t="n">
        <v>0.551459854014599</v>
      </c>
      <c r="V39" s="270" t="n">
        <v>1.5978102189781</v>
      </c>
      <c r="W39" s="270" t="n">
        <v>0.747810218978102</v>
      </c>
      <c r="X39" s="274" t="n">
        <v>0.0153698366954851</v>
      </c>
      <c r="Y39" s="269">
        <f>X39+M39</f>
        <v/>
      </c>
      <c r="Z39" s="275">
        <f>26+16+12+12+6+5+4</f>
        <v/>
      </c>
      <c r="AA39" s="275" t="n">
        <v>64</v>
      </c>
      <c r="AB39" s="270">
        <f>26*0.99+16*7.99+12*4.99+12*2.99+6*19.99+5*9.99+2*49.99+2*9.99</f>
        <v/>
      </c>
      <c r="AC39" s="290" t="n"/>
      <c r="AD39" s="276">
        <f>Z39/D39</f>
        <v/>
      </c>
      <c r="AE39" s="141">
        <f>AA39/D39</f>
        <v/>
      </c>
      <c r="AF39" s="270">
        <f>AB39/Z39</f>
        <v/>
      </c>
      <c r="AG39" s="277">
        <f>AD39*AF39</f>
        <v/>
      </c>
      <c r="AH39" s="131">
        <f>839/C39</f>
        <v/>
      </c>
      <c r="AI39" s="131">
        <f>501/C39</f>
        <v/>
      </c>
      <c r="AJ39" s="270">
        <f>1730/D39</f>
        <v/>
      </c>
    </row>
    <row customHeight="1" ht="13.2" outlineLevel="1" r="40" s="3">
      <c r="A40" s="117" t="n">
        <v>43381</v>
      </c>
      <c r="B40" s="289" t="inlineStr">
        <is>
          <t>iOS</t>
        </is>
      </c>
      <c r="C40" s="268" t="n">
        <v>1242</v>
      </c>
      <c r="D40" s="268" t="n">
        <v>4297</v>
      </c>
      <c r="E40" s="269" t="n">
        <v>3.4597423510467</v>
      </c>
      <c r="F40" s="270" t="n">
        <v>1.05303971491738</v>
      </c>
      <c r="G40" s="271" t="n">
        <v>30.95</v>
      </c>
      <c r="I40" s="142" t="n">
        <v>0.493</v>
      </c>
      <c r="J40" s="142" t="n">
        <v>0.229</v>
      </c>
      <c r="K40" s="142" t="n">
        <v>0.13</v>
      </c>
      <c r="L40" s="270" t="n">
        <v>9.05724924365837</v>
      </c>
      <c r="M40" s="272" t="n">
        <v>7.32441238073074</v>
      </c>
      <c r="N40" s="270" t="n">
        <v>11.1369426751592</v>
      </c>
      <c r="O40" s="273">
        <f>M40/N40</f>
        <v/>
      </c>
      <c r="P40" s="270" t="n">
        <v>2.04104741684359</v>
      </c>
      <c r="Q40" s="270" t="n">
        <v>1.89915074309979</v>
      </c>
      <c r="R40" s="270" t="n">
        <v>1.15003538570418</v>
      </c>
      <c r="S40" s="270" t="n">
        <v>1.82448690728945</v>
      </c>
      <c r="T40" s="270" t="n">
        <v>1.37756546355272</v>
      </c>
      <c r="U40" s="270" t="n">
        <v>0.534677990092003</v>
      </c>
      <c r="V40" s="270" t="n">
        <v>1.57077140835103</v>
      </c>
      <c r="W40" s="270" t="n">
        <v>0.739207360226468</v>
      </c>
      <c r="X40" s="274" t="n">
        <v>0.0167558761926926</v>
      </c>
      <c r="Y40" s="269">
        <f>X40+M40</f>
        <v/>
      </c>
      <c r="Z40" s="275" t="n">
        <v>72</v>
      </c>
      <c r="AA40" s="275" t="n">
        <v>54</v>
      </c>
      <c r="AB40" s="270" t="n">
        <v>567.28</v>
      </c>
      <c r="AC40" s="290" t="n"/>
      <c r="AD40" s="276" t="n">
        <v>0.0167558761926926</v>
      </c>
      <c r="AE40" s="141">
        <f>AA40/D40</f>
        <v/>
      </c>
      <c r="AF40" s="270" t="n">
        <v>7.87888888888889</v>
      </c>
      <c r="AG40" s="277">
        <f>AD40*AF40</f>
        <v/>
      </c>
      <c r="AH40" s="131" t="n">
        <v>0.778582930756844</v>
      </c>
      <c r="AI40" s="131" t="n">
        <v>0.458937198067633</v>
      </c>
      <c r="AJ40" s="270" t="n">
        <v>0.404468233651385</v>
      </c>
      <c r="AK40" s="130" t="n">
        <v>0.0430532929951129</v>
      </c>
      <c r="AL40" s="130" t="n">
        <v>0.009541540609727721</v>
      </c>
      <c r="AM40" s="133" t="n">
        <v>0.339539213404701</v>
      </c>
    </row>
    <row customHeight="1" ht="13.2" outlineLevel="1" r="41" s="3">
      <c r="A41" s="117" t="n">
        <v>43382</v>
      </c>
      <c r="B41" s="289" t="inlineStr">
        <is>
          <t>iOS</t>
        </is>
      </c>
      <c r="C41" s="268" t="n">
        <v>1150</v>
      </c>
      <c r="D41" s="268" t="n">
        <v>4252</v>
      </c>
      <c r="E41" s="269" t="n">
        <v>3.69739130434783</v>
      </c>
      <c r="F41" s="270" t="n">
        <v>0.908065749764817</v>
      </c>
      <c r="G41" s="271" t="n">
        <v>28.96</v>
      </c>
      <c r="I41" s="142" t="n">
        <v>0.497</v>
      </c>
      <c r="J41" s="142" t="n">
        <v>0.217</v>
      </c>
      <c r="K41" s="142" t="n">
        <v>0.096</v>
      </c>
      <c r="L41" s="270" t="n">
        <v>9.257525870178741</v>
      </c>
      <c r="M41" s="272" t="n">
        <v>7.21448730009407</v>
      </c>
      <c r="N41" s="270" t="n">
        <v>10.8128304547057</v>
      </c>
      <c r="O41" s="273">
        <f>M41/N41</f>
        <v/>
      </c>
      <c r="P41" s="270" t="n">
        <v>1.93161790623898</v>
      </c>
      <c r="Q41" s="270" t="n">
        <v>1.73528375044061</v>
      </c>
      <c r="R41" s="270" t="n">
        <v>1.22206556221361</v>
      </c>
      <c r="S41" s="270" t="n">
        <v>1.85935847726472</v>
      </c>
      <c r="T41" s="270" t="n">
        <v>1.32710609799084</v>
      </c>
      <c r="U41" s="270" t="n">
        <v>0.590412407472682</v>
      </c>
      <c r="V41" s="270" t="n">
        <v>1.45646810010575</v>
      </c>
      <c r="W41" s="270" t="n">
        <v>0.6905181529784979</v>
      </c>
      <c r="X41" s="274" t="n">
        <v>0.019755409219191</v>
      </c>
      <c r="Y41" s="269">
        <f>X41+M41</f>
        <v/>
      </c>
      <c r="Z41" s="275" t="n">
        <v>64</v>
      </c>
      <c r="AA41" s="275" t="n">
        <v>52</v>
      </c>
      <c r="AB41" s="270" t="n">
        <v>402.36</v>
      </c>
      <c r="AC41" s="290" t="n"/>
      <c r="AD41" s="276" t="n">
        <v>0.0150517403574788</v>
      </c>
      <c r="AE41" s="141">
        <f>AA41/D41</f>
        <v/>
      </c>
      <c r="AF41" s="270" t="n">
        <v>6.286875</v>
      </c>
      <c r="AG41" s="277">
        <f>AD41*AF41</f>
        <v/>
      </c>
      <c r="AH41" s="131" t="n">
        <v>0.836521739130435</v>
      </c>
      <c r="AI41" s="131" t="n">
        <v>0.501739130434783</v>
      </c>
      <c r="AJ41" s="270" t="n">
        <v>0.51340545625588</v>
      </c>
      <c r="AK41" s="130" t="n">
        <v>0.0482126058325494</v>
      </c>
      <c r="AL41" s="130" t="n">
        <v>0.0115239887111947</v>
      </c>
      <c r="AM41" s="133" t="n">
        <v>0.259877704609595</v>
      </c>
    </row>
    <row customHeight="1" ht="13.2" outlineLevel="1" r="42" s="3">
      <c r="A42" s="117" t="n">
        <v>43383</v>
      </c>
      <c r="B42" s="267" t="inlineStr">
        <is>
          <t>iOS</t>
        </is>
      </c>
      <c r="C42" s="268" t="n">
        <v>1197</v>
      </c>
      <c r="D42" s="268" t="n">
        <v>4204</v>
      </c>
      <c r="E42" s="269" t="n">
        <v>3.51211361737678</v>
      </c>
      <c r="F42" s="270" t="n">
        <v>0.850743705042816</v>
      </c>
      <c r="G42" s="271" t="n">
        <v>30.18</v>
      </c>
      <c r="I42" s="142" t="n">
        <v>0.459</v>
      </c>
      <c r="J42" s="142" t="n">
        <v>0.219</v>
      </c>
      <c r="K42" s="142" t="n">
        <v>0.092</v>
      </c>
      <c r="L42" s="270" t="n">
        <v>8.70218839200761</v>
      </c>
      <c r="M42" s="272" t="n">
        <v>6.13558515699334</v>
      </c>
      <c r="N42" s="270" t="n">
        <v>9.574610244988859</v>
      </c>
      <c r="O42" s="273">
        <f>M42/N42</f>
        <v/>
      </c>
      <c r="P42" s="270" t="n">
        <v>1.70861172976986</v>
      </c>
      <c r="Q42" s="270" t="n">
        <v>1.2735708982925</v>
      </c>
      <c r="R42" s="270" t="n">
        <v>1.14736451373422</v>
      </c>
      <c r="S42" s="270" t="n">
        <v>1.9072011878248</v>
      </c>
      <c r="T42" s="270" t="n">
        <v>1.17074981440238</v>
      </c>
      <c r="U42" s="270" t="n">
        <v>0.631403118040089</v>
      </c>
      <c r="V42" s="270" t="n">
        <v>1.13288789903489</v>
      </c>
      <c r="W42" s="270" t="n">
        <v>0.602821083890126</v>
      </c>
      <c r="X42" s="274" t="n">
        <v>0.0268791627021884</v>
      </c>
      <c r="Y42" s="269">
        <f>X42+M42</f>
        <v/>
      </c>
      <c r="Z42" s="275" t="n">
        <v>81</v>
      </c>
      <c r="AA42" s="275" t="n">
        <v>58</v>
      </c>
      <c r="AB42" s="270" t="n">
        <v>436.19</v>
      </c>
      <c r="AC42" s="290" t="n"/>
      <c r="AD42" s="276" t="n">
        <v>0.019267364414843</v>
      </c>
      <c r="AE42" s="141">
        <f>AA42/D42</f>
        <v/>
      </c>
      <c r="AF42" s="270" t="n">
        <v>5.38506172839506</v>
      </c>
      <c r="AG42" s="277">
        <f>AD42*AF42</f>
        <v/>
      </c>
      <c r="AH42" s="131" t="n">
        <v>0.791979949874687</v>
      </c>
      <c r="AI42" s="131" t="n">
        <v>0.469507101086048</v>
      </c>
      <c r="AJ42" s="270" t="n">
        <v>0.643196955280685</v>
      </c>
      <c r="AK42" s="130" t="n">
        <v>0.0585156993339676</v>
      </c>
      <c r="AL42" s="130" t="n">
        <v>0.0133206470028544</v>
      </c>
      <c r="AM42" s="133" t="n">
        <v>0</v>
      </c>
    </row>
    <row customHeight="1" ht="13.2" outlineLevel="1" r="43" s="3">
      <c r="A43" s="117" t="n">
        <v>43384</v>
      </c>
      <c r="B43" s="267" t="inlineStr">
        <is>
          <t>iOS</t>
        </is>
      </c>
      <c r="C43" s="268" t="n">
        <v>921</v>
      </c>
      <c r="D43" s="268" t="n">
        <v>3872</v>
      </c>
      <c r="E43" s="269" t="n">
        <v>4.20412595005429</v>
      </c>
      <c r="F43" s="270" t="n">
        <v>0.858472559659091</v>
      </c>
      <c r="G43" s="271" t="n">
        <v>32.87</v>
      </c>
      <c r="I43" s="142" t="n">
        <v>0.438</v>
      </c>
      <c r="J43" s="142" t="n">
        <v>0.216</v>
      </c>
      <c r="K43" s="142" t="n">
        <v>0.106</v>
      </c>
      <c r="L43" s="270" t="n">
        <v>9.448347107438019</v>
      </c>
      <c r="M43" s="272" t="n">
        <v>5.98682851239669</v>
      </c>
      <c r="N43" s="270" t="n">
        <v>9.29843561973526</v>
      </c>
      <c r="O43" s="273">
        <f>M43/N43</f>
        <v/>
      </c>
      <c r="P43" s="270" t="n">
        <v>1.74809466506217</v>
      </c>
      <c r="Q43" s="270" t="n">
        <v>1.31728840754112</v>
      </c>
      <c r="R43" s="270" t="n">
        <v>1.04612916165263</v>
      </c>
      <c r="S43" s="270" t="n">
        <v>1.74729241877256</v>
      </c>
      <c r="T43" s="270" t="n">
        <v>1.20336943441637</v>
      </c>
      <c r="U43" s="270" t="n">
        <v>0.5908543922984359</v>
      </c>
      <c r="V43" s="270" t="n">
        <v>1.06458082631368</v>
      </c>
      <c r="W43" s="270" t="n">
        <v>0.580826313678299</v>
      </c>
      <c r="X43" s="274" t="n">
        <v>0.0216942148760331</v>
      </c>
      <c r="Y43" s="269">
        <f>X43+M43</f>
        <v/>
      </c>
      <c r="Z43" s="275" t="n">
        <v>55</v>
      </c>
      <c r="AA43" s="275" t="n">
        <v>48</v>
      </c>
      <c r="AB43" s="270" t="n">
        <v>350.45</v>
      </c>
      <c r="AC43" s="290" t="n"/>
      <c r="AD43" s="276" t="n">
        <v>0.0142045454545455</v>
      </c>
      <c r="AE43" s="141">
        <f>AA43/D43</f>
        <v/>
      </c>
      <c r="AF43" s="270" t="n">
        <v>6.37181818181818</v>
      </c>
      <c r="AG43" s="277">
        <f>AD43*AF43</f>
        <v/>
      </c>
      <c r="AH43" s="131" t="n">
        <v>0.785016286644951</v>
      </c>
      <c r="AI43" s="131" t="n">
        <v>0.550488599348534</v>
      </c>
      <c r="AJ43" s="270" t="n">
        <v>0.628615702479339</v>
      </c>
      <c r="AK43" s="130" t="n">
        <v>0.0625</v>
      </c>
      <c r="AL43" s="130" t="n">
        <v>0.0175619834710744</v>
      </c>
      <c r="AM43" s="133" t="n">
        <v>0</v>
      </c>
    </row>
    <row customHeight="1" ht="13.2" outlineLevel="1" r="44" s="3">
      <c r="A44" s="117" t="n">
        <v>43385</v>
      </c>
      <c r="B44" s="267" t="inlineStr">
        <is>
          <t>iOS</t>
        </is>
      </c>
      <c r="C44" s="268" t="n">
        <v>956</v>
      </c>
      <c r="D44" s="268" t="n">
        <v>3663</v>
      </c>
      <c r="E44" s="269" t="n">
        <v>3.831589958159</v>
      </c>
      <c r="F44" s="270">
        <f>3.3*M44*G44/1000+AB44/D44*3.3*0.7</f>
        <v/>
      </c>
      <c r="G44" s="271" t="n">
        <v>39.35</v>
      </c>
      <c r="I44" s="142" t="n">
        <v>0.429</v>
      </c>
      <c r="J44" s="142" t="n">
        <v>0.179</v>
      </c>
      <c r="K44" s="142" t="n">
        <v>0.08400000000000001</v>
      </c>
      <c r="L44" s="270" t="n">
        <v>8.030303030303029</v>
      </c>
      <c r="M44" s="272" t="n">
        <v>5.31749931749932</v>
      </c>
      <c r="N44" s="270" t="n">
        <v>8.59576345984113</v>
      </c>
      <c r="O44" s="273">
        <f>M44/N44</f>
        <v/>
      </c>
      <c r="P44" s="270" t="n">
        <v>1.60591350397176</v>
      </c>
      <c r="Q44" s="270" t="n">
        <v>1.18578993821712</v>
      </c>
      <c r="R44" s="270" t="n">
        <v>0.961606354810238</v>
      </c>
      <c r="S44" s="270" t="n">
        <v>1.6081200353045</v>
      </c>
      <c r="T44" s="270" t="n">
        <v>1.12047661076787</v>
      </c>
      <c r="U44" s="270" t="n">
        <v>0.587819947043248</v>
      </c>
      <c r="V44" s="270" t="n">
        <v>0.962930273609885</v>
      </c>
      <c r="W44" s="270" t="n">
        <v>0.563106796116505</v>
      </c>
      <c r="X44" s="274" t="n">
        <v>0.0212940212940213</v>
      </c>
      <c r="Y44" s="269">
        <f>X44+M44</f>
        <v/>
      </c>
      <c r="Z44" s="275" t="n">
        <v>38</v>
      </c>
      <c r="AA44" s="275" t="n">
        <v>30</v>
      </c>
      <c r="AB44" s="270" t="n">
        <v>312.62</v>
      </c>
      <c r="AC44" s="290" t="n"/>
      <c r="AD44" s="276" t="n">
        <v>0.0103740103740104</v>
      </c>
      <c r="AE44" s="141">
        <f>AA44/D44</f>
        <v/>
      </c>
      <c r="AF44" s="270" t="n">
        <v>8.22684210526316</v>
      </c>
      <c r="AG44" s="277" t="n">
        <v>0.0853453453453453</v>
      </c>
      <c r="AH44" s="131" t="n">
        <v>0.760460251046025</v>
      </c>
      <c r="AI44" s="131" t="n">
        <v>0.425732217573222</v>
      </c>
      <c r="AJ44" s="270" t="n">
        <v>0.569478569478569</v>
      </c>
      <c r="AK44" s="130" t="n">
        <v>0.0518700518700519</v>
      </c>
      <c r="AL44" s="130" t="n">
        <v>0.0144690144690145</v>
      </c>
      <c r="AM44" s="133" t="n">
        <v>0</v>
      </c>
    </row>
    <row customHeight="1" ht="13.2" outlineLevel="1" r="45" s="3">
      <c r="A45" s="117" t="n">
        <v>43386</v>
      </c>
      <c r="B45" s="289" t="inlineStr">
        <is>
          <t>iOS</t>
        </is>
      </c>
      <c r="C45" s="268" t="n">
        <v>1158</v>
      </c>
      <c r="D45" s="268" t="n">
        <v>3827</v>
      </c>
      <c r="E45" s="269" t="n">
        <v>3.30483592400691</v>
      </c>
      <c r="F45" s="270">
        <f>3.3*M45*G45/1000+AB45/D45*3.3*0.7</f>
        <v/>
      </c>
      <c r="G45" s="271" t="n">
        <v>31.8</v>
      </c>
      <c r="I45" s="142" t="n">
        <v>0.417</v>
      </c>
      <c r="J45" s="142" t="n">
        <v>0.169</v>
      </c>
      <c r="K45" s="142" t="n">
        <v>0.097</v>
      </c>
      <c r="L45" s="270" t="n">
        <v>9.587405278285861</v>
      </c>
      <c r="M45" s="272" t="n">
        <v>7.25503004964724</v>
      </c>
      <c r="N45" s="270" t="n">
        <v>11.2957689178194</v>
      </c>
      <c r="O45" s="273">
        <f>M45/N45</f>
        <v/>
      </c>
      <c r="P45" s="270" t="n">
        <v>1.95158665581774</v>
      </c>
      <c r="Q45" s="270" t="n">
        <v>1.57729861676159</v>
      </c>
      <c r="R45" s="270" t="n">
        <v>2.00122050447518</v>
      </c>
      <c r="S45" s="270" t="n">
        <v>1.73026851098454</v>
      </c>
      <c r="T45" s="270" t="n">
        <v>1.3506916192026</v>
      </c>
      <c r="U45" s="270" t="n">
        <v>0.5219690805532951</v>
      </c>
      <c r="V45" s="270" t="n">
        <v>1.52115541090317</v>
      </c>
      <c r="W45" s="270" t="n">
        <v>0.641578519121237</v>
      </c>
      <c r="X45" s="274" t="n">
        <v>0.0279592370002613</v>
      </c>
      <c r="Y45" s="269">
        <f>X45+M45</f>
        <v/>
      </c>
      <c r="Z45" s="275" t="n">
        <v>77</v>
      </c>
      <c r="AA45" s="275" t="n">
        <v>55</v>
      </c>
      <c r="AB45" s="270" t="n">
        <v>660.23</v>
      </c>
      <c r="AC45" s="290" t="n"/>
      <c r="AD45" s="276" t="n">
        <v>0.0201201985889731</v>
      </c>
      <c r="AE45" s="141">
        <f>AA45/D45</f>
        <v/>
      </c>
      <c r="AF45" s="270" t="n">
        <v>8.574415584415579</v>
      </c>
      <c r="AG45" s="277" t="n">
        <v>0.172518944342827</v>
      </c>
      <c r="AH45" s="131" t="n">
        <v>0.735751295336788</v>
      </c>
      <c r="AI45" s="131" t="n">
        <v>0.416234887737478</v>
      </c>
      <c r="AJ45" s="270" t="n">
        <v>0.357721452835119</v>
      </c>
      <c r="AK45" s="130" t="n">
        <v>0.0418082048602038</v>
      </c>
      <c r="AL45" s="130" t="n">
        <v>0.00653253200940685</v>
      </c>
      <c r="AM45" s="133" t="n">
        <v>0.374706036059577</v>
      </c>
    </row>
    <row customHeight="1" ht="13.2" outlineLevel="1" r="46" s="3">
      <c r="A46" s="117" t="n">
        <v>43387</v>
      </c>
      <c r="B46" s="289" t="inlineStr">
        <is>
          <t>iOS</t>
        </is>
      </c>
      <c r="C46" s="268" t="n">
        <v>1335</v>
      </c>
      <c r="D46" s="268" t="n">
        <v>4124</v>
      </c>
      <c r="E46" s="269" t="n">
        <v>3.08913857677903</v>
      </c>
      <c r="F46" s="270" t="n">
        <v>1.09975329485936</v>
      </c>
      <c r="G46" s="271" t="n">
        <v>28.38</v>
      </c>
      <c r="I46" s="142" t="n">
        <v>0.397</v>
      </c>
      <c r="J46" s="142" t="n">
        <v>0.171</v>
      </c>
      <c r="K46" s="142" t="n">
        <v>0.097</v>
      </c>
      <c r="L46" s="270" t="n">
        <v>9.479873908826381</v>
      </c>
      <c r="M46" s="272" t="n">
        <v>7.74054316197866</v>
      </c>
      <c r="N46" s="270" t="n">
        <v>11.714495412844</v>
      </c>
      <c r="O46" s="273">
        <f>M46/N46</f>
        <v/>
      </c>
      <c r="P46" s="270" t="n">
        <v>2.02495412844037</v>
      </c>
      <c r="Q46" s="270" t="n">
        <v>1.72403669724771</v>
      </c>
      <c r="R46" s="270" t="n">
        <v>1.75449541284404</v>
      </c>
      <c r="S46" s="270" t="n">
        <v>1.99119266055046</v>
      </c>
      <c r="T46" s="270" t="n">
        <v>1.40990825688073</v>
      </c>
      <c r="U46" s="270" t="n">
        <v>0.553761467889908</v>
      </c>
      <c r="V46" s="270" t="n">
        <v>1.55743119266055</v>
      </c>
      <c r="W46" s="270" t="n">
        <v>0.698715596330275</v>
      </c>
      <c r="X46" s="274" t="n">
        <v>0.0312803103782735</v>
      </c>
      <c r="Y46" s="269">
        <f>X46+M46</f>
        <v/>
      </c>
      <c r="Z46" s="275" t="n">
        <v>84</v>
      </c>
      <c r="AA46" s="275" t="n">
        <v>61</v>
      </c>
      <c r="AB46" s="270" t="n">
        <v>669.16</v>
      </c>
      <c r="AC46" s="290" t="n"/>
      <c r="AD46" s="276" t="n">
        <v>0.020368574199806</v>
      </c>
      <c r="AE46" s="141">
        <f>AA46/D46</f>
        <v/>
      </c>
      <c r="AF46" s="270" t="n">
        <v>7.96619047619048</v>
      </c>
      <c r="AG46" s="277" t="n">
        <v>0.162259941804074</v>
      </c>
      <c r="AH46" s="131" t="n">
        <v>0.726591760299625</v>
      </c>
      <c r="AI46" s="131" t="n">
        <v>0.439700374531835</v>
      </c>
      <c r="AJ46" s="270" t="n">
        <v>0.385790494665373</v>
      </c>
      <c r="AK46" s="130" t="n">
        <v>0.0424345295829292</v>
      </c>
      <c r="AL46" s="130" t="n">
        <v>0.00897187196896217</v>
      </c>
      <c r="AM46" s="133" t="n">
        <v>0.356692531522793</v>
      </c>
    </row>
    <row customHeight="1" ht="13.2" outlineLevel="1" r="47" s="3">
      <c r="A47" s="117" t="n">
        <v>43388</v>
      </c>
      <c r="B47" s="289" t="inlineStr">
        <is>
          <t>iOS</t>
        </is>
      </c>
      <c r="C47" s="268" t="n">
        <v>1319</v>
      </c>
      <c r="D47" s="268" t="n">
        <v>4211</v>
      </c>
      <c r="E47" s="269" t="n">
        <v>3.19257012888552</v>
      </c>
      <c r="F47" s="270" t="n">
        <v>1.05723520778912</v>
      </c>
      <c r="G47" s="271" t="n">
        <v>29.6</v>
      </c>
      <c r="I47" s="142" t="n">
        <v>0.418</v>
      </c>
      <c r="J47" s="142" t="n">
        <v>0.199</v>
      </c>
      <c r="K47" s="142" t="n">
        <v>0.092</v>
      </c>
      <c r="L47" s="270" t="n">
        <v>9.78627404417003</v>
      </c>
      <c r="M47" s="272" t="n">
        <v>7.41914034671099</v>
      </c>
      <c r="N47" s="270" t="n">
        <v>11.2664983772088</v>
      </c>
      <c r="O47" s="273">
        <f>M47/N47</f>
        <v/>
      </c>
      <c r="P47" s="270" t="n">
        <v>1.96826541651641</v>
      </c>
      <c r="Q47" s="270" t="n">
        <v>1.72845293905517</v>
      </c>
      <c r="R47" s="270" t="n">
        <v>1.66895059502344</v>
      </c>
      <c r="S47" s="270" t="n">
        <v>1.8074287774973</v>
      </c>
      <c r="T47" s="270" t="n">
        <v>1.35196538045438</v>
      </c>
      <c r="U47" s="270" t="n">
        <v>0.577353047241255</v>
      </c>
      <c r="V47" s="270" t="n">
        <v>1.49152542372881</v>
      </c>
      <c r="W47" s="270" t="n">
        <v>0.67255679769203</v>
      </c>
      <c r="X47" s="274" t="n">
        <v>0.0258845879838518</v>
      </c>
      <c r="Y47" s="269">
        <f>X47+M47</f>
        <v/>
      </c>
      <c r="Z47" s="275" t="n">
        <v>81</v>
      </c>
      <c r="AA47" s="275" t="n">
        <v>56</v>
      </c>
      <c r="AB47" s="270" t="n">
        <v>606.1900000000001</v>
      </c>
      <c r="AC47" s="290" t="n"/>
      <c r="AD47" s="276" t="n">
        <v>0.0192353360246972</v>
      </c>
      <c r="AE47" s="141">
        <f>AA47/D47</f>
        <v/>
      </c>
      <c r="AF47" s="270" t="n">
        <v>7.48382716049383</v>
      </c>
      <c r="AG47" s="277" t="n">
        <v>0.143953930182854</v>
      </c>
      <c r="AH47" s="131" t="n">
        <v>0.752843062926459</v>
      </c>
      <c r="AI47" s="131" t="n">
        <v>0.431387414708112</v>
      </c>
      <c r="AJ47" s="270" t="n">
        <v>0.417003087152695</v>
      </c>
      <c r="AK47" s="130" t="n">
        <v>0.0382331987651389</v>
      </c>
      <c r="AL47" s="130" t="n">
        <v>0.0078366183804322</v>
      </c>
      <c r="AM47" s="133" t="n">
        <v>0.352172880550938</v>
      </c>
    </row>
    <row customHeight="1" ht="13.2" outlineLevel="1" r="48" s="3">
      <c r="A48" s="120" t="n">
        <v>43389</v>
      </c>
      <c r="B48" s="289" t="inlineStr">
        <is>
          <t>iOS</t>
        </is>
      </c>
      <c r="C48" s="268" t="n">
        <v>1265</v>
      </c>
      <c r="D48" s="268" t="n">
        <v>4134</v>
      </c>
      <c r="E48" s="269" t="n">
        <v>3.26798418972332</v>
      </c>
      <c r="F48" s="270" t="n">
        <v>0.416319666182874</v>
      </c>
      <c r="G48" s="271" t="n">
        <v>28.91</v>
      </c>
      <c r="I48" s="142" t="n">
        <v>0.459</v>
      </c>
      <c r="J48" s="142" t="n">
        <v>0.216</v>
      </c>
      <c r="K48" s="142" t="n">
        <v>0.107</v>
      </c>
      <c r="L48" s="270" t="n">
        <v>9.45863570391872</v>
      </c>
      <c r="M48" s="272" t="n">
        <v>7.03168843734881</v>
      </c>
      <c r="N48" s="270" t="n">
        <v>10.8385533184191</v>
      </c>
      <c r="O48" s="273">
        <f>M48/N48</f>
        <v/>
      </c>
      <c r="P48" s="270" t="n">
        <v>1.94593586875466</v>
      </c>
      <c r="Q48" s="270" t="n">
        <v>1.57494407158837</v>
      </c>
      <c r="R48" s="270" t="n">
        <v>1.49813571961223</v>
      </c>
      <c r="S48" s="270" t="n">
        <v>1.84377330350485</v>
      </c>
      <c r="T48" s="270" t="n">
        <v>1.31096196868009</v>
      </c>
      <c r="U48" s="270" t="n">
        <v>0.583892617449664</v>
      </c>
      <c r="V48" s="270" t="n">
        <v>1.4123788217748</v>
      </c>
      <c r="W48" s="270" t="n">
        <v>0.6685309470544371</v>
      </c>
      <c r="X48" s="274" t="n">
        <v>0.0200774068698597</v>
      </c>
      <c r="Y48" s="269">
        <f>X48+M48</f>
        <v/>
      </c>
      <c r="Z48" s="275" t="n">
        <v>95</v>
      </c>
      <c r="AA48" s="275" t="n">
        <v>63</v>
      </c>
      <c r="AB48" s="270" t="n">
        <v>745.05</v>
      </c>
      <c r="AC48" s="290" t="n"/>
      <c r="AD48" s="276" t="n">
        <v>0.0229801644895985</v>
      </c>
      <c r="AE48" s="141">
        <f>AA48/D48</f>
        <v/>
      </c>
      <c r="AF48" s="270" t="n">
        <v>7.84263157894737</v>
      </c>
      <c r="AG48" s="277" t="n">
        <v>0.18022496371553</v>
      </c>
      <c r="AH48" s="131" t="n">
        <v>0.743873517786561</v>
      </c>
      <c r="AI48" s="131" t="n">
        <v>0.439525691699605</v>
      </c>
      <c r="AJ48" s="270" t="n">
        <v>0.5774068698597</v>
      </c>
      <c r="AK48" s="130" t="n">
        <v>0.0486211901306241</v>
      </c>
      <c r="AL48" s="130" t="n">
        <v>0.0140299951620706</v>
      </c>
      <c r="AM48" s="133" t="n">
        <v>0.28011611030479</v>
      </c>
    </row>
    <row customHeight="1" ht="13.2" outlineLevel="1" r="49" s="3">
      <c r="A49" s="117" t="n">
        <v>43390</v>
      </c>
      <c r="B49" s="267" t="inlineStr">
        <is>
          <t>iOS</t>
        </is>
      </c>
      <c r="C49" s="268" t="n">
        <v>1416</v>
      </c>
      <c r="D49" s="268" t="n">
        <v>4353</v>
      </c>
      <c r="E49" s="269" t="n">
        <v>3.07415254237288</v>
      </c>
      <c r="F49" s="270" t="n">
        <v>0.781796305995865</v>
      </c>
      <c r="G49" s="271" t="n">
        <v>31.48</v>
      </c>
      <c r="I49" s="142" t="n">
        <v>0.486</v>
      </c>
      <c r="J49" s="142" t="n">
        <v>0.216</v>
      </c>
      <c r="K49" s="142" t="n">
        <v>0.117</v>
      </c>
      <c r="L49" s="270" t="n">
        <v>8.90328509074202</v>
      </c>
      <c r="M49" s="272" t="n">
        <v>6.03721571330117</v>
      </c>
      <c r="N49" s="270" t="n">
        <v>9.633431085043989</v>
      </c>
      <c r="O49" s="273">
        <f>M49/N49</f>
        <v/>
      </c>
      <c r="P49" s="270" t="n">
        <v>1.77309384164223</v>
      </c>
      <c r="Q49" s="270" t="n">
        <v>1.35190615835777</v>
      </c>
      <c r="R49" s="270" t="n">
        <v>0.991568914956012</v>
      </c>
      <c r="S49" s="270" t="n">
        <v>1.93438416422287</v>
      </c>
      <c r="T49" s="270" t="n">
        <v>1.1950146627566</v>
      </c>
      <c r="U49" s="270" t="n">
        <v>0.63233137829912</v>
      </c>
      <c r="V49" s="270" t="n">
        <v>1.14149560117302</v>
      </c>
      <c r="W49" s="270" t="n">
        <v>0.613636363636364</v>
      </c>
      <c r="X49" s="274" t="n">
        <v>0.023661842407535</v>
      </c>
      <c r="Y49" s="269">
        <f>X49+M49</f>
        <v/>
      </c>
      <c r="Z49" s="275" t="n">
        <v>62</v>
      </c>
      <c r="AA49" s="275" t="n">
        <v>47</v>
      </c>
      <c r="AB49" s="270" t="n">
        <v>291.38</v>
      </c>
      <c r="AC49" s="290" t="n"/>
      <c r="AD49" s="276" t="n">
        <v>0.0142430507695842</v>
      </c>
      <c r="AE49" s="141">
        <f>AA49/D49</f>
        <v/>
      </c>
      <c r="AF49" s="270" t="n">
        <v>4.69967741935484</v>
      </c>
      <c r="AG49" s="277" t="n">
        <v>0.0669377440845394</v>
      </c>
      <c r="AH49" s="131" t="n">
        <v>0.748587570621469</v>
      </c>
      <c r="AI49" s="131" t="n">
        <v>0.467514124293785</v>
      </c>
      <c r="AJ49" s="270" t="n">
        <v>0.646680450264186</v>
      </c>
      <c r="AK49" s="130" t="n">
        <v>0.0578911095796003</v>
      </c>
      <c r="AL49" s="130" t="n">
        <v>0.0130944176430048</v>
      </c>
      <c r="AM49" s="133" t="n">
        <v>0</v>
      </c>
    </row>
    <row customHeight="1" ht="13.2" outlineLevel="1" r="50" s="3">
      <c r="A50" s="117" t="n">
        <v>43391</v>
      </c>
      <c r="B50" s="267" t="inlineStr">
        <is>
          <t>iOS</t>
        </is>
      </c>
      <c r="C50" s="268" t="n">
        <v>1385</v>
      </c>
      <c r="D50" s="268" t="n">
        <v>4420</v>
      </c>
      <c r="E50" s="269" t="n">
        <v>3.1913357400722</v>
      </c>
      <c r="F50" s="270" t="n">
        <v>0.893960779411765</v>
      </c>
      <c r="G50" s="271" t="n">
        <v>31.31</v>
      </c>
      <c r="I50" s="142" t="n">
        <v>0.441</v>
      </c>
      <c r="J50" s="142" t="n">
        <v>0.204</v>
      </c>
      <c r="K50" s="142" t="n">
        <v>0.116</v>
      </c>
      <c r="L50" s="270" t="n">
        <v>9.07873303167421</v>
      </c>
      <c r="M50" s="272" t="n">
        <v>6.58710407239819</v>
      </c>
      <c r="N50" s="270" t="n">
        <v>10.6453382084095</v>
      </c>
      <c r="O50" s="273">
        <f>M50/N50</f>
        <v/>
      </c>
      <c r="P50" s="270" t="n">
        <v>1.89213893967093</v>
      </c>
      <c r="Q50" s="270" t="n">
        <v>1.55173674588665</v>
      </c>
      <c r="R50" s="270" t="n">
        <v>1.20987202925046</v>
      </c>
      <c r="S50" s="270" t="n">
        <v>2.25850091407678</v>
      </c>
      <c r="T50" s="270" t="n">
        <v>1.1926873857404</v>
      </c>
      <c r="U50" s="270" t="n">
        <v>0.629616087751371</v>
      </c>
      <c r="V50" s="270" t="n">
        <v>1.27751371115174</v>
      </c>
      <c r="W50" s="270" t="n">
        <v>0.63327239488117</v>
      </c>
      <c r="X50" s="274" t="n">
        <v>0.019683257918552</v>
      </c>
      <c r="Y50" s="269">
        <f>X50+M50</f>
        <v/>
      </c>
      <c r="Z50" s="275" t="n">
        <v>75</v>
      </c>
      <c r="AA50" s="275" t="n">
        <v>55</v>
      </c>
      <c r="AB50" s="270" t="n">
        <v>408.25</v>
      </c>
      <c r="AC50" s="290" t="n"/>
      <c r="AD50" s="276" t="n">
        <v>0.0169683257918552</v>
      </c>
      <c r="AE50" s="141">
        <f>AA50/D50</f>
        <v/>
      </c>
      <c r="AF50" s="270" t="n">
        <v>5.44333333333333</v>
      </c>
      <c r="AG50" s="277" t="n">
        <v>0.09236425339366509</v>
      </c>
      <c r="AH50" s="131" t="n">
        <v>0.743682310469314</v>
      </c>
      <c r="AI50" s="131" t="n">
        <v>0.522021660649819</v>
      </c>
      <c r="AJ50" s="270" t="n">
        <v>0.730316742081448</v>
      </c>
      <c r="AK50" s="130" t="n">
        <v>0.0690045248868778</v>
      </c>
      <c r="AL50" s="130" t="n">
        <v>0.0147058823529412</v>
      </c>
      <c r="AM50" s="133" t="n">
        <v>0</v>
      </c>
    </row>
    <row customHeight="1" ht="13.2" outlineLevel="1" r="51" s="3">
      <c r="A51" s="117" t="n">
        <v>43392</v>
      </c>
      <c r="B51" s="267" t="inlineStr">
        <is>
          <t>iOS</t>
        </is>
      </c>
      <c r="C51" s="268" t="n">
        <v>1362</v>
      </c>
      <c r="D51" s="268" t="n">
        <v>4408</v>
      </c>
      <c r="E51" s="269" t="n">
        <v>3.23641703377386</v>
      </c>
      <c r="F51" s="270" t="n">
        <v>0.687512814201452</v>
      </c>
      <c r="G51" s="271" t="n">
        <v>24.11</v>
      </c>
      <c r="I51" s="142" t="n">
        <v>0.465</v>
      </c>
      <c r="J51" s="142" t="n">
        <v>0.226</v>
      </c>
      <c r="K51" s="142" t="n">
        <v>0.112</v>
      </c>
      <c r="L51" s="270" t="n">
        <v>9.175816696914699</v>
      </c>
      <c r="M51" s="272" t="n">
        <v>6.62318511796733</v>
      </c>
      <c r="N51" s="270" t="n">
        <v>10.6318281136198</v>
      </c>
      <c r="O51" s="273">
        <f>M51/N51</f>
        <v/>
      </c>
      <c r="P51" s="270" t="n">
        <v>1.86817188638019</v>
      </c>
      <c r="Q51" s="270" t="n">
        <v>1.68790968681719</v>
      </c>
      <c r="R51" s="270" t="n">
        <v>1.17297887836854</v>
      </c>
      <c r="S51" s="270" t="n">
        <v>2.08958485069192</v>
      </c>
      <c r="T51" s="270" t="n">
        <v>1.21048798252003</v>
      </c>
      <c r="U51" s="270" t="n">
        <v>0.624180626365623</v>
      </c>
      <c r="V51" s="270" t="n">
        <v>1.2931536780772</v>
      </c>
      <c r="W51" s="270" t="n">
        <v>0.685360524399126</v>
      </c>
      <c r="X51" s="274" t="n">
        <v>0.0256352087114338</v>
      </c>
      <c r="Y51" s="269">
        <f>X51+M51</f>
        <v/>
      </c>
      <c r="Z51" s="275" t="n">
        <v>63</v>
      </c>
      <c r="AA51" s="275" t="n">
        <v>47</v>
      </c>
      <c r="AB51" s="270" t="n">
        <v>306.37</v>
      </c>
      <c r="AC51" s="290" t="n"/>
      <c r="AD51" s="276" t="n">
        <v>0.0142921960072595</v>
      </c>
      <c r="AE51" s="141">
        <f>AA51/D51</f>
        <v/>
      </c>
      <c r="AF51" s="270" t="n">
        <v>4.86301587301587</v>
      </c>
      <c r="AG51" s="277" t="n">
        <v>0.0695031760435572</v>
      </c>
      <c r="AH51" s="131" t="n">
        <v>0.700440528634361</v>
      </c>
      <c r="AI51" s="131" t="n">
        <v>0.512481644640235</v>
      </c>
      <c r="AJ51" s="270" t="n">
        <v>0.700317604355717</v>
      </c>
      <c r="AK51" s="130" t="n">
        <v>0.0723684210526316</v>
      </c>
      <c r="AL51" s="130" t="n">
        <v>0.0165607985480944</v>
      </c>
      <c r="AM51" s="133" t="n">
        <v>0</v>
      </c>
    </row>
    <row customHeight="1" ht="13.2" outlineLevel="1" r="52" s="3">
      <c r="A52" s="117" t="n">
        <v>43393</v>
      </c>
      <c r="B52" s="289" t="inlineStr">
        <is>
          <t>iOS</t>
        </is>
      </c>
      <c r="C52" s="268" t="n">
        <v>1524</v>
      </c>
      <c r="D52" s="268" t="n">
        <v>4600</v>
      </c>
      <c r="E52" s="269" t="n">
        <v>3.01837270341207</v>
      </c>
      <c r="F52" s="270" t="n">
        <v>0.869905288043478</v>
      </c>
      <c r="G52" s="271" t="n">
        <v>25.21</v>
      </c>
      <c r="I52" s="142" t="n">
        <v>0.425</v>
      </c>
      <c r="J52" s="142" t="n">
        <v>0.198</v>
      </c>
      <c r="K52" s="142" t="n">
        <v>0.108</v>
      </c>
      <c r="L52" s="270" t="n">
        <v>10.5473913043478</v>
      </c>
      <c r="M52" s="272" t="n">
        <v>7.7445652173913</v>
      </c>
      <c r="N52" s="270" t="n">
        <v>12.1255956432948</v>
      </c>
      <c r="O52" s="273">
        <f>M52/N52</f>
        <v/>
      </c>
      <c r="P52" s="270" t="n">
        <v>2.19094622191967</v>
      </c>
      <c r="Q52" s="270" t="n">
        <v>2.14567733151804</v>
      </c>
      <c r="R52" s="270" t="n">
        <v>1.24336283185841</v>
      </c>
      <c r="S52" s="270" t="n">
        <v>2.10823689584751</v>
      </c>
      <c r="T52" s="270" t="n">
        <v>1.38393464942138</v>
      </c>
      <c r="U52" s="270" t="n">
        <v>0.55786249149081</v>
      </c>
      <c r="V52" s="270" t="n">
        <v>1.75527569775357</v>
      </c>
      <c r="W52" s="270" t="n">
        <v>0.740299523485364</v>
      </c>
      <c r="X52" s="274" t="n">
        <v>0.0330434782608696</v>
      </c>
      <c r="Y52" s="269">
        <f>X52+M52</f>
        <v/>
      </c>
      <c r="Z52" s="275" t="n">
        <v>73</v>
      </c>
      <c r="AA52" s="275" t="n">
        <v>55</v>
      </c>
      <c r="AB52" s="270" t="n">
        <v>449.27</v>
      </c>
      <c r="AC52" s="290" t="n"/>
      <c r="AD52" s="276" t="n">
        <v>0.0158695652173913</v>
      </c>
      <c r="AE52" s="141">
        <f>AA52/D52</f>
        <v/>
      </c>
      <c r="AF52" s="270" t="n">
        <v>6.15438356164384</v>
      </c>
      <c r="AG52" s="277" t="n">
        <v>0.0976673913043478</v>
      </c>
      <c r="AH52" s="131" t="n">
        <v>0.736220472440945</v>
      </c>
      <c r="AI52" s="131" t="n">
        <v>0.518372703412074</v>
      </c>
      <c r="AJ52" s="270" t="n">
        <v>0.572608695652174</v>
      </c>
      <c r="AK52" s="130" t="n">
        <v>0.0617391304347826</v>
      </c>
      <c r="AL52" s="130" t="n">
        <v>0.01</v>
      </c>
      <c r="AM52" s="133" t="n">
        <v>0.398913043478261</v>
      </c>
    </row>
    <row customHeight="1" ht="13.2" outlineLevel="1" r="53" s="3">
      <c r="A53" s="117" t="n">
        <v>43394</v>
      </c>
      <c r="B53" s="289" t="inlineStr">
        <is>
          <t>iOS</t>
        </is>
      </c>
      <c r="C53" s="268" t="n">
        <v>1568</v>
      </c>
      <c r="D53" s="268" t="n">
        <v>4851</v>
      </c>
      <c r="E53" s="269" t="n">
        <v>3.09375</v>
      </c>
      <c r="F53" s="270" t="n">
        <v>1.07498828571429</v>
      </c>
      <c r="G53" s="271" t="n">
        <v>24.78</v>
      </c>
      <c r="I53" s="142" t="n">
        <v>0.423</v>
      </c>
      <c r="J53" s="142" t="n">
        <v>0.191</v>
      </c>
      <c r="K53" s="142" t="n">
        <v>0.109</v>
      </c>
      <c r="L53" s="270" t="n">
        <v>9.695732838589979</v>
      </c>
      <c r="M53" s="272" t="n">
        <v>8.03978561121418</v>
      </c>
      <c r="N53" s="270" t="n">
        <v>12.7956036745407</v>
      </c>
      <c r="O53" s="273">
        <f>M53/N53</f>
        <v/>
      </c>
      <c r="P53" s="270" t="n">
        <v>2.17979002624672</v>
      </c>
      <c r="Q53" s="270" t="n">
        <v>2.22801837270341</v>
      </c>
      <c r="R53" s="270" t="n">
        <v>1.50656167979003</v>
      </c>
      <c r="S53" s="270" t="n">
        <v>2.41108923884514</v>
      </c>
      <c r="T53" s="270" t="n">
        <v>1.35958005249344</v>
      </c>
      <c r="U53" s="270" t="n">
        <v>0.55249343832021</v>
      </c>
      <c r="V53" s="270" t="n">
        <v>1.78313648293963</v>
      </c>
      <c r="W53" s="270" t="n">
        <v>0.7749343832021</v>
      </c>
      <c r="X53" s="274" t="n">
        <v>0.0148423005565863</v>
      </c>
      <c r="Y53" s="269">
        <f>X53+M53</f>
        <v/>
      </c>
      <c r="Z53" s="275" t="n">
        <v>116</v>
      </c>
      <c r="AA53" s="275" t="n">
        <v>61</v>
      </c>
      <c r="AB53" s="270" t="n">
        <v>876.84</v>
      </c>
      <c r="AC53" s="290" t="n"/>
      <c r="AD53" s="276" t="n">
        <v>0.0239125953411668</v>
      </c>
      <c r="AE53" s="141">
        <f>AA53/D53</f>
        <v/>
      </c>
      <c r="AF53" s="270" t="n">
        <v>7.55896551724138</v>
      </c>
      <c r="AG53" s="277" t="n">
        <v>0.180754483611627</v>
      </c>
      <c r="AH53" s="131" t="n">
        <v>0.728954081632653</v>
      </c>
      <c r="AI53" s="131" t="n">
        <v>0.489795918367347</v>
      </c>
      <c r="AJ53" s="270" t="n">
        <v>0.546279117707689</v>
      </c>
      <c r="AK53" s="130" t="n">
        <v>0.0579262007833436</v>
      </c>
      <c r="AL53" s="130" t="n">
        <v>0.0111317254174397</v>
      </c>
      <c r="AM53" s="133" t="n">
        <v>0.361368789940219</v>
      </c>
    </row>
    <row customHeight="1" ht="13.2" outlineLevel="1" r="54" s="3">
      <c r="A54" s="117" t="n">
        <v>43395</v>
      </c>
      <c r="B54" s="289" t="inlineStr">
        <is>
          <t>iOS</t>
        </is>
      </c>
      <c r="C54" s="268" t="n">
        <v>1472</v>
      </c>
      <c r="D54" s="268" t="n">
        <v>5034</v>
      </c>
      <c r="E54" s="269" t="n">
        <v>3.41983695652174</v>
      </c>
      <c r="F54" s="270" t="n">
        <v>1.02652689630513</v>
      </c>
      <c r="G54" s="271" t="n">
        <v>23.48</v>
      </c>
      <c r="I54" s="142" t="n">
        <v>0.443</v>
      </c>
      <c r="J54" s="142" t="n">
        <v>0.23</v>
      </c>
      <c r="K54" s="142" t="n">
        <v>0.115</v>
      </c>
      <c r="L54" s="270" t="n">
        <v>10.1303138657132</v>
      </c>
      <c r="M54" s="272" t="n">
        <v>8.446364719904651</v>
      </c>
      <c r="N54" s="270" t="n">
        <v>13.0626728110599</v>
      </c>
      <c r="O54" s="273">
        <f>M54/N54</f>
        <v/>
      </c>
      <c r="P54" s="270" t="n">
        <v>2.11950844854071</v>
      </c>
      <c r="Q54" s="270" t="n">
        <v>2.36405529953917</v>
      </c>
      <c r="R54" s="270" t="n">
        <v>1.59293394777266</v>
      </c>
      <c r="S54" s="270" t="n">
        <v>2.52749615975422</v>
      </c>
      <c r="T54" s="270" t="n">
        <v>1.3652841781874</v>
      </c>
      <c r="U54" s="270" t="n">
        <v>0.554531490015361</v>
      </c>
      <c r="V54" s="270" t="n">
        <v>1.7815668202765</v>
      </c>
      <c r="W54" s="270" t="n">
        <v>0.757296466973886</v>
      </c>
      <c r="X54" s="274" t="n">
        <v>0.0182757250695272</v>
      </c>
      <c r="Y54" s="269">
        <f>X54+M54</f>
        <v/>
      </c>
      <c r="Z54" s="275" t="n">
        <v>118</v>
      </c>
      <c r="AA54" s="275" t="n">
        <v>89</v>
      </c>
      <c r="AB54" s="270" t="n">
        <v>810.8200000000001</v>
      </c>
      <c r="AC54" s="290" t="n"/>
      <c r="AD54" s="276" t="n">
        <v>0.023440603893524</v>
      </c>
      <c r="AE54" s="141">
        <f>AA54/D54</f>
        <v/>
      </c>
      <c r="AF54" s="270" t="n">
        <v>6.87135593220339</v>
      </c>
      <c r="AG54" s="277" t="n">
        <v>0.161068732618196</v>
      </c>
      <c r="AH54" s="131" t="n">
        <v>0.75</v>
      </c>
      <c r="AI54" s="131" t="n">
        <v>0.557065217391304</v>
      </c>
      <c r="AJ54" s="270" t="n">
        <v>0.626142232816845</v>
      </c>
      <c r="AK54" s="130" t="n">
        <v>0.0570123162495034</v>
      </c>
      <c r="AL54" s="130" t="n">
        <v>0.0103297576479936</v>
      </c>
      <c r="AM54" s="133" t="n">
        <v>0.363925307906238</v>
      </c>
    </row>
    <row customHeight="1" ht="13.2" outlineLevel="1" r="55" s="3">
      <c r="A55" s="120" t="n">
        <v>43396</v>
      </c>
      <c r="B55" s="289" t="inlineStr">
        <is>
          <t>iOS</t>
        </is>
      </c>
      <c r="C55" s="268" t="n">
        <v>1301</v>
      </c>
      <c r="D55" s="268" t="n">
        <v>4852</v>
      </c>
      <c r="E55" s="269" t="n">
        <v>3.72943889315911</v>
      </c>
      <c r="F55" s="270" t="n">
        <v>1.05691819847486</v>
      </c>
      <c r="G55" s="271" t="n">
        <v>23.81</v>
      </c>
      <c r="I55" s="142" t="n">
        <v>0.478</v>
      </c>
      <c r="J55" s="142" t="n">
        <v>0.211</v>
      </c>
      <c r="K55" s="142" t="n">
        <v>0.108</v>
      </c>
      <c r="L55" s="270" t="n">
        <v>9.94187963726298</v>
      </c>
      <c r="M55" s="272" t="n">
        <v>8.99896949711459</v>
      </c>
      <c r="N55" s="270" t="n">
        <v>13.7999367888748</v>
      </c>
      <c r="O55" s="273">
        <f>M55/N55</f>
        <v/>
      </c>
      <c r="P55" s="270" t="n">
        <v>2.13874841972187</v>
      </c>
      <c r="Q55" s="270" t="n">
        <v>2.44026548672566</v>
      </c>
      <c r="R55" s="270" t="n">
        <v>1.54740834386852</v>
      </c>
      <c r="S55" s="270" t="n">
        <v>3.02465233881163</v>
      </c>
      <c r="T55" s="270" t="n">
        <v>1.34987357774968</v>
      </c>
      <c r="U55" s="270" t="n">
        <v>0.621049304677623</v>
      </c>
      <c r="V55" s="270" t="n">
        <v>1.85935524652339</v>
      </c>
      <c r="W55" s="270" t="n">
        <v>0.81858407079646</v>
      </c>
      <c r="X55" s="274" t="n">
        <v>0.0115416323165705</v>
      </c>
      <c r="Y55" s="269">
        <f>X55+M55</f>
        <v/>
      </c>
      <c r="Z55" s="275" t="n">
        <v>118</v>
      </c>
      <c r="AA55" s="275" t="n">
        <v>73</v>
      </c>
      <c r="AB55" s="270" t="n">
        <v>734.8200000000001</v>
      </c>
      <c r="AC55" s="290" t="n"/>
      <c r="AD55" s="276" t="n">
        <v>0.0243198680956307</v>
      </c>
      <c r="AE55" s="141">
        <f>AA55/D55</f>
        <v/>
      </c>
      <c r="AF55" s="270" t="n">
        <v>6.22728813559322</v>
      </c>
      <c r="AG55" s="277" t="n">
        <v>0.151446826051113</v>
      </c>
      <c r="AH55" s="131" t="n">
        <v>0.764796310530361</v>
      </c>
      <c r="AI55" s="131" t="n">
        <v>0.55956956187548</v>
      </c>
      <c r="AJ55" s="270" t="n">
        <v>0.76154163231657</v>
      </c>
      <c r="AK55" s="130" t="n">
        <v>0.0750206100577082</v>
      </c>
      <c r="AL55" s="130" t="n">
        <v>0.0144270403957131</v>
      </c>
      <c r="AM55" s="133" t="n">
        <v>0.300082440230833</v>
      </c>
    </row>
    <row customHeight="1" ht="13.2" outlineLevel="1" r="56" s="3">
      <c r="A56" s="117" t="n">
        <v>43397</v>
      </c>
      <c r="B56" s="267" t="inlineStr">
        <is>
          <t>iOS</t>
        </is>
      </c>
      <c r="C56" s="268" t="n">
        <v>1123</v>
      </c>
      <c r="D56" s="268" t="n">
        <v>4603</v>
      </c>
      <c r="E56" s="269" t="n">
        <v>4.09884238646483</v>
      </c>
      <c r="F56" s="270" t="n">
        <v>0.944154160330219</v>
      </c>
      <c r="G56" s="271" t="n">
        <v>25.8</v>
      </c>
      <c r="I56" s="142" t="n">
        <v>0.473</v>
      </c>
      <c r="J56" s="142" t="n">
        <v>0.212</v>
      </c>
      <c r="K56" s="142" t="n">
        <v>0.099</v>
      </c>
      <c r="L56" s="270" t="n">
        <v>9.323701933521621</v>
      </c>
      <c r="M56" s="272" t="n">
        <v>8.52378883336954</v>
      </c>
      <c r="N56" s="270" t="n">
        <v>12.893526125534</v>
      </c>
      <c r="O56" s="273">
        <f>M56/N56</f>
        <v/>
      </c>
      <c r="P56" s="270" t="n">
        <v>1.83075911929017</v>
      </c>
      <c r="Q56" s="270" t="n">
        <v>1.95497863950049</v>
      </c>
      <c r="R56" s="270" t="n">
        <v>1.38120276043378</v>
      </c>
      <c r="S56" s="270" t="n">
        <v>3.6694051922445</v>
      </c>
      <c r="T56" s="270" t="n">
        <v>1.16924088070983</v>
      </c>
      <c r="U56" s="270" t="n">
        <v>0.596122247781794</v>
      </c>
      <c r="V56" s="270" t="n">
        <v>1.56194544857049</v>
      </c>
      <c r="W56" s="270" t="n">
        <v>0.729871837002958</v>
      </c>
      <c r="X56" s="274" t="n">
        <v>0.0160764718661742</v>
      </c>
      <c r="Y56" s="269">
        <f>X56+M56</f>
        <v/>
      </c>
      <c r="Z56" s="275" t="n">
        <v>73</v>
      </c>
      <c r="AA56" s="275" t="n">
        <v>51</v>
      </c>
      <c r="AB56" s="270" t="n">
        <v>435.27</v>
      </c>
      <c r="AC56" s="290" t="n"/>
      <c r="AD56" s="276" t="n">
        <v>0.0158592222463611</v>
      </c>
      <c r="AE56" s="141">
        <f>AA56/D56</f>
        <v/>
      </c>
      <c r="AF56" s="270" t="n">
        <v>5.96260273972603</v>
      </c>
      <c r="AG56" s="277" t="n">
        <v>0.09456224201607651</v>
      </c>
      <c r="AH56" s="131" t="n">
        <v>0.782724844167409</v>
      </c>
      <c r="AI56" s="131" t="n">
        <v>0.608192341941229</v>
      </c>
      <c r="AJ56" s="270" t="n">
        <v>0.898761677167065</v>
      </c>
      <c r="AK56" s="130" t="n">
        <v>0.0875515967847056</v>
      </c>
      <c r="AL56" s="130" t="n">
        <v>0.0158592222463611</v>
      </c>
      <c r="AM56" s="133" t="n">
        <v>0</v>
      </c>
    </row>
    <row customHeight="1" ht="13.2" outlineLevel="1" r="57" s="3">
      <c r="A57" s="117" t="n">
        <v>43398</v>
      </c>
      <c r="B57" s="267" t="inlineStr">
        <is>
          <t>iOS</t>
        </is>
      </c>
      <c r="C57" s="268" t="n">
        <v>996</v>
      </c>
      <c r="D57" s="268" t="n">
        <v>4386</v>
      </c>
      <c r="E57" s="269" t="n">
        <v>4.40361445783132</v>
      </c>
      <c r="F57" s="270" t="n">
        <v>1.05776490560876</v>
      </c>
      <c r="G57" s="271" t="n">
        <v>26.74</v>
      </c>
      <c r="I57" s="142" t="n">
        <v>0.493</v>
      </c>
      <c r="J57" s="142" t="n">
        <v>0.242</v>
      </c>
      <c r="K57" s="142" t="n">
        <v>0.105</v>
      </c>
      <c r="L57" s="270" t="n">
        <v>9.16005471956224</v>
      </c>
      <c r="M57" s="272" t="n">
        <v>8.85271317829457</v>
      </c>
      <c r="N57" s="270" t="n">
        <v>13.3200686106346</v>
      </c>
      <c r="O57" s="273">
        <f>M57/N57</f>
        <v/>
      </c>
      <c r="P57" s="270" t="n">
        <v>1.93927958833619</v>
      </c>
      <c r="Q57" s="270" t="n">
        <v>2.04802744425386</v>
      </c>
      <c r="R57" s="270" t="n">
        <v>1.37975986277873</v>
      </c>
      <c r="S57" s="270" t="n">
        <v>3.86209262435678</v>
      </c>
      <c r="T57" s="270" t="n">
        <v>1.21921097770154</v>
      </c>
      <c r="U57" s="270" t="n">
        <v>0.5852487135506</v>
      </c>
      <c r="V57" s="270" t="n">
        <v>1.57975986277873</v>
      </c>
      <c r="W57" s="270" t="n">
        <v>0.706689536878216</v>
      </c>
      <c r="X57" s="274" t="n">
        <v>0.0214318285453716</v>
      </c>
      <c r="Y57" s="269">
        <f>X57+M57</f>
        <v/>
      </c>
      <c r="Z57" s="275" t="n">
        <v>85</v>
      </c>
      <c r="AA57" s="275" t="n">
        <v>55</v>
      </c>
      <c r="AB57" s="270" t="n">
        <v>525.15</v>
      </c>
      <c r="AC57" s="290" t="n"/>
      <c r="AD57" s="276" t="n">
        <v>0.0193798449612403</v>
      </c>
      <c r="AE57" s="141">
        <f>AA57/D57</f>
        <v/>
      </c>
      <c r="AF57" s="270" t="n">
        <v>6.17823529411765</v>
      </c>
      <c r="AG57" s="277" t="n">
        <v>0.119733242134063</v>
      </c>
      <c r="AH57" s="131" t="n">
        <v>0.781124497991968</v>
      </c>
      <c r="AI57" s="131" t="n">
        <v>0.5783132530120479</v>
      </c>
      <c r="AJ57" s="270" t="n">
        <v>0.880984952120383</v>
      </c>
      <c r="AK57" s="130" t="n">
        <v>0.08891928864569081</v>
      </c>
      <c r="AL57" s="130" t="n">
        <v>0.0191518467852257</v>
      </c>
      <c r="AM57" s="133" t="n">
        <v>0</v>
      </c>
    </row>
    <row customHeight="1" ht="13.2" outlineLevel="1" r="58" s="3">
      <c r="A58" s="117" t="n">
        <v>43399</v>
      </c>
      <c r="B58" s="267" t="inlineStr">
        <is>
          <t>iOS</t>
        </is>
      </c>
      <c r="C58" s="268" t="n">
        <v>1316</v>
      </c>
      <c r="D58" s="268" t="n">
        <v>4647</v>
      </c>
      <c r="E58" s="269" t="n">
        <v>3.53115501519757</v>
      </c>
      <c r="F58" s="270" t="n">
        <v>0.926891870884442</v>
      </c>
      <c r="G58" s="271" t="n">
        <v>24.28</v>
      </c>
      <c r="I58" s="142" t="n">
        <v>0.417</v>
      </c>
      <c r="J58" s="142" t="n">
        <v>0.213</v>
      </c>
      <c r="K58" s="142" t="n">
        <v>0.115</v>
      </c>
      <c r="L58" s="270" t="n">
        <v>8.806541854960191</v>
      </c>
      <c r="M58" s="272" t="n">
        <v>8.166774262965349</v>
      </c>
      <c r="N58" s="270" t="n">
        <v>12.5915726609157</v>
      </c>
      <c r="O58" s="273">
        <f>M58/N58</f>
        <v/>
      </c>
      <c r="P58" s="270" t="n">
        <v>1.81884538818845</v>
      </c>
      <c r="Q58" s="270" t="n">
        <v>1.85600530856005</v>
      </c>
      <c r="R58" s="270" t="n">
        <v>1.25414731254147</v>
      </c>
      <c r="S58" s="270" t="n">
        <v>3.86595885865959</v>
      </c>
      <c r="T58" s="270" t="n">
        <v>1.12408759124088</v>
      </c>
      <c r="U58" s="270" t="n">
        <v>0.565693430656934</v>
      </c>
      <c r="V58" s="270" t="n">
        <v>1.45388188453882</v>
      </c>
      <c r="W58" s="270" t="n">
        <v>0.652952886529529</v>
      </c>
      <c r="X58" s="274" t="n">
        <v>0.0124811706477297</v>
      </c>
      <c r="Y58" s="269">
        <f>X58+M58</f>
        <v/>
      </c>
      <c r="Z58" s="275" t="n">
        <v>74</v>
      </c>
      <c r="AA58" s="275" t="n">
        <v>52</v>
      </c>
      <c r="AB58" s="270" t="n">
        <v>548.26</v>
      </c>
      <c r="AC58" s="290" t="n"/>
      <c r="AD58" s="276" t="n">
        <v>0.0159242522057241</v>
      </c>
      <c r="AE58" s="141">
        <f>AA58/D58</f>
        <v/>
      </c>
      <c r="AF58" s="270" t="n">
        <v>7.40891891891892</v>
      </c>
      <c r="AG58" s="277" t="n">
        <v>0.117981493436626</v>
      </c>
      <c r="AH58" s="131" t="n">
        <v>0.716565349544073</v>
      </c>
      <c r="AI58" s="131" t="n">
        <v>0.458206686930091</v>
      </c>
      <c r="AJ58" s="270" t="n">
        <v>0.782225091456854</v>
      </c>
      <c r="AK58" s="130" t="n">
        <v>0.0761781794706262</v>
      </c>
      <c r="AL58" s="130" t="n">
        <v>0.0202281041532171</v>
      </c>
      <c r="AM58" s="133" t="n">
        <v>0</v>
      </c>
    </row>
    <row customHeight="1" ht="13.2" outlineLevel="1" r="59" s="3">
      <c r="A59" s="117" t="n">
        <v>43400</v>
      </c>
      <c r="B59" s="289" t="inlineStr">
        <is>
          <t>iOS</t>
        </is>
      </c>
      <c r="C59" s="268" t="n">
        <v>1827</v>
      </c>
      <c r="D59" s="268" t="n">
        <v>5149</v>
      </c>
      <c r="E59" s="269" t="n">
        <v>2.81828133552271</v>
      </c>
      <c r="F59" s="270" t="n">
        <v>0.931625172654884</v>
      </c>
      <c r="G59" s="271" t="n">
        <v>23.34</v>
      </c>
      <c r="I59" s="142" t="n">
        <v>0.402</v>
      </c>
      <c r="J59" s="142" t="n">
        <v>0.207</v>
      </c>
      <c r="K59" s="142" t="n">
        <v>0.111</v>
      </c>
      <c r="L59" s="270" t="n">
        <v>9.61002136337153</v>
      </c>
      <c r="M59" s="272" t="n">
        <v>8.42629636822684</v>
      </c>
      <c r="N59" s="270" t="n">
        <v>13.7344096232985</v>
      </c>
      <c r="O59" s="273">
        <f>M59/N59</f>
        <v/>
      </c>
      <c r="P59" s="270" t="n">
        <v>2.30895853118075</v>
      </c>
      <c r="Q59" s="270" t="n">
        <v>2.30326052548275</v>
      </c>
      <c r="R59" s="270" t="n">
        <v>1.4710351377018</v>
      </c>
      <c r="S59" s="270" t="n">
        <v>3.04558404558405</v>
      </c>
      <c r="T59" s="270" t="n">
        <v>1.38588160810383</v>
      </c>
      <c r="U59" s="270" t="n">
        <v>0.531497309275087</v>
      </c>
      <c r="V59" s="270" t="n">
        <v>1.92212725546059</v>
      </c>
      <c r="W59" s="270" t="n">
        <v>0.766065210509655</v>
      </c>
      <c r="X59" s="274" t="n">
        <v>0.0227228588075354</v>
      </c>
      <c r="Y59" s="269">
        <f>X59+M59</f>
        <v/>
      </c>
      <c r="Z59" s="275" t="n">
        <v>105</v>
      </c>
      <c r="AA59" s="275" t="n">
        <v>51</v>
      </c>
      <c r="AB59" s="270" t="n">
        <v>629.95</v>
      </c>
      <c r="AC59" s="290" t="n"/>
      <c r="AD59" s="276" t="n">
        <v>0.0203923091862498</v>
      </c>
      <c r="AE59" s="141">
        <f>AA59/D59</f>
        <v/>
      </c>
      <c r="AF59" s="270" t="n">
        <v>5.99952380952381</v>
      </c>
      <c r="AG59" s="277" t="n">
        <v>0.122344144494077</v>
      </c>
      <c r="AH59" s="131" t="n">
        <v>0.624521072796935</v>
      </c>
      <c r="AI59" s="131" t="n">
        <v>0.409961685823755</v>
      </c>
      <c r="AJ59" s="270" t="n">
        <v>0.543018061759565</v>
      </c>
      <c r="AK59" s="130" t="n">
        <v>0.0602058652165469</v>
      </c>
      <c r="AL59" s="130" t="n">
        <v>0.011070110701107</v>
      </c>
      <c r="AM59" s="133" t="n">
        <v>0.367449990289377</v>
      </c>
    </row>
    <row customHeight="1" ht="13.2" outlineLevel="1" r="60" s="3">
      <c r="A60" s="117" t="n">
        <v>43401</v>
      </c>
      <c r="B60" s="289" t="inlineStr">
        <is>
          <t>iOS</t>
        </is>
      </c>
      <c r="C60" s="268" t="n">
        <v>2024</v>
      </c>
      <c r="D60" s="268" t="n">
        <v>5686</v>
      </c>
      <c r="E60" s="269" t="n">
        <v>2.80928853754941</v>
      </c>
      <c r="F60" s="270" t="n">
        <v>0.931817070875835</v>
      </c>
      <c r="G60" s="271" t="n">
        <v>19.83</v>
      </c>
      <c r="I60" s="142" t="n">
        <v>0.398</v>
      </c>
      <c r="J60" s="142" t="n">
        <v>0.181</v>
      </c>
      <c r="K60" s="142" t="n">
        <v>0.106</v>
      </c>
      <c r="L60" s="270" t="n">
        <v>9.45761519521632</v>
      </c>
      <c r="M60" s="272" t="n">
        <v>8.87003165670067</v>
      </c>
      <c r="N60" s="270" t="n">
        <v>13.7875888463641</v>
      </c>
      <c r="O60" s="273">
        <f>M60/N60</f>
        <v/>
      </c>
      <c r="P60" s="270" t="n">
        <v>2.17113176599235</v>
      </c>
      <c r="Q60" s="270" t="n">
        <v>2.47266265718972</v>
      </c>
      <c r="R60" s="270" t="n">
        <v>1.56068890103882</v>
      </c>
      <c r="S60" s="270" t="n">
        <v>3.05631492618917</v>
      </c>
      <c r="T60" s="270" t="n">
        <v>1.32285401858939</v>
      </c>
      <c r="U60" s="270" t="n">
        <v>0.555494805904866</v>
      </c>
      <c r="V60" s="270" t="n">
        <v>1.89967195188628</v>
      </c>
      <c r="W60" s="270" t="n">
        <v>0.7487698195735371</v>
      </c>
      <c r="X60" s="274" t="n">
        <v>0.0112557157931762</v>
      </c>
      <c r="Y60" s="269">
        <f>X60+M60</f>
        <v/>
      </c>
      <c r="Z60" s="275" t="n">
        <v>111</v>
      </c>
      <c r="AA60" s="275" t="n">
        <v>51</v>
      </c>
      <c r="AB60" s="270" t="n">
        <v>864.89</v>
      </c>
      <c r="AC60" s="290" t="n"/>
      <c r="AD60" s="276" t="n">
        <v>0.01952163207879</v>
      </c>
      <c r="AE60" s="141">
        <f>AA60/D60</f>
        <v/>
      </c>
      <c r="AF60" s="270" t="n">
        <v>7.7918018018018</v>
      </c>
      <c r="AG60" s="277" t="n">
        <v>0.152108688005628</v>
      </c>
      <c r="AH60" s="131" t="n">
        <v>0.6531620553359681</v>
      </c>
      <c r="AI60" s="131" t="n">
        <v>0.438735177865613</v>
      </c>
      <c r="AJ60" s="270" t="n">
        <v>0.578262398874428</v>
      </c>
      <c r="AK60" s="130" t="n">
        <v>0.0532887794583187</v>
      </c>
      <c r="AL60" s="130" t="n">
        <v>0.0089693985226873</v>
      </c>
      <c r="AM60" s="133" t="n">
        <v>0.340133661625044</v>
      </c>
    </row>
    <row customHeight="1" ht="13.2" outlineLevel="1" r="61" s="3">
      <c r="A61" s="120" t="n">
        <v>43402</v>
      </c>
      <c r="B61" s="289" t="inlineStr">
        <is>
          <t>iOS</t>
        </is>
      </c>
      <c r="C61" s="268" t="n">
        <v>1540</v>
      </c>
      <c r="D61" s="268" t="n">
        <v>5410</v>
      </c>
      <c r="E61" s="269" t="n">
        <v>3.51298701298701</v>
      </c>
      <c r="F61" s="270" t="n">
        <v>1.20426704805915</v>
      </c>
      <c r="G61" s="271" t="n">
        <v>28.54</v>
      </c>
      <c r="I61" s="142" t="n">
        <v>0.419</v>
      </c>
      <c r="J61" s="142" t="n">
        <v>0.2</v>
      </c>
      <c r="K61" s="142" t="n">
        <v>0.119</v>
      </c>
      <c r="L61" s="270" t="n">
        <v>9.732347504621069</v>
      </c>
      <c r="M61" s="272" t="n">
        <v>9.309611829944551</v>
      </c>
      <c r="N61" s="270" t="n">
        <v>14.07629960872</v>
      </c>
      <c r="O61" s="273">
        <f>M61/N61</f>
        <v/>
      </c>
      <c r="P61" s="270" t="n">
        <v>2.07937395192845</v>
      </c>
      <c r="Q61" s="270" t="n">
        <v>2.60844046953605</v>
      </c>
      <c r="R61" s="270" t="n">
        <v>1.55002794857462</v>
      </c>
      <c r="S61" s="270" t="n">
        <v>3.42677473448854</v>
      </c>
      <c r="T61" s="270" t="n">
        <v>1.32923420905534</v>
      </c>
      <c r="U61" s="270" t="n">
        <v>0.531861375069871</v>
      </c>
      <c r="V61" s="270" t="n">
        <v>1.80575740637227</v>
      </c>
      <c r="W61" s="270" t="n">
        <v>0.744829513694802</v>
      </c>
      <c r="X61" s="274" t="n">
        <v>0.0201478743068392</v>
      </c>
      <c r="Y61" s="269">
        <f>X61+M61</f>
        <v/>
      </c>
      <c r="Z61" s="275" t="n">
        <v>107</v>
      </c>
      <c r="AA61" s="275" t="n">
        <v>67</v>
      </c>
      <c r="AB61" s="270" t="n">
        <v>766.9299999999999</v>
      </c>
      <c r="AC61" s="290" t="n"/>
      <c r="AD61" s="276" t="n">
        <v>0.0197781885397412</v>
      </c>
      <c r="AE61" s="141">
        <f>AA61/D61</f>
        <v/>
      </c>
      <c r="AF61" s="270" t="n">
        <v>7.16757009345794</v>
      </c>
      <c r="AG61" s="277" t="n">
        <v>0.141761552680222</v>
      </c>
      <c r="AH61" s="131" t="n">
        <v>0.735714285714286</v>
      </c>
      <c r="AI61" s="131" t="n">
        <v>0.548701298701299</v>
      </c>
      <c r="AJ61" s="270" t="n">
        <v>0.676894639556377</v>
      </c>
      <c r="AK61" s="130" t="n">
        <v>0.0539741219963031</v>
      </c>
      <c r="AL61" s="130" t="n">
        <v>0.0129390018484288</v>
      </c>
      <c r="AM61" s="133" t="n">
        <v>0.346950092421442</v>
      </c>
    </row>
    <row customHeight="1" ht="13.2" outlineLevel="1" r="62" s="3">
      <c r="A62" s="117" t="n">
        <v>43403</v>
      </c>
      <c r="B62" s="289" t="inlineStr">
        <is>
          <t>iOS</t>
        </is>
      </c>
      <c r="C62" s="268" t="n">
        <v>1131</v>
      </c>
      <c r="D62" s="268" t="n">
        <v>5002</v>
      </c>
      <c r="E62" s="269" t="n">
        <v>4.42263483642794</v>
      </c>
      <c r="F62" s="270" t="n">
        <v>1.11874644542183</v>
      </c>
      <c r="G62" s="271" t="n">
        <v>26.64</v>
      </c>
      <c r="I62" s="142" t="n">
        <v>0.478</v>
      </c>
      <c r="J62" s="142" t="n">
        <v>0.241</v>
      </c>
      <c r="K62" s="142" t="n">
        <v>0.127</v>
      </c>
      <c r="L62" s="270" t="n">
        <v>9.815073970411831</v>
      </c>
      <c r="M62" s="272" t="n">
        <v>9.47321071571371</v>
      </c>
      <c r="N62" s="270" t="n">
        <v>14.3373676248109</v>
      </c>
      <c r="O62" s="273">
        <f>M62/N62</f>
        <v/>
      </c>
      <c r="P62" s="270" t="n">
        <v>2.12405446293495</v>
      </c>
      <c r="Q62" s="270" t="n">
        <v>2.47261724659607</v>
      </c>
      <c r="R62" s="270" t="n">
        <v>1.56006051437216</v>
      </c>
      <c r="S62" s="270" t="n">
        <v>3.68078668683812</v>
      </c>
      <c r="T62" s="270" t="n">
        <v>1.31830559757943</v>
      </c>
      <c r="U62" s="270" t="n">
        <v>0.584266263237519</v>
      </c>
      <c r="V62" s="270" t="n">
        <v>1.85869894099849</v>
      </c>
      <c r="W62" s="270" t="n">
        <v>0.73857791225416</v>
      </c>
      <c r="X62" s="274" t="n">
        <v>0.0325869652139144</v>
      </c>
      <c r="Y62" s="269">
        <f>X62+M62</f>
        <v/>
      </c>
      <c r="Z62" s="275" t="n">
        <v>84</v>
      </c>
      <c r="AA62" s="275" t="n">
        <v>59</v>
      </c>
      <c r="AB62" s="270" t="n">
        <v>619.16</v>
      </c>
      <c r="AC62" s="290" t="n"/>
      <c r="AD62" s="276" t="n">
        <v>0.0167932826869252</v>
      </c>
      <c r="AE62" s="141">
        <f>AA62/D62</f>
        <v/>
      </c>
      <c r="AF62" s="270" t="n">
        <v>7.37095238095238</v>
      </c>
      <c r="AG62" s="277" t="n">
        <v>0.123782487005198</v>
      </c>
      <c r="AH62" s="131" t="n">
        <v>0.763925729442971</v>
      </c>
      <c r="AI62" s="131" t="n">
        <v>0.604774535809019</v>
      </c>
      <c r="AJ62" s="270" t="n">
        <v>0.780887644942023</v>
      </c>
      <c r="AK62" s="130" t="n">
        <v>0.0729708116753299</v>
      </c>
      <c r="AL62" s="130" t="n">
        <v>0.0139944022391044</v>
      </c>
      <c r="AM62" s="133" t="n">
        <v>0.294082367053179</v>
      </c>
    </row>
    <row customHeight="1" ht="13.95" outlineLevel="1" r="63" s="3">
      <c r="A63" s="117" t="n">
        <v>43404</v>
      </c>
      <c r="B63" s="267" t="inlineStr">
        <is>
          <t>iOS</t>
        </is>
      </c>
      <c r="C63" s="268" t="n">
        <v>1032</v>
      </c>
      <c r="D63" s="268" t="n">
        <v>4746</v>
      </c>
      <c r="E63" s="269" t="n">
        <v>4.59883720930233</v>
      </c>
      <c r="F63" s="270" t="n">
        <v>0.9793997825537299</v>
      </c>
      <c r="G63" s="291" t="n">
        <v>23.92</v>
      </c>
      <c r="H63" s="291" t="n"/>
      <c r="I63" s="142" t="n">
        <v>0.454</v>
      </c>
      <c r="J63" s="142" t="n">
        <v>0.241</v>
      </c>
      <c r="K63" s="142" t="n">
        <v>0.109</v>
      </c>
      <c r="L63" s="270" t="n">
        <v>9.24778761061947</v>
      </c>
      <c r="M63" s="272" t="n">
        <v>9.09460598398651</v>
      </c>
      <c r="N63" s="270" t="n">
        <v>14.0230669265757</v>
      </c>
      <c r="O63" s="273">
        <f>M63/N63</f>
        <v/>
      </c>
      <c r="P63" s="270" t="n">
        <v>1.9314489928525</v>
      </c>
      <c r="Q63" s="270" t="n">
        <v>2.23261858349578</v>
      </c>
      <c r="R63" s="270" t="n">
        <v>1.35802469135802</v>
      </c>
      <c r="S63" s="270" t="n">
        <v>3.9993502274204</v>
      </c>
      <c r="T63" s="270" t="n">
        <v>1.24886289798571</v>
      </c>
      <c r="U63" s="270" t="n">
        <v>0.573424301494477</v>
      </c>
      <c r="V63" s="270" t="n">
        <v>1.98765432098765</v>
      </c>
      <c r="W63" s="270" t="n">
        <v>0.691682910981157</v>
      </c>
      <c r="X63" s="274" t="n">
        <v>0.0225453013063633</v>
      </c>
      <c r="Y63" s="269">
        <f>X63+M63</f>
        <v/>
      </c>
      <c r="Z63" s="275" t="n">
        <v>72</v>
      </c>
      <c r="AA63" s="275" t="n">
        <v>45</v>
      </c>
      <c r="AB63" s="270" t="n">
        <v>537.28</v>
      </c>
      <c r="AC63" s="290" t="n"/>
      <c r="AD63" s="276" t="n">
        <v>0.0151706700379267</v>
      </c>
      <c r="AE63" s="141">
        <f>AA63/D63</f>
        <v/>
      </c>
      <c r="AF63" s="270" t="n">
        <v>7.46222222222222</v>
      </c>
      <c r="AG63" s="277" t="n">
        <v>0.113206911083017</v>
      </c>
      <c r="AH63" s="131" t="n">
        <v>0.73546511627907</v>
      </c>
      <c r="AI63" s="131" t="n">
        <v>0.53391472868217</v>
      </c>
      <c r="AJ63" s="270" t="n">
        <v>0.8560893383902231</v>
      </c>
      <c r="AK63" s="130" t="n">
        <v>0.0916561314791403</v>
      </c>
      <c r="AL63" s="130" t="n">
        <v>0.0195954487989886</v>
      </c>
      <c r="AM63" s="133" t="n">
        <v>0</v>
      </c>
    </row>
    <row customHeight="1" ht="13.2" r="64" s="3">
      <c r="A64" s="117" t="n">
        <v>43405</v>
      </c>
      <c r="B64" s="267" t="inlineStr">
        <is>
          <t>iOS</t>
        </is>
      </c>
      <c r="C64" s="268" t="n">
        <v>1154</v>
      </c>
      <c r="D64" s="268" t="n">
        <v>4780</v>
      </c>
      <c r="E64" s="269" t="n">
        <v>4.1421143847487</v>
      </c>
      <c r="F64" s="270" t="n">
        <v>0.84476155292887</v>
      </c>
      <c r="G64" s="292" t="n">
        <v>25.6</v>
      </c>
      <c r="H64" s="292" t="n">
        <v>31.78</v>
      </c>
      <c r="I64" s="142" t="n">
        <v>0.465</v>
      </c>
      <c r="J64" s="142" t="n">
        <v>0.228</v>
      </c>
      <c r="K64" s="142" t="n">
        <v>0.119</v>
      </c>
      <c r="L64" s="270" t="n">
        <v>8.44874476987448</v>
      </c>
      <c r="M64" s="272" t="n">
        <v>7.91359832635983</v>
      </c>
      <c r="N64" s="270" t="n">
        <v>12.1747666559382</v>
      </c>
      <c r="O64" s="273">
        <f>M64/N64</f>
        <v/>
      </c>
      <c r="P64" s="270" t="n">
        <v>1.88574187318957</v>
      </c>
      <c r="Q64" s="270" t="n">
        <v>1.86160283231413</v>
      </c>
      <c r="R64" s="270" t="n">
        <v>1.14032829095591</v>
      </c>
      <c r="S64" s="270" t="n">
        <v>3.53363373028645</v>
      </c>
      <c r="T64" s="270" t="n">
        <v>1.1615706469263</v>
      </c>
      <c r="U64" s="270" t="n">
        <v>0.553910524621822</v>
      </c>
      <c r="V64" s="270" t="n">
        <v>1.40296105568072</v>
      </c>
      <c r="W64" s="270" t="n">
        <v>0.635017701963309</v>
      </c>
      <c r="X64" s="274" t="n">
        <v>0.0131799163179916</v>
      </c>
      <c r="Y64" s="269">
        <f>X64+M64</f>
        <v/>
      </c>
      <c r="Z64" s="275" t="n">
        <v>57</v>
      </c>
      <c r="AA64" s="275" t="n">
        <v>46</v>
      </c>
      <c r="AB64" s="270" t="n">
        <v>368.43</v>
      </c>
      <c r="AC64" s="290" t="n"/>
      <c r="AD64" s="276" t="n">
        <v>0.0119246861924686</v>
      </c>
      <c r="AE64" s="141">
        <f>AA64/D64</f>
        <v/>
      </c>
      <c r="AF64" s="270" t="n">
        <v>6.46368421052632</v>
      </c>
      <c r="AG64" s="277" t="n">
        <v>0.0770774058577406</v>
      </c>
      <c r="AH64" s="131" t="n">
        <v>0.722703639514731</v>
      </c>
      <c r="AI64" s="131" t="n">
        <v>0.489601386481802</v>
      </c>
      <c r="AJ64" s="270" t="n">
        <v>0.738702928870293</v>
      </c>
      <c r="AK64" s="130" t="n">
        <v>0.0811715481171548</v>
      </c>
      <c r="AL64" s="130" t="n">
        <v>0.0179916317991632</v>
      </c>
      <c r="AM64" s="133" t="n">
        <v>0</v>
      </c>
    </row>
    <row customHeight="1" ht="13.2" outlineLevel="1" r="65" s="3">
      <c r="A65" s="117" t="n">
        <v>43406</v>
      </c>
      <c r="B65" s="267" t="inlineStr">
        <is>
          <t>iOS</t>
        </is>
      </c>
      <c r="C65" s="268" t="n">
        <v>1563</v>
      </c>
      <c r="D65" s="268" t="n">
        <v>5239</v>
      </c>
      <c r="E65" s="269" t="n">
        <v>3.35188739603327</v>
      </c>
      <c r="F65" s="270" t="n">
        <v>0.831151063943501</v>
      </c>
      <c r="G65" s="292" t="n">
        <v>25.18</v>
      </c>
      <c r="H65" s="292" t="n">
        <v>30.56</v>
      </c>
      <c r="I65" s="142" t="n">
        <v>0.483</v>
      </c>
      <c r="J65" s="142" t="n">
        <v>0.25</v>
      </c>
      <c r="K65" s="142" t="n">
        <v>0.118</v>
      </c>
      <c r="L65" s="270" t="n">
        <v>9.147165489597249</v>
      </c>
      <c r="M65" s="272" t="n">
        <v>8.019087612139719</v>
      </c>
      <c r="N65" s="270" t="n">
        <v>12.4038972542073</v>
      </c>
      <c r="O65" s="273">
        <f>M65/N65</f>
        <v/>
      </c>
      <c r="P65" s="270" t="n">
        <v>1.89282550930027</v>
      </c>
      <c r="Q65" s="270" t="n">
        <v>1.97431355181577</v>
      </c>
      <c r="R65" s="270" t="n">
        <v>1.17360496014172</v>
      </c>
      <c r="S65" s="270" t="n">
        <v>3.37230587540596</v>
      </c>
      <c r="T65" s="270" t="n">
        <v>1.17744316504281</v>
      </c>
      <c r="U65" s="270" t="n">
        <v>0.5848833776203129</v>
      </c>
      <c r="V65" s="270" t="n">
        <v>1.57130203720106</v>
      </c>
      <c r="W65" s="270" t="n">
        <v>0.657218777679362</v>
      </c>
      <c r="X65" s="274" t="n">
        <v>0.0200419927467074</v>
      </c>
      <c r="Y65" s="269">
        <f>X65+M65</f>
        <v/>
      </c>
      <c r="Z65" s="275" t="n">
        <v>81</v>
      </c>
      <c r="AA65" s="275" t="n">
        <v>60</v>
      </c>
      <c r="AB65" s="270" t="n">
        <v>373.19</v>
      </c>
      <c r="AC65" s="290" t="n"/>
      <c r="AD65" s="276" t="n">
        <v>0.0154609658331743</v>
      </c>
      <c r="AE65" s="141">
        <f>AA65/D65</f>
        <v/>
      </c>
      <c r="AF65" s="270" t="n">
        <v>4.60728395061728</v>
      </c>
      <c r="AG65" s="277" t="n">
        <v>0.071233059744226</v>
      </c>
      <c r="AH65" s="131" t="n">
        <v>0.7523992322456809</v>
      </c>
      <c r="AI65" s="131" t="n">
        <v>0.501599488163788</v>
      </c>
      <c r="AJ65" s="270" t="n">
        <v>0.7520519183050201</v>
      </c>
      <c r="AK65" s="130" t="n">
        <v>0.0908570337850735</v>
      </c>
      <c r="AL65" s="130" t="n">
        <v>0.0187058598969269</v>
      </c>
      <c r="AM65" s="133" t="n">
        <v>0</v>
      </c>
    </row>
    <row customHeight="1" ht="13.2" outlineLevel="1" r="66" s="3">
      <c r="A66" s="120" t="n">
        <v>43407</v>
      </c>
      <c r="B66" s="289" t="inlineStr">
        <is>
          <t>iOS</t>
        </is>
      </c>
      <c r="C66" s="268" t="n">
        <v>1640</v>
      </c>
      <c r="D66" s="268" t="n">
        <v>5516</v>
      </c>
      <c r="E66" s="269" t="n">
        <v>3.36341463414634</v>
      </c>
      <c r="F66" s="270" t="n">
        <v>0.311531725888325</v>
      </c>
      <c r="G66" s="292" t="n">
        <v>22.09</v>
      </c>
      <c r="H66" s="292" t="n">
        <v>28.51</v>
      </c>
      <c r="I66" s="142" t="n">
        <v>0.454</v>
      </c>
      <c r="J66" s="142" t="n">
        <v>0.24</v>
      </c>
      <c r="K66" s="142" t="n">
        <v>0.139</v>
      </c>
      <c r="L66" s="270" t="n">
        <v>11.0960841189268</v>
      </c>
      <c r="M66" s="272" t="n">
        <v>9.797498187092099</v>
      </c>
      <c r="N66" s="270" t="n">
        <v>14.9372581536761</v>
      </c>
      <c r="O66" s="273">
        <f>M66/N66</f>
        <v/>
      </c>
      <c r="P66" s="270" t="n">
        <v>2.40685461580984</v>
      </c>
      <c r="Q66" s="270" t="n">
        <v>2.83499170812604</v>
      </c>
      <c r="R66" s="270" t="n">
        <v>1.34134881149807</v>
      </c>
      <c r="S66" s="270" t="n">
        <v>3.27971254836926</v>
      </c>
      <c r="T66" s="270" t="n">
        <v>1.5273631840796</v>
      </c>
      <c r="U66" s="270" t="n">
        <v>0.535931453841902</v>
      </c>
      <c r="V66" s="270" t="n">
        <v>2.21779988944168</v>
      </c>
      <c r="W66" s="270" t="n">
        <v>0.793255942509674</v>
      </c>
      <c r="X66" s="274" t="n">
        <v>0.028281363306744</v>
      </c>
      <c r="Y66" s="269">
        <f>X66+M66</f>
        <v/>
      </c>
      <c r="Z66" s="275" t="n">
        <v>110</v>
      </c>
      <c r="AA66" s="275" t="n">
        <v>72</v>
      </c>
      <c r="AB66" s="270" t="n">
        <v>743.9</v>
      </c>
      <c r="AC66" s="290" t="n"/>
      <c r="AD66" s="276" t="n">
        <v>0.0199419869470631</v>
      </c>
      <c r="AE66" s="141">
        <f>AA66/D66</f>
        <v/>
      </c>
      <c r="AF66" s="270" t="n">
        <v>6.76272727272727</v>
      </c>
      <c r="AG66" s="277" t="n">
        <v>0.134862218999275</v>
      </c>
      <c r="AH66" s="131" t="n">
        <v>0.746951219512195</v>
      </c>
      <c r="AI66" s="131" t="n">
        <v>0.507317073170732</v>
      </c>
      <c r="AJ66" s="270" t="n">
        <v>0.600435097897027</v>
      </c>
      <c r="AK66" s="130" t="n">
        <v>0.0857505438723713</v>
      </c>
      <c r="AL66" s="130" t="n">
        <v>0.0119651921682379</v>
      </c>
      <c r="AM66" s="133" t="n">
        <v>0.420775924583031</v>
      </c>
    </row>
    <row customHeight="1" ht="13.2" outlineLevel="1" r="67" s="3">
      <c r="A67" s="117" t="n">
        <v>43408</v>
      </c>
      <c r="B67" s="289" t="inlineStr">
        <is>
          <t>iOS</t>
        </is>
      </c>
      <c r="C67" s="268" t="n">
        <v>2083</v>
      </c>
      <c r="D67" s="268" t="n">
        <v>6205</v>
      </c>
      <c r="E67" s="269" t="n">
        <v>2.97887662025924</v>
      </c>
      <c r="F67" s="270" t="n">
        <v>1.0657103284448</v>
      </c>
      <c r="G67" s="292" t="n">
        <v>22.88</v>
      </c>
      <c r="H67" s="292" t="n">
        <v>29.34</v>
      </c>
      <c r="I67" s="142" t="n">
        <v>0.458</v>
      </c>
      <c r="J67" s="142" t="n">
        <v>0.212</v>
      </c>
      <c r="K67" s="142" t="n">
        <v>0.128</v>
      </c>
      <c r="L67" s="270" t="n">
        <v>10.6206285253828</v>
      </c>
      <c r="M67" s="272" t="n">
        <v>9.94230459307011</v>
      </c>
      <c r="N67" s="270" t="n">
        <v>14.8834740651387</v>
      </c>
      <c r="O67" s="273">
        <f>M67/N67</f>
        <v/>
      </c>
      <c r="P67" s="270" t="n">
        <v>2.30060313630881</v>
      </c>
      <c r="Q67" s="270" t="n">
        <v>2.62557297949337</v>
      </c>
      <c r="R67" s="270" t="n">
        <v>1.59951749095296</v>
      </c>
      <c r="S67" s="270" t="n">
        <v>3.17683956574186</v>
      </c>
      <c r="T67" s="270" t="n">
        <v>1.40241254523522</v>
      </c>
      <c r="U67" s="270" t="n">
        <v>0.560916767189385</v>
      </c>
      <c r="V67" s="270" t="n">
        <v>2.4400482509047</v>
      </c>
      <c r="W67" s="270" t="n">
        <v>0.777563329312425</v>
      </c>
      <c r="X67" s="274" t="n">
        <v>0.0193392425463336</v>
      </c>
      <c r="Y67" s="269">
        <f>X67+M67</f>
        <v/>
      </c>
      <c r="Z67" s="293" t="n">
        <v>132</v>
      </c>
      <c r="AA67" s="275" t="n">
        <v>93</v>
      </c>
      <c r="AB67" s="294" t="n">
        <v>894.6799999999999</v>
      </c>
      <c r="AC67" s="290" t="n"/>
      <c r="AD67" s="276" t="n">
        <v>0.021273166800967</v>
      </c>
      <c r="AE67" s="141">
        <f>AA67/D67</f>
        <v/>
      </c>
      <c r="AF67" s="270" t="n">
        <v>6.77787878787879</v>
      </c>
      <c r="AG67" s="277" t="n">
        <v>0.144186946011281</v>
      </c>
      <c r="AH67" s="131" t="n">
        <v>0.726836293807009</v>
      </c>
      <c r="AI67" s="131" t="n">
        <v>0.465674507921267</v>
      </c>
      <c r="AJ67" s="270" t="n">
        <v>0.635132957292506</v>
      </c>
      <c r="AK67" s="130" t="n">
        <v>0.0831587429492345</v>
      </c>
      <c r="AL67" s="130" t="n">
        <v>0.0120870265914585</v>
      </c>
      <c r="AM67" s="133" t="n">
        <v>0.392103142626914</v>
      </c>
    </row>
    <row customHeight="1" ht="13.2" outlineLevel="1" r="68" s="3">
      <c r="A68" s="117" t="n">
        <v>43409</v>
      </c>
      <c r="B68" s="289" t="inlineStr">
        <is>
          <t>iOS</t>
        </is>
      </c>
      <c r="C68" s="268" t="n">
        <v>2262</v>
      </c>
      <c r="D68" s="268" t="n">
        <v>6915</v>
      </c>
      <c r="E68" s="269" t="n">
        <v>3.05702917771883</v>
      </c>
      <c r="F68" s="270" t="n">
        <v>0.910716881995662</v>
      </c>
      <c r="G68" s="292" t="n">
        <v>21.54</v>
      </c>
      <c r="H68" s="292" t="n">
        <v>27.25</v>
      </c>
      <c r="I68" s="142" t="n">
        <v>0.475</v>
      </c>
      <c r="J68" s="142" t="n">
        <v>0.253</v>
      </c>
      <c r="K68" s="142" t="n">
        <v>0.138</v>
      </c>
      <c r="L68" s="270" t="n">
        <v>10.7175704989154</v>
      </c>
      <c r="M68" s="272" t="n">
        <v>9.68864786695589</v>
      </c>
      <c r="N68" s="270" t="n">
        <v>14.4358974358974</v>
      </c>
      <c r="O68" s="273">
        <f>M68/N68</f>
        <v/>
      </c>
      <c r="P68" s="270" t="n">
        <v>2.25123895712131</v>
      </c>
      <c r="Q68" s="270" t="n">
        <v>2.55160525748761</v>
      </c>
      <c r="R68" s="270" t="n">
        <v>1.58220211161388</v>
      </c>
      <c r="S68" s="270" t="n">
        <v>3.29562594268477</v>
      </c>
      <c r="T68" s="270" t="n">
        <v>1.3992673992674</v>
      </c>
      <c r="U68" s="270" t="n">
        <v>0.568627450980392</v>
      </c>
      <c r="V68" s="270" t="n">
        <v>2.02607196724844</v>
      </c>
      <c r="W68" s="270" t="n">
        <v>0.761258349493644</v>
      </c>
      <c r="X68" s="274" t="n">
        <v>0.0124367317425886</v>
      </c>
      <c r="Y68" s="269">
        <f>X68+M68</f>
        <v/>
      </c>
      <c r="Z68" s="293" t="n">
        <v>100</v>
      </c>
      <c r="AA68" s="275" t="n">
        <v>72</v>
      </c>
      <c r="AB68" s="294" t="n">
        <v>679</v>
      </c>
      <c r="AC68" s="290" t="n"/>
      <c r="AD68" s="276" t="n">
        <v>0.0144613159797542</v>
      </c>
      <c r="AE68" s="141">
        <f>AA68/D68</f>
        <v/>
      </c>
      <c r="AF68" s="270" t="n">
        <v>6.79</v>
      </c>
      <c r="AG68" s="277" t="n">
        <v>0.0981923355025307</v>
      </c>
      <c r="AH68" s="131" t="n">
        <v>0.796640141467728</v>
      </c>
      <c r="AI68" s="131" t="n">
        <v>0.515030946065429</v>
      </c>
      <c r="AJ68" s="270" t="n">
        <v>0.649023861171367</v>
      </c>
      <c r="AK68" s="130" t="n">
        <v>0.0818510484454085</v>
      </c>
      <c r="AL68" s="130" t="n">
        <v>0.0125813449023861</v>
      </c>
      <c r="AM68" s="133" t="n">
        <v>0.368474331164136</v>
      </c>
    </row>
    <row customHeight="1" ht="13.2" outlineLevel="1" r="69" s="3">
      <c r="A69" s="117" t="n">
        <v>43410</v>
      </c>
      <c r="B69" s="289" t="inlineStr">
        <is>
          <t>iOS</t>
        </is>
      </c>
      <c r="C69" s="268" t="n">
        <v>1687</v>
      </c>
      <c r="D69" s="268" t="n">
        <v>6527</v>
      </c>
      <c r="E69" s="269" t="n">
        <v>3.86899822169532</v>
      </c>
      <c r="F69" s="270" t="n">
        <v>0.9477636604872069</v>
      </c>
      <c r="G69" s="292" t="n">
        <v>21.65</v>
      </c>
      <c r="H69" s="292" t="n">
        <v>26.25</v>
      </c>
      <c r="I69" s="142" t="n">
        <v>0.42</v>
      </c>
      <c r="J69" s="142" t="n">
        <v>0.208</v>
      </c>
      <c r="K69" s="142" t="n">
        <v>0.11</v>
      </c>
      <c r="L69" s="270" t="n">
        <v>10.3923701547418</v>
      </c>
      <c r="M69" s="272" t="n">
        <v>9.615137122721009</v>
      </c>
      <c r="N69" s="270" t="n">
        <v>14.453707968678</v>
      </c>
      <c r="O69" s="273">
        <f>M69/N69</f>
        <v/>
      </c>
      <c r="P69" s="270" t="n">
        <v>2.12759097190235</v>
      </c>
      <c r="Q69" s="270" t="n">
        <v>2.47881160755412</v>
      </c>
      <c r="R69" s="270" t="n">
        <v>1.60893597420544</v>
      </c>
      <c r="S69" s="270" t="n">
        <v>3.59972362966375</v>
      </c>
      <c r="T69" s="270" t="n">
        <v>1.36457853523722</v>
      </c>
      <c r="U69" s="270" t="n">
        <v>0.574850299401198</v>
      </c>
      <c r="V69" s="270" t="n">
        <v>1.94058037770613</v>
      </c>
      <c r="W69" s="270" t="n">
        <v>0.7586365730078301</v>
      </c>
      <c r="X69" s="274" t="n">
        <v>0.0105714723456412</v>
      </c>
      <c r="Y69" s="269">
        <f>X69+M69</f>
        <v/>
      </c>
      <c r="Z69" s="293" t="n">
        <v>114</v>
      </c>
      <c r="AA69" s="275" t="n">
        <v>81</v>
      </c>
      <c r="AB69" s="294" t="n">
        <v>832.86</v>
      </c>
      <c r="AC69" s="290" t="n"/>
      <c r="AD69" s="276" t="n">
        <v>0.0174659108319289</v>
      </c>
      <c r="AE69" s="141">
        <f>AA69/D69</f>
        <v/>
      </c>
      <c r="AF69" s="270" t="n">
        <v>7.30578947368421</v>
      </c>
      <c r="AG69" s="277" t="n">
        <v>0.127602267504213</v>
      </c>
      <c r="AH69" s="131" t="n">
        <v>0.765856550088915</v>
      </c>
      <c r="AI69" s="131" t="n">
        <v>0.564908120924718</v>
      </c>
      <c r="AJ69" s="270" t="n">
        <v>0.739696644706603</v>
      </c>
      <c r="AK69" s="130" t="n">
        <v>0.0962157193197487</v>
      </c>
      <c r="AL69" s="130" t="n">
        <v>0.0163934426229508</v>
      </c>
      <c r="AM69" s="133" t="n">
        <v>0.304121342117359</v>
      </c>
    </row>
    <row customHeight="1" ht="13.2" outlineLevel="1" r="70" s="3">
      <c r="A70" s="117" t="n">
        <v>43411</v>
      </c>
      <c r="B70" s="267" t="inlineStr">
        <is>
          <t>iOS</t>
        </is>
      </c>
      <c r="C70" s="268" t="n">
        <v>1320</v>
      </c>
      <c r="D70" s="268" t="n">
        <v>5927</v>
      </c>
      <c r="E70" s="269" t="n">
        <v>4.49015151515152</v>
      </c>
      <c r="F70" s="270" t="n">
        <v>0.937820869917327</v>
      </c>
      <c r="G70" s="292" t="n">
        <v>21.1</v>
      </c>
      <c r="H70" s="292" t="n">
        <v>27.64</v>
      </c>
      <c r="I70" s="142" t="n">
        <v>0.5</v>
      </c>
      <c r="J70" s="142" t="n">
        <v>0.268</v>
      </c>
      <c r="K70" s="142" t="n">
        <v>0.142</v>
      </c>
      <c r="L70" s="270" t="n">
        <v>9.866205500253081</v>
      </c>
      <c r="M70" s="272" t="n">
        <v>9.26404589168213</v>
      </c>
      <c r="N70" s="270" t="n">
        <v>13.8516649848638</v>
      </c>
      <c r="O70" s="273">
        <f>M70/N70</f>
        <v/>
      </c>
      <c r="P70" s="270" t="n">
        <v>2.03002018163471</v>
      </c>
      <c r="Q70" s="270" t="n">
        <v>2.13799192734611</v>
      </c>
      <c r="R70" s="270" t="n">
        <v>1.43087790110999</v>
      </c>
      <c r="S70" s="270" t="n">
        <v>3.94954591321897</v>
      </c>
      <c r="T70" s="270" t="n">
        <v>1.26715438950555</v>
      </c>
      <c r="U70" s="270" t="n">
        <v>0.588799192734612</v>
      </c>
      <c r="V70" s="270" t="n">
        <v>1.74066599394551</v>
      </c>
      <c r="W70" s="270" t="n">
        <v>0.706609485368315</v>
      </c>
      <c r="X70" s="274" t="n">
        <v>0.0136662729880209</v>
      </c>
      <c r="Y70" s="269">
        <f>X70+M70</f>
        <v/>
      </c>
      <c r="Z70" s="293" t="n">
        <v>96</v>
      </c>
      <c r="AA70" s="275" t="n">
        <v>72</v>
      </c>
      <c r="AB70" s="294" t="n">
        <v>748.04</v>
      </c>
      <c r="AC70" s="290" t="n"/>
      <c r="AD70" s="276" t="n">
        <v>0.0161970642820989</v>
      </c>
      <c r="AE70" s="141">
        <f>AA70/D70</f>
        <v/>
      </c>
      <c r="AF70" s="270" t="n">
        <v>7.79208333333333</v>
      </c>
      <c r="AG70" s="277" t="n">
        <v>0.126208874641471</v>
      </c>
      <c r="AH70" s="131" t="n">
        <v>0.765909090909091</v>
      </c>
      <c r="AI70" s="131" t="n">
        <v>0.593939393939394</v>
      </c>
      <c r="AJ70" s="270" t="n">
        <v>0.88408975873123</v>
      </c>
      <c r="AK70" s="130" t="n">
        <v>0.115741521849165</v>
      </c>
      <c r="AL70" s="130" t="n">
        <v>0.0244643158427535</v>
      </c>
      <c r="AM70" s="133" t="n">
        <v>0</v>
      </c>
    </row>
    <row customHeight="1" ht="13.2" outlineLevel="1" r="71" s="3">
      <c r="A71" s="117" t="n">
        <v>43412</v>
      </c>
      <c r="B71" s="267" t="inlineStr">
        <is>
          <t>iOS</t>
        </is>
      </c>
      <c r="C71" s="268" t="n">
        <v>2357</v>
      </c>
      <c r="D71" s="268" t="n">
        <v>7057</v>
      </c>
      <c r="E71" s="269" t="n">
        <v>2.99406024607552</v>
      </c>
      <c r="F71" s="270" t="n">
        <v>2.08768585532096</v>
      </c>
      <c r="G71" s="292" t="n">
        <v>20.1</v>
      </c>
      <c r="H71" s="292" t="n">
        <v>28.36</v>
      </c>
      <c r="I71" s="142" t="n">
        <v>0.455</v>
      </c>
      <c r="J71" s="142" t="n">
        <v>0.2</v>
      </c>
      <c r="K71" s="142" t="n">
        <v>0.095</v>
      </c>
      <c r="L71" s="270" t="n">
        <v>9.012753294601101</v>
      </c>
      <c r="M71" s="272" t="n">
        <v>7.97406830097775</v>
      </c>
      <c r="N71" s="270" t="n">
        <v>12.6569950517319</v>
      </c>
      <c r="O71" s="273">
        <f>M71/N71</f>
        <v/>
      </c>
      <c r="P71" s="270" t="n">
        <v>1.95096716149348</v>
      </c>
      <c r="Q71" s="270" t="n">
        <v>1.97031039136302</v>
      </c>
      <c r="R71" s="270" t="n">
        <v>1.27597840755736</v>
      </c>
      <c r="S71" s="270" t="n">
        <v>3.53351327035538</v>
      </c>
      <c r="T71" s="270" t="n">
        <v>1.20152946468736</v>
      </c>
      <c r="U71" s="270" t="n">
        <v>0.560953666216824</v>
      </c>
      <c r="V71" s="270" t="n">
        <v>1.52496626180837</v>
      </c>
      <c r="W71" s="270" t="n">
        <v>0.638776428250112</v>
      </c>
      <c r="X71" s="274" t="n">
        <v>0.0106277455009211</v>
      </c>
      <c r="Y71" s="269">
        <f>X71+M71</f>
        <v/>
      </c>
      <c r="Z71" s="293" t="n">
        <v>97</v>
      </c>
      <c r="AA71" s="275" t="n">
        <v>70</v>
      </c>
      <c r="AB71" s="294" t="n">
        <v>536.03</v>
      </c>
      <c r="AC71" s="290" t="n"/>
      <c r="AD71" s="276">
        <f>Z71/D71</f>
        <v/>
      </c>
      <c r="AE71" s="141">
        <f>AA71/D71</f>
        <v/>
      </c>
      <c r="AF71" s="270">
        <f>AB71/Z71</f>
        <v/>
      </c>
      <c r="AG71" s="277">
        <f>AD71*AF71</f>
        <v/>
      </c>
      <c r="AH71" s="131" t="n">
        <v>0.619855748833263</v>
      </c>
      <c r="AI71" s="131" t="n">
        <v>0.378022910479423</v>
      </c>
      <c r="AJ71" s="270" t="n">
        <v>0.7623636105994051</v>
      </c>
      <c r="AK71" s="130" t="n">
        <v>0.0996174011619668</v>
      </c>
      <c r="AL71" s="130" t="n">
        <v>0.0196967549950404</v>
      </c>
      <c r="AM71" s="133" t="n">
        <v>0</v>
      </c>
    </row>
    <row customHeight="1" ht="13.2" outlineLevel="1" r="72" s="3">
      <c r="A72" s="120" t="n">
        <v>43413</v>
      </c>
      <c r="B72" s="267" t="inlineStr">
        <is>
          <t>iOS</t>
        </is>
      </c>
      <c r="C72" s="268" t="n">
        <v>5833</v>
      </c>
      <c r="D72" s="268" t="n">
        <v>10854</v>
      </c>
      <c r="E72" s="269" t="n">
        <v>1.86079204525973</v>
      </c>
      <c r="F72" s="270" t="n">
        <v>0.513480516860144</v>
      </c>
      <c r="G72" s="292" t="n">
        <v>20.55</v>
      </c>
      <c r="H72" s="292" t="n">
        <v>29.68</v>
      </c>
      <c r="I72" s="142" t="n">
        <v>0.365</v>
      </c>
      <c r="J72" s="142" t="n">
        <v>0.172</v>
      </c>
      <c r="K72" s="142" t="n">
        <v>0.081</v>
      </c>
      <c r="L72" s="270" t="n">
        <v>8.59830477243413</v>
      </c>
      <c r="M72" s="272" t="n">
        <v>6.18813340703888</v>
      </c>
      <c r="N72" s="270" t="n">
        <v>10.8947283049473</v>
      </c>
      <c r="O72" s="273">
        <f>M72/N72</f>
        <v/>
      </c>
      <c r="P72" s="270" t="n">
        <v>1.85920519059205</v>
      </c>
      <c r="Q72" s="270" t="n">
        <v>1.72116788321168</v>
      </c>
      <c r="R72" s="270" t="n">
        <v>1.03811841038118</v>
      </c>
      <c r="S72" s="270" t="n">
        <v>2.6676399026764</v>
      </c>
      <c r="T72" s="270" t="n">
        <v>1.03114355231144</v>
      </c>
      <c r="U72" s="270" t="n">
        <v>0.609570154095702</v>
      </c>
      <c r="V72" s="270" t="n">
        <v>1.34987834549878</v>
      </c>
      <c r="W72" s="270" t="n">
        <v>0.618004866180049</v>
      </c>
      <c r="X72" s="274" t="n">
        <v>0.00912106135986733</v>
      </c>
      <c r="Y72" s="269">
        <f>X72+M72</f>
        <v/>
      </c>
      <c r="Z72" s="293" t="n">
        <v>92</v>
      </c>
      <c r="AA72" s="275" t="n">
        <v>79</v>
      </c>
      <c r="AB72" s="294" t="n">
        <v>460.08</v>
      </c>
      <c r="AC72" s="290" t="n"/>
      <c r="AD72" s="276" t="n">
        <v>0.00847613782937166</v>
      </c>
      <c r="AE72" s="141">
        <f>AA72/D72</f>
        <v/>
      </c>
      <c r="AF72" s="270" t="n">
        <v>5.00086956521739</v>
      </c>
      <c r="AG72" s="277" t="n">
        <v>0.0423880597014925</v>
      </c>
      <c r="AH72" s="131" t="n">
        <v>0.556317503857363</v>
      </c>
      <c r="AI72" s="131" t="n">
        <v>0.290930910337734</v>
      </c>
      <c r="AJ72" s="270" t="n">
        <v>0.5636631656532149</v>
      </c>
      <c r="AK72" s="130" t="n">
        <v>0.0666113875069099</v>
      </c>
      <c r="AL72" s="130" t="n">
        <v>0.0124378109452736</v>
      </c>
      <c r="AM72" s="133" t="n">
        <v>0</v>
      </c>
    </row>
    <row customHeight="1" ht="13.2" outlineLevel="1" r="73" s="3">
      <c r="A73" s="117" t="n">
        <v>43414</v>
      </c>
      <c r="B73" s="289" t="inlineStr">
        <is>
          <t>iOS</t>
        </is>
      </c>
      <c r="C73" s="268" t="n">
        <v>5879</v>
      </c>
      <c r="D73" s="268" t="n">
        <v>12233</v>
      </c>
      <c r="E73" s="269" t="n">
        <v>2.08079605375064</v>
      </c>
      <c r="F73" s="270" t="n">
        <v>0.59893543014796</v>
      </c>
      <c r="G73" s="292" t="n">
        <v>19.03</v>
      </c>
      <c r="H73" s="292" t="n">
        <v>27.6</v>
      </c>
      <c r="I73" s="142" t="n">
        <v>0.343</v>
      </c>
      <c r="J73" s="142" t="n">
        <v>0.163</v>
      </c>
      <c r="K73" s="142" t="n">
        <v>0.082</v>
      </c>
      <c r="L73" s="270" t="n">
        <v>9.39229951769803</v>
      </c>
      <c r="M73" s="272" t="n">
        <v>7.14861440366222</v>
      </c>
      <c r="N73" s="270" t="n">
        <v>12.2752667040988</v>
      </c>
      <c r="O73" s="273">
        <f>M73/N73</f>
        <v/>
      </c>
      <c r="P73" s="270" t="n">
        <v>2.06232453677709</v>
      </c>
      <c r="Q73" s="270" t="n">
        <v>1.93472768107805</v>
      </c>
      <c r="R73" s="270" t="n">
        <v>1.7777933745087</v>
      </c>
      <c r="S73" s="270" t="n">
        <v>2.4685569904548</v>
      </c>
      <c r="T73" s="270" t="n">
        <v>1.18542953396968</v>
      </c>
      <c r="U73" s="270" t="n">
        <v>0.55670971364402</v>
      </c>
      <c r="V73" s="270" t="n">
        <v>1.63475575519371</v>
      </c>
      <c r="W73" s="270" t="n">
        <v>0.654969118472768</v>
      </c>
      <c r="X73" s="274" t="n">
        <v>0.008092863565764731</v>
      </c>
      <c r="Y73" s="269">
        <f>X73+M73</f>
        <v/>
      </c>
      <c r="Z73" s="293" t="n">
        <v>110</v>
      </c>
      <c r="AA73" s="275" t="n">
        <v>85</v>
      </c>
      <c r="AB73" s="294" t="n">
        <v>796.9</v>
      </c>
      <c r="AC73" s="290" t="n"/>
      <c r="AD73" s="276" t="n">
        <v>0.00899207062862748</v>
      </c>
      <c r="AE73" s="141">
        <f>AA73/D73</f>
        <v/>
      </c>
      <c r="AF73" s="270" t="n">
        <v>7.24454545454546</v>
      </c>
      <c r="AG73" s="277" t="n">
        <v>0.0651434643995749</v>
      </c>
      <c r="AH73" s="131" t="n">
        <v>0.574417417928219</v>
      </c>
      <c r="AI73" s="131" t="n">
        <v>0.350739921755401</v>
      </c>
      <c r="AJ73" s="270" t="n">
        <v>0.427940815826044</v>
      </c>
      <c r="AK73" s="130" t="n">
        <v>0.0608190958881713</v>
      </c>
      <c r="AL73" s="130" t="n">
        <v>0.00882857843537971</v>
      </c>
      <c r="AM73" s="133" t="n">
        <v>0.344314558979809</v>
      </c>
    </row>
    <row customHeight="1" ht="13.2" outlineLevel="1" r="74" s="3">
      <c r="A74" s="117" t="n">
        <v>43415</v>
      </c>
      <c r="B74" s="289" t="inlineStr">
        <is>
          <t>iOS</t>
        </is>
      </c>
      <c r="C74" s="268" t="n">
        <v>5386</v>
      </c>
      <c r="D74" s="268" t="n">
        <v>12470</v>
      </c>
      <c r="E74" s="269" t="n">
        <v>2.31526178982547</v>
      </c>
      <c r="F74" s="270" t="n">
        <v>0.563351317481957</v>
      </c>
      <c r="G74" s="292" t="n">
        <v>18.93</v>
      </c>
      <c r="H74" s="292" t="n">
        <v>27.4</v>
      </c>
      <c r="I74" s="142" t="n">
        <v>0.346</v>
      </c>
      <c r="J74" s="142" t="n">
        <v>0.165</v>
      </c>
      <c r="K74" s="142" t="n">
        <v>0.08500000000000001</v>
      </c>
      <c r="L74" s="270" t="n">
        <v>9.30176423416199</v>
      </c>
      <c r="M74" s="272" t="n">
        <v>7.56206896551724</v>
      </c>
      <c r="N74" s="270" t="n">
        <v>12.4192018964836</v>
      </c>
      <c r="O74" s="273">
        <f>M74/N74</f>
        <v/>
      </c>
      <c r="P74" s="270" t="n">
        <v>2.04504148557882</v>
      </c>
      <c r="Q74" s="270" t="n">
        <v>2.02989595680232</v>
      </c>
      <c r="R74" s="270" t="n">
        <v>1.68984591070723</v>
      </c>
      <c r="S74" s="270" t="n">
        <v>2.56117476623206</v>
      </c>
      <c r="T74" s="270" t="n">
        <v>1.19149216383511</v>
      </c>
      <c r="U74" s="270" t="n">
        <v>0.574344791255103</v>
      </c>
      <c r="V74" s="270" t="n">
        <v>1.64743843013302</v>
      </c>
      <c r="W74" s="270" t="n">
        <v>0.679968391939945</v>
      </c>
      <c r="X74" s="274" t="n">
        <v>0.009783480352846831</v>
      </c>
      <c r="Y74" s="269">
        <f>X74+M74</f>
        <v/>
      </c>
      <c r="Z74" s="293" t="n">
        <v>91</v>
      </c>
      <c r="AA74" s="275" t="n">
        <v>76</v>
      </c>
      <c r="AB74" s="294" t="n">
        <v>499.09</v>
      </c>
      <c r="AC74" s="290" t="n"/>
      <c r="AD74" s="276" t="n">
        <v>0.00729751403368083</v>
      </c>
      <c r="AE74" s="141">
        <f>AA74/D74</f>
        <v/>
      </c>
      <c r="AF74" s="270" t="n">
        <v>5.48450549450549</v>
      </c>
      <c r="AG74" s="277" t="n">
        <v>0.0400232558139535</v>
      </c>
      <c r="AH74" s="131" t="n">
        <v>0.638135907909395</v>
      </c>
      <c r="AI74" s="131" t="n">
        <v>0.383215744522837</v>
      </c>
      <c r="AJ74" s="270" t="n">
        <v>0.492461908580593</v>
      </c>
      <c r="AK74" s="130" t="n">
        <v>0.0640737770649559</v>
      </c>
      <c r="AL74" s="130" t="n">
        <v>0.009141940657578189</v>
      </c>
      <c r="AM74" s="133" t="n">
        <v>0.333440256615878</v>
      </c>
    </row>
    <row customHeight="1" ht="13.2" outlineLevel="1" r="75" s="3">
      <c r="A75" s="117" t="n">
        <v>43416</v>
      </c>
      <c r="B75" s="289" t="inlineStr">
        <is>
          <t>iOS</t>
        </is>
      </c>
      <c r="C75" s="268" t="n">
        <v>4353</v>
      </c>
      <c r="D75" s="268" t="n">
        <v>11952</v>
      </c>
      <c r="E75" s="269" t="n">
        <v>2.74569262577533</v>
      </c>
      <c r="F75" s="270" t="n">
        <v>0.648630550200803</v>
      </c>
      <c r="G75" s="292" t="n">
        <v>19.19</v>
      </c>
      <c r="H75" s="292" t="n">
        <v>28.37</v>
      </c>
      <c r="I75" s="142" t="n">
        <v>0.402</v>
      </c>
      <c r="J75" s="142" t="n">
        <v>0.194</v>
      </c>
      <c r="K75" s="134" t="n">
        <v>0.103</v>
      </c>
      <c r="L75" s="270" t="n">
        <v>9.45532128514056</v>
      </c>
      <c r="M75" s="272" t="n">
        <v>7.61278447121821</v>
      </c>
      <c r="N75" s="270" t="n">
        <v>12.0817952463152</v>
      </c>
      <c r="O75" s="273">
        <f>M75/N75</f>
        <v/>
      </c>
      <c r="P75" s="270" t="n">
        <v>1.9697251361041</v>
      </c>
      <c r="Q75" s="270" t="n">
        <v>2.01540300092949</v>
      </c>
      <c r="R75" s="270" t="n">
        <v>1.49329438321604</v>
      </c>
      <c r="S75" s="270" t="n">
        <v>2.65927499668039</v>
      </c>
      <c r="T75" s="270" t="n">
        <v>1.14061877572699</v>
      </c>
      <c r="U75" s="270" t="n">
        <v>0.557429292258664</v>
      </c>
      <c r="V75" s="270" t="n">
        <v>1.56898154295578</v>
      </c>
      <c r="W75" s="270" t="n">
        <v>0.677068118443766</v>
      </c>
      <c r="X75" s="274" t="n">
        <v>0.0112951807228916</v>
      </c>
      <c r="Y75" s="269">
        <f>X75+M75</f>
        <v/>
      </c>
      <c r="Z75" s="293" t="n">
        <v>135</v>
      </c>
      <c r="AA75" s="275" t="n">
        <v>87</v>
      </c>
      <c r="AB75" s="294" t="n">
        <v>939.65</v>
      </c>
      <c r="AC75" s="290" t="n"/>
      <c r="AD75" s="276" t="n">
        <v>0.0112951807228916</v>
      </c>
      <c r="AE75" s="141">
        <f>AA75/D75</f>
        <v/>
      </c>
      <c r="AF75" s="270" t="n">
        <v>6.96037037037037</v>
      </c>
      <c r="AG75" s="277" t="n">
        <v>0.078618641231593</v>
      </c>
      <c r="AH75" s="131" t="n">
        <v>0.6714909257983001</v>
      </c>
      <c r="AI75" s="131" t="n">
        <v>0.451642545371009</v>
      </c>
      <c r="AJ75" s="270" t="n">
        <v>0.531961178045515</v>
      </c>
      <c r="AK75" s="130" t="n">
        <v>0.07095046854082999</v>
      </c>
      <c r="AL75" s="130" t="n">
        <v>0.0102074966532798</v>
      </c>
      <c r="AM75" s="133" t="n">
        <v>0.335592369477912</v>
      </c>
    </row>
    <row customHeight="1" ht="13.2" outlineLevel="1" r="76" s="3">
      <c r="A76" s="117" t="n">
        <v>43417</v>
      </c>
      <c r="B76" s="289" t="inlineStr">
        <is>
          <t>iOS</t>
        </is>
      </c>
      <c r="C76" s="268" t="n">
        <v>3454</v>
      </c>
      <c r="D76" s="268" t="n">
        <v>11282</v>
      </c>
      <c r="E76" s="269" t="n">
        <v>3.26635784597568</v>
      </c>
      <c r="F76" s="270" t="n">
        <v>0.644111678780358</v>
      </c>
      <c r="G76" s="292" t="n">
        <v>20.34</v>
      </c>
      <c r="H76" s="292" t="n">
        <v>27.62</v>
      </c>
      <c r="I76" s="142" t="n">
        <v>0.419</v>
      </c>
      <c r="J76" s="142" t="n">
        <v>0.198</v>
      </c>
      <c r="K76" s="142" t="n">
        <v>0.101</v>
      </c>
      <c r="L76" s="270" t="n">
        <v>9.23453288424038</v>
      </c>
      <c r="M76" s="272" t="n">
        <v>7.71494415883709</v>
      </c>
      <c r="N76" s="270" t="n">
        <v>12.2230023873052</v>
      </c>
      <c r="O76" s="273">
        <f>M76/N76</f>
        <v/>
      </c>
      <c r="P76" s="270" t="n">
        <v>1.93090858025558</v>
      </c>
      <c r="Q76" s="270" t="n">
        <v>1.95885409352619</v>
      </c>
      <c r="R76" s="270" t="n">
        <v>1.42395730936666</v>
      </c>
      <c r="S76" s="270" t="n">
        <v>2.9477601460469</v>
      </c>
      <c r="T76" s="270" t="n">
        <v>1.15025979497262</v>
      </c>
      <c r="U76" s="270" t="n">
        <v>0.580396011796096</v>
      </c>
      <c r="V76" s="270" t="n">
        <v>1.57758741749754</v>
      </c>
      <c r="W76" s="270" t="n">
        <v>0.653279033843561</v>
      </c>
      <c r="X76" s="274" t="n">
        <v>0.0137386988122673</v>
      </c>
      <c r="Y76" s="269">
        <f>X76+M76</f>
        <v/>
      </c>
      <c r="Z76" s="293" t="n">
        <v>106</v>
      </c>
      <c r="AA76" s="275" t="n">
        <v>86</v>
      </c>
      <c r="AB76" s="294" t="n">
        <v>617.9400000000001</v>
      </c>
      <c r="AC76" s="290" t="n"/>
      <c r="AD76" s="276" t="n">
        <v>0.00939549725226024</v>
      </c>
      <c r="AE76" s="141">
        <f>AA76/D76</f>
        <v/>
      </c>
      <c r="AF76" s="270" t="n">
        <v>5.82962264150943</v>
      </c>
      <c r="AG76" s="277" t="n">
        <v>0.054772203510016</v>
      </c>
      <c r="AH76" s="131" t="n">
        <v>0.699478865083961</v>
      </c>
      <c r="AI76" s="131" t="n">
        <v>0.53300521134916</v>
      </c>
      <c r="AJ76" s="270" t="n">
        <v>0.606186846303847</v>
      </c>
      <c r="AK76" s="130" t="n">
        <v>0.07879808544584289</v>
      </c>
      <c r="AL76" s="130" t="n">
        <v>0.0143591561779826</v>
      </c>
      <c r="AM76" s="133" t="n">
        <v>0.277344442474738</v>
      </c>
    </row>
    <row customHeight="1" ht="13.2" outlineLevel="1" r="77" s="3">
      <c r="A77" s="117" t="n">
        <v>43418</v>
      </c>
      <c r="B77" s="267" t="inlineStr">
        <is>
          <t>iOS</t>
        </is>
      </c>
      <c r="C77" s="268" t="n">
        <v>2855</v>
      </c>
      <c r="D77" s="268" t="n">
        <v>10476</v>
      </c>
      <c r="E77" s="269" t="n">
        <v>3.66935201401051</v>
      </c>
      <c r="F77" s="270" t="n">
        <v>0.587774803264605</v>
      </c>
      <c r="G77" s="292" t="n">
        <v>19.56</v>
      </c>
      <c r="H77" s="292" t="n">
        <v>28.07</v>
      </c>
      <c r="I77" s="142" t="n">
        <v>0.407</v>
      </c>
      <c r="J77" s="142" t="n">
        <v>0.203</v>
      </c>
      <c r="K77" s="142" t="n">
        <v>0.111</v>
      </c>
      <c r="L77" s="270" t="n">
        <v>8.5668193967163</v>
      </c>
      <c r="M77" s="272" t="n">
        <v>7.2893279877816</v>
      </c>
      <c r="N77" s="270" t="n">
        <v>11.7953351869015</v>
      </c>
      <c r="O77" s="273">
        <f>M77/N77</f>
        <v/>
      </c>
      <c r="P77" s="270" t="n">
        <v>1.80413963546494</v>
      </c>
      <c r="Q77" s="270" t="n">
        <v>1.91643497065184</v>
      </c>
      <c r="R77" s="270" t="n">
        <v>1.17624343527958</v>
      </c>
      <c r="S77" s="270" t="n">
        <v>3.11785603954279</v>
      </c>
      <c r="T77" s="270" t="n">
        <v>1.06811862835959</v>
      </c>
      <c r="U77" s="270" t="n">
        <v>0.6087426629595299</v>
      </c>
      <c r="V77" s="270" t="n">
        <v>1.48069199876429</v>
      </c>
      <c r="W77" s="270" t="n">
        <v>0.6231078158789</v>
      </c>
      <c r="X77" s="274" t="n">
        <v>0.0133638793432608</v>
      </c>
      <c r="Y77" s="269">
        <f>X77+M77</f>
        <v/>
      </c>
      <c r="Z77" s="293" t="n">
        <v>84</v>
      </c>
      <c r="AA77" s="275" t="n">
        <v>62</v>
      </c>
      <c r="AB77" s="294" t="n">
        <v>548.16</v>
      </c>
      <c r="AC77" s="290" t="n"/>
      <c r="AD77" s="276" t="n">
        <v>0.008018327605956469</v>
      </c>
      <c r="AE77" s="141">
        <f>AA77/D77</f>
        <v/>
      </c>
      <c r="AF77" s="270" t="n">
        <v>6.52571428571429</v>
      </c>
      <c r="AG77" s="277" t="n">
        <v>0.0523253150057274</v>
      </c>
      <c r="AH77" s="131" t="n">
        <v>0.710332749562172</v>
      </c>
      <c r="AI77" s="131" t="n">
        <v>0.522591943957968</v>
      </c>
      <c r="AJ77" s="270" t="n">
        <v>0.701985490645284</v>
      </c>
      <c r="AK77" s="130" t="n">
        <v>0.09087437953417329</v>
      </c>
      <c r="AL77" s="130" t="n">
        <v>0.0170866743031691</v>
      </c>
      <c r="AM77" s="133" t="n">
        <v>0</v>
      </c>
    </row>
    <row customHeight="1" ht="13.2" outlineLevel="1" r="78" s="3">
      <c r="A78" s="117" t="n">
        <v>43419</v>
      </c>
      <c r="B78" s="267" t="inlineStr">
        <is>
          <t>iOS</t>
        </is>
      </c>
      <c r="C78" s="268" t="n">
        <v>2738</v>
      </c>
      <c r="D78" s="268" t="n">
        <v>10025</v>
      </c>
      <c r="E78" s="269" t="n">
        <v>3.66143170197224</v>
      </c>
      <c r="F78" s="270" t="n">
        <v>0.689162335361596</v>
      </c>
      <c r="G78" s="292" t="n">
        <v>20.59</v>
      </c>
      <c r="H78" s="292" t="n">
        <v>29.34</v>
      </c>
      <c r="I78" s="142" t="n">
        <v>0.416</v>
      </c>
      <c r="J78" s="142" t="n">
        <v>0.202</v>
      </c>
      <c r="K78" s="142" t="n">
        <v>0.102</v>
      </c>
      <c r="L78" s="270" t="n">
        <v>8.47900249376559</v>
      </c>
      <c r="M78" s="272" t="n">
        <v>7.33725685785536</v>
      </c>
      <c r="N78" s="270" t="n">
        <v>11.9119028340081</v>
      </c>
      <c r="O78" s="273">
        <f>M78/N78</f>
        <v/>
      </c>
      <c r="P78" s="270" t="n">
        <v>1.86072874493927</v>
      </c>
      <c r="Q78" s="270" t="n">
        <v>1.93295546558704</v>
      </c>
      <c r="R78" s="270" t="n">
        <v>1.18105263157895</v>
      </c>
      <c r="S78" s="270" t="n">
        <v>3.14283400809717</v>
      </c>
      <c r="T78" s="270" t="n">
        <v>1.10769230769231</v>
      </c>
      <c r="U78" s="270" t="n">
        <v>0.5906072874493929</v>
      </c>
      <c r="V78" s="270" t="n">
        <v>1.45570850202429</v>
      </c>
      <c r="W78" s="270" t="n">
        <v>0.640323886639676</v>
      </c>
      <c r="X78" s="274" t="n">
        <v>0.009376558603491269</v>
      </c>
      <c r="Y78" s="269">
        <f>X78+M78</f>
        <v/>
      </c>
      <c r="Z78" s="293" t="n">
        <v>99</v>
      </c>
      <c r="AA78" s="275" t="n">
        <v>65</v>
      </c>
      <c r="AB78" s="294" t="n">
        <v>843.01</v>
      </c>
      <c r="AC78" s="290" t="n"/>
      <c r="AD78" s="276" t="n">
        <v>0.009875311720698251</v>
      </c>
      <c r="AE78" s="141">
        <f>AA78/D78</f>
        <v/>
      </c>
      <c r="AF78" s="270" t="n">
        <v>8.515252525252521</v>
      </c>
      <c r="AG78" s="277" t="n">
        <v>0.0840907730673317</v>
      </c>
      <c r="AH78" s="131" t="n">
        <v>0.669101533966399</v>
      </c>
      <c r="AI78" s="131" t="n">
        <v>0.501460920379839</v>
      </c>
      <c r="AJ78" s="270" t="n">
        <v>0.7001496259351619</v>
      </c>
      <c r="AK78" s="130" t="n">
        <v>0.0901745635910224</v>
      </c>
      <c r="AL78" s="130" t="n">
        <v>0.016857855361596</v>
      </c>
      <c r="AM78" s="133" t="n">
        <v>0</v>
      </c>
    </row>
    <row customHeight="1" ht="13.2" outlineLevel="1" r="79" s="3">
      <c r="A79" s="117" t="n">
        <v>43420</v>
      </c>
      <c r="B79" s="267" t="inlineStr">
        <is>
          <t>iOS</t>
        </is>
      </c>
      <c r="C79" s="268" t="n">
        <v>2562</v>
      </c>
      <c r="D79" s="268" t="n">
        <v>9822</v>
      </c>
      <c r="E79" s="269" t="n">
        <v>3.83372365339578</v>
      </c>
      <c r="F79" s="270" t="n">
        <v>0.144162156383629</v>
      </c>
      <c r="G79" s="292" t="n">
        <v>19.59</v>
      </c>
      <c r="H79" s="292" t="n">
        <v>26.48</v>
      </c>
      <c r="I79" s="142" t="n">
        <v>0.402</v>
      </c>
      <c r="J79" s="142" t="n">
        <v>0.185</v>
      </c>
      <c r="K79" s="142" t="n">
        <v>0.095</v>
      </c>
      <c r="L79" s="270" t="n">
        <v>8.479230299328041</v>
      </c>
      <c r="M79" s="272" t="n">
        <v>7.19497047444512</v>
      </c>
      <c r="N79" s="270" t="n">
        <v>11.7507482540738</v>
      </c>
      <c r="O79" s="273">
        <f>M79/N79</f>
        <v/>
      </c>
      <c r="P79" s="270" t="n">
        <v>1.77386099102095</v>
      </c>
      <c r="Q79" s="270" t="n">
        <v>1.97588959095444</v>
      </c>
      <c r="R79" s="270" t="n">
        <v>1.12820086464915</v>
      </c>
      <c r="S79" s="270" t="n">
        <v>3.0979381443299</v>
      </c>
      <c r="T79" s="270" t="n">
        <v>1.0808114399734</v>
      </c>
      <c r="U79" s="270" t="n">
        <v>0.583139341536415</v>
      </c>
      <c r="V79" s="270" t="n">
        <v>1.45078150981044</v>
      </c>
      <c r="W79" s="270" t="n">
        <v>0.660126371799135</v>
      </c>
      <c r="X79" s="274" t="n">
        <v>0.00916310323762981</v>
      </c>
      <c r="Y79" s="269">
        <f>X79+M79</f>
        <v/>
      </c>
      <c r="Z79" s="293" t="n">
        <v>103</v>
      </c>
      <c r="AA79" s="275" t="n">
        <v>70</v>
      </c>
      <c r="AB79" s="294" t="n">
        <v>612.97</v>
      </c>
      <c r="AC79" s="290" t="n"/>
      <c r="AD79" s="276" t="n">
        <v>0.0104866625941763</v>
      </c>
      <c r="AE79" s="141">
        <f>AA79/D79</f>
        <v/>
      </c>
      <c r="AF79" s="270" t="n">
        <v>5.95116504854369</v>
      </c>
      <c r="AG79" s="277" t="n">
        <v>0.0624078599063327</v>
      </c>
      <c r="AH79" s="131" t="n">
        <v>0.671740827478532</v>
      </c>
      <c r="AI79" s="131" t="n">
        <v>0.497658079625293</v>
      </c>
      <c r="AJ79" s="270" t="n">
        <v>0.682854815719813</v>
      </c>
      <c r="AK79" s="130" t="n">
        <v>0.0975361433516595</v>
      </c>
      <c r="AL79" s="130" t="n">
        <v>0.0185298309916514</v>
      </c>
      <c r="AM79" s="133" t="n">
        <v>0</v>
      </c>
    </row>
    <row customHeight="1" ht="13.2" outlineLevel="1" r="80" s="3">
      <c r="A80" s="117" t="n">
        <v>43421</v>
      </c>
      <c r="B80" s="289" t="inlineStr">
        <is>
          <t>iOS</t>
        </is>
      </c>
      <c r="C80" s="268" t="n">
        <v>2532</v>
      </c>
      <c r="D80" s="268" t="n">
        <v>9647</v>
      </c>
      <c r="E80" s="269" t="n">
        <v>3.81003159557662</v>
      </c>
      <c r="F80" s="270" t="n">
        <v>0.755102928164196</v>
      </c>
      <c r="G80" s="292" t="n">
        <v>19.43</v>
      </c>
      <c r="H80" s="292" t="n">
        <v>26.11</v>
      </c>
      <c r="I80" s="142" t="n">
        <v>0.392</v>
      </c>
      <c r="J80" s="142" t="n">
        <v>0.169</v>
      </c>
      <c r="K80" s="142" t="n">
        <v>0.096</v>
      </c>
      <c r="L80" s="270" t="n">
        <v>9.833938011817139</v>
      </c>
      <c r="M80" s="272" t="n">
        <v>8.64807712242148</v>
      </c>
      <c r="N80" s="270" t="n">
        <v>13.9581729964865</v>
      </c>
      <c r="O80" s="273">
        <f>M80/N80</f>
        <v/>
      </c>
      <c r="P80" s="270" t="n">
        <v>2.19089844403547</v>
      </c>
      <c r="Q80" s="270" t="n">
        <v>2.38748536054877</v>
      </c>
      <c r="R80" s="270" t="n">
        <v>1.25380625731973</v>
      </c>
      <c r="S80" s="270" t="n">
        <v>3.4642797389995</v>
      </c>
      <c r="T80" s="270" t="n">
        <v>1.36724109084825</v>
      </c>
      <c r="U80" s="270" t="n">
        <v>0.497574033796219</v>
      </c>
      <c r="V80" s="270" t="n">
        <v>2.04734816797725</v>
      </c>
      <c r="W80" s="270" t="n">
        <v>0.749539902961352</v>
      </c>
      <c r="X80" s="274" t="n">
        <v>0.0152378977920597</v>
      </c>
      <c r="Y80" s="269">
        <f>X80+M80</f>
        <v/>
      </c>
      <c r="Z80" s="293" t="n">
        <v>120</v>
      </c>
      <c r="AA80" s="275" t="n">
        <v>77</v>
      </c>
      <c r="AB80" s="294" t="n">
        <v>856.8</v>
      </c>
      <c r="AC80" s="290" t="n"/>
      <c r="AD80" s="276" t="n">
        <v>0.0124391002384161</v>
      </c>
      <c r="AE80" s="141">
        <f>AA80/D80</f>
        <v/>
      </c>
      <c r="AF80" s="270" t="n">
        <v>7.14</v>
      </c>
      <c r="AG80" s="277" t="n">
        <v>0.0888151757022909</v>
      </c>
      <c r="AH80" s="131" t="n">
        <v>0.691548183254344</v>
      </c>
      <c r="AI80" s="131" t="n">
        <v>0.485387045813586</v>
      </c>
      <c r="AJ80" s="270" t="n">
        <v>0.553747278946823</v>
      </c>
      <c r="AK80" s="130" t="n">
        <v>0.110189696278636</v>
      </c>
      <c r="AL80" s="130" t="n">
        <v>0.0185549911889707</v>
      </c>
      <c r="AM80" s="133" t="n">
        <v>0.418368404685394</v>
      </c>
    </row>
    <row customHeight="1" ht="13.2" outlineLevel="1" r="81" s="3">
      <c r="A81" s="120" t="n">
        <v>43422</v>
      </c>
      <c r="B81" s="289" t="inlineStr">
        <is>
          <t>iOS</t>
        </is>
      </c>
      <c r="C81" s="268" t="n">
        <v>2546</v>
      </c>
      <c r="D81" s="268" t="n">
        <v>9597</v>
      </c>
      <c r="E81" s="269">
        <f>D81/C81</f>
        <v/>
      </c>
      <c r="F81" s="270">
        <f>3.3*M81*G81/1000+AB81/D81*3.3*0.7</f>
        <v/>
      </c>
      <c r="G81" s="292" t="n">
        <v>17.1</v>
      </c>
      <c r="H81" s="292" t="n">
        <v>24.06</v>
      </c>
      <c r="I81" s="142" t="n">
        <v>0.392</v>
      </c>
      <c r="J81" s="142" t="n">
        <v>0.19</v>
      </c>
      <c r="K81" s="142" t="n">
        <v>0.103</v>
      </c>
      <c r="L81" s="270" t="n">
        <v>9.561529644680631</v>
      </c>
      <c r="M81" s="272" t="n">
        <v>9.0920079191414</v>
      </c>
      <c r="N81" s="270" t="n">
        <v>14.6157453936348</v>
      </c>
      <c r="O81" s="273">
        <f>M81/N81</f>
        <v/>
      </c>
      <c r="P81" s="270" t="n">
        <v>2.10033500837521</v>
      </c>
      <c r="Q81" s="270" t="n">
        <v>2.40234505862647</v>
      </c>
      <c r="R81" s="270" t="n">
        <v>1.39832495812395</v>
      </c>
      <c r="S81" s="270" t="n">
        <v>4.12328308207705</v>
      </c>
      <c r="T81" s="270" t="n">
        <v>1.33299832495812</v>
      </c>
      <c r="U81" s="270" t="n">
        <v>0.505192629815745</v>
      </c>
      <c r="V81" s="270" t="n">
        <v>2.00502512562814</v>
      </c>
      <c r="W81" s="270" t="n">
        <v>0.748241206030151</v>
      </c>
      <c r="X81" s="274" t="n">
        <v>0.0146920912785245</v>
      </c>
      <c r="Y81" s="269">
        <f>X81+M81</f>
        <v/>
      </c>
      <c r="Z81" s="275" t="n">
        <v>110</v>
      </c>
      <c r="AA81" s="32" t="n">
        <v>80</v>
      </c>
      <c r="AB81" s="270" t="n">
        <v>699.9</v>
      </c>
      <c r="AC81" s="290" t="n"/>
      <c r="AD81" s="276">
        <f>Z81/D81</f>
        <v/>
      </c>
      <c r="AE81" s="141">
        <f>AA81/D81</f>
        <v/>
      </c>
      <c r="AF81" s="270">
        <f>AB81/Z81</f>
        <v/>
      </c>
      <c r="AG81" s="277">
        <f>AD81*AF81</f>
        <v/>
      </c>
      <c r="AH81" s="131" t="n">
        <v>0.684603299293009</v>
      </c>
      <c r="AI81" s="131" t="n">
        <v>0.480754124116261</v>
      </c>
      <c r="AJ81" s="270" t="n">
        <v>0.595602792539335</v>
      </c>
      <c r="AK81" s="130" t="n">
        <v>0.119933312493488</v>
      </c>
      <c r="AL81" s="130" t="n">
        <v>0.0189642596644785</v>
      </c>
      <c r="AM81" s="133" t="n">
        <v>0.375742419506096</v>
      </c>
    </row>
    <row customHeight="1" ht="13.2" outlineLevel="1" r="82" s="3">
      <c r="A82" s="117" t="n">
        <v>43423</v>
      </c>
      <c r="B82" s="289" t="inlineStr">
        <is>
          <t>iOS</t>
        </is>
      </c>
      <c r="C82" s="268" t="n">
        <v>2528</v>
      </c>
      <c r="D82" s="268" t="n">
        <v>9553</v>
      </c>
      <c r="E82" s="269">
        <f>D82/C82</f>
        <v/>
      </c>
      <c r="F82" s="270">
        <f>3.3*M82*G82/1000+AB82/D82*3.3*0.7</f>
        <v/>
      </c>
      <c r="G82" s="292" t="n">
        <v>16.43</v>
      </c>
      <c r="H82" s="292" t="n">
        <v>24.22</v>
      </c>
      <c r="I82" s="142" t="n">
        <v>0.423</v>
      </c>
      <c r="J82" s="142" t="n">
        <v>0.199</v>
      </c>
      <c r="K82" s="142" t="n">
        <v>0.111</v>
      </c>
      <c r="L82" s="270" t="n">
        <v>9.527792316549769</v>
      </c>
      <c r="M82" s="272" t="n">
        <v>9.121009107086779</v>
      </c>
      <c r="N82" s="270" t="n">
        <v>14.2467298888162</v>
      </c>
      <c r="O82" s="273">
        <f>M82/N82</f>
        <v/>
      </c>
      <c r="P82" s="270" t="n">
        <v>2.05755395683453</v>
      </c>
      <c r="Q82" s="270" t="n">
        <v>2.35873119686069</v>
      </c>
      <c r="R82" s="270" t="n">
        <v>1.3914323086985</v>
      </c>
      <c r="S82" s="270" t="n">
        <v>4.08829300196207</v>
      </c>
      <c r="T82" s="270" t="n">
        <v>1.28466317854807</v>
      </c>
      <c r="U82" s="270" t="n">
        <v>0.510627861347286</v>
      </c>
      <c r="V82" s="270" t="n">
        <v>1.81720078482668</v>
      </c>
      <c r="W82" s="270" t="n">
        <v>0.738227599738391</v>
      </c>
      <c r="X82" s="274" t="n">
        <v>0.0122474615304093</v>
      </c>
      <c r="Y82" s="269">
        <f>X82+M82</f>
        <v/>
      </c>
      <c r="Z82" s="275" t="n">
        <v>93</v>
      </c>
      <c r="AA82" s="275" t="n">
        <v>72</v>
      </c>
      <c r="AB82" s="270" t="n">
        <v>768.0700000000001</v>
      </c>
      <c r="AC82" s="290" t="n"/>
      <c r="AD82" s="276">
        <f>Z82/D82</f>
        <v/>
      </c>
      <c r="AE82" s="141">
        <f>AA82/D82</f>
        <v/>
      </c>
      <c r="AF82" s="270">
        <f>AB82/Z82</f>
        <v/>
      </c>
      <c r="AG82" s="277">
        <f>AD82*AF82</f>
        <v/>
      </c>
      <c r="AH82" s="131" t="n">
        <v>0.722310126582278</v>
      </c>
      <c r="AI82" s="131" t="n">
        <v>0.489319620253165</v>
      </c>
      <c r="AJ82" s="270" t="n">
        <v>0.6050455354338951</v>
      </c>
      <c r="AK82" s="130" t="n">
        <v>0.136710980843714</v>
      </c>
      <c r="AL82" s="130" t="n">
        <v>0.0214592274678112</v>
      </c>
      <c r="AM82" s="133" t="n">
        <v>0.352350047105621</v>
      </c>
    </row>
    <row customHeight="1" ht="13.2" outlineLevel="1" r="83" s="3">
      <c r="A83" s="117" t="n">
        <v>43424</v>
      </c>
      <c r="B83" s="289" t="inlineStr">
        <is>
          <t>iOS</t>
        </is>
      </c>
      <c r="C83" s="268" t="n">
        <v>2671</v>
      </c>
      <c r="D83" s="268" t="n">
        <v>9674</v>
      </c>
      <c r="E83" s="269">
        <f>D83/C83</f>
        <v/>
      </c>
      <c r="F83" s="270">
        <f>3.3*M83*G83/1000+AB83/D83*3.3*0.7</f>
        <v/>
      </c>
      <c r="G83" s="292" t="n">
        <v>16.48</v>
      </c>
      <c r="H83" s="292" t="n">
        <v>25</v>
      </c>
      <c r="I83" s="142" t="n">
        <v>0.435</v>
      </c>
      <c r="J83" s="142" t="n">
        <v>0.214</v>
      </c>
      <c r="K83" s="142" t="n">
        <v>0.119</v>
      </c>
      <c r="L83" s="270" t="n">
        <v>9.305044449038659</v>
      </c>
      <c r="M83" s="272" t="n">
        <v>8.93084556543312</v>
      </c>
      <c r="N83" s="270" t="n">
        <v>14.1866995073892</v>
      </c>
      <c r="O83" s="273">
        <f>M83/N83</f>
        <v/>
      </c>
      <c r="P83" s="270" t="n">
        <v>1.97619047619048</v>
      </c>
      <c r="Q83" s="270" t="n">
        <v>2.2247947454844</v>
      </c>
      <c r="R83" s="270" t="n">
        <v>1.38686371100164</v>
      </c>
      <c r="S83" s="270" t="n">
        <v>4.34022988505747</v>
      </c>
      <c r="T83" s="270" t="n">
        <v>1.21330049261084</v>
      </c>
      <c r="U83" s="270" t="n">
        <v>0.551724137931034</v>
      </c>
      <c r="V83" s="270" t="n">
        <v>1.75944170771757</v>
      </c>
      <c r="W83" s="270" t="n">
        <v>0.734154351395731</v>
      </c>
      <c r="X83" s="274" t="n">
        <v>0.0152987388877403</v>
      </c>
      <c r="Y83" s="269">
        <f>X83+M83</f>
        <v/>
      </c>
      <c r="Z83" s="275" t="n">
        <v>132</v>
      </c>
      <c r="AA83" s="275" t="n">
        <v>94</v>
      </c>
      <c r="AB83" s="270" t="n">
        <v>768.6799999999999</v>
      </c>
      <c r="AC83" s="290" t="n"/>
      <c r="AD83" s="276">
        <f>Z83/D83</f>
        <v/>
      </c>
      <c r="AE83" s="141">
        <f>AA83/D83</f>
        <v/>
      </c>
      <c r="AF83" s="270">
        <f>AB83/Z83</f>
        <v/>
      </c>
      <c r="AG83" s="277">
        <f>AD83*AF83</f>
        <v/>
      </c>
      <c r="AH83" s="131" t="n">
        <v>0.70685136652939</v>
      </c>
      <c r="AI83" s="131" t="n">
        <v>0.494196929988768</v>
      </c>
      <c r="AJ83" s="270" t="n">
        <v>0.677796154641307</v>
      </c>
      <c r="AK83" s="130" t="n">
        <v>0.15391771759355</v>
      </c>
      <c r="AL83" s="130" t="n">
        <v>0.0233615877610089</v>
      </c>
      <c r="AM83" s="133" t="n">
        <v>0.278581765557164</v>
      </c>
    </row>
    <row customHeight="1" ht="13.2" outlineLevel="1" r="84" s="3">
      <c r="A84" s="117" t="n">
        <v>43425</v>
      </c>
      <c r="B84" s="267" t="inlineStr">
        <is>
          <t>iOS</t>
        </is>
      </c>
      <c r="C84" s="268" t="n">
        <v>2446</v>
      </c>
      <c r="D84" s="268" t="n">
        <v>9408</v>
      </c>
      <c r="E84" s="269">
        <f>D84/C84</f>
        <v/>
      </c>
      <c r="F84" s="270">
        <f>3.3*M84*G84/1000+AB84/D84*3.3*0.7</f>
        <v/>
      </c>
      <c r="G84" s="292" t="n">
        <v>16.6</v>
      </c>
      <c r="H84" s="292" t="n">
        <v>24.53</v>
      </c>
      <c r="I84" s="142" t="n">
        <v>0.449</v>
      </c>
      <c r="J84" s="142" t="n">
        <v>0.222</v>
      </c>
      <c r="K84" s="142" t="n">
        <v>0.117</v>
      </c>
      <c r="L84" s="270" t="n">
        <v>9.40019132653061</v>
      </c>
      <c r="M84" s="272" t="n">
        <v>8.5233843537415</v>
      </c>
      <c r="N84" s="270" t="n">
        <v>13.5110362257793</v>
      </c>
      <c r="O84" s="273">
        <f>M84/N84</f>
        <v/>
      </c>
      <c r="P84" s="270" t="n">
        <v>1.76596461668071</v>
      </c>
      <c r="Q84" s="270" t="n">
        <v>1.95770850884583</v>
      </c>
      <c r="R84" s="270" t="n">
        <v>1.2636899747262</v>
      </c>
      <c r="S84" s="270" t="n">
        <v>4.64060657118787</v>
      </c>
      <c r="T84" s="270" t="n">
        <v>1.08896377422072</v>
      </c>
      <c r="U84" s="270" t="n">
        <v>0.5765796124684081</v>
      </c>
      <c r="V84" s="270" t="n">
        <v>1.53192923336142</v>
      </c>
      <c r="W84" s="270" t="n">
        <v>0.685593934288121</v>
      </c>
      <c r="X84" s="274" t="n">
        <v>0.0124362244897959</v>
      </c>
      <c r="Y84" s="269">
        <f>X84+M84</f>
        <v/>
      </c>
      <c r="Z84" s="275" t="n">
        <v>64</v>
      </c>
      <c r="AA84" s="275" t="n">
        <v>77</v>
      </c>
      <c r="AB84" s="270" t="n">
        <v>273.36</v>
      </c>
      <c r="AC84" s="290" t="n"/>
      <c r="AD84" s="276">
        <f>Z84/D84</f>
        <v/>
      </c>
      <c r="AE84" s="141">
        <f>AA84/D84</f>
        <v/>
      </c>
      <c r="AF84" s="270">
        <f>AB84/Z84</f>
        <v/>
      </c>
      <c r="AG84" s="277">
        <f>AD84*AF84</f>
        <v/>
      </c>
      <c r="AH84" s="131" t="n">
        <v>0.764104660670482</v>
      </c>
      <c r="AI84" s="131" t="n">
        <v>0.563368765331153</v>
      </c>
      <c r="AJ84" s="270" t="n">
        <v>0.7892219387755099</v>
      </c>
      <c r="AK84" s="130" t="n">
        <v>0.186862244897959</v>
      </c>
      <c r="AL84" s="130" t="n">
        <v>0.0271045918367347</v>
      </c>
      <c r="AM84" s="133" t="n">
        <v>0</v>
      </c>
    </row>
    <row customHeight="1" ht="13.2" outlineLevel="1" r="85" s="3">
      <c r="A85" s="117" t="n">
        <v>43426</v>
      </c>
      <c r="B85" s="267" t="inlineStr">
        <is>
          <t>iOS</t>
        </is>
      </c>
      <c r="C85" s="268" t="n">
        <v>2194</v>
      </c>
      <c r="D85" s="268" t="n">
        <v>9086</v>
      </c>
      <c r="E85" s="269">
        <f>D85/C85</f>
        <v/>
      </c>
      <c r="F85" s="270">
        <f>3.3*M85*G85/1000+AB85/D85*3.3*0.7</f>
        <v/>
      </c>
      <c r="G85" s="292" t="n">
        <v>17.84</v>
      </c>
      <c r="H85" s="292" t="n">
        <v>26.42</v>
      </c>
      <c r="I85" s="142" t="n">
        <v>0.443</v>
      </c>
      <c r="J85" s="142" t="n">
        <v>0.211</v>
      </c>
      <c r="K85" s="142" t="n">
        <v>0.112</v>
      </c>
      <c r="L85" s="270" t="n">
        <v>8.78912612810918</v>
      </c>
      <c r="M85" s="272" t="n">
        <v>7.85769315430332</v>
      </c>
      <c r="N85" s="270" t="n">
        <v>12.6429962812113</v>
      </c>
      <c r="O85" s="273">
        <f>M85/N85</f>
        <v/>
      </c>
      <c r="P85" s="270" t="n">
        <v>1.7614662652736</v>
      </c>
      <c r="Q85" s="270" t="n">
        <v>1.89428014875155</v>
      </c>
      <c r="R85" s="270" t="n">
        <v>1.15583495661413</v>
      </c>
      <c r="S85" s="270" t="n">
        <v>4.12679298742695</v>
      </c>
      <c r="T85" s="270" t="n">
        <v>1.0885425889853</v>
      </c>
      <c r="U85" s="270" t="n">
        <v>0.548078625819019</v>
      </c>
      <c r="V85" s="270" t="n">
        <v>1.42748361962104</v>
      </c>
      <c r="W85" s="270" t="n">
        <v>0.6405170887196741</v>
      </c>
      <c r="X85" s="274" t="n">
        <v>0.0191503411842395</v>
      </c>
      <c r="Y85" s="269">
        <f>X85+M85</f>
        <v/>
      </c>
      <c r="Z85" s="275" t="n">
        <v>82</v>
      </c>
      <c r="AA85" s="275" t="n">
        <v>56</v>
      </c>
      <c r="AB85" s="270" t="n">
        <v>585.1799999999999</v>
      </c>
      <c r="AC85" s="290" t="n"/>
      <c r="AD85" s="276">
        <f>Z85/D85</f>
        <v/>
      </c>
      <c r="AE85" s="141">
        <f>AA85/D85</f>
        <v/>
      </c>
      <c r="AF85" s="270">
        <f>AB85/Z85</f>
        <v/>
      </c>
      <c r="AG85" s="277">
        <f>AD85*AF85</f>
        <v/>
      </c>
      <c r="AH85" s="131" t="n">
        <v>0.730173199635369</v>
      </c>
      <c r="AI85" s="131" t="n">
        <v>0.54102096627165</v>
      </c>
      <c r="AJ85" s="270" t="n">
        <v>0.730904688531807</v>
      </c>
      <c r="AK85" s="130" t="n">
        <v>0.203940127668941</v>
      </c>
      <c r="AL85" s="130" t="n">
        <v>0.0269645608628659</v>
      </c>
      <c r="AM85" s="133" t="n">
        <v>0</v>
      </c>
    </row>
    <row customHeight="1" ht="13.2" outlineLevel="1" r="86" s="3">
      <c r="A86" s="117" t="n">
        <v>43427</v>
      </c>
      <c r="B86" s="267" t="inlineStr">
        <is>
          <t>iOS</t>
        </is>
      </c>
      <c r="C86" s="268" t="n">
        <v>1969</v>
      </c>
      <c r="D86" s="268" t="n">
        <v>8745</v>
      </c>
      <c r="E86" s="269">
        <f>D86/C86</f>
        <v/>
      </c>
      <c r="F86" s="270">
        <f>3.3*M86*G86/1000+AB86/D86*3.3*0.7</f>
        <v/>
      </c>
      <c r="G86" s="292" t="n">
        <v>19.26</v>
      </c>
      <c r="H86" s="292" t="n">
        <v>27.66</v>
      </c>
      <c r="I86" s="142" t="n">
        <v>0.42</v>
      </c>
      <c r="J86" s="142" t="n">
        <v>0.197</v>
      </c>
      <c r="K86" s="142" t="n">
        <v>0.098</v>
      </c>
      <c r="L86" s="270" t="n">
        <v>8.676729559748431</v>
      </c>
      <c r="M86" s="272" t="n">
        <v>7.57026872498571</v>
      </c>
      <c r="N86" s="270" t="n">
        <v>12.2869339272457</v>
      </c>
      <c r="O86" s="273">
        <f>M86/N86</f>
        <v/>
      </c>
      <c r="P86" s="270" t="n">
        <v>1.71213808463252</v>
      </c>
      <c r="Q86" s="270" t="n">
        <v>1.84910913140312</v>
      </c>
      <c r="R86" s="270" t="n">
        <v>1.13177431328879</v>
      </c>
      <c r="S86" s="270" t="n">
        <v>4.05122494432071</v>
      </c>
      <c r="T86" s="270" t="n">
        <v>1.00092798812175</v>
      </c>
      <c r="U86" s="270" t="n">
        <v>0.540274684484039</v>
      </c>
      <c r="V86" s="270" t="n">
        <v>1.37899034892353</v>
      </c>
      <c r="W86" s="270" t="n">
        <v>0.62249443207127</v>
      </c>
      <c r="X86" s="274" t="n">
        <v>0.0105202973127501</v>
      </c>
      <c r="Y86" s="269">
        <f>X86+M86</f>
        <v/>
      </c>
      <c r="Z86" s="275" t="n">
        <v>80</v>
      </c>
      <c r="AA86" s="275" t="n">
        <v>60</v>
      </c>
      <c r="AB86" s="270" t="n">
        <v>492.2</v>
      </c>
      <c r="AC86" s="290" t="n"/>
      <c r="AD86" s="276">
        <f>Z86/D86</f>
        <v/>
      </c>
      <c r="AE86" s="141">
        <f>AA86/D86</f>
        <v/>
      </c>
      <c r="AF86" s="270">
        <f>AB86/Z86</f>
        <v/>
      </c>
      <c r="AG86" s="277">
        <f>AD86*AF86</f>
        <v/>
      </c>
      <c r="AH86" s="131" t="n">
        <v>0.725749111223972</v>
      </c>
      <c r="AI86" s="131" t="n">
        <v>0.552564753682072</v>
      </c>
      <c r="AJ86" s="270" t="n">
        <v>0.7531160663236131</v>
      </c>
      <c r="AK86" s="130" t="n">
        <v>0.23156089193825</v>
      </c>
      <c r="AL86" s="130" t="n">
        <v>0.0331618067467124</v>
      </c>
      <c r="AM86" s="133" t="n">
        <v>0</v>
      </c>
    </row>
    <row customHeight="1" ht="13.2" outlineLevel="1" r="87" s="3">
      <c r="A87" s="117" t="n">
        <v>43428</v>
      </c>
      <c r="B87" s="289" t="inlineStr">
        <is>
          <t>iOS</t>
        </is>
      </c>
      <c r="C87" s="268" t="n">
        <v>2098</v>
      </c>
      <c r="D87" s="268" t="n">
        <v>8658</v>
      </c>
      <c r="E87" s="269">
        <f>D87/C87</f>
        <v/>
      </c>
      <c r="F87" s="270">
        <f>3.3*M87*G87/1000+AB87/D87*3.3*0.7</f>
        <v/>
      </c>
      <c r="G87" s="292" t="n">
        <v>18.29</v>
      </c>
      <c r="H87" s="292" t="n">
        <v>24.43</v>
      </c>
      <c r="I87" s="142" t="n">
        <v>0.424</v>
      </c>
      <c r="J87" s="142" t="n">
        <v>0.187</v>
      </c>
      <c r="K87" s="142" t="n">
        <v>0.115</v>
      </c>
      <c r="L87" s="270" t="n">
        <v>9.9991914991915</v>
      </c>
      <c r="M87" s="272" t="n">
        <v>9.184453684453681</v>
      </c>
      <c r="N87" s="270" t="n">
        <v>15.1695917588707</v>
      </c>
      <c r="O87" s="273">
        <f>M87/N87</f>
        <v/>
      </c>
      <c r="P87" s="270" t="n">
        <v>2.09996184662343</v>
      </c>
      <c r="Q87" s="270" t="n">
        <v>2.23159099580313</v>
      </c>
      <c r="R87" s="270" t="n">
        <v>1.33231590995803</v>
      </c>
      <c r="S87" s="270" t="n">
        <v>5.19114841663487</v>
      </c>
      <c r="T87" s="270" t="n">
        <v>1.26287676459367</v>
      </c>
      <c r="U87" s="270" t="n">
        <v>0.466043494849294</v>
      </c>
      <c r="V87" s="270" t="n">
        <v>1.82640213658909</v>
      </c>
      <c r="W87" s="270" t="n">
        <v>0.759252193819153</v>
      </c>
      <c r="X87" s="274" t="n">
        <v>0.0265650265650266</v>
      </c>
      <c r="Y87" s="269">
        <f>X87+M87</f>
        <v/>
      </c>
      <c r="Z87" s="275" t="n">
        <v>105</v>
      </c>
      <c r="AA87" s="275" t="n">
        <v>70</v>
      </c>
      <c r="AB87" s="270" t="n">
        <v>894.95</v>
      </c>
      <c r="AC87" s="290" t="n"/>
      <c r="AD87" s="276">
        <f>Z87/D87</f>
        <v/>
      </c>
      <c r="AE87" s="141">
        <f>AA87/D87</f>
        <v/>
      </c>
      <c r="AF87" s="270">
        <f>AB87/Z87</f>
        <v/>
      </c>
      <c r="AG87" s="277">
        <f>AD87*AF87</f>
        <v/>
      </c>
      <c r="AH87" s="131" t="n">
        <v>0.718303145853194</v>
      </c>
      <c r="AI87" s="131" t="n">
        <v>0.482364156339371</v>
      </c>
      <c r="AJ87" s="270" t="n">
        <v>0.577154077154077</v>
      </c>
      <c r="AK87" s="130" t="n">
        <v>0.214945714945715</v>
      </c>
      <c r="AL87" s="130" t="n">
        <v>0.0287595287595288</v>
      </c>
      <c r="AM87" s="133" t="n">
        <v>0.413259413259413</v>
      </c>
    </row>
    <row customHeight="1" ht="13.2" outlineLevel="1" r="88" s="3">
      <c r="A88" s="117" t="n">
        <v>43429</v>
      </c>
      <c r="B88" s="289" t="inlineStr">
        <is>
          <t>iOS</t>
        </is>
      </c>
      <c r="C88" s="268" t="n">
        <v>2214</v>
      </c>
      <c r="D88" s="268" t="n">
        <v>8817</v>
      </c>
      <c r="E88" s="269">
        <f>D88/C88</f>
        <v/>
      </c>
      <c r="F88" s="270">
        <f>3.3*M88*G88/1000+AB88/D88*3.3*0.7</f>
        <v/>
      </c>
      <c r="G88" s="292" t="n">
        <v>17.02</v>
      </c>
      <c r="H88" s="292" t="n">
        <v>24.01</v>
      </c>
      <c r="I88" s="142" t="n">
        <v>0.395</v>
      </c>
      <c r="J88" s="142" t="n">
        <v>0.194</v>
      </c>
      <c r="K88" s="142" t="n">
        <v>0.115</v>
      </c>
      <c r="L88" s="270" t="n">
        <v>9.37779290007939</v>
      </c>
      <c r="M88" s="272" t="n">
        <v>9.44062606328683</v>
      </c>
      <c r="N88" s="270" t="n">
        <v>15.1894160583942</v>
      </c>
      <c r="O88" s="273">
        <f>M88/N88</f>
        <v/>
      </c>
      <c r="P88" s="270" t="n">
        <v>2.04233576642336</v>
      </c>
      <c r="Q88" s="270" t="n">
        <v>2.2713503649635</v>
      </c>
      <c r="R88" s="270" t="n">
        <v>1.44051094890511</v>
      </c>
      <c r="S88" s="270" t="n">
        <v>5.21624087591241</v>
      </c>
      <c r="T88" s="270" t="n">
        <v>1.23813868613139</v>
      </c>
      <c r="U88" s="270" t="n">
        <v>0.508211678832117</v>
      </c>
      <c r="V88" s="270" t="n">
        <v>1.76441605839416</v>
      </c>
      <c r="W88" s="270" t="n">
        <v>0.708211678832117</v>
      </c>
      <c r="X88" s="274" t="n">
        <v>0.0401497107859816</v>
      </c>
      <c r="Y88" s="269">
        <f>X88+M88</f>
        <v/>
      </c>
      <c r="Z88" s="275" t="n">
        <v>77</v>
      </c>
      <c r="AA88" s="275" t="n">
        <v>61</v>
      </c>
      <c r="AB88" s="270" t="n">
        <v>479.23</v>
      </c>
      <c r="AC88" s="290" t="n"/>
      <c r="AD88" s="276">
        <f>Z88/D88</f>
        <v/>
      </c>
      <c r="AE88" s="141">
        <f>AA88/D88</f>
        <v/>
      </c>
      <c r="AF88" s="270">
        <f>AB88/Z88</f>
        <v/>
      </c>
      <c r="AG88" s="277">
        <f>AD88*AF88</f>
        <v/>
      </c>
      <c r="AH88" s="131" t="n">
        <v>0.7154471544715451</v>
      </c>
      <c r="AI88" s="131" t="n">
        <v>0.524841915085818</v>
      </c>
      <c r="AJ88" s="270" t="n">
        <v>0.618010661222638</v>
      </c>
      <c r="AK88" s="130" t="n">
        <v>0.22036974027447</v>
      </c>
      <c r="AL88" s="130" t="n">
        <v>0.0288079845752524</v>
      </c>
      <c r="AM88" s="133" t="n">
        <v>0.361801066122264</v>
      </c>
    </row>
    <row customHeight="1" ht="13.2" outlineLevel="1" r="89" s="3">
      <c r="A89" s="117" t="n">
        <v>43430</v>
      </c>
      <c r="B89" s="289" t="inlineStr">
        <is>
          <t>iOS</t>
        </is>
      </c>
      <c r="C89" s="268" t="n">
        <v>2002</v>
      </c>
      <c r="D89" s="268" t="n">
        <v>8670</v>
      </c>
      <c r="E89" s="269" t="n">
        <v>4.33066933066933</v>
      </c>
      <c r="F89" s="270" t="n">
        <v>0.628659325259516</v>
      </c>
      <c r="G89" s="292" t="n">
        <v>17.01</v>
      </c>
      <c r="H89" s="292" t="n">
        <v>24.29</v>
      </c>
      <c r="I89" s="142" t="n">
        <v>0.423</v>
      </c>
      <c r="J89" s="142" t="n">
        <v>0.212</v>
      </c>
      <c r="K89" s="142" t="n">
        <v>0.115</v>
      </c>
      <c r="L89" s="270" t="n">
        <v>9.27116493656286</v>
      </c>
      <c r="M89" s="272" t="n">
        <v>9.041522491349481</v>
      </c>
      <c r="N89" s="270" t="n">
        <v>14.4604316546763</v>
      </c>
      <c r="O89" s="273">
        <f>M89/N89</f>
        <v/>
      </c>
      <c r="P89" s="270" t="n">
        <v>1.98948533480908</v>
      </c>
      <c r="Q89" s="270" t="n">
        <v>2.18852610219517</v>
      </c>
      <c r="R89" s="270" t="n">
        <v>1.35602287400849</v>
      </c>
      <c r="S89" s="270" t="n">
        <v>4.81405644714997</v>
      </c>
      <c r="T89" s="270" t="n">
        <v>1.22966242390703</v>
      </c>
      <c r="U89" s="270" t="n">
        <v>0.497694152370411</v>
      </c>
      <c r="V89" s="270" t="n">
        <v>1.69802619442907</v>
      </c>
      <c r="W89" s="270" t="n">
        <v>0.686958125807047</v>
      </c>
      <c r="X89" s="274" t="n">
        <v>0.0274509803921569</v>
      </c>
      <c r="Y89" s="269">
        <f>X89+M89</f>
        <v/>
      </c>
      <c r="Z89" s="275" t="n">
        <v>85</v>
      </c>
      <c r="AA89" s="275" t="n">
        <v>67</v>
      </c>
      <c r="AB89" s="270" t="n">
        <v>506.15</v>
      </c>
      <c r="AC89" s="290" t="n"/>
      <c r="AD89" s="276" t="n">
        <v>0.009803921568627451</v>
      </c>
      <c r="AE89" s="141">
        <f>AA89/D89</f>
        <v/>
      </c>
      <c r="AF89" s="270" t="n">
        <v>5.95470588235294</v>
      </c>
      <c r="AG89" s="277" t="n">
        <v>0.0583794694348328</v>
      </c>
      <c r="AH89" s="131" t="n">
        <v>0.726773226773227</v>
      </c>
      <c r="AI89" s="131" t="n">
        <v>0.486013986013986</v>
      </c>
      <c r="AJ89" s="270" t="n">
        <v>0.633217993079585</v>
      </c>
      <c r="AK89" s="130" t="n">
        <v>0.225259515570934</v>
      </c>
      <c r="AL89" s="130" t="n">
        <v>0.0295271049596309</v>
      </c>
      <c r="AM89" s="133" t="n">
        <v>0.343598615916955</v>
      </c>
    </row>
    <row customHeight="1" ht="13.2" outlineLevel="1" r="90" s="3">
      <c r="A90" s="117" t="n">
        <v>43431</v>
      </c>
      <c r="B90" s="289" t="inlineStr">
        <is>
          <t>iOS</t>
        </is>
      </c>
      <c r="C90" s="268" t="n">
        <v>2036</v>
      </c>
      <c r="D90" s="268" t="n">
        <v>8504</v>
      </c>
      <c r="E90" s="269" t="n">
        <v>4.17681728880157</v>
      </c>
      <c r="F90" s="270" t="n">
        <v>0.691370489181562</v>
      </c>
      <c r="G90" s="292" t="n">
        <v>18.69</v>
      </c>
      <c r="H90" s="292" t="n">
        <v>27.63</v>
      </c>
      <c r="I90" s="142" t="n">
        <v>0.444</v>
      </c>
      <c r="J90" s="142" t="n">
        <v>0.218</v>
      </c>
      <c r="K90" s="142" t="n">
        <v>0.102</v>
      </c>
      <c r="L90" s="270" t="n">
        <v>9.286100658513639</v>
      </c>
      <c r="M90" s="272" t="n">
        <v>8.96001881467545</v>
      </c>
      <c r="N90" s="270" t="n">
        <v>14.3630537229029</v>
      </c>
      <c r="O90" s="273">
        <f>M90/N90</f>
        <v/>
      </c>
      <c r="P90" s="270" t="n">
        <v>1.90329877474081</v>
      </c>
      <c r="Q90" s="270" t="n">
        <v>2.13459000942507</v>
      </c>
      <c r="R90" s="270" t="n">
        <v>1.36154571159284</v>
      </c>
      <c r="S90" s="270" t="n">
        <v>4.80603204524034</v>
      </c>
      <c r="T90" s="270" t="n">
        <v>1.16116870876532</v>
      </c>
      <c r="U90" s="270" t="n">
        <v>0.529877474081056</v>
      </c>
      <c r="V90" s="270" t="n">
        <v>1.75607917059378</v>
      </c>
      <c r="W90" s="270" t="n">
        <v>0.710461828463714</v>
      </c>
      <c r="X90" s="274" t="n">
        <v>0.0108184383819379</v>
      </c>
      <c r="Y90" s="269">
        <f>X90+M90</f>
        <v/>
      </c>
      <c r="Z90" s="275" t="n">
        <v>78</v>
      </c>
      <c r="AA90" s="275" t="n">
        <v>59</v>
      </c>
      <c r="AB90" s="270" t="n">
        <v>553.22</v>
      </c>
      <c r="AC90" s="290" t="n"/>
      <c r="AD90" s="276" t="n">
        <v>0.00917215428033866</v>
      </c>
      <c r="AE90" s="141">
        <f>AA90/D90</f>
        <v/>
      </c>
      <c r="AF90" s="270" t="n">
        <v>7.0925641025641</v>
      </c>
      <c r="AG90" s="277" t="n">
        <v>0.0650540921919097</v>
      </c>
      <c r="AH90" s="131" t="n">
        <v>0.74852652259332</v>
      </c>
      <c r="AI90" s="131" t="n">
        <v>0.526031434184676</v>
      </c>
      <c r="AJ90" s="270" t="n">
        <v>0.690380997177799</v>
      </c>
      <c r="AK90" s="130" t="n">
        <v>0.247412982126058</v>
      </c>
      <c r="AL90" s="130" t="n">
        <v>0.0377469426152399</v>
      </c>
      <c r="AM90" s="133" t="n">
        <v>0.262699905926623</v>
      </c>
    </row>
    <row customFormat="1" customHeight="1" ht="12.45" outlineLevel="1" r="91" s="294">
      <c r="A91" s="121" t="n">
        <v>43432</v>
      </c>
      <c r="B91" s="295" t="inlineStr">
        <is>
          <t>iOS</t>
        </is>
      </c>
      <c r="C91" s="296" t="n">
        <v>2125</v>
      </c>
      <c r="D91" s="296" t="n">
        <v>8464</v>
      </c>
      <c r="E91" s="297" t="n">
        <v>3.98305882352941</v>
      </c>
      <c r="F91" s="294" t="n">
        <v>0.62473987039225</v>
      </c>
      <c r="G91" s="298" t="n">
        <v>18.83</v>
      </c>
      <c r="H91" s="298" t="n">
        <v>27.4</v>
      </c>
      <c r="I91" s="124" t="n">
        <v>0.472</v>
      </c>
      <c r="J91" s="124" t="n">
        <v>0.213</v>
      </c>
      <c r="K91" s="124" t="n">
        <v>0.118</v>
      </c>
      <c r="L91" s="294" t="n">
        <v>9.2437381852552</v>
      </c>
      <c r="M91" s="299" t="n">
        <v>8.19080812854442</v>
      </c>
      <c r="N91" s="294" t="n">
        <v>13.0682375117813</v>
      </c>
      <c r="O91" s="300">
        <f>M91/N91</f>
        <v/>
      </c>
      <c r="P91" s="294" t="n">
        <v>1.78454288407163</v>
      </c>
      <c r="Q91" s="294" t="n">
        <v>1.92365692742696</v>
      </c>
      <c r="R91" s="294" t="n">
        <v>1.21470311027333</v>
      </c>
      <c r="S91" s="294" t="n">
        <v>4.14703110273327</v>
      </c>
      <c r="T91" s="294" t="n">
        <v>1.06277097078228</v>
      </c>
      <c r="U91" s="294" t="n">
        <v>0.560414703110273</v>
      </c>
      <c r="V91" s="294" t="n">
        <v>1.5990574929312</v>
      </c>
      <c r="W91" s="294" t="n">
        <v>0.776060320452403</v>
      </c>
      <c r="X91" s="301" t="n">
        <v>0.0126417769376181</v>
      </c>
      <c r="Y91" s="297">
        <f>X91+M91</f>
        <v/>
      </c>
      <c r="Z91" s="293" t="n">
        <v>71</v>
      </c>
      <c r="AA91" s="293" t="n">
        <v>48</v>
      </c>
      <c r="AB91" s="294" t="n">
        <v>414.29</v>
      </c>
      <c r="AC91" s="302" t="n"/>
      <c r="AD91" s="303" t="n">
        <v>0.008388468809073721</v>
      </c>
      <c r="AE91" s="123">
        <f>AA91/D91</f>
        <v/>
      </c>
      <c r="AF91" s="294" t="n">
        <v>5.83507042253521</v>
      </c>
      <c r="AG91" s="304" t="n">
        <v>0.0489473062381853</v>
      </c>
      <c r="AH91" s="135" t="n">
        <v>0.722352941176471</v>
      </c>
      <c r="AI91" s="135" t="n">
        <v>0.518588235294118</v>
      </c>
      <c r="AJ91" s="294" t="n">
        <v>0.762878071833648</v>
      </c>
      <c r="AK91" s="136" t="n">
        <v>0.250827032136106</v>
      </c>
      <c r="AL91" s="136" t="n">
        <v>0.0396975425330813</v>
      </c>
      <c r="AM91" s="137" t="n">
        <v>0</v>
      </c>
    </row>
    <row customHeight="1" ht="13.2" outlineLevel="1" r="92" s="3">
      <c r="A92" s="117" t="n">
        <v>43433</v>
      </c>
      <c r="B92" s="267" t="inlineStr">
        <is>
          <t>iOS</t>
        </is>
      </c>
      <c r="C92" s="268" t="n">
        <v>2543</v>
      </c>
      <c r="D92" s="268" t="n">
        <v>9066</v>
      </c>
      <c r="E92" s="269" t="n">
        <v>3.56508061344868</v>
      </c>
      <c r="F92" s="270" t="n">
        <v>0.569652522832561</v>
      </c>
      <c r="G92" s="292" t="n">
        <v>18.29</v>
      </c>
      <c r="H92" s="292" t="n">
        <v>26.56</v>
      </c>
      <c r="I92" s="142" t="n">
        <v>0.433</v>
      </c>
      <c r="J92" s="142" t="n">
        <v>0.22</v>
      </c>
      <c r="K92" s="142" t="n">
        <v>0.105</v>
      </c>
      <c r="L92" s="270" t="n">
        <v>8.53662033973086</v>
      </c>
      <c r="M92" s="272" t="n">
        <v>7.71906022501655</v>
      </c>
      <c r="N92" s="270" t="n">
        <v>12.6823124320406</v>
      </c>
      <c r="O92" s="273">
        <f>M92/N92</f>
        <v/>
      </c>
      <c r="P92" s="270" t="n">
        <v>1.79884015947807</v>
      </c>
      <c r="Q92" s="270" t="n">
        <v>1.84577745559986</v>
      </c>
      <c r="R92" s="270" t="n">
        <v>1.18503080826386</v>
      </c>
      <c r="S92" s="270" t="n">
        <v>4.00235592606017</v>
      </c>
      <c r="T92" s="270" t="n">
        <v>1.08916274012323</v>
      </c>
      <c r="U92" s="270" t="n">
        <v>0.557448350851758</v>
      </c>
      <c r="V92" s="270" t="n">
        <v>1.51776005799203</v>
      </c>
      <c r="W92" s="270" t="n">
        <v>0.68593693367162</v>
      </c>
      <c r="X92" s="274" t="n">
        <v>0.0104787116699757</v>
      </c>
      <c r="Y92" s="269">
        <f>X92+M92</f>
        <v/>
      </c>
      <c r="Z92" s="275" t="n">
        <v>82</v>
      </c>
      <c r="AA92" s="275" t="n">
        <v>58</v>
      </c>
      <c r="AB92" s="270" t="n">
        <v>472.18</v>
      </c>
      <c r="AC92" s="290" t="n"/>
      <c r="AD92" s="276" t="n">
        <v>0.00904478270461063</v>
      </c>
      <c r="AE92" s="141">
        <f>AA92/D92</f>
        <v/>
      </c>
      <c r="AF92" s="270" t="n">
        <v>5.75829268292683</v>
      </c>
      <c r="AG92" s="277" t="n">
        <v>0.0520825060666225</v>
      </c>
      <c r="AH92" s="131" t="n">
        <v>0.679119150609516</v>
      </c>
      <c r="AI92" s="131" t="n">
        <v>0.480141565080613</v>
      </c>
      <c r="AJ92" s="270" t="n">
        <v>0.724685638649901</v>
      </c>
      <c r="AK92" s="130" t="n">
        <v>0.250716964482683</v>
      </c>
      <c r="AL92" s="130" t="n">
        <v>0.0391572909772777</v>
      </c>
      <c r="AM92" s="133" t="n">
        <v>0</v>
      </c>
    </row>
    <row customHeight="1" ht="13.2" outlineLevel="1" r="93" s="3">
      <c r="A93" s="117" t="n">
        <v>43434</v>
      </c>
      <c r="B93" s="267" t="inlineStr">
        <is>
          <t>iOS</t>
        </is>
      </c>
      <c r="C93" s="268" t="n">
        <v>3145</v>
      </c>
      <c r="D93" s="268" t="n">
        <v>9766</v>
      </c>
      <c r="E93" s="269" t="n">
        <v>3.10524642289348</v>
      </c>
      <c r="F93" s="270" t="n">
        <v>0.0776827974605775</v>
      </c>
      <c r="G93" s="292" t="n">
        <v>18.37</v>
      </c>
      <c r="H93" s="292" t="n">
        <v>24.8</v>
      </c>
      <c r="I93" s="142" t="n">
        <v>0.398</v>
      </c>
      <c r="J93" s="142" t="n">
        <v>0.193</v>
      </c>
      <c r="K93" s="142" t="n">
        <v>0.092</v>
      </c>
      <c r="L93" s="270" t="n">
        <v>6.90968666803195</v>
      </c>
      <c r="M93" s="272" t="n">
        <v>7.01884087651034</v>
      </c>
      <c r="N93" s="270" t="n">
        <v>11.7292950034223</v>
      </c>
      <c r="O93" s="273">
        <f>M93/N93</f>
        <v/>
      </c>
      <c r="P93" s="270" t="n">
        <v>1.77310061601643</v>
      </c>
      <c r="Q93" s="270" t="n">
        <v>1.80578370978782</v>
      </c>
      <c r="R93" s="270" t="n">
        <v>1.04243668720055</v>
      </c>
      <c r="S93" s="270" t="n">
        <v>3.48203285420945</v>
      </c>
      <c r="T93" s="270" t="n">
        <v>0.988021902806297</v>
      </c>
      <c r="U93" s="270" t="n">
        <v>0.564852840520192</v>
      </c>
      <c r="V93" s="270" t="n">
        <v>1.4356605065024</v>
      </c>
      <c r="W93" s="270" t="n">
        <v>0.637405886379192</v>
      </c>
      <c r="X93" s="274" t="n">
        <v>0.0126971124308827</v>
      </c>
      <c r="Y93" s="269">
        <f>X93+M93</f>
        <v/>
      </c>
      <c r="Z93" s="275" t="n">
        <v>58</v>
      </c>
      <c r="AA93" s="275" t="n">
        <v>48</v>
      </c>
      <c r="AB93" s="270" t="n">
        <v>328.42</v>
      </c>
      <c r="AC93" s="290" t="n"/>
      <c r="AD93" s="276" t="n">
        <v>0.00593897194347737</v>
      </c>
      <c r="AE93" s="141">
        <f>AA93/D93</f>
        <v/>
      </c>
      <c r="AF93" s="270" t="n">
        <v>5.66241379310345</v>
      </c>
      <c r="AG93" s="277" t="n">
        <v>0.0336289166496007</v>
      </c>
      <c r="AH93" s="131" t="n">
        <v>0.6728139904610489</v>
      </c>
      <c r="AI93" s="131" t="n">
        <v>0.446740858505564</v>
      </c>
      <c r="AJ93" s="270" t="n">
        <v>0.64181855416752</v>
      </c>
      <c r="AK93" s="130" t="n">
        <v>0.229981568707762</v>
      </c>
      <c r="AL93" s="130" t="n">
        <v>0.0345074749129633</v>
      </c>
      <c r="AM93" s="133" t="n">
        <v>0</v>
      </c>
    </row>
    <row customHeight="1" ht="13.2" r="94" s="3">
      <c r="A94" s="117" t="n">
        <v>43435</v>
      </c>
      <c r="B94" s="289" t="inlineStr">
        <is>
          <t>iOS</t>
        </is>
      </c>
      <c r="C94" s="268" t="n">
        <v>3520</v>
      </c>
      <c r="D94" s="268" t="n">
        <v>10498</v>
      </c>
      <c r="E94" s="269" t="n">
        <v>2.98238636363636</v>
      </c>
      <c r="F94" s="270" t="n">
        <v>0.137072909125548</v>
      </c>
      <c r="G94" s="292" t="n">
        <v>15.48</v>
      </c>
      <c r="H94" s="292" t="n">
        <v>22.89</v>
      </c>
      <c r="I94" s="142" t="n">
        <v>0.391</v>
      </c>
      <c r="J94" s="142" t="n">
        <v>0.18</v>
      </c>
      <c r="K94" s="142" t="n">
        <v>0.096</v>
      </c>
      <c r="L94" s="270" t="n">
        <v>10.064488473995</v>
      </c>
      <c r="M94" s="272" t="n">
        <v>9.593636883215851</v>
      </c>
      <c r="N94" s="270" t="n">
        <v>15.4659090909091</v>
      </c>
      <c r="O94" s="273">
        <f>M94/N94</f>
        <v/>
      </c>
      <c r="P94" s="270" t="n">
        <v>2.07785626535627</v>
      </c>
      <c r="Q94" s="270" t="n">
        <v>2.15601965601966</v>
      </c>
      <c r="R94" s="270" t="n">
        <v>1.19840294840295</v>
      </c>
      <c r="S94" s="270" t="n">
        <v>5.24508599508599</v>
      </c>
      <c r="T94" s="270" t="n">
        <v>1.20362407862408</v>
      </c>
      <c r="U94" s="270" t="n">
        <v>0.499078624078624</v>
      </c>
      <c r="V94" s="270" t="n">
        <v>2.19394963144963</v>
      </c>
      <c r="W94" s="270" t="n">
        <v>0.891891891891892</v>
      </c>
      <c r="X94" s="274" t="n">
        <v>0.0138121546961326</v>
      </c>
      <c r="Y94" s="269">
        <f>X94+M94</f>
        <v/>
      </c>
      <c r="Z94" s="275" t="n">
        <v>106</v>
      </c>
      <c r="AA94" s="275" t="n">
        <v>68</v>
      </c>
      <c r="AB94" s="270" t="n">
        <v>622.9400000000001</v>
      </c>
      <c r="AC94" s="290" t="n"/>
      <c r="AD94" s="276" t="n">
        <v>0.0100971613640693</v>
      </c>
      <c r="AE94" s="141">
        <f>AA94/D94</f>
        <v/>
      </c>
      <c r="AF94" s="270" t="n">
        <v>5.87679245283019</v>
      </c>
      <c r="AG94" s="277" t="n">
        <v>0.0593389216993713</v>
      </c>
      <c r="AH94" s="131" t="n">
        <v>0.693181818181818</v>
      </c>
      <c r="AI94" s="131" t="n">
        <v>0.460227272727273</v>
      </c>
      <c r="AJ94" s="270" t="n">
        <v>0.5606782244237</v>
      </c>
      <c r="AK94" s="130" t="n">
        <v>0.204229377024195</v>
      </c>
      <c r="AL94" s="130" t="n">
        <v>0.0269575157172795</v>
      </c>
      <c r="AM94" s="133" t="n">
        <v>0.395503905505811</v>
      </c>
    </row>
    <row customHeight="1" ht="13.2" outlineLevel="1" r="95" s="3">
      <c r="A95" s="117" t="n">
        <v>43436</v>
      </c>
      <c r="B95" s="289" t="inlineStr">
        <is>
          <t>iOS</t>
        </is>
      </c>
      <c r="C95" s="268" t="n">
        <v>4117</v>
      </c>
      <c r="D95" s="268" t="n">
        <v>11445</v>
      </c>
      <c r="E95" s="269" t="n">
        <v>2.77993684721885</v>
      </c>
      <c r="F95" s="270" t="n">
        <v>0.631087478899083</v>
      </c>
      <c r="G95" s="292" t="n">
        <v>14.57</v>
      </c>
      <c r="H95" s="292" t="n">
        <v>20.66</v>
      </c>
      <c r="I95" s="142" t="n">
        <v>0.375</v>
      </c>
      <c r="J95" s="142" t="n">
        <v>0.176</v>
      </c>
      <c r="K95" s="142" t="n">
        <v>0.094</v>
      </c>
      <c r="L95" s="270" t="n">
        <v>9.29183049366536</v>
      </c>
      <c r="M95" s="272" t="n">
        <v>8.883529925731761</v>
      </c>
      <c r="N95" s="270" t="n">
        <v>14.6480334245786</v>
      </c>
      <c r="O95" s="273">
        <f>M95/N95</f>
        <v/>
      </c>
      <c r="P95" s="270" t="n">
        <v>2.01426307448494</v>
      </c>
      <c r="Q95" s="270" t="n">
        <v>2.2462181241896</v>
      </c>
      <c r="R95" s="270" t="n">
        <v>1.30528742256159</v>
      </c>
      <c r="S95" s="270" t="n">
        <v>4.95202420400519</v>
      </c>
      <c r="T95" s="270" t="n">
        <v>1.15012246074053</v>
      </c>
      <c r="U95" s="270" t="n">
        <v>0.516928396484656</v>
      </c>
      <c r="V95" s="270" t="n">
        <v>1.7455698026221</v>
      </c>
      <c r="W95" s="270" t="n">
        <v>0.717619939489987</v>
      </c>
      <c r="X95" s="274" t="n">
        <v>0.0158147662734819</v>
      </c>
      <c r="Y95" s="269">
        <f>X95+M95</f>
        <v/>
      </c>
      <c r="Z95" s="275" t="n">
        <v>119</v>
      </c>
      <c r="AA95" s="275" t="n">
        <v>76</v>
      </c>
      <c r="AB95" s="270" t="n">
        <v>1062.81</v>
      </c>
      <c r="AC95" s="290" t="n"/>
      <c r="AD95" s="276" t="n">
        <v>0.0103975535168196</v>
      </c>
      <c r="AE95" s="141">
        <f>AA95/D95</f>
        <v/>
      </c>
      <c r="AF95" s="270" t="n">
        <v>8.931176470588239</v>
      </c>
      <c r="AG95" s="277" t="n">
        <v>0.0928623853211009</v>
      </c>
      <c r="AH95" s="131" t="n">
        <v>0.650959436482876</v>
      </c>
      <c r="AI95" s="131" t="n">
        <v>0.410978868107846</v>
      </c>
      <c r="AJ95" s="270" t="n">
        <v>0.547487986020096</v>
      </c>
      <c r="AK95" s="130" t="n">
        <v>0.191437308868502</v>
      </c>
      <c r="AL95" s="130" t="n">
        <v>0.0228920926168633</v>
      </c>
      <c r="AM95" s="133" t="n">
        <v>0.33822629969419</v>
      </c>
    </row>
    <row customHeight="1" ht="13.2" outlineLevel="1" r="96" s="3">
      <c r="A96" s="117" t="n">
        <v>43437</v>
      </c>
      <c r="B96" s="289" t="inlineStr">
        <is>
          <t>iOS</t>
        </is>
      </c>
      <c r="C96" s="268" t="n">
        <v>5500</v>
      </c>
      <c r="D96" s="268" t="n">
        <v>13280</v>
      </c>
      <c r="E96" s="269" t="n">
        <v>2.41454545454545</v>
      </c>
      <c r="F96" s="270" t="n">
        <v>0.548658044728916</v>
      </c>
      <c r="G96" s="292" t="n">
        <v>16.07</v>
      </c>
      <c r="H96" s="292" t="n">
        <v>23.84</v>
      </c>
      <c r="I96" s="142" t="n">
        <v>0.374</v>
      </c>
      <c r="J96" s="142" t="n">
        <v>0.191</v>
      </c>
      <c r="K96" s="142" t="n">
        <v>0.101</v>
      </c>
      <c r="L96" s="270" t="n">
        <v>9.513177710843371</v>
      </c>
      <c r="M96" s="272" t="n">
        <v>8.189909638554219</v>
      </c>
      <c r="N96" s="270" t="n">
        <v>13.6824757831174</v>
      </c>
      <c r="O96" s="273">
        <f>M96/N96</f>
        <v/>
      </c>
      <c r="P96" s="270" t="n">
        <v>2.01006415901371</v>
      </c>
      <c r="Q96" s="270" t="n">
        <v>2.11183796703988</v>
      </c>
      <c r="R96" s="270" t="n">
        <v>1.18178387218518</v>
      </c>
      <c r="S96" s="270" t="n">
        <v>4.32444332620455</v>
      </c>
      <c r="T96" s="270" t="n">
        <v>1.12290854195496</v>
      </c>
      <c r="U96" s="270" t="n">
        <v>0.556170587495282</v>
      </c>
      <c r="V96" s="270" t="n">
        <v>1.67140520820229</v>
      </c>
      <c r="W96" s="270" t="n">
        <v>0.703862121021512</v>
      </c>
      <c r="X96" s="274" t="n">
        <v>0.0151355421686747</v>
      </c>
      <c r="Y96" s="269">
        <f>X96+M96</f>
        <v/>
      </c>
      <c r="Z96" s="275" t="n">
        <v>117</v>
      </c>
      <c r="AA96" s="275" t="n">
        <v>81</v>
      </c>
      <c r="AB96" s="270" t="n">
        <v>700.83</v>
      </c>
      <c r="AC96" s="290" t="n"/>
      <c r="AD96" s="276" t="n">
        <v>0.00881024096385542</v>
      </c>
      <c r="AE96" s="141">
        <f>AA96/D96</f>
        <v/>
      </c>
      <c r="AF96" s="270" t="n">
        <v>5.99</v>
      </c>
      <c r="AG96" s="277" t="n">
        <v>0.052773343373494</v>
      </c>
      <c r="AH96" s="131" t="n">
        <v>0.612909090909091</v>
      </c>
      <c r="AI96" s="131" t="n">
        <v>0.38</v>
      </c>
      <c r="AJ96" s="270" t="n">
        <v>0.560617469879518</v>
      </c>
      <c r="AK96" s="130" t="n">
        <v>0.180647590361446</v>
      </c>
      <c r="AL96" s="130" t="n">
        <v>0.0237951807228916</v>
      </c>
      <c r="AM96" s="133" t="n">
        <v>0.305496987951807</v>
      </c>
      <c r="AN96" s="95" t="n"/>
    </row>
    <row customHeight="1" ht="13.2" outlineLevel="1" r="97" s="3">
      <c r="A97" s="117" t="n">
        <v>43438</v>
      </c>
      <c r="B97" s="289" t="inlineStr">
        <is>
          <t>iOS</t>
        </is>
      </c>
      <c r="C97" s="268" t="n">
        <v>3977</v>
      </c>
      <c r="D97" s="268" t="n">
        <v>12470</v>
      </c>
      <c r="E97" s="269" t="n">
        <v>3.13552929343726</v>
      </c>
      <c r="F97" s="270" t="n">
        <v>0.59231361531676</v>
      </c>
      <c r="G97" s="292" t="n">
        <v>17.73</v>
      </c>
      <c r="H97" s="292" t="n">
        <v>24.24</v>
      </c>
      <c r="I97" s="142" t="n">
        <v>0.403</v>
      </c>
      <c r="J97" s="142" t="n">
        <v>0.198</v>
      </c>
      <c r="K97" s="142" t="n">
        <v>0.109</v>
      </c>
      <c r="L97" s="270" t="n">
        <v>9.404891740176421</v>
      </c>
      <c r="M97" s="272" t="n">
        <v>8.10914194065758</v>
      </c>
      <c r="N97" s="270" t="n">
        <v>13.1942849686848</v>
      </c>
      <c r="O97" s="273">
        <f>M97/N97</f>
        <v/>
      </c>
      <c r="P97" s="270" t="n">
        <v>1.86273486430063</v>
      </c>
      <c r="Q97" s="270" t="n">
        <v>2.03562108559499</v>
      </c>
      <c r="R97" s="270" t="n">
        <v>1.18867432150313</v>
      </c>
      <c r="S97" s="270" t="n">
        <v>4.16114300626305</v>
      </c>
      <c r="T97" s="270" t="n">
        <v>1.07633089770355</v>
      </c>
      <c r="U97" s="270" t="n">
        <v>0.565762004175365</v>
      </c>
      <c r="V97" s="270" t="n">
        <v>1.60882045929019</v>
      </c>
      <c r="W97" s="270" t="n">
        <v>0.695198329853862</v>
      </c>
      <c r="X97" s="274" t="n">
        <v>0.0270248596631917</v>
      </c>
      <c r="Y97" s="269">
        <f>X97+M97</f>
        <v/>
      </c>
      <c r="Z97" s="275" t="n">
        <v>111</v>
      </c>
      <c r="AA97" s="275" t="n">
        <v>80</v>
      </c>
      <c r="AB97" s="270" t="n">
        <v>696.89</v>
      </c>
      <c r="AC97" s="290" t="n"/>
      <c r="AD97" s="276" t="n">
        <v>0.008901363271852449</v>
      </c>
      <c r="AE97" s="141">
        <f>AA97/D97</f>
        <v/>
      </c>
      <c r="AF97" s="270" t="n">
        <v>6.27828828828829</v>
      </c>
      <c r="AG97" s="277" t="n">
        <v>0.0558853247794707</v>
      </c>
      <c r="AH97" s="131" t="n">
        <v>0.6487301986421929</v>
      </c>
      <c r="AI97" s="131" t="n">
        <v>0.494091023384461</v>
      </c>
      <c r="AJ97" s="270" t="n">
        <v>0.629109863672815</v>
      </c>
      <c r="AK97" s="130" t="n">
        <v>0.211708099438653</v>
      </c>
      <c r="AL97" s="130" t="n">
        <v>0.0283079390537289</v>
      </c>
      <c r="AM97" s="133" t="n">
        <v>0.25364875701684</v>
      </c>
      <c r="AN97" s="105" t="n"/>
    </row>
    <row customFormat="1" customHeight="1" ht="13.2" outlineLevel="1" r="98" s="294">
      <c r="A98" s="121" t="n">
        <v>43439</v>
      </c>
      <c r="B98" s="295" t="inlineStr">
        <is>
          <t>iOS</t>
        </is>
      </c>
      <c r="C98" s="296" t="n">
        <v>3419</v>
      </c>
      <c r="D98" s="296" t="n">
        <v>11928</v>
      </c>
      <c r="E98" s="297" t="n">
        <v>3.48873939748464</v>
      </c>
      <c r="F98" s="294" t="n">
        <v>0.520418844818913</v>
      </c>
      <c r="G98" s="298" t="n">
        <v>17.58</v>
      </c>
      <c r="H98" s="298" t="n">
        <v>26.21</v>
      </c>
      <c r="I98" s="124" t="n">
        <v>0.415</v>
      </c>
      <c r="J98" s="124" t="n">
        <v>0.198</v>
      </c>
      <c r="K98" s="124" t="n">
        <v>0.107</v>
      </c>
      <c r="L98" s="294" t="n">
        <v>8.821680080482899</v>
      </c>
      <c r="M98" s="299" t="n">
        <v>7.4021629778672</v>
      </c>
      <c r="N98" s="294" t="n">
        <v>12.141501650165</v>
      </c>
      <c r="O98" s="300">
        <f>M98/N98</f>
        <v/>
      </c>
      <c r="P98" s="294" t="n">
        <v>1.77255225522552</v>
      </c>
      <c r="Q98" s="294" t="n">
        <v>1.88971397139714</v>
      </c>
      <c r="R98" s="294" t="n">
        <v>1.08140814081408</v>
      </c>
      <c r="S98" s="294" t="n">
        <v>3.64617711771177</v>
      </c>
      <c r="T98" s="294" t="n">
        <v>1.004400440044</v>
      </c>
      <c r="U98" s="294" t="n">
        <v>0.59020902090209</v>
      </c>
      <c r="V98" s="294" t="n">
        <v>1.47029702970297</v>
      </c>
      <c r="W98" s="294" t="n">
        <v>0.686743674367437</v>
      </c>
      <c r="X98" s="301" t="n">
        <v>0.0279175050301811</v>
      </c>
      <c r="Y98" s="297">
        <f>X98+M98</f>
        <v/>
      </c>
      <c r="Z98" s="293" t="n">
        <v>81</v>
      </c>
      <c r="AA98" s="293" t="n">
        <v>64</v>
      </c>
      <c r="AB98" s="294" t="n">
        <v>481.19</v>
      </c>
      <c r="AC98" s="302" t="n"/>
      <c r="AD98" s="303" t="n">
        <v>0.00679074446680081</v>
      </c>
      <c r="AE98" s="123" t="n">
        <v>0.00536552649228706</v>
      </c>
      <c r="AF98" s="294" t="n">
        <v>5.94061728395062</v>
      </c>
      <c r="AG98" s="304" t="n">
        <v>0.0403412139503689</v>
      </c>
      <c r="AH98" s="135" t="n">
        <v>0.691722725943258</v>
      </c>
      <c r="AI98" s="135" t="n">
        <v>0.50394852295993</v>
      </c>
      <c r="AJ98" s="294" t="n">
        <v>0.706237424547284</v>
      </c>
      <c r="AK98" s="136" t="n">
        <v>0.242790073775989</v>
      </c>
      <c r="AL98" s="136" t="n">
        <v>0.0313547954393025</v>
      </c>
      <c r="AM98" s="137" t="n">
        <v>0</v>
      </c>
      <c r="AN98" s="138" t="n"/>
    </row>
    <row customHeight="1" ht="13.2" outlineLevel="1" r="99" s="3">
      <c r="A99" s="117" t="n">
        <v>43440</v>
      </c>
      <c r="B99" s="267" t="inlineStr">
        <is>
          <t>iOS</t>
        </is>
      </c>
      <c r="C99" s="268" t="n">
        <v>3199</v>
      </c>
      <c r="D99" s="268" t="n">
        <v>11669</v>
      </c>
      <c r="E99" s="269" t="n">
        <v>3.64770240700219</v>
      </c>
      <c r="F99" s="270" t="n">
        <v>0.552179636472705</v>
      </c>
      <c r="G99" s="292" t="n">
        <v>17.75</v>
      </c>
      <c r="H99" s="292" t="n">
        <v>27.2</v>
      </c>
      <c r="I99" s="142" t="n">
        <v>0.393</v>
      </c>
      <c r="J99" s="142" t="n">
        <v>0.198</v>
      </c>
      <c r="K99" s="142" t="n">
        <v>0.098</v>
      </c>
      <c r="L99" s="270" t="n">
        <v>8.788499442968551</v>
      </c>
      <c r="M99" s="272" t="n">
        <v>7.44682492073014</v>
      </c>
      <c r="N99" s="270" t="n">
        <v>12.1670400448054</v>
      </c>
      <c r="O99" s="273">
        <f>M99/N99</f>
        <v/>
      </c>
      <c r="P99" s="270" t="n">
        <v>1.79067488098572</v>
      </c>
      <c r="Q99" s="270" t="n">
        <v>1.90702884346122</v>
      </c>
      <c r="R99" s="270" t="n">
        <v>1.09871184542145</v>
      </c>
      <c r="S99" s="270" t="n">
        <v>3.66914029683562</v>
      </c>
      <c r="T99" s="270" t="n">
        <v>1.01344161299356</v>
      </c>
      <c r="U99" s="270" t="n">
        <v>0.5715485858303</v>
      </c>
      <c r="V99" s="270" t="n">
        <v>1.44343321198544</v>
      </c>
      <c r="W99" s="270" t="n">
        <v>0.673060767292075</v>
      </c>
      <c r="X99" s="274" t="n">
        <v>0.0163681549404405</v>
      </c>
      <c r="Y99" s="269">
        <f>X99+M99</f>
        <v/>
      </c>
      <c r="Z99" s="275" t="n">
        <v>84</v>
      </c>
      <c r="AA99" s="275" t="n">
        <v>66</v>
      </c>
      <c r="AB99" s="270" t="n">
        <v>582.16</v>
      </c>
      <c r="AC99" s="290" t="n"/>
      <c r="AD99" s="276" t="n">
        <v>0.00719856028794241</v>
      </c>
      <c r="AE99" s="141" t="n">
        <v>0.00565601165481189</v>
      </c>
      <c r="AF99" s="270" t="n">
        <v>6.93047619047619</v>
      </c>
      <c r="AG99" s="277" t="n">
        <v>0.0498894506812923</v>
      </c>
      <c r="AH99" s="131" t="n">
        <v>0.667396061269147</v>
      </c>
      <c r="AI99" s="131" t="n">
        <v>0.495779931228509</v>
      </c>
      <c r="AJ99" s="270" t="n">
        <v>0.700831262318965</v>
      </c>
      <c r="AK99" s="130" t="n">
        <v>0.244322564058617</v>
      </c>
      <c r="AL99" s="130" t="n">
        <v>0.0311937612477504</v>
      </c>
      <c r="AM99" s="133" t="n">
        <v>0</v>
      </c>
      <c r="AN99" s="105" t="n"/>
    </row>
    <row customHeight="1" ht="13.2" outlineLevel="1" r="100" s="3">
      <c r="A100" s="117" t="n">
        <v>43441</v>
      </c>
      <c r="B100" s="267" t="inlineStr">
        <is>
          <t>iOS</t>
        </is>
      </c>
      <c r="C100" s="268" t="n">
        <v>3016</v>
      </c>
      <c r="D100" s="268" t="n">
        <v>11312</v>
      </c>
      <c r="E100" s="269" t="n">
        <v>3.75066312997347</v>
      </c>
      <c r="F100" s="270" t="n">
        <v>0.528185823373409</v>
      </c>
      <c r="G100" s="292" t="n">
        <v>17.35</v>
      </c>
      <c r="H100" s="292" t="n">
        <v>23.81</v>
      </c>
      <c r="I100" s="142" t="n">
        <v>0.361</v>
      </c>
      <c r="J100" s="142" t="n">
        <v>0.175</v>
      </c>
      <c r="K100" s="142" t="n">
        <v>0.08400000000000001</v>
      </c>
      <c r="L100" s="270" t="n">
        <v>8.317185289957569</v>
      </c>
      <c r="M100" s="272" t="n">
        <v>7.08795968882603</v>
      </c>
      <c r="N100" s="270" t="n">
        <v>11.7392386530015</v>
      </c>
      <c r="O100" s="273">
        <f>M100/N100</f>
        <v/>
      </c>
      <c r="P100" s="270" t="n">
        <v>1.73308931185944</v>
      </c>
      <c r="Q100" s="270" t="n">
        <v>1.82635431918009</v>
      </c>
      <c r="R100" s="270" t="n">
        <v>1.03836017569546</v>
      </c>
      <c r="S100" s="270" t="n">
        <v>3.45622254758419</v>
      </c>
      <c r="T100" s="270" t="n">
        <v>0.993265007320644</v>
      </c>
      <c r="U100" s="270" t="n">
        <v>0.561200585651537</v>
      </c>
      <c r="V100" s="270" t="n">
        <v>1.48945827232797</v>
      </c>
      <c r="W100" s="270" t="n">
        <v>0.641288433382138</v>
      </c>
      <c r="X100" s="274" t="n">
        <v>0.0131718528995757</v>
      </c>
      <c r="Y100" s="269">
        <f>X100+M100</f>
        <v/>
      </c>
      <c r="Z100" s="275" t="n">
        <v>71</v>
      </c>
      <c r="AA100" s="275" t="n">
        <v>57</v>
      </c>
      <c r="AB100" s="270" t="n">
        <v>568.29</v>
      </c>
      <c r="AC100" s="290" t="n"/>
      <c r="AD100" s="276" t="n">
        <v>0.00627652050919378</v>
      </c>
      <c r="AE100" s="141" t="n">
        <v>0.00503889674681754</v>
      </c>
      <c r="AF100" s="270" t="n">
        <v>8.004084507042251</v>
      </c>
      <c r="AG100" s="277" t="n">
        <v>0.0502378005657709</v>
      </c>
      <c r="AH100" s="131" t="n">
        <v>0.595490716180371</v>
      </c>
      <c r="AI100" s="131" t="n">
        <v>0.449270557029178</v>
      </c>
      <c r="AJ100" s="270" t="n">
        <v>0.643652758132956</v>
      </c>
      <c r="AK100" s="130" t="n">
        <v>0.242574257425743</v>
      </c>
      <c r="AL100" s="130" t="n">
        <v>0.0316478076379067</v>
      </c>
      <c r="AM100" s="133" t="n">
        <v>0</v>
      </c>
      <c r="AN100" s="105" t="n"/>
    </row>
    <row customHeight="1" ht="13.2" outlineLevel="1" r="101" s="3">
      <c r="A101" s="117" t="n">
        <v>43442</v>
      </c>
      <c r="B101" s="289" t="inlineStr">
        <is>
          <t>iOS</t>
        </is>
      </c>
      <c r="C101" s="268" t="n">
        <v>4225</v>
      </c>
      <c r="D101" s="268" t="n">
        <v>12377</v>
      </c>
      <c r="E101" s="269" t="n">
        <v>2.9294674556213</v>
      </c>
      <c r="F101" s="270" t="n">
        <v>0.658638513371576</v>
      </c>
      <c r="G101" s="292" t="n">
        <v>17.59</v>
      </c>
      <c r="H101" s="292" t="n">
        <v>23.84</v>
      </c>
      <c r="I101" s="142" t="n">
        <v>0.293</v>
      </c>
      <c r="J101" s="142" t="n">
        <v>0.132</v>
      </c>
      <c r="K101" s="142" t="n">
        <v>0.07099999999999999</v>
      </c>
      <c r="L101" s="270" t="n">
        <v>8.86749616223641</v>
      </c>
      <c r="M101" s="272" t="n">
        <v>8.367051789609761</v>
      </c>
      <c r="N101" s="270" t="n">
        <v>14.3652378970731</v>
      </c>
      <c r="O101" s="273">
        <f>M101/N101</f>
        <v/>
      </c>
      <c r="P101" s="270" t="n">
        <v>2.03537245110279</v>
      </c>
      <c r="Q101" s="270" t="n">
        <v>2.1284505479262</v>
      </c>
      <c r="R101" s="270" t="n">
        <v>1.11790817034263</v>
      </c>
      <c r="S101" s="270" t="n">
        <v>4.96795672076571</v>
      </c>
      <c r="T101" s="270" t="n">
        <v>1.15688722430295</v>
      </c>
      <c r="U101" s="270" t="n">
        <v>0.458038562907477</v>
      </c>
      <c r="V101" s="270" t="n">
        <v>1.80191427382439</v>
      </c>
      <c r="W101" s="270" t="n">
        <v>0.698709945900957</v>
      </c>
      <c r="X101" s="274" t="n">
        <v>0.0206835258948049</v>
      </c>
      <c r="Y101" s="269">
        <f>X101+M101</f>
        <v/>
      </c>
      <c r="Z101" s="275" t="n">
        <v>119</v>
      </c>
      <c r="AA101" s="275" t="n">
        <v>82</v>
      </c>
      <c r="AB101" s="270" t="n">
        <v>954.8099999999999</v>
      </c>
      <c r="AC101" s="290" t="n"/>
      <c r="AD101" s="276" t="n">
        <v>0.009614607740163209</v>
      </c>
      <c r="AE101" s="141" t="n">
        <v>0.00662519188817969</v>
      </c>
      <c r="AF101" s="270" t="n">
        <v>8.02361344537815</v>
      </c>
      <c r="AG101" s="277" t="n">
        <v>0.0771438959360104</v>
      </c>
      <c r="AH101" s="131" t="n">
        <v>0.475502958579882</v>
      </c>
      <c r="AI101" s="131" t="n">
        <v>0.29585798816568</v>
      </c>
      <c r="AJ101" s="270" t="n">
        <v>0.462389916781126</v>
      </c>
      <c r="AK101" s="130" t="n">
        <v>0.190514664296679</v>
      </c>
      <c r="AL101" s="130" t="n">
        <v>0.0222186313323099</v>
      </c>
      <c r="AM101" s="133" t="n">
        <v>0.37060677062293</v>
      </c>
      <c r="AN101" s="105" t="n"/>
    </row>
    <row customHeight="1" ht="13.2" outlineLevel="1" r="102" s="3">
      <c r="A102" s="117" t="n">
        <v>43443</v>
      </c>
      <c r="B102" s="289" t="inlineStr">
        <is>
          <t>iOS</t>
        </is>
      </c>
      <c r="C102" s="268" t="n">
        <v>4649</v>
      </c>
      <c r="D102" s="268" t="n">
        <v>12991</v>
      </c>
      <c r="E102" s="269" t="n">
        <v>2.79436437943644</v>
      </c>
      <c r="F102" s="270" t="n">
        <v>0.627678553767993</v>
      </c>
      <c r="G102" s="292" t="n">
        <v>17.2</v>
      </c>
      <c r="H102" s="292" t="n">
        <v>24.93</v>
      </c>
      <c r="I102" s="142" t="n">
        <v>0.286</v>
      </c>
      <c r="J102" s="142" t="n">
        <v>0.139</v>
      </c>
      <c r="K102" s="142" t="n">
        <v>0.089</v>
      </c>
      <c r="L102" s="270" t="n">
        <v>8.42190747440536</v>
      </c>
      <c r="M102" s="272" t="n">
        <v>8.338696020321761</v>
      </c>
      <c r="N102" s="270" t="n">
        <v>14.5211796246649</v>
      </c>
      <c r="O102" s="273">
        <f>M102/N102</f>
        <v/>
      </c>
      <c r="P102" s="270" t="n">
        <v>2.01233243967828</v>
      </c>
      <c r="Q102" s="270" t="n">
        <v>2.2357908847185</v>
      </c>
      <c r="R102" s="270" t="n">
        <v>1.17506702412869</v>
      </c>
      <c r="S102" s="270" t="n">
        <v>5.01729222520107</v>
      </c>
      <c r="T102" s="270" t="n">
        <v>1.12882037533512</v>
      </c>
      <c r="U102" s="270" t="n">
        <v>0.485388739946381</v>
      </c>
      <c r="V102" s="270" t="n">
        <v>1.73847184986595</v>
      </c>
      <c r="W102" s="270" t="n">
        <v>0.7280160857908849</v>
      </c>
      <c r="X102" s="274" t="n">
        <v>0.0128550534985759</v>
      </c>
      <c r="Y102" s="269">
        <f>X102+M102</f>
        <v/>
      </c>
      <c r="Z102" s="275" t="n">
        <v>157</v>
      </c>
      <c r="AA102" s="275" t="n">
        <v>101</v>
      </c>
      <c r="AB102" s="270" t="n">
        <v>925.4299999999999</v>
      </c>
      <c r="AC102" s="290" t="n"/>
      <c r="AD102" s="276" t="n">
        <v>0.0120852898160265</v>
      </c>
      <c r="AE102" s="141" t="n">
        <v>0.00777461319374952</v>
      </c>
      <c r="AF102" s="270" t="n">
        <v>5.89445859872611</v>
      </c>
      <c r="AG102" s="277" t="n">
        <v>0.0712362404741744</v>
      </c>
      <c r="AH102" s="131" t="n">
        <v>0.468918046891805</v>
      </c>
      <c r="AI102" s="131" t="n">
        <v>0.304366530436653</v>
      </c>
      <c r="AJ102" s="270" t="n">
        <v>0.478331152336233</v>
      </c>
      <c r="AK102" s="130" t="n">
        <v>0.185667000230929</v>
      </c>
      <c r="AL102" s="130" t="n">
        <v>0.0240166268955431</v>
      </c>
      <c r="AM102" s="133" t="n">
        <v>0.313062889692864</v>
      </c>
      <c r="AN102" s="105" t="n"/>
    </row>
    <row customHeight="1" ht="13.2" outlineLevel="1" r="103" s="3">
      <c r="A103" s="117" t="n">
        <v>43444</v>
      </c>
      <c r="B103" s="289" t="inlineStr">
        <is>
          <t>iOS</t>
        </is>
      </c>
      <c r="C103" s="268" t="n">
        <v>4512</v>
      </c>
      <c r="D103" s="268" t="n">
        <v>13059</v>
      </c>
      <c r="E103" s="269" t="n">
        <v>2.89428191489362</v>
      </c>
      <c r="F103" s="270" t="n">
        <v>0.652450634045486</v>
      </c>
      <c r="G103" s="292" t="n">
        <v>18.73</v>
      </c>
      <c r="H103" s="292" t="n">
        <v>26.1</v>
      </c>
      <c r="I103" s="142" t="n">
        <v>0.28</v>
      </c>
      <c r="J103" s="142" t="n">
        <v>0.136</v>
      </c>
      <c r="K103" s="142" t="n">
        <v>0.09</v>
      </c>
      <c r="L103" s="270" t="n">
        <v>8.373765219388931</v>
      </c>
      <c r="M103" s="272" t="n">
        <v>8.25132092809557</v>
      </c>
      <c r="N103" s="270" t="n">
        <v>14.0781290828325</v>
      </c>
      <c r="O103" s="273">
        <f>M103/N103</f>
        <v/>
      </c>
      <c r="P103" s="270" t="n">
        <v>1.99425137183172</v>
      </c>
      <c r="Q103" s="270" t="n">
        <v>2.32283773190489</v>
      </c>
      <c r="R103" s="270" t="n">
        <v>1.18931277763261</v>
      </c>
      <c r="S103" s="270" t="n">
        <v>4.65678076822576</v>
      </c>
      <c r="T103" s="270" t="n">
        <v>1.1299973869872</v>
      </c>
      <c r="U103" s="270" t="n">
        <v>0.487457538541939</v>
      </c>
      <c r="V103" s="270" t="n">
        <v>1.60883198327672</v>
      </c>
      <c r="W103" s="270" t="n">
        <v>0.68865952443167</v>
      </c>
      <c r="X103" s="274" t="n">
        <v>0.0129412665594609</v>
      </c>
      <c r="Y103" s="269" t="n">
        <v>8.26426219465503</v>
      </c>
      <c r="Z103" s="275" t="n">
        <v>141</v>
      </c>
      <c r="AA103" s="275" t="n">
        <v>91</v>
      </c>
      <c r="AB103" s="270" t="n">
        <v>817.59</v>
      </c>
      <c r="AC103" s="290" t="n"/>
      <c r="AD103" s="276" t="n">
        <v>0.0107971513898461</v>
      </c>
      <c r="AE103" s="141" t="n">
        <v>0.00773412971896776</v>
      </c>
      <c r="AF103" s="270" t="n">
        <v>5.79851063829787</v>
      </c>
      <c r="AG103" s="277" t="n">
        <v>0.0626073971973352</v>
      </c>
      <c r="AH103" s="131" t="n">
        <v>0.434175531914894</v>
      </c>
      <c r="AI103" s="131" t="n">
        <v>0.309175531914894</v>
      </c>
      <c r="AJ103" s="270" t="n">
        <v>0.490772647216479</v>
      </c>
      <c r="AK103" s="130" t="n">
        <v>0.191209127804579</v>
      </c>
      <c r="AL103" s="130" t="n">
        <v>0.0243510222834827</v>
      </c>
      <c r="AM103" s="133" t="n">
        <v>0.292288842943564</v>
      </c>
      <c r="AN103" s="105" t="n"/>
    </row>
    <row customHeight="1" ht="13.2" outlineLevel="1" r="104" s="3">
      <c r="A104" s="117" t="n">
        <v>43445</v>
      </c>
      <c r="B104" s="289" t="inlineStr">
        <is>
          <t>iOS</t>
        </is>
      </c>
      <c r="C104" s="268" t="n">
        <v>4245</v>
      </c>
      <c r="D104" s="268" t="n">
        <v>12786</v>
      </c>
      <c r="E104" s="269" t="n">
        <v>3.01201413427562</v>
      </c>
      <c r="F104" s="270" t="n">
        <v>0.755333923510089</v>
      </c>
      <c r="G104" s="292" t="n">
        <v>21.46</v>
      </c>
      <c r="H104" s="292" t="n">
        <v>31.94</v>
      </c>
      <c r="I104" s="142" t="n">
        <v>0.294</v>
      </c>
      <c r="J104" s="142" t="n">
        <v>0.148</v>
      </c>
      <c r="K104" s="142" t="n">
        <v>0.08500000000000001</v>
      </c>
      <c r="L104" s="270" t="n">
        <v>8.7196934146723</v>
      </c>
      <c r="M104" s="272" t="n">
        <v>8.16416392929767</v>
      </c>
      <c r="N104" s="270" t="n">
        <v>14.194587979331</v>
      </c>
      <c r="O104" s="273">
        <f>M104/N104</f>
        <v/>
      </c>
      <c r="P104" s="270" t="n">
        <v>1.97810715257003</v>
      </c>
      <c r="Q104" s="270" t="n">
        <v>2.30391623606201</v>
      </c>
      <c r="R104" s="270" t="n">
        <v>1.19485994016862</v>
      </c>
      <c r="S104" s="270" t="n">
        <v>4.68452542833832</v>
      </c>
      <c r="T104" s="270" t="n">
        <v>1.09137884144683</v>
      </c>
      <c r="U104" s="270" t="n">
        <v>0.519037258634756</v>
      </c>
      <c r="V104" s="270" t="n">
        <v>1.65066630405222</v>
      </c>
      <c r="W104" s="270" t="n">
        <v>0.7720968180582</v>
      </c>
      <c r="X104" s="274" t="n">
        <v>0.00570936962302518</v>
      </c>
      <c r="Y104" s="269" t="n">
        <v>8.169873298920701</v>
      </c>
      <c r="Z104" s="275" t="n">
        <v>156</v>
      </c>
      <c r="AA104" s="275" t="n">
        <v>109</v>
      </c>
      <c r="AB104" s="270" t="n">
        <v>1010.44</v>
      </c>
      <c r="AC104" s="290" t="n"/>
      <c r="AD104" s="276" t="n">
        <v>0.012200844673862</v>
      </c>
      <c r="AE104" s="141" t="n">
        <v>0.008524949163147191</v>
      </c>
      <c r="AF104" s="270" t="n">
        <v>6.47717948717949</v>
      </c>
      <c r="AG104" s="277" t="n">
        <v>0.0790270608478023</v>
      </c>
      <c r="AH104" s="131" t="n">
        <v>0.43133097762073</v>
      </c>
      <c r="AI104" s="131" t="n">
        <v>0.303180212014134</v>
      </c>
      <c r="AJ104" s="270" t="n">
        <v>0.555685906460191</v>
      </c>
      <c r="AK104" s="130" t="n">
        <v>0.223134678554669</v>
      </c>
      <c r="AL104" s="130" t="n">
        <v>0.0321445330830596</v>
      </c>
      <c r="AM104" s="133" t="n">
        <v>0.225559205380885</v>
      </c>
      <c r="AN104" s="105" t="n"/>
    </row>
    <row customFormat="1" customHeight="1" ht="12.45" outlineLevel="1" r="105" s="294">
      <c r="A105" s="121" t="n">
        <v>43446</v>
      </c>
      <c r="B105" s="295" t="inlineStr">
        <is>
          <t>iOS</t>
        </is>
      </c>
      <c r="C105" s="296" t="n">
        <v>4003</v>
      </c>
      <c r="D105" s="296" t="n">
        <v>12465</v>
      </c>
      <c r="E105" s="297" t="n">
        <v>3.11391456407694</v>
      </c>
      <c r="F105" s="294" t="n">
        <v>0.761276708784597</v>
      </c>
      <c r="G105" s="298" t="n">
        <v>19.11</v>
      </c>
      <c r="H105" s="298" t="n">
        <v>25.99</v>
      </c>
      <c r="I105" s="124" t="n">
        <v>0.292</v>
      </c>
      <c r="J105" s="124" t="n">
        <v>0.149</v>
      </c>
      <c r="K105" s="124" t="n">
        <v>0.08500000000000001</v>
      </c>
      <c r="L105" s="294" t="n">
        <v>8.25070196550341</v>
      </c>
      <c r="M105" s="299" t="n">
        <v>7.44283995186522</v>
      </c>
      <c r="N105" s="294" t="n">
        <v>13.2271171941831</v>
      </c>
      <c r="O105" s="300">
        <f>M105/N105</f>
        <v/>
      </c>
      <c r="P105" s="294" t="n">
        <v>1.91745081266039</v>
      </c>
      <c r="Q105" s="294" t="n">
        <v>2.14599372683205</v>
      </c>
      <c r="R105" s="294" t="n">
        <v>1.09865982321072</v>
      </c>
      <c r="S105" s="294" t="n">
        <v>4.29854576561163</v>
      </c>
      <c r="T105" s="294" t="n">
        <v>1.0604505275164</v>
      </c>
      <c r="U105" s="294" t="n">
        <v>0.522668947818648</v>
      </c>
      <c r="V105" s="294" t="n">
        <v>1.50513259195894</v>
      </c>
      <c r="W105" s="294" t="n">
        <v>0.67821499857428</v>
      </c>
      <c r="X105" s="301" t="n">
        <v>0.0103489771359807</v>
      </c>
      <c r="Y105" s="297" t="n">
        <v>7.4531889290012</v>
      </c>
      <c r="Z105" s="293" t="n">
        <v>169</v>
      </c>
      <c r="AA105" s="293" t="n">
        <v>116</v>
      </c>
      <c r="AB105" s="294" t="n">
        <v>1164.31</v>
      </c>
      <c r="AC105" s="302" t="n"/>
      <c r="AD105" s="303" t="n">
        <v>0.0135579622944244</v>
      </c>
      <c r="AE105" s="123" t="n">
        <v>0.00930605695948656</v>
      </c>
      <c r="AF105" s="294" t="n">
        <v>6.88940828402367</v>
      </c>
      <c r="AG105" s="304" t="n">
        <v>0.09340633774568791</v>
      </c>
      <c r="AH105" s="135" t="n">
        <v>0.434673994504122</v>
      </c>
      <c r="AI105" s="135" t="n">
        <v>0.324506620034974</v>
      </c>
      <c r="AJ105" s="294" t="n">
        <v>0.613317288407541</v>
      </c>
      <c r="AK105" s="136" t="n">
        <v>0.252627356598476</v>
      </c>
      <c r="AL105" s="136" t="n">
        <v>0.0377858002406739</v>
      </c>
      <c r="AM105" s="137" t="n">
        <v>0</v>
      </c>
    </row>
    <row customHeight="1" ht="13.2" outlineLevel="1" r="106" s="3">
      <c r="A106" s="117" t="n">
        <v>43447</v>
      </c>
      <c r="B106" s="267" t="inlineStr">
        <is>
          <t>iOS</t>
        </is>
      </c>
      <c r="C106" s="268" t="n">
        <v>4009</v>
      </c>
      <c r="D106" s="268" t="n">
        <v>12405</v>
      </c>
      <c r="E106" s="269" t="n">
        <v>3.09428785233225</v>
      </c>
      <c r="F106" s="270" t="n">
        <v>0.702673205804111</v>
      </c>
      <c r="G106" s="292" t="n">
        <v>22.96</v>
      </c>
      <c r="H106" s="292" t="n">
        <v>33.23</v>
      </c>
      <c r="I106" s="142" t="n">
        <v>0.284</v>
      </c>
      <c r="J106" s="142" t="n">
        <v>0.143</v>
      </c>
      <c r="K106" s="142" t="n">
        <v>0.083</v>
      </c>
      <c r="L106" s="270" t="n">
        <v>8.15074566706973</v>
      </c>
      <c r="M106" s="272" t="n">
        <v>7.10673115679162</v>
      </c>
      <c r="N106" s="270" t="n">
        <v>12.7489515545915</v>
      </c>
      <c r="O106" s="273">
        <f>M106/N106</f>
        <v/>
      </c>
      <c r="P106" s="270" t="n">
        <v>1.88792480115691</v>
      </c>
      <c r="Q106" s="270" t="n">
        <v>2.12769342010123</v>
      </c>
      <c r="R106" s="270" t="n">
        <v>1.03383947939262</v>
      </c>
      <c r="S106" s="270" t="n">
        <v>4.02718727404194</v>
      </c>
      <c r="T106" s="270" t="n">
        <v>1.01475054229935</v>
      </c>
      <c r="U106" s="270" t="n">
        <v>0.525958062183659</v>
      </c>
      <c r="V106" s="270" t="n">
        <v>1.46565437454808</v>
      </c>
      <c r="W106" s="270" t="n">
        <v>0.665943600867679</v>
      </c>
      <c r="X106" s="274" t="n">
        <v>0.00515920999596937</v>
      </c>
      <c r="Y106" s="269" t="n">
        <v>7.11189036678759</v>
      </c>
      <c r="Z106" s="275" t="n">
        <v>165</v>
      </c>
      <c r="AA106" s="275" t="n">
        <v>111</v>
      </c>
      <c r="AB106" s="270" t="n">
        <v>884.35</v>
      </c>
      <c r="AC106" s="290" t="n"/>
      <c r="AD106" s="276" t="n">
        <v>0.0133010882708585</v>
      </c>
      <c r="AE106" s="141" t="n">
        <v>0.008948004836759371</v>
      </c>
      <c r="AF106" s="270" t="n">
        <v>5.35969696969697</v>
      </c>
      <c r="AG106" s="277" t="n">
        <v>0.07128980249899231</v>
      </c>
      <c r="AH106" s="131" t="n">
        <v>0.415564978797705</v>
      </c>
      <c r="AI106" s="131" t="n">
        <v>0.305313045647294</v>
      </c>
      <c r="AJ106" s="270" t="n">
        <v>0.592261185006046</v>
      </c>
      <c r="AK106" s="130" t="n">
        <v>0.262474808544942</v>
      </c>
      <c r="AL106" s="130" t="n">
        <v>0.0391777509068924</v>
      </c>
      <c r="AM106" s="133" t="n">
        <v>0</v>
      </c>
    </row>
    <row customHeight="1" ht="13.2" outlineLevel="1" r="107" s="3">
      <c r="A107" s="117" t="n">
        <v>43448</v>
      </c>
      <c r="B107" s="267" t="inlineStr">
        <is>
          <t>iOS</t>
        </is>
      </c>
      <c r="C107" s="268" t="n">
        <v>4536</v>
      </c>
      <c r="D107" s="268" t="n">
        <v>12977</v>
      </c>
      <c r="E107" s="269" t="n">
        <v>2.86089065255732</v>
      </c>
      <c r="F107" s="270" t="n">
        <v>0.663244065038144</v>
      </c>
      <c r="G107" s="292" t="n">
        <v>18.57</v>
      </c>
      <c r="H107" s="292" t="n">
        <v>25.95</v>
      </c>
      <c r="I107" s="142" t="n">
        <v>0.28</v>
      </c>
      <c r="J107" s="142" t="n">
        <v>0.151</v>
      </c>
      <c r="K107" s="142" t="n">
        <v>0.09</v>
      </c>
      <c r="L107" s="270" t="n">
        <v>8.18409493719658</v>
      </c>
      <c r="M107" s="272" t="n">
        <v>6.85797950219619</v>
      </c>
      <c r="N107" s="270" t="n">
        <v>12.6110245146663</v>
      </c>
      <c r="O107" s="273">
        <f>M107/N107</f>
        <v/>
      </c>
      <c r="P107" s="270" t="n">
        <v>1.88323650276321</v>
      </c>
      <c r="Q107" s="270" t="n">
        <v>2.07156015303953</v>
      </c>
      <c r="R107" s="270" t="n">
        <v>0.977894289358084</v>
      </c>
      <c r="S107" s="270" t="n">
        <v>3.93439138444098</v>
      </c>
      <c r="T107" s="270" t="n">
        <v>0.971517642057532</v>
      </c>
      <c r="U107" s="270" t="n">
        <v>0.517216947711492</v>
      </c>
      <c r="V107" s="270" t="n">
        <v>1.48377497520193</v>
      </c>
      <c r="W107" s="270" t="n">
        <v>0.771432620093524</v>
      </c>
      <c r="X107" s="274" t="n">
        <v>0.0129459813516221</v>
      </c>
      <c r="Y107" s="269" t="n">
        <v>6.87092548354782</v>
      </c>
      <c r="Z107" s="275" t="n">
        <v>167</v>
      </c>
      <c r="AA107" s="275" t="n">
        <v>108</v>
      </c>
      <c r="AB107" s="270" t="n">
        <v>1057.33</v>
      </c>
      <c r="AC107" s="290" t="n"/>
      <c r="AD107" s="276" t="n">
        <v>0.0128689219388148</v>
      </c>
      <c r="AE107" s="141" t="n">
        <v>0.00832241658318564</v>
      </c>
      <c r="AF107" s="270" t="n">
        <v>6.33131736526946</v>
      </c>
      <c r="AG107" s="277" t="n">
        <v>0.0814772289435154</v>
      </c>
      <c r="AH107" s="131" t="n">
        <v>0.410934744268078</v>
      </c>
      <c r="AI107" s="131" t="n">
        <v>0.274911816578483</v>
      </c>
      <c r="AJ107" s="270" t="n">
        <v>0.578639130769824</v>
      </c>
      <c r="AK107" s="130" t="n">
        <v>0.240579486784311</v>
      </c>
      <c r="AL107" s="130" t="n">
        <v>0.0362949834322262</v>
      </c>
      <c r="AM107" s="133" t="n">
        <v>0</v>
      </c>
    </row>
    <row customHeight="1" ht="13.2" outlineLevel="1" r="108" s="3">
      <c r="A108" s="117" t="n">
        <v>43449</v>
      </c>
      <c r="B108" s="289" t="inlineStr">
        <is>
          <t>iOS</t>
        </is>
      </c>
      <c r="C108" s="268" t="n">
        <v>5484</v>
      </c>
      <c r="D108" s="268" t="n">
        <v>14083</v>
      </c>
      <c r="E108" s="269" t="n">
        <v>2.56801604668125</v>
      </c>
      <c r="F108" s="270" t="n">
        <v>0.883121775473976</v>
      </c>
      <c r="G108" s="292" t="n">
        <v>18.27</v>
      </c>
      <c r="H108" s="292" t="n">
        <v>25.22</v>
      </c>
      <c r="I108" s="142" t="n">
        <v>0.281</v>
      </c>
      <c r="J108" s="142" t="n">
        <v>0.151</v>
      </c>
      <c r="K108" s="142" t="n">
        <v>0.08699999999999999</v>
      </c>
      <c r="L108" s="270" t="n">
        <v>9.59184832777107</v>
      </c>
      <c r="M108" s="272" t="n">
        <v>8.76631399559753</v>
      </c>
      <c r="N108" s="270" t="n">
        <v>16.2186022070415</v>
      </c>
      <c r="O108" s="273">
        <f>M108/N108</f>
        <v/>
      </c>
      <c r="P108" s="270" t="n">
        <v>2.22766684182869</v>
      </c>
      <c r="Q108" s="270" t="n">
        <v>2.5026274303731</v>
      </c>
      <c r="R108" s="270" t="n">
        <v>1.09064634787178</v>
      </c>
      <c r="S108" s="270" t="n">
        <v>5.94022595901209</v>
      </c>
      <c r="T108" s="270" t="n">
        <v>1.24566473988439</v>
      </c>
      <c r="U108" s="270" t="n">
        <v>0.44613767735155</v>
      </c>
      <c r="V108" s="270" t="n">
        <v>1.98699421965318</v>
      </c>
      <c r="W108" s="270" t="n">
        <v>0.778638991066737</v>
      </c>
      <c r="X108" s="274" t="n">
        <v>0.0157636867144784</v>
      </c>
      <c r="Y108" s="269" t="n">
        <v>8.782077682312011</v>
      </c>
      <c r="Z108" s="275" t="n">
        <v>235</v>
      </c>
      <c r="AA108" s="275" t="n">
        <v>153</v>
      </c>
      <c r="AB108" s="270" t="n">
        <v>1692.65</v>
      </c>
      <c r="AC108" s="290" t="n"/>
      <c r="AD108" s="276" t="n">
        <v>0.016686785486047</v>
      </c>
      <c r="AE108" s="141" t="n">
        <v>0.0108641624653838</v>
      </c>
      <c r="AF108" s="270" t="n">
        <v>7.20276595744681</v>
      </c>
      <c r="AG108" s="277" t="n">
        <v>0.120191010438117</v>
      </c>
      <c r="AH108" s="131" t="n">
        <v>0.389679066374909</v>
      </c>
      <c r="AI108" s="131" t="n">
        <v>0.263129102844639</v>
      </c>
      <c r="AJ108" s="270" t="n">
        <v>0.462330469360222</v>
      </c>
      <c r="AK108" s="130" t="n">
        <v>0.20109351700632</v>
      </c>
      <c r="AL108" s="130" t="n">
        <v>0.0276929631470567</v>
      </c>
      <c r="AM108" s="133" t="n">
        <v>0.314066605126749</v>
      </c>
    </row>
    <row customHeight="1" ht="13.2" outlineLevel="1" r="109" s="3">
      <c r="A109" s="117" t="n">
        <v>43450</v>
      </c>
      <c r="B109" s="289" t="inlineStr">
        <is>
          <t>iOS</t>
        </is>
      </c>
      <c r="C109" s="268" t="n">
        <v>6547</v>
      </c>
      <c r="D109" s="268" t="n">
        <v>15880</v>
      </c>
      <c r="E109" s="269" t="n">
        <v>2.42553841454101</v>
      </c>
      <c r="F109" s="270" t="n">
        <v>0.90990243324937</v>
      </c>
      <c r="G109" s="292" t="n">
        <v>18.26</v>
      </c>
      <c r="H109" s="292" t="n">
        <v>25.77</v>
      </c>
      <c r="I109" s="142" t="n">
        <v>0.265</v>
      </c>
      <c r="J109" s="142" t="n">
        <v>0.136</v>
      </c>
      <c r="K109" s="142" t="n">
        <v>0.08500000000000001</v>
      </c>
      <c r="L109" s="270" t="n">
        <v>9.15818639798489</v>
      </c>
      <c r="M109" s="272" t="n">
        <v>8.58419395465995</v>
      </c>
      <c r="N109" s="270" t="n">
        <v>16.1992869875223</v>
      </c>
      <c r="O109" s="273">
        <f>M109/N109</f>
        <v/>
      </c>
      <c r="P109" s="270" t="n">
        <v>2.27843137254902</v>
      </c>
      <c r="Q109" s="270" t="n">
        <v>2.73273915626857</v>
      </c>
      <c r="R109" s="270" t="n">
        <v>1.14236482471777</v>
      </c>
      <c r="S109" s="270" t="n">
        <v>5.66322043969103</v>
      </c>
      <c r="T109" s="270" t="n">
        <v>1.20439691027926</v>
      </c>
      <c r="U109" s="270" t="n">
        <v>0.469994058229352</v>
      </c>
      <c r="V109" s="270" t="n">
        <v>1.89637551990493</v>
      </c>
      <c r="W109" s="270" t="n">
        <v>0.8117647058823531</v>
      </c>
      <c r="X109" s="274" t="n">
        <v>0.0103904282115869</v>
      </c>
      <c r="Y109" s="269" t="n">
        <v>8.59458438287154</v>
      </c>
      <c r="Z109" s="275" t="n">
        <v>258</v>
      </c>
      <c r="AA109" s="275" t="n">
        <v>168</v>
      </c>
      <c r="AB109" s="270" t="n">
        <v>2282.42</v>
      </c>
      <c r="AC109" s="290" t="n"/>
      <c r="AD109" s="276" t="n">
        <v>0.0162468513853904</v>
      </c>
      <c r="AE109" s="141" t="n">
        <v>0.0105793450881612</v>
      </c>
      <c r="AF109" s="270" t="n">
        <v>8.846589147286821</v>
      </c>
      <c r="AG109" s="277" t="n">
        <v>0.143729219143577</v>
      </c>
      <c r="AH109" s="131" t="n">
        <v>0.402168932335421</v>
      </c>
      <c r="AI109" s="131" t="n">
        <v>0.267756224224836</v>
      </c>
      <c r="AJ109" s="270" t="n">
        <v>0.472858942065491</v>
      </c>
      <c r="AK109" s="130" t="n">
        <v>0.197544080604534</v>
      </c>
      <c r="AL109" s="130" t="n">
        <v>0.0271410579345088</v>
      </c>
      <c r="AM109" s="133" t="n">
        <v>0.282115869017632</v>
      </c>
    </row>
    <row customHeight="1" ht="13.2" outlineLevel="1" r="110" s="3">
      <c r="A110" s="117" t="n">
        <v>43451</v>
      </c>
      <c r="B110" s="289" t="inlineStr">
        <is>
          <t>iOS</t>
        </is>
      </c>
      <c r="C110" s="268" t="n">
        <v>6569</v>
      </c>
      <c r="D110" s="268" t="n">
        <v>16913</v>
      </c>
      <c r="E110" s="269" t="n">
        <v>2.57466889937586</v>
      </c>
      <c r="F110" s="270" t="n">
        <v>0.987956185301247</v>
      </c>
      <c r="G110" s="292" t="n">
        <v>19.51</v>
      </c>
      <c r="H110" s="292" t="n">
        <v>27.91</v>
      </c>
      <c r="I110" s="142" t="n">
        <v>0.267</v>
      </c>
      <c r="J110" s="142" t="n">
        <v>0.141</v>
      </c>
      <c r="K110" s="142" t="n">
        <v>0.09</v>
      </c>
      <c r="L110" s="270" t="n">
        <v>9.319281026429371</v>
      </c>
      <c r="M110" s="272" t="n">
        <v>8.962691420800571</v>
      </c>
      <c r="N110" s="270" t="n">
        <v>16.4107394175598</v>
      </c>
      <c r="O110" s="273">
        <f>M110/N110</f>
        <v/>
      </c>
      <c r="P110" s="270" t="n">
        <v>2.25451986575728</v>
      </c>
      <c r="Q110" s="270" t="n">
        <v>2.84670347515427</v>
      </c>
      <c r="R110" s="270" t="n">
        <v>1.21435531016564</v>
      </c>
      <c r="S110" s="270" t="n">
        <v>5.70325863375555</v>
      </c>
      <c r="T110" s="270" t="n">
        <v>1.21078272166288</v>
      </c>
      <c r="U110" s="270" t="n">
        <v>0.467684313088665</v>
      </c>
      <c r="V110" s="270" t="n">
        <v>1.9109018079463</v>
      </c>
      <c r="W110" s="270" t="n">
        <v>0.80253329002923</v>
      </c>
      <c r="X110" s="274" t="n">
        <v>0.0114113403890498</v>
      </c>
      <c r="Y110" s="269" t="n">
        <v>8.97410276118962</v>
      </c>
      <c r="Z110" s="275" t="n">
        <v>295</v>
      </c>
      <c r="AA110" s="275" t="n">
        <v>186</v>
      </c>
      <c r="AB110" s="270" t="n">
        <v>2688.05</v>
      </c>
      <c r="AC110" s="290" t="n"/>
      <c r="AD110" s="276" t="n">
        <v>0.0174422042216047</v>
      </c>
      <c r="AE110" s="141" t="n">
        <v>0.0109974575770118</v>
      </c>
      <c r="AF110" s="270" t="n">
        <v>9.11203389830508</v>
      </c>
      <c r="AG110" s="277" t="n">
        <v>0.158933956128422</v>
      </c>
      <c r="AH110" s="131" t="n">
        <v>0.396559598112346</v>
      </c>
      <c r="AI110" s="131" t="n">
        <v>0.278124524280712</v>
      </c>
      <c r="AJ110" s="270" t="n">
        <v>0.5357417371252881</v>
      </c>
      <c r="AK110" s="130" t="n">
        <v>0.215632945071838</v>
      </c>
      <c r="AL110" s="130" t="n">
        <v>0.0318098504109265</v>
      </c>
      <c r="AM110" s="133" t="n">
        <v>0.27511381777331</v>
      </c>
    </row>
    <row customHeight="1" ht="13.2" outlineLevel="1" r="111" s="3">
      <c r="A111" s="117" t="n">
        <v>43452</v>
      </c>
      <c r="B111" s="289" t="inlineStr">
        <is>
          <t>iOS</t>
        </is>
      </c>
      <c r="C111" s="268" t="n">
        <v>6106</v>
      </c>
      <c r="D111" s="268" t="n">
        <v>16796</v>
      </c>
      <c r="E111" s="269" t="n">
        <v>2.75073698001965</v>
      </c>
      <c r="F111" s="270" t="n">
        <v>0.917829846808764</v>
      </c>
      <c r="G111" s="292" t="n">
        <v>22.99</v>
      </c>
      <c r="H111" s="292" t="n">
        <v>33.74</v>
      </c>
      <c r="I111" s="142" t="n">
        <v>0.281</v>
      </c>
      <c r="J111" s="142" t="n">
        <v>0.154</v>
      </c>
      <c r="K111" s="142" t="n">
        <v>0.08699999999999999</v>
      </c>
      <c r="L111" s="270" t="n">
        <v>9.35794236723029</v>
      </c>
      <c r="M111" s="272" t="n">
        <v>8.366337223148371</v>
      </c>
      <c r="N111" s="270" t="n">
        <v>15.2210788561525</v>
      </c>
      <c r="O111" s="273">
        <f>M111/N111</f>
        <v/>
      </c>
      <c r="P111" s="270" t="n">
        <v>2.12629982668977</v>
      </c>
      <c r="Q111" s="270" t="n">
        <v>2.64948006932409</v>
      </c>
      <c r="R111" s="270" t="n">
        <v>1.18067590987868</v>
      </c>
      <c r="S111" s="270" t="n">
        <v>5.09575389948007</v>
      </c>
      <c r="T111" s="270" t="n">
        <v>1.12673310225303</v>
      </c>
      <c r="U111" s="270" t="n">
        <v>0.507690641247834</v>
      </c>
      <c r="V111" s="270" t="n">
        <v>1.76451473136915</v>
      </c>
      <c r="W111" s="270" t="n">
        <v>0.769930675909879</v>
      </c>
      <c r="X111" s="274" t="n">
        <v>0.0135746606334842</v>
      </c>
      <c r="Y111" s="269" t="n">
        <v>8.379911883781849</v>
      </c>
      <c r="Z111" s="275" t="n">
        <v>283</v>
      </c>
      <c r="AA111" s="275" t="n">
        <v>197</v>
      </c>
      <c r="AB111" s="270" t="n">
        <v>2259.17</v>
      </c>
      <c r="AC111" s="290" t="n"/>
      <c r="AD111" s="276" t="n">
        <v>0.016849249821386</v>
      </c>
      <c r="AE111" s="141" t="n">
        <v>0.0117289830912122</v>
      </c>
      <c r="AF111" s="270" t="n">
        <v>7.98293286219081</v>
      </c>
      <c r="AG111" s="277" t="n">
        <v>0.134506430102405</v>
      </c>
      <c r="AH111" s="131" t="n">
        <v>0.401572224041926</v>
      </c>
      <c r="AI111" s="131" t="n">
        <v>0.296921061251228</v>
      </c>
      <c r="AJ111" s="270" t="n">
        <v>0.61336032388664</v>
      </c>
      <c r="AK111" s="130" t="n">
        <v>0.236544415336985</v>
      </c>
      <c r="AL111" s="130" t="n">
        <v>0.0334603477018338</v>
      </c>
      <c r="AM111" s="133" t="n">
        <v>0.233984281971898</v>
      </c>
    </row>
    <row customFormat="1" customHeight="1" ht="12.45" outlineLevel="1" r="112" s="294">
      <c r="A112" s="121" t="n">
        <v>43453</v>
      </c>
      <c r="B112" s="295" t="inlineStr">
        <is>
          <t>iOS</t>
        </is>
      </c>
      <c r="C112" s="296" t="n">
        <v>5804</v>
      </c>
      <c r="D112" s="296" t="n">
        <v>16482</v>
      </c>
      <c r="E112" s="297" t="n">
        <v>2.83976567884218</v>
      </c>
      <c r="F112" s="294" t="n">
        <v>0.8576710010921</v>
      </c>
      <c r="G112" s="298" t="n">
        <v>23.84</v>
      </c>
      <c r="H112" s="298" t="n">
        <v>32.61</v>
      </c>
      <c r="I112" s="124" t="n">
        <v>0.291</v>
      </c>
      <c r="J112" s="124" t="n">
        <v>0.155</v>
      </c>
      <c r="K112" s="124" t="n">
        <v>0.089</v>
      </c>
      <c r="L112" s="294" t="n">
        <v>9.27338915180197</v>
      </c>
      <c r="M112" s="299" t="n">
        <v>7.12340735347652</v>
      </c>
      <c r="N112" s="294" t="n">
        <v>13.7126839523476</v>
      </c>
      <c r="O112" s="300">
        <f>M112/N112</f>
        <v/>
      </c>
      <c r="P112" s="294" t="n">
        <v>1.98049521139921</v>
      </c>
      <c r="Q112" s="294" t="n">
        <v>2.3225881803317</v>
      </c>
      <c r="R112" s="294" t="n">
        <v>1.04543330997431</v>
      </c>
      <c r="S112" s="294" t="n">
        <v>4.47710815230086</v>
      </c>
      <c r="T112" s="294" t="n">
        <v>1.04438215370241</v>
      </c>
      <c r="U112" s="294" t="n">
        <v>0.531184302733006</v>
      </c>
      <c r="V112" s="294" t="n">
        <v>1.58654519971969</v>
      </c>
      <c r="W112" s="294" t="n">
        <v>0.7249474421864051</v>
      </c>
      <c r="X112" s="301" t="n">
        <v>0.0129231889333819</v>
      </c>
      <c r="Y112" s="297" t="n">
        <v>7.1363305424099</v>
      </c>
      <c r="Z112" s="293" t="n">
        <v>272</v>
      </c>
      <c r="AA112" s="293" t="n">
        <v>171</v>
      </c>
      <c r="AB112" s="294" t="n">
        <v>2119.28</v>
      </c>
      <c r="AC112" s="302" t="n"/>
      <c r="AD112" s="303" t="n">
        <v>0.0165028515956801</v>
      </c>
      <c r="AE112" s="123" t="n">
        <v>0.0103749544958136</v>
      </c>
      <c r="AF112" s="294" t="n">
        <v>7.79147058823529</v>
      </c>
      <c r="AG112" s="304" t="n">
        <v>0.128581482829754</v>
      </c>
      <c r="AH112" s="135" t="n">
        <v>0.422294968986906</v>
      </c>
      <c r="AI112" s="135" t="n">
        <v>0.303928325292901</v>
      </c>
      <c r="AJ112" s="294" t="n">
        <v>0.674311369979371</v>
      </c>
      <c r="AK112" s="136" t="n">
        <v>0.268778060914937</v>
      </c>
      <c r="AL112" s="136" t="n">
        <v>0.0370707438417668</v>
      </c>
      <c r="AM112" s="137" t="n">
        <v>0</v>
      </c>
    </row>
    <row customHeight="1" ht="13.2" outlineLevel="1" r="113" s="3">
      <c r="A113" s="117" t="n">
        <v>43454</v>
      </c>
      <c r="B113" s="267" t="inlineStr">
        <is>
          <t>iOS</t>
        </is>
      </c>
      <c r="C113" s="268" t="n">
        <v>5226</v>
      </c>
      <c r="D113" s="268" t="n">
        <v>15961</v>
      </c>
      <c r="E113" s="269" t="n">
        <v>3.05415231534635</v>
      </c>
      <c r="F113" s="270" t="n">
        <v>0.961060761543763</v>
      </c>
      <c r="G113" s="292" t="n">
        <v>21.74</v>
      </c>
      <c r="H113" s="292" t="n">
        <v>29.22</v>
      </c>
      <c r="I113" s="142" t="n">
        <v>0.28</v>
      </c>
      <c r="J113" s="142" t="n">
        <v>0.152</v>
      </c>
      <c r="K113" s="142" t="n">
        <v>0.092</v>
      </c>
      <c r="L113" s="270" t="n">
        <v>9.04091222354489</v>
      </c>
      <c r="M113" s="272" t="n">
        <v>8.15819810788798</v>
      </c>
      <c r="N113" s="270" t="n">
        <v>14.6372526978417</v>
      </c>
      <c r="O113" s="273">
        <f>M113/N113</f>
        <v/>
      </c>
      <c r="P113" s="270" t="n">
        <v>2.06823291366906</v>
      </c>
      <c r="Q113" s="270" t="n">
        <v>2.4576214028777</v>
      </c>
      <c r="R113" s="270" t="n">
        <v>1.11083633093525</v>
      </c>
      <c r="S113" s="270" t="n">
        <v>4.83655575539568</v>
      </c>
      <c r="T113" s="270" t="n">
        <v>1.09903327338129</v>
      </c>
      <c r="U113" s="270" t="n">
        <v>0.544626798561151</v>
      </c>
      <c r="V113" s="270" t="n">
        <v>1.72684352517986</v>
      </c>
      <c r="W113" s="270" t="n">
        <v>0.793502697841727</v>
      </c>
      <c r="X113" s="274" t="n">
        <v>0.0112774888791429</v>
      </c>
      <c r="Y113" s="269" t="n">
        <v>8.16947559676712</v>
      </c>
      <c r="Z113" s="275" t="n">
        <v>308</v>
      </c>
      <c r="AA113" s="275" t="n">
        <v>200</v>
      </c>
      <c r="AB113" s="270" t="n">
        <v>2110.92</v>
      </c>
      <c r="AC113" s="290" t="n"/>
      <c r="AD113" s="276" t="n">
        <v>0.0192970365265334</v>
      </c>
      <c r="AE113" s="141" t="n">
        <v>0.0125305431990477</v>
      </c>
      <c r="AF113" s="270" t="n">
        <v>6.85363636363636</v>
      </c>
      <c r="AG113" s="277" t="n">
        <v>0.132254871248669</v>
      </c>
      <c r="AH113" s="131" t="n">
        <v>0.416762342135476</v>
      </c>
      <c r="AI113" s="131" t="n">
        <v>0.314006888633754</v>
      </c>
      <c r="AJ113" s="270" t="n">
        <v>0.719629095921308</v>
      </c>
      <c r="AK113" s="130" t="n">
        <v>0.277175615562935</v>
      </c>
      <c r="AL113" s="130" t="n">
        <v>0.0368397970052002</v>
      </c>
      <c r="AM113" s="133" t="n">
        <v>0</v>
      </c>
    </row>
    <row customHeight="1" ht="13.2" outlineLevel="1" r="114" s="3">
      <c r="A114" s="117" t="n">
        <v>43455</v>
      </c>
      <c r="B114" s="267" t="inlineStr">
        <is>
          <t>iOS</t>
        </is>
      </c>
      <c r="C114" s="268" t="n">
        <v>5245</v>
      </c>
      <c r="D114" s="268" t="n">
        <v>15874</v>
      </c>
      <c r="E114" s="269" t="n">
        <v>3.02650142993327</v>
      </c>
      <c r="F114" s="270" t="n">
        <v>0.891897691886103</v>
      </c>
      <c r="G114" s="292" t="n">
        <v>20.87</v>
      </c>
      <c r="H114" s="292" t="n">
        <v>27.9</v>
      </c>
      <c r="I114" s="142" t="n">
        <v>0.281</v>
      </c>
      <c r="J114" s="142" t="n">
        <v>0.14</v>
      </c>
      <c r="K114" s="142" t="n">
        <v>0.078</v>
      </c>
      <c r="L114" s="270" t="n">
        <v>8.431271261181809</v>
      </c>
      <c r="M114" s="272" t="n">
        <v>7.60154970391836</v>
      </c>
      <c r="N114" s="270" t="n">
        <v>13.8157774215709</v>
      </c>
      <c r="O114" s="273">
        <f>M114/N114</f>
        <v/>
      </c>
      <c r="P114" s="270" t="n">
        <v>1.97595603389054</v>
      </c>
      <c r="Q114" s="270" t="n">
        <v>2.38813831005267</v>
      </c>
      <c r="R114" s="270" t="n">
        <v>1.00595374398901</v>
      </c>
      <c r="S114" s="270" t="n">
        <v>4.5488893977559</v>
      </c>
      <c r="T114" s="270" t="n">
        <v>1.0245019464163</v>
      </c>
      <c r="U114" s="270" t="n">
        <v>0.5164872910464851</v>
      </c>
      <c r="V114" s="270" t="n">
        <v>1.59663384474468</v>
      </c>
      <c r="W114" s="270" t="n">
        <v>0.759216853675292</v>
      </c>
      <c r="X114" s="274" t="n">
        <v>0.009386418042081389</v>
      </c>
      <c r="Y114" s="269" t="n">
        <v>7.61093612196044</v>
      </c>
      <c r="Z114" s="275" t="n">
        <v>269</v>
      </c>
      <c r="AA114" s="275" t="n">
        <v>182</v>
      </c>
      <c r="AB114" s="270" t="n">
        <v>2076.31</v>
      </c>
      <c r="AC114" s="290" t="n"/>
      <c r="AD114" s="276" t="n">
        <v>0.0169459493511402</v>
      </c>
      <c r="AE114" s="141">
        <f>AA114/D114</f>
        <v/>
      </c>
      <c r="AF114" s="270">
        <f>AB114/Z114</f>
        <v/>
      </c>
      <c r="AG114" s="277">
        <f>AD114*AF114</f>
        <v/>
      </c>
      <c r="AH114" s="131" t="n">
        <v>0.391039084842707</v>
      </c>
      <c r="AI114" s="131" t="n">
        <v>0.269399428026692</v>
      </c>
      <c r="AJ114" s="270" t="n">
        <v>0.629456973667633</v>
      </c>
      <c r="AK114" s="130" t="n">
        <v>0.272143127126118</v>
      </c>
      <c r="AL114" s="130" t="n">
        <v>0.0347108479274285</v>
      </c>
      <c r="AM114" s="133" t="n">
        <v>0</v>
      </c>
    </row>
    <row customHeight="1" ht="13.2" outlineLevel="1" r="115" s="3">
      <c r="A115" s="117" t="n">
        <v>43456</v>
      </c>
      <c r="B115" s="289" t="inlineStr">
        <is>
          <t>iOS</t>
        </is>
      </c>
      <c r="C115" s="268" t="n">
        <v>8766</v>
      </c>
      <c r="D115" s="268" t="n">
        <v>19411</v>
      </c>
      <c r="E115" s="269" t="n">
        <v>2.21435090120922</v>
      </c>
      <c r="F115" s="270" t="n">
        <v>0.941623608263356</v>
      </c>
      <c r="G115" s="292" t="n">
        <v>19.76</v>
      </c>
      <c r="H115" s="292" t="n">
        <v>26.75</v>
      </c>
      <c r="I115" s="142" t="n">
        <v>0.276</v>
      </c>
      <c r="J115" s="142" t="n">
        <v>0.133</v>
      </c>
      <c r="K115" s="142" t="n">
        <v>0.073</v>
      </c>
      <c r="L115" s="270" t="n">
        <v>8.880171037040849</v>
      </c>
      <c r="M115" s="272" t="n">
        <v>7.65622585132142</v>
      </c>
      <c r="N115" s="270" t="n">
        <v>14.7391649310721</v>
      </c>
      <c r="O115" s="273">
        <f>M115/N115</f>
        <v/>
      </c>
      <c r="P115" s="270" t="n">
        <v>2.21055241495587</v>
      </c>
      <c r="Q115" s="270" t="n">
        <v>2.48547059406923</v>
      </c>
      <c r="R115" s="270" t="n">
        <v>1.09947436278885</v>
      </c>
      <c r="S115" s="270" t="n">
        <v>5.02905881186155</v>
      </c>
      <c r="T115" s="270" t="n">
        <v>0.947733809382128</v>
      </c>
      <c r="U115" s="270" t="n">
        <v>0.455519190717048</v>
      </c>
      <c r="V115" s="270" t="n">
        <v>1.76931468808886</v>
      </c>
      <c r="W115" s="270" t="n">
        <v>0.742041059208569</v>
      </c>
      <c r="X115" s="274" t="n">
        <v>0.00911854103343465</v>
      </c>
      <c r="Y115" s="269" t="n">
        <v>7.66534439235485</v>
      </c>
      <c r="Z115" s="275" t="n">
        <v>325</v>
      </c>
      <c r="AA115" s="275" t="n">
        <v>212</v>
      </c>
      <c r="AB115" s="270" t="n">
        <v>3224.75</v>
      </c>
      <c r="AC115" s="290" t="n"/>
      <c r="AD115" s="276">
        <f>Z115/D115</f>
        <v/>
      </c>
      <c r="AE115" s="141">
        <f>AA115/D115</f>
        <v/>
      </c>
      <c r="AF115" s="270">
        <f>AB115/Z115</f>
        <v/>
      </c>
      <c r="AG115" s="277">
        <f>AD115*AF115</f>
        <v/>
      </c>
      <c r="AH115" s="131" t="n">
        <v>0.397900981063199</v>
      </c>
      <c r="AI115" s="131" t="n">
        <v>0.208418891170431</v>
      </c>
      <c r="AJ115" s="270" t="n">
        <v>0.40992220905672</v>
      </c>
      <c r="AK115" s="130" t="n">
        <v>0.188501365205296</v>
      </c>
      <c r="AL115" s="130" t="n">
        <v>0.0219978362783988</v>
      </c>
      <c r="AM115" s="133" t="n">
        <v>0.259852660862398</v>
      </c>
    </row>
    <row customHeight="1" ht="13.2" outlineLevel="1" r="116" s="3">
      <c r="A116" s="117" t="n">
        <v>43457</v>
      </c>
      <c r="B116" s="289" t="inlineStr">
        <is>
          <t>iOS</t>
        </is>
      </c>
      <c r="C116" s="268" t="n">
        <v>7364</v>
      </c>
      <c r="D116" s="268" t="n">
        <v>19333</v>
      </c>
      <c r="E116" s="269" t="n">
        <v>2.62533948940793</v>
      </c>
      <c r="F116" s="270" t="n">
        <v>0.923099801375886</v>
      </c>
      <c r="G116" s="292" t="n">
        <v>19.48</v>
      </c>
      <c r="H116" s="292" t="n">
        <v>26.5</v>
      </c>
      <c r="I116" s="142" t="n">
        <v>0.282</v>
      </c>
      <c r="J116" s="142" t="n">
        <v>0.138</v>
      </c>
      <c r="K116" s="142" t="n">
        <v>0.08699999999999999</v>
      </c>
      <c r="L116" s="270" t="n">
        <v>8.85118708943258</v>
      </c>
      <c r="M116" s="272" t="n">
        <v>8.294625769409819</v>
      </c>
      <c r="N116" s="270" t="n">
        <v>15.3307839388145</v>
      </c>
      <c r="O116" s="273">
        <f>M116/N116</f>
        <v/>
      </c>
      <c r="P116" s="270" t="n">
        <v>2.20611854684512</v>
      </c>
      <c r="Q116" s="270" t="n">
        <v>2.68135755258126</v>
      </c>
      <c r="R116" s="270" t="n">
        <v>1.19416826003824</v>
      </c>
      <c r="S116" s="270" t="n">
        <v>5.17695984703633</v>
      </c>
      <c r="T116" s="270" t="n">
        <v>0.943977055449331</v>
      </c>
      <c r="U116" s="270" t="n">
        <v>0.476768642447419</v>
      </c>
      <c r="V116" s="270" t="n">
        <v>1.85133843212237</v>
      </c>
      <c r="W116" s="270" t="n">
        <v>0.800095602294455</v>
      </c>
      <c r="X116" s="274" t="n">
        <v>0.0112760564837325</v>
      </c>
      <c r="Y116" s="269" t="n">
        <v>8.30590182589355</v>
      </c>
      <c r="Z116" s="275" t="n">
        <v>317</v>
      </c>
      <c r="AA116" s="275" t="n">
        <v>212</v>
      </c>
      <c r="AB116" s="270" t="n">
        <v>2898.83</v>
      </c>
      <c r="AC116" s="290" t="n"/>
      <c r="AD116" s="276">
        <f>Z116/D116</f>
        <v/>
      </c>
      <c r="AE116" s="141">
        <f>AA116/D116</f>
        <v/>
      </c>
      <c r="AF116" s="270">
        <f>AB116/Z116</f>
        <v/>
      </c>
      <c r="AG116" s="277">
        <f>AD116*AF116</f>
        <v/>
      </c>
      <c r="AH116" s="131" t="n">
        <v>0.433731667571972</v>
      </c>
      <c r="AI116" s="131" t="n">
        <v>0.284899511135253</v>
      </c>
      <c r="AJ116" s="270" t="n">
        <v>0.472766771840894</v>
      </c>
      <c r="AK116" s="130" t="n">
        <v>0.201365540785186</v>
      </c>
      <c r="AL116" s="130" t="n">
        <v>0.0230693632648839</v>
      </c>
      <c r="AM116" s="133" t="n">
        <v>0.272332281591062</v>
      </c>
    </row>
    <row customHeight="1" ht="13.2" outlineLevel="1" r="117" s="3">
      <c r="A117" s="117" t="n">
        <v>43458</v>
      </c>
      <c r="B117" s="289" t="inlineStr">
        <is>
          <t>iOS</t>
        </is>
      </c>
      <c r="C117" s="268" t="n">
        <v>7689</v>
      </c>
      <c r="D117" s="268" t="n">
        <v>20242</v>
      </c>
      <c r="E117" s="269" t="n">
        <v>2.63259201456626</v>
      </c>
      <c r="F117" s="270" t="n">
        <v>0.9318619231301249</v>
      </c>
      <c r="G117" s="292" t="n">
        <v>19.09</v>
      </c>
      <c r="H117" s="292" t="n">
        <v>25.83</v>
      </c>
      <c r="I117" s="142" t="n">
        <v>0.275</v>
      </c>
      <c r="J117" s="142" t="n">
        <v>0.145</v>
      </c>
      <c r="K117" s="142" t="n">
        <v>0.091</v>
      </c>
      <c r="L117" s="270" t="n">
        <v>8.614662582748741</v>
      </c>
      <c r="M117" s="272" t="n">
        <v>8.14702104535125</v>
      </c>
      <c r="N117" s="270" t="n">
        <v>14.8918186743724</v>
      </c>
      <c r="O117" s="273">
        <f>M117/N117</f>
        <v/>
      </c>
      <c r="P117" s="270" t="n">
        <v>2.12985371139606</v>
      </c>
      <c r="Q117" s="270" t="n">
        <v>2.648455842514</v>
      </c>
      <c r="R117" s="270" t="n">
        <v>1.12705436156764</v>
      </c>
      <c r="S117" s="270" t="n">
        <v>5.04569261332852</v>
      </c>
      <c r="T117" s="270" t="n">
        <v>0.8813436879176449</v>
      </c>
      <c r="U117" s="270" t="n">
        <v>0.465324182770453</v>
      </c>
      <c r="V117" s="270" t="n">
        <v>1.79140328697851</v>
      </c>
      <c r="W117" s="270" t="n">
        <v>0.802690987899584</v>
      </c>
      <c r="X117" s="274" t="n">
        <v>0.0102756644600336</v>
      </c>
      <c r="Y117" s="269" t="n">
        <v>8.157296709811281</v>
      </c>
      <c r="Z117" s="275" t="n">
        <v>350</v>
      </c>
      <c r="AA117" s="275" t="n">
        <v>221</v>
      </c>
      <c r="AB117" s="270" t="n">
        <v>3305.5</v>
      </c>
      <c r="AC117" s="290" t="n"/>
      <c r="AD117" s="276">
        <f>Z117/D117</f>
        <v/>
      </c>
      <c r="AE117" s="141">
        <f>AA117/D117</f>
        <v/>
      </c>
      <c r="AF117" s="270">
        <f>AB117/Z117</f>
        <v/>
      </c>
      <c r="AG117" s="277">
        <f>AD117*AF117</f>
        <v/>
      </c>
      <c r="AH117" s="131" t="n">
        <v>0.40343347639485</v>
      </c>
      <c r="AI117" s="131" t="n">
        <v>0.273117440499415</v>
      </c>
      <c r="AJ117" s="270" t="n">
        <v>0.476484537101077</v>
      </c>
      <c r="AK117" s="130" t="n">
        <v>0.195929256002371</v>
      </c>
      <c r="AL117" s="130" t="n">
        <v>0.0234660606659421</v>
      </c>
      <c r="AM117" s="133" t="n">
        <v>0.260893192372295</v>
      </c>
    </row>
    <row customHeight="1" ht="13.2" outlineLevel="1" r="118" s="3">
      <c r="A118" s="117" t="n">
        <v>43459</v>
      </c>
      <c r="B118" s="289" t="inlineStr">
        <is>
          <t>iOS</t>
        </is>
      </c>
      <c r="C118" s="268" t="n">
        <v>8527</v>
      </c>
      <c r="D118" s="268" t="n">
        <v>20821</v>
      </c>
      <c r="E118" s="269" t="n">
        <v>2.44177319104023</v>
      </c>
      <c r="F118" s="270" t="n">
        <v>0.802820741366889</v>
      </c>
      <c r="G118" s="292" t="n">
        <v>18.72</v>
      </c>
      <c r="H118" s="292" t="n">
        <v>25.37</v>
      </c>
      <c r="I118" s="142" t="n">
        <v>0.252</v>
      </c>
      <c r="J118" s="142" t="n">
        <v>0.135</v>
      </c>
      <c r="K118" s="142" t="n">
        <v>0.077</v>
      </c>
      <c r="L118" s="270" t="n">
        <v>8.0774698621584</v>
      </c>
      <c r="M118" s="272" t="n">
        <v>7.27957350751645</v>
      </c>
      <c r="N118" s="270" t="n">
        <v>14.0003694808794</v>
      </c>
      <c r="O118" s="273">
        <f>M118/N118</f>
        <v/>
      </c>
      <c r="P118" s="270" t="n">
        <v>2.07555883983004</v>
      </c>
      <c r="Q118" s="270" t="n">
        <v>2.5956955477554</v>
      </c>
      <c r="R118" s="270" t="n">
        <v>1.00581932384999</v>
      </c>
      <c r="S118" s="270" t="n">
        <v>4.62617772030297</v>
      </c>
      <c r="T118" s="270" t="n">
        <v>0.83308701274709</v>
      </c>
      <c r="U118" s="270" t="n">
        <v>0.459449473489747</v>
      </c>
      <c r="V118" s="270" t="n">
        <v>1.65102530944024</v>
      </c>
      <c r="W118" s="270" t="n">
        <v>0.753556253463883</v>
      </c>
      <c r="X118" s="274" t="n">
        <v>0.008789203208299311</v>
      </c>
      <c r="Y118" s="269" t="n">
        <v>7.28836271072475</v>
      </c>
      <c r="Z118" s="275" t="n">
        <v>332</v>
      </c>
      <c r="AA118" s="275" t="n">
        <v>208</v>
      </c>
      <c r="AB118" s="270" t="n">
        <v>2853.68</v>
      </c>
      <c r="AC118" s="290" t="n"/>
      <c r="AD118" s="276">
        <f>Z118/D118</f>
        <v/>
      </c>
      <c r="AE118" s="141">
        <f>AA118/D118</f>
        <v/>
      </c>
      <c r="AF118" s="270">
        <f>AB118/Z118</f>
        <v/>
      </c>
      <c r="AG118" s="277">
        <f>AD118*AF118</f>
        <v/>
      </c>
      <c r="AH118" s="131" t="n">
        <v>0.367890231030843</v>
      </c>
      <c r="AI118" s="131" t="n">
        <v>0.237480942887299</v>
      </c>
      <c r="AJ118" s="270" t="n">
        <v>0.41400509101388</v>
      </c>
      <c r="AK118" s="130" t="n">
        <v>0.181739589837184</v>
      </c>
      <c r="AL118" s="130" t="n">
        <v>0.0209403967148552</v>
      </c>
      <c r="AM118" s="133" t="n">
        <v>0.23298592766918</v>
      </c>
    </row>
    <row customFormat="1" customHeight="1" ht="12.45" outlineLevel="1" r="119" s="294">
      <c r="A119" s="121" t="n">
        <v>43460</v>
      </c>
      <c r="B119" s="289" t="inlineStr">
        <is>
          <t>iOS</t>
        </is>
      </c>
      <c r="C119" s="296" t="n">
        <v>9959</v>
      </c>
      <c r="D119" s="296" t="n">
        <v>22582</v>
      </c>
      <c r="E119" s="297" t="n">
        <v>2.26749673662014</v>
      </c>
      <c r="F119" s="294" t="n">
        <v>0.848404053892481</v>
      </c>
      <c r="G119" s="298" t="n">
        <v>19.61</v>
      </c>
      <c r="H119" s="298" t="n">
        <v>25.73</v>
      </c>
      <c r="I119" s="124" t="n">
        <v>0.269</v>
      </c>
      <c r="J119" s="124" t="n">
        <v>0.137</v>
      </c>
      <c r="K119" s="124" t="n">
        <v>0.082</v>
      </c>
      <c r="L119" s="294" t="n">
        <v>8.62031706669028</v>
      </c>
      <c r="M119" s="299" t="n">
        <v>7.97320875033212</v>
      </c>
      <c r="N119" s="294" t="n">
        <v>15.024282376502</v>
      </c>
      <c r="O119" s="300">
        <f>M119/N119</f>
        <v/>
      </c>
      <c r="P119" s="294" t="n">
        <v>2.14544392523364</v>
      </c>
      <c r="Q119" s="294" t="n">
        <v>2.67598464619493</v>
      </c>
      <c r="R119" s="294" t="n">
        <v>1.0355473965287</v>
      </c>
      <c r="S119" s="294" t="n">
        <v>5.17823765020027</v>
      </c>
      <c r="T119" s="294" t="n">
        <v>0.895193591455274</v>
      </c>
      <c r="U119" s="294" t="n">
        <v>0.512767022696929</v>
      </c>
      <c r="V119" s="294" t="n">
        <v>1.76844125500668</v>
      </c>
      <c r="W119" s="294" t="n">
        <v>0.8126668891855811</v>
      </c>
      <c r="X119" s="301" t="n">
        <v>0.00960942343459392</v>
      </c>
      <c r="Y119" s="297" t="n">
        <v>7.98281817376672</v>
      </c>
      <c r="Z119" s="293" t="n">
        <v>354</v>
      </c>
      <c r="AA119" s="293" t="n">
        <v>251</v>
      </c>
      <c r="AB119" s="294" t="n">
        <v>2996.46</v>
      </c>
      <c r="AC119" s="302" t="n"/>
      <c r="AD119" s="303">
        <f>Z119/D119</f>
        <v/>
      </c>
      <c r="AE119" s="123">
        <f>AA119/D119</f>
        <v/>
      </c>
      <c r="AF119" s="294">
        <f>AB119/Z119</f>
        <v/>
      </c>
      <c r="AG119" s="304">
        <f>AD119*AF119</f>
        <v/>
      </c>
      <c r="AH119" s="135" t="n">
        <v>0.369113364795662</v>
      </c>
      <c r="AI119" s="135" t="n">
        <v>0.248217692539412</v>
      </c>
      <c r="AJ119" s="294" t="n">
        <v>0.490523425737313</v>
      </c>
      <c r="AK119" s="136" t="n">
        <v>0.189708617482951</v>
      </c>
      <c r="AL119" s="136" t="n">
        <v>0.0214772827916039</v>
      </c>
      <c r="AM119" s="137" t="n">
        <v>0.183597555575237</v>
      </c>
    </row>
    <row customHeight="1" ht="13.2" outlineLevel="1" r="120" s="3">
      <c r="A120" s="117" t="n">
        <v>43461</v>
      </c>
      <c r="B120" s="267" t="inlineStr">
        <is>
          <t>iOS</t>
        </is>
      </c>
      <c r="C120" s="268" t="n">
        <v>11176</v>
      </c>
      <c r="D120" s="268" t="n">
        <v>24703</v>
      </c>
      <c r="E120" s="269" t="n">
        <v>2.2103614889048</v>
      </c>
      <c r="F120" s="270" t="n">
        <v>0.814896194308383</v>
      </c>
      <c r="G120" s="292" t="n">
        <v>19.7</v>
      </c>
      <c r="H120" s="292" t="n">
        <v>26.06</v>
      </c>
      <c r="I120" s="142" t="n">
        <v>0.256</v>
      </c>
      <c r="J120" s="142" t="n">
        <v>0.137</v>
      </c>
      <c r="K120" s="142" t="n">
        <v>0.078</v>
      </c>
      <c r="L120" s="270" t="n">
        <v>8.61757681253289</v>
      </c>
      <c r="M120" s="272" t="n">
        <v>7.97668299396834</v>
      </c>
      <c r="N120" s="270" t="n">
        <v>15.3011337164156</v>
      </c>
      <c r="O120" s="273">
        <f>M120/N120</f>
        <v/>
      </c>
      <c r="P120" s="270" t="n">
        <v>2.11896257182792</v>
      </c>
      <c r="Q120" s="270" t="n">
        <v>2.65188693896568</v>
      </c>
      <c r="R120" s="270" t="n">
        <v>1.04340736139152</v>
      </c>
      <c r="S120" s="270" t="n">
        <v>5.38530827768287</v>
      </c>
      <c r="T120" s="270" t="n">
        <v>0.999611740953564</v>
      </c>
      <c r="U120" s="270" t="n">
        <v>0.527954651343376</v>
      </c>
      <c r="V120" s="270" t="n">
        <v>1.7636278925299</v>
      </c>
      <c r="W120" s="270" t="n">
        <v>0.810374281720764</v>
      </c>
      <c r="X120" s="274" t="n">
        <v>0.016678136258754</v>
      </c>
      <c r="Y120" s="269" t="n">
        <v>7.9933611302271</v>
      </c>
      <c r="Z120" s="275" t="n">
        <v>376</v>
      </c>
      <c r="AA120" s="275" t="n">
        <v>236</v>
      </c>
      <c r="AB120" s="270" t="n">
        <v>2887.24</v>
      </c>
      <c r="AC120" s="290" t="n"/>
      <c r="AD120" s="276">
        <f>Z120/D120</f>
        <v/>
      </c>
      <c r="AE120" s="141">
        <f>AA120/D120</f>
        <v/>
      </c>
      <c r="AF120" s="270">
        <f>AB120/Z120</f>
        <v/>
      </c>
      <c r="AG120" s="277">
        <f>AD120*AF120</f>
        <v/>
      </c>
      <c r="AH120" s="131" t="n">
        <v>0.353525411596278</v>
      </c>
      <c r="AI120" s="131" t="n">
        <v>0.234162491052255</v>
      </c>
      <c r="AJ120" s="270" t="n">
        <v>0.599522325223657</v>
      </c>
      <c r="AK120" s="130" t="n">
        <v>0.208031413188682</v>
      </c>
      <c r="AL120" s="130" t="n">
        <v>0.0225478686799174</v>
      </c>
      <c r="AM120" s="133" t="n">
        <v>0</v>
      </c>
    </row>
    <row customHeight="1" ht="13.2" outlineLevel="1" r="121" s="3">
      <c r="A121" s="117" t="n">
        <v>43462</v>
      </c>
      <c r="B121" s="267" t="inlineStr">
        <is>
          <t>iOS</t>
        </is>
      </c>
      <c r="C121" s="268" t="n">
        <v>10468</v>
      </c>
      <c r="D121" s="268" t="n">
        <v>24770</v>
      </c>
      <c r="E121" s="269" t="n">
        <v>2.36625907527703</v>
      </c>
      <c r="F121" s="270" t="n">
        <v>0.900177306661284</v>
      </c>
      <c r="G121" s="292" t="n">
        <v>21.7</v>
      </c>
      <c r="H121" s="292" t="n">
        <v>29.47</v>
      </c>
      <c r="I121" s="142" t="n">
        <v>0.273</v>
      </c>
      <c r="J121" s="142" t="n">
        <v>0.143</v>
      </c>
      <c r="K121" s="142" t="n">
        <v>0.077</v>
      </c>
      <c r="L121" s="270" t="n">
        <v>8.69382317319338</v>
      </c>
      <c r="M121" s="272" t="n">
        <v>8.21796528058135</v>
      </c>
      <c r="N121" s="270" t="n">
        <v>15.1955061212302</v>
      </c>
      <c r="O121" s="273">
        <f>M121/N121</f>
        <v/>
      </c>
      <c r="P121" s="270" t="n">
        <v>2.0993580173186</v>
      </c>
      <c r="Q121" s="270" t="n">
        <v>2.7001343684682</v>
      </c>
      <c r="R121" s="270" t="n">
        <v>0.973275604658107</v>
      </c>
      <c r="S121" s="270" t="n">
        <v>5.31718423409973</v>
      </c>
      <c r="T121" s="270" t="n">
        <v>1.00365780830099</v>
      </c>
      <c r="U121" s="270" t="n">
        <v>0.532248432367871</v>
      </c>
      <c r="V121" s="270" t="n">
        <v>1.750821140639</v>
      </c>
      <c r="W121" s="270" t="n">
        <v>0.818826515377725</v>
      </c>
      <c r="X121" s="274" t="n">
        <v>0.0174404521598708</v>
      </c>
      <c r="Y121" s="269" t="n">
        <v>8.235405732741221</v>
      </c>
      <c r="Z121" s="275" t="n">
        <v>413</v>
      </c>
      <c r="AA121" s="275" t="n">
        <v>279</v>
      </c>
      <c r="AB121" s="270" t="n">
        <v>3108.87</v>
      </c>
      <c r="AC121" s="290" t="n"/>
      <c r="AD121" s="276">
        <f>Z121/D121</f>
        <v/>
      </c>
      <c r="AE121" s="141">
        <f>AA121/D121</f>
        <v/>
      </c>
      <c r="AF121" s="270">
        <f>AB121/Z121</f>
        <v/>
      </c>
      <c r="AG121" s="277">
        <f>AD121*AF121</f>
        <v/>
      </c>
      <c r="AH121" s="131" t="n">
        <v>0.369029423003439</v>
      </c>
      <c r="AI121" s="131" t="n">
        <v>0.25019105846389</v>
      </c>
      <c r="AJ121" s="270" t="n">
        <v>0.590633831247477</v>
      </c>
      <c r="AK121" s="130" t="n">
        <v>0.22289059345983</v>
      </c>
      <c r="AL121" s="130" t="n">
        <v>0.0233750504642713</v>
      </c>
      <c r="AM121" s="133" t="n">
        <v>0</v>
      </c>
    </row>
    <row customHeight="1" ht="13.2" outlineLevel="1" r="122" s="3">
      <c r="A122" s="117" t="n">
        <v>43463</v>
      </c>
      <c r="B122" s="305" t="inlineStr">
        <is>
          <t>iOS</t>
        </is>
      </c>
      <c r="C122" s="268" t="n">
        <v>13307</v>
      </c>
      <c r="D122" s="268" t="n">
        <v>28163</v>
      </c>
      <c r="E122" s="269" t="n">
        <v>2.11640489967686</v>
      </c>
      <c r="F122" s="270" t="n">
        <v>0.791121260022015</v>
      </c>
      <c r="G122" s="292" t="n">
        <v>19.53</v>
      </c>
      <c r="H122" s="292" t="n">
        <v>27.6</v>
      </c>
      <c r="I122" s="142" t="n">
        <v>0.295</v>
      </c>
      <c r="J122" s="142" t="n">
        <v>0.15</v>
      </c>
      <c r="K122" s="142" t="n">
        <v>0.092</v>
      </c>
      <c r="L122" s="270" t="n">
        <v>8.918261548840681</v>
      </c>
      <c r="M122" s="272" t="n">
        <v>8.218336114760501</v>
      </c>
      <c r="N122" s="270" t="n">
        <v>15.2291748914331</v>
      </c>
      <c r="O122" s="273">
        <f>M122/N122</f>
        <v/>
      </c>
      <c r="P122" s="270" t="n">
        <v>2.1916041584419</v>
      </c>
      <c r="Q122" s="270" t="n">
        <v>2.67285169101198</v>
      </c>
      <c r="R122" s="270" t="n">
        <v>0.947624687458876</v>
      </c>
      <c r="S122" s="270" t="n">
        <v>5.20489538097118</v>
      </c>
      <c r="T122" s="270" t="n">
        <v>1.05599420976444</v>
      </c>
      <c r="U122" s="270" t="n">
        <v>0.556915383603106</v>
      </c>
      <c r="V122" s="270" t="n">
        <v>1.76095538886696</v>
      </c>
      <c r="W122" s="270" t="n">
        <v>0.838333991314647</v>
      </c>
      <c r="X122" s="274" t="n">
        <v>0.0215886091680574</v>
      </c>
      <c r="Y122" s="269" t="n">
        <v>8.23992472392856</v>
      </c>
      <c r="Z122" s="275" t="n">
        <v>478</v>
      </c>
      <c r="AA122" s="275" t="n">
        <v>313</v>
      </c>
      <c r="AB122" s="270" t="n">
        <v>3786.22</v>
      </c>
      <c r="AC122" s="290" t="n"/>
      <c r="AD122" s="276">
        <f>Z122/D122</f>
        <v/>
      </c>
      <c r="AE122" s="141">
        <f>AA122/D122</f>
        <v/>
      </c>
      <c r="AF122" s="270">
        <f>AB122/Z122</f>
        <v/>
      </c>
      <c r="AG122" s="277">
        <f>AD122*AF122</f>
        <v/>
      </c>
      <c r="AH122" s="131" t="n">
        <v>0.407379574659953</v>
      </c>
      <c r="AI122" s="131" t="n">
        <v>0.270609453671</v>
      </c>
      <c r="AJ122" s="270" t="n">
        <v>0.581756204949757</v>
      </c>
      <c r="AK122" s="130" t="n">
        <v>0.219578880090899</v>
      </c>
      <c r="AL122" s="130" t="n">
        <v>0.0198487377055001</v>
      </c>
      <c r="AM122" s="133" t="n">
        <v>0</v>
      </c>
    </row>
    <row customHeight="1" ht="13.2" outlineLevel="1" r="123" s="3">
      <c r="A123" s="117" t="n">
        <v>43464</v>
      </c>
      <c r="B123" s="289" t="inlineStr">
        <is>
          <t>iOS</t>
        </is>
      </c>
      <c r="C123" s="268" t="n">
        <v>16971</v>
      </c>
      <c r="D123" s="268" t="n">
        <v>33682</v>
      </c>
      <c r="E123" s="269" t="n">
        <v>1.98467974780508</v>
      </c>
      <c r="F123" s="270" t="n">
        <v>0.778761155780536</v>
      </c>
      <c r="G123" s="292" t="n">
        <v>18.4</v>
      </c>
      <c r="H123" s="292" t="n">
        <v>26.86</v>
      </c>
      <c r="I123" s="142" t="n">
        <v>0.294</v>
      </c>
      <c r="J123" s="142" t="n">
        <v>0.155</v>
      </c>
      <c r="K123" s="142" t="n">
        <v>0.091</v>
      </c>
      <c r="L123" s="270" t="n">
        <v>9.648476931298619</v>
      </c>
      <c r="M123" s="272" t="n">
        <v>9.235823288403299</v>
      </c>
      <c r="N123" s="270" t="n">
        <v>17.0595557992871</v>
      </c>
      <c r="O123" s="273">
        <f>M123/N123</f>
        <v/>
      </c>
      <c r="P123" s="270" t="n">
        <v>2.45182341650672</v>
      </c>
      <c r="Q123" s="270" t="n">
        <v>3.09350150808884</v>
      </c>
      <c r="R123" s="270" t="n">
        <v>0.959034823142309</v>
      </c>
      <c r="S123" s="270" t="n">
        <v>5.87063339731286</v>
      </c>
      <c r="T123" s="270" t="n">
        <v>1.18585138469975</v>
      </c>
      <c r="U123" s="270" t="n">
        <v>0.521195503153277</v>
      </c>
      <c r="V123" s="270" t="n">
        <v>2.04239100630655</v>
      </c>
      <c r="W123" s="270" t="n">
        <v>0.935124760076776</v>
      </c>
      <c r="X123" s="274" t="n">
        <v>0.0146665874948043</v>
      </c>
      <c r="Y123" s="269" t="n">
        <v>9.25048987589811</v>
      </c>
      <c r="Z123" s="275" t="n">
        <v>487</v>
      </c>
      <c r="AA123" s="275" t="n">
        <v>349</v>
      </c>
      <c r="AB123" s="270" t="n">
        <v>3751.13</v>
      </c>
      <c r="AC123" s="290" t="n"/>
      <c r="AD123" s="276">
        <f>Z123/D123</f>
        <v/>
      </c>
      <c r="AE123" s="141">
        <f>AA123/D123</f>
        <v/>
      </c>
      <c r="AF123" s="270">
        <f>AB123/Z123</f>
        <v/>
      </c>
      <c r="AG123" s="277">
        <f>AD123*AF123</f>
        <v/>
      </c>
      <c r="AH123" s="131" t="n">
        <v>0.415355606623063</v>
      </c>
      <c r="AI123" s="131" t="n">
        <v>0.276412704024512</v>
      </c>
      <c r="AJ123" s="270" t="n">
        <v>0.453179739920432</v>
      </c>
      <c r="AK123" s="130" t="n">
        <v>0.179235199809988</v>
      </c>
      <c r="AL123" s="130" t="n">
        <v>0.0146072085980642</v>
      </c>
      <c r="AM123" s="133" t="n">
        <v>0.257793480197138</v>
      </c>
    </row>
    <row customHeight="1" ht="13.2" outlineLevel="1" r="124" s="3">
      <c r="A124" s="117" t="n">
        <v>43465</v>
      </c>
      <c r="B124" s="289" t="inlineStr">
        <is>
          <t>iOS</t>
        </is>
      </c>
      <c r="C124" s="268" t="n">
        <v>17200</v>
      </c>
      <c r="D124" s="268" t="n">
        <v>36543</v>
      </c>
      <c r="E124" s="269" t="n">
        <v>2.12459302325581</v>
      </c>
      <c r="F124" s="270" t="n">
        <v>0.909580817831048</v>
      </c>
      <c r="G124" s="292" t="n">
        <v>19.03</v>
      </c>
      <c r="H124" s="292" t="n">
        <v>27.46</v>
      </c>
      <c r="I124" s="142" t="n">
        <v>0.279</v>
      </c>
      <c r="J124" s="142" t="n">
        <v>0.155</v>
      </c>
      <c r="K124" s="142" t="n">
        <v>0.093</v>
      </c>
      <c r="L124" s="270" t="n">
        <v>9.89434364994664</v>
      </c>
      <c r="M124" s="272" t="n">
        <v>9.21046438442383</v>
      </c>
      <c r="N124" s="270" t="n">
        <v>16.428055447091</v>
      </c>
      <c r="O124" s="273">
        <f>M124/N124</f>
        <v/>
      </c>
      <c r="P124" s="270" t="n">
        <v>2.33902772354549</v>
      </c>
      <c r="Q124" s="270" t="n">
        <v>3.10767278406872</v>
      </c>
      <c r="R124" s="270" t="n">
        <v>0.957389691526747</v>
      </c>
      <c r="S124" s="270" t="n">
        <v>5.52250097618118</v>
      </c>
      <c r="T124" s="270" t="n">
        <v>1.15057594689574</v>
      </c>
      <c r="U124" s="270" t="n">
        <v>0.528455681374463</v>
      </c>
      <c r="V124" s="270" t="n">
        <v>1.90604256149941</v>
      </c>
      <c r="W124" s="270" t="n">
        <v>0.916390081999219</v>
      </c>
      <c r="X124" s="274" t="n">
        <v>0.0192102454642476</v>
      </c>
      <c r="Y124" s="269" t="n">
        <v>9.229674629888081</v>
      </c>
      <c r="Z124" s="275" t="n">
        <v>561</v>
      </c>
      <c r="AA124" s="275" t="n">
        <v>368</v>
      </c>
      <c r="AB124" s="270" t="n">
        <v>4777.39</v>
      </c>
      <c r="AC124" s="290" t="n"/>
      <c r="AD124" s="276" t="n">
        <v>0.0153517773581808</v>
      </c>
      <c r="AE124" s="141" t="n">
        <v>0.0100703281066141</v>
      </c>
      <c r="AF124" s="270" t="n">
        <v>8.51584670231729</v>
      </c>
      <c r="AG124" s="277" t="n">
        <v>0.130733382590373</v>
      </c>
      <c r="AH124" s="131" t="n">
        <v>0.43453488372093</v>
      </c>
      <c r="AI124" s="131" t="n">
        <v>0.310639534883721</v>
      </c>
      <c r="AJ124" s="270" t="n">
        <v>0.490545384889035</v>
      </c>
      <c r="AK124" s="130" t="n">
        <v>0.190788933585092</v>
      </c>
      <c r="AL124" s="130" t="n">
        <v>0.0144213666092001</v>
      </c>
      <c r="AM124" s="133" t="n">
        <v>0.255726130859535</v>
      </c>
    </row>
    <row customHeight="1" ht="13.2" r="125" s="3">
      <c r="A125" s="117" t="n">
        <v>43466</v>
      </c>
      <c r="B125" s="289" t="inlineStr">
        <is>
          <t>iOS</t>
        </is>
      </c>
      <c r="C125" s="268" t="n">
        <v>17062</v>
      </c>
      <c r="D125" s="268" t="n">
        <v>36904</v>
      </c>
      <c r="E125" s="269" t="n">
        <v>2.16293517758762</v>
      </c>
      <c r="F125" s="270" t="n">
        <v>0.282611323975721</v>
      </c>
      <c r="G125" s="292" t="n">
        <v>18.57</v>
      </c>
      <c r="H125" s="292" t="n">
        <v>26.48</v>
      </c>
      <c r="I125" s="142" t="n">
        <v>0.297</v>
      </c>
      <c r="J125" s="142" t="n">
        <v>0.152</v>
      </c>
      <c r="K125" s="142" t="n">
        <v>0.09</v>
      </c>
      <c r="L125" s="270" t="n">
        <v>9.10272599176241</v>
      </c>
      <c r="M125" s="272" t="n">
        <v>8.03893886841535</v>
      </c>
      <c r="N125" s="270" t="n">
        <v>14.8758461615604</v>
      </c>
      <c r="O125" s="273">
        <f>M125/N125</f>
        <v/>
      </c>
      <c r="P125" s="270" t="n">
        <v>2.25231910946197</v>
      </c>
      <c r="Q125" s="270" t="n">
        <v>2.89525146668004</v>
      </c>
      <c r="R125" s="270" t="n">
        <v>0.804994233565662</v>
      </c>
      <c r="S125" s="270" t="n">
        <v>4.74662788948503</v>
      </c>
      <c r="T125" s="270" t="n">
        <v>1.07636764779622</v>
      </c>
      <c r="U125" s="270" t="n">
        <v>0.501629644486787</v>
      </c>
      <c r="V125" s="270" t="n">
        <v>1.74387002958432</v>
      </c>
      <c r="W125" s="270" t="n">
        <v>0.854786140500426</v>
      </c>
      <c r="X125" s="274" t="n">
        <v>0.0172880988510731</v>
      </c>
      <c r="Y125" s="269" t="n">
        <v>8.05622696726642</v>
      </c>
      <c r="Z125" s="275" t="n">
        <v>507</v>
      </c>
      <c r="AA125" s="275" t="n">
        <v>327</v>
      </c>
      <c r="AB125" s="270" t="n">
        <v>4514.93</v>
      </c>
      <c r="AC125" s="290" t="n"/>
      <c r="AD125" s="276" t="n">
        <v>0.0137383481465424</v>
      </c>
      <c r="AE125" s="141" t="n">
        <v>0.008860828094515501</v>
      </c>
      <c r="AF125" s="270" t="n">
        <v>8.90518737672584</v>
      </c>
      <c r="AG125" s="277" t="n">
        <v>0.122342564491654</v>
      </c>
      <c r="AH125" s="131" t="n">
        <v>0.419587387176181</v>
      </c>
      <c r="AI125" s="131" t="n">
        <v>0.281033876450592</v>
      </c>
      <c r="AJ125" s="270" t="n">
        <v>0.434126381964015</v>
      </c>
      <c r="AK125" s="130" t="n">
        <v>0.1814437459354</v>
      </c>
      <c r="AL125" s="130" t="n">
        <v>0.0133047908085844</v>
      </c>
      <c r="AM125" s="133" t="n">
        <v>0.227427921092564</v>
      </c>
    </row>
    <row customFormat="1" customHeight="1" ht="12.45" outlineLevel="1" r="126" s="294">
      <c r="A126" s="121" t="n">
        <v>43467</v>
      </c>
      <c r="B126" s="289" t="inlineStr">
        <is>
          <t>iOS</t>
        </is>
      </c>
      <c r="C126" s="296" t="n">
        <v>17319</v>
      </c>
      <c r="D126" s="296" t="n">
        <v>40318</v>
      </c>
      <c r="E126" s="297" t="n">
        <v>2.3279635082857</v>
      </c>
      <c r="F126" s="294" t="n">
        <v>0.335375698199315</v>
      </c>
      <c r="G126" s="298" t="n">
        <v>19.85</v>
      </c>
      <c r="H126" s="298" t="n">
        <v>29.62</v>
      </c>
      <c r="I126" s="124" t="n">
        <v>0.298</v>
      </c>
      <c r="J126" s="124" t="n">
        <v>0.166</v>
      </c>
      <c r="K126" s="124" t="n">
        <v>0.094</v>
      </c>
      <c r="L126" s="294" t="n">
        <v>10.0469269308993</v>
      </c>
      <c r="M126" s="299" t="n">
        <v>9.543305719529741</v>
      </c>
      <c r="N126" s="294" t="n">
        <v>16.4303954223247</v>
      </c>
      <c r="O126" s="300">
        <f>M126/N126</f>
        <v/>
      </c>
      <c r="P126" s="294" t="n">
        <v>2.28636091895123</v>
      </c>
      <c r="Q126" s="294" t="n">
        <v>3.0713553676659</v>
      </c>
      <c r="R126" s="294" t="n">
        <v>0.945042275172944</v>
      </c>
      <c r="S126" s="294" t="n">
        <v>5.50520966777692</v>
      </c>
      <c r="T126" s="294" t="n">
        <v>1.16807583909813</v>
      </c>
      <c r="U126" s="294" t="n">
        <v>0.565291655991118</v>
      </c>
      <c r="V126" s="294" t="n">
        <v>1.9512340934324</v>
      </c>
      <c r="W126" s="294" t="n">
        <v>0.937825604236058</v>
      </c>
      <c r="X126" s="301" t="n">
        <v>0.0133687186864428</v>
      </c>
      <c r="Y126" s="297" t="n">
        <v>9.556674438216181</v>
      </c>
      <c r="Z126" s="293" t="n">
        <v>746</v>
      </c>
      <c r="AA126" s="293" t="n">
        <v>432</v>
      </c>
      <c r="AB126" s="294" t="n">
        <v>5853.54</v>
      </c>
      <c r="AC126" s="302" t="n"/>
      <c r="AD126" s="303" t="n">
        <v>0.0185029019296592</v>
      </c>
      <c r="AE126" s="123" t="n">
        <v>0.0107148172032343</v>
      </c>
      <c r="AF126" s="294" t="n">
        <v>7.84656836461126</v>
      </c>
      <c r="AG126" s="304" t="n">
        <v>0.145184284934769</v>
      </c>
      <c r="AH126" s="135" t="n">
        <v>0.469137940989665</v>
      </c>
      <c r="AI126" s="135" t="n">
        <v>0.352214331081471</v>
      </c>
      <c r="AJ126" s="294" t="n">
        <v>0.570266382261025</v>
      </c>
      <c r="AK126" s="136" t="n">
        <v>0.219653752666303</v>
      </c>
      <c r="AL126" s="136" t="n">
        <v>0.0160722258048514</v>
      </c>
      <c r="AM126" s="137" t="n">
        <v>0.205863386080659</v>
      </c>
    </row>
    <row customHeight="1" ht="13.2" outlineLevel="1" r="127" s="3">
      <c r="A127" s="117" t="n">
        <v>43468</v>
      </c>
      <c r="B127" s="267" t="inlineStr">
        <is>
          <t>iOS</t>
        </is>
      </c>
      <c r="C127" s="268" t="n">
        <v>11352</v>
      </c>
      <c r="D127" s="268" t="n">
        <v>35293</v>
      </c>
      <c r="E127" s="269" t="n">
        <v>3.10896758280479</v>
      </c>
      <c r="F127" s="270" t="n">
        <v>0.284637319015102</v>
      </c>
      <c r="G127" s="292" t="n">
        <v>18.61</v>
      </c>
      <c r="H127" s="292" t="n">
        <v>26.36</v>
      </c>
      <c r="I127" s="142" t="n">
        <v>0.304</v>
      </c>
      <c r="J127" s="142" t="n">
        <v>0.166</v>
      </c>
      <c r="K127" s="142" t="n">
        <v>0.093</v>
      </c>
      <c r="L127" s="270" t="n">
        <v>10.3208851613634</v>
      </c>
      <c r="M127" s="272" t="n">
        <v>10.09752642167</v>
      </c>
      <c r="N127" s="270" t="n">
        <v>16.5208845208845</v>
      </c>
      <c r="O127" s="273">
        <f>M127/N127</f>
        <v/>
      </c>
      <c r="P127" s="270" t="n">
        <v>2.18427518427518</v>
      </c>
      <c r="Q127" s="270" t="n">
        <v>3.05122618330165</v>
      </c>
      <c r="R127" s="270" t="n">
        <v>0.9952714292336931</v>
      </c>
      <c r="S127" s="270" t="n">
        <v>5.66900004635854</v>
      </c>
      <c r="T127" s="270" t="n">
        <v>1.15020165963562</v>
      </c>
      <c r="U127" s="270" t="n">
        <v>0.568680172453757</v>
      </c>
      <c r="V127" s="270" t="n">
        <v>1.95447591674007</v>
      </c>
      <c r="W127" s="270" t="n">
        <v>0.947753928886004</v>
      </c>
      <c r="X127" s="274" t="n">
        <v>0.0186155894936673</v>
      </c>
      <c r="Y127" s="269" t="n">
        <v>10.1161420111637</v>
      </c>
      <c r="Z127" s="275" t="n">
        <v>621</v>
      </c>
      <c r="AA127" s="275" t="n">
        <v>418</v>
      </c>
      <c r="AB127" s="270" t="n">
        <v>4348.79</v>
      </c>
      <c r="AC127" s="290" t="n"/>
      <c r="AD127" s="276" t="n">
        <v>0.0175955571926444</v>
      </c>
      <c r="AE127" s="141" t="n">
        <v>0.0118437083840988</v>
      </c>
      <c r="AF127" s="270" t="n">
        <v>7.00288244766505</v>
      </c>
      <c r="AG127" s="277" t="n">
        <v>0.123219618621256</v>
      </c>
      <c r="AH127" s="131" t="n">
        <v>0.478946441155743</v>
      </c>
      <c r="AI127" s="131" t="n">
        <v>0.391032417195208</v>
      </c>
      <c r="AJ127" s="270" t="n">
        <v>0.69798543620548</v>
      </c>
      <c r="AK127" s="130" t="n">
        <v>0.290397529255093</v>
      </c>
      <c r="AL127" s="130" t="n">
        <v>0.0213923440908962</v>
      </c>
      <c r="AM127" s="133" t="n">
        <v>0</v>
      </c>
    </row>
    <row customHeight="1" ht="13.2" outlineLevel="1" r="128" s="3">
      <c r="A128" s="117" t="n">
        <v>43469</v>
      </c>
      <c r="B128" s="267" t="inlineStr">
        <is>
          <t>iOS</t>
        </is>
      </c>
      <c r="C128" s="268" t="n">
        <v>7154</v>
      </c>
      <c r="D128" s="268" t="n">
        <v>30537</v>
      </c>
      <c r="E128" s="269" t="n">
        <v>4.26852110707297</v>
      </c>
      <c r="F128" s="270" t="n">
        <v>0.286134541703507</v>
      </c>
      <c r="G128" s="292" t="n">
        <v>16.81</v>
      </c>
      <c r="H128" s="292" t="n">
        <v>23.07</v>
      </c>
      <c r="I128" s="142" t="n">
        <v>0.277</v>
      </c>
      <c r="J128" s="142" t="n">
        <v>0.15</v>
      </c>
      <c r="K128" s="142" t="n">
        <v>0.08599999999999999</v>
      </c>
      <c r="L128" s="270" t="n">
        <v>9.88355110194191</v>
      </c>
      <c r="M128" s="272" t="n">
        <v>10.3144709696434</v>
      </c>
      <c r="N128" s="270" t="n">
        <v>16.3809548574995</v>
      </c>
      <c r="O128" s="273">
        <f>M128/N128</f>
        <v/>
      </c>
      <c r="P128" s="270" t="n">
        <v>2.18935926773455</v>
      </c>
      <c r="Q128" s="270" t="n">
        <v>3.04269814853339</v>
      </c>
      <c r="R128" s="270" t="n">
        <v>1.00088412731433</v>
      </c>
      <c r="S128" s="270" t="n">
        <v>5.57265446224256</v>
      </c>
      <c r="T128" s="270" t="n">
        <v>1.15264198044518</v>
      </c>
      <c r="U128" s="270" t="n">
        <v>0.540461826503016</v>
      </c>
      <c r="V128" s="270" t="n">
        <v>1.92521323070522</v>
      </c>
      <c r="W128" s="270" t="n">
        <v>0.957041814021219</v>
      </c>
      <c r="X128" s="274" t="n">
        <v>0.0181746733470871</v>
      </c>
      <c r="Y128" s="269" t="n">
        <v>10.3326456429905</v>
      </c>
      <c r="Z128" s="275" t="n">
        <v>545</v>
      </c>
      <c r="AA128" s="275" t="n">
        <v>364</v>
      </c>
      <c r="AB128" s="270" t="n">
        <v>3782.55</v>
      </c>
      <c r="AC128" s="290" t="n"/>
      <c r="AD128" s="276" t="n">
        <v>0.0178472017552477</v>
      </c>
      <c r="AE128" s="141" t="n">
        <v>0.0119199659429544</v>
      </c>
      <c r="AF128" s="270" t="n">
        <v>6.94045871559633</v>
      </c>
      <c r="AG128" s="277" t="n">
        <v>0.123867766971215</v>
      </c>
      <c r="AH128" s="131" t="n">
        <v>0.471624266144814</v>
      </c>
      <c r="AI128" s="131" t="n">
        <v>0.416410399776349</v>
      </c>
      <c r="AJ128" s="270" t="n">
        <v>0.705275567344533</v>
      </c>
      <c r="AK128" s="130" t="n">
        <v>0.324950060582245</v>
      </c>
      <c r="AL128" s="130" t="n">
        <v>0.0248550938206111</v>
      </c>
      <c r="AM128" s="133" t="n">
        <v>0</v>
      </c>
    </row>
    <row customHeight="1" ht="13.2" outlineLevel="1" r="129" s="3">
      <c r="A129" s="117" t="n">
        <v>43470</v>
      </c>
      <c r="B129" s="289" t="inlineStr">
        <is>
          <t>iOS</t>
        </is>
      </c>
      <c r="C129" s="268" t="n">
        <v>4904</v>
      </c>
      <c r="D129" s="268" t="n">
        <v>26883</v>
      </c>
      <c r="E129" s="269" t="n">
        <v>5.4818515497553</v>
      </c>
      <c r="F129" s="270" t="n">
        <v>0.399744370047986</v>
      </c>
      <c r="G129" s="292" t="n">
        <v>15.38</v>
      </c>
      <c r="H129" s="292" t="n">
        <v>21.76</v>
      </c>
      <c r="I129" s="142" t="n">
        <v>0.283</v>
      </c>
      <c r="J129" s="142" t="n">
        <v>0.147</v>
      </c>
      <c r="K129" s="142" t="n">
        <v>0.089</v>
      </c>
      <c r="L129" s="270" t="n">
        <v>10.9910724249526</v>
      </c>
      <c r="M129" s="272" t="n">
        <v>12.7976044340289</v>
      </c>
      <c r="N129" s="270" t="n">
        <v>19.7461975549561</v>
      </c>
      <c r="O129" s="273">
        <f>M129/N129</f>
        <v/>
      </c>
      <c r="P129" s="270" t="n">
        <v>2.53928714917064</v>
      </c>
      <c r="Q129" s="270" t="n">
        <v>3.58853239970154</v>
      </c>
      <c r="R129" s="270" t="n">
        <v>1.12374447569305</v>
      </c>
      <c r="S129" s="270" t="n">
        <v>7.19313551053206</v>
      </c>
      <c r="T129" s="270" t="n">
        <v>1.36853584342536</v>
      </c>
      <c r="U129" s="270" t="n">
        <v>0.450668656373759</v>
      </c>
      <c r="V129" s="270" t="n">
        <v>2.41594444125581</v>
      </c>
      <c r="W129" s="270" t="n">
        <v>1.06634907880388</v>
      </c>
      <c r="X129" s="274" t="n">
        <v>0.018189934159134</v>
      </c>
      <c r="Y129" s="269" t="n">
        <v>12.8157943681881</v>
      </c>
      <c r="Z129" s="275" t="n">
        <v>591</v>
      </c>
      <c r="AA129" s="275" t="n">
        <v>391</v>
      </c>
      <c r="AB129" s="270" t="n">
        <v>4652.09</v>
      </c>
      <c r="AC129" s="290" t="n"/>
      <c r="AD129" s="276" t="n">
        <v>0.0219841535542908</v>
      </c>
      <c r="AE129" s="141" t="n">
        <v>0.0145445076814344</v>
      </c>
      <c r="AF129" s="270" t="n">
        <v>7.87155668358714</v>
      </c>
      <c r="AG129" s="277" t="n">
        <v>0.173049510843284</v>
      </c>
      <c r="AH129" s="131" t="n">
        <v>0.480424143556281</v>
      </c>
      <c r="AI129" s="131" t="n">
        <v>0.417822185970636</v>
      </c>
      <c r="AJ129" s="270" t="n">
        <v>0.59468809284678</v>
      </c>
      <c r="AK129" s="130" t="n">
        <v>0.309824052375107</v>
      </c>
      <c r="AL129" s="130" t="n">
        <v>0.0241788490867835</v>
      </c>
      <c r="AM129" s="133" t="n">
        <v>0.375032548450694</v>
      </c>
    </row>
    <row customHeight="1" ht="13.2" outlineLevel="1" r="130" s="3">
      <c r="A130" s="117" t="n">
        <v>43471</v>
      </c>
      <c r="B130" s="289" t="inlineStr">
        <is>
          <t>iOS</t>
        </is>
      </c>
      <c r="C130" s="268" t="n">
        <v>7214</v>
      </c>
      <c r="D130" s="268" t="n">
        <v>28232</v>
      </c>
      <c r="E130" s="269" t="n">
        <v>3.91350152481286</v>
      </c>
      <c r="F130" s="270" t="n">
        <v>0.376509053556248</v>
      </c>
      <c r="G130" s="292" t="n">
        <v>16.43</v>
      </c>
      <c r="H130" s="292" t="n">
        <v>22.5</v>
      </c>
      <c r="I130" s="142" t="n">
        <v>0.3</v>
      </c>
      <c r="J130" s="142" t="n">
        <v>0.15</v>
      </c>
      <c r="K130" s="142" t="n">
        <v>0.094</v>
      </c>
      <c r="L130" s="270" t="n">
        <v>9.79615330121848</v>
      </c>
      <c r="M130" s="272" t="n">
        <v>11.8830759421933</v>
      </c>
      <c r="N130" s="270" t="n">
        <v>19.0767087455931</v>
      </c>
      <c r="O130" s="273">
        <f>M130/N130</f>
        <v/>
      </c>
      <c r="P130" s="270" t="n">
        <v>2.50398043898556</v>
      </c>
      <c r="Q130" s="270" t="n">
        <v>3.41487546912317</v>
      </c>
      <c r="R130" s="270" t="n">
        <v>1.18691004207893</v>
      </c>
      <c r="S130" s="270" t="n">
        <v>6.82116456272034</v>
      </c>
      <c r="T130" s="270" t="n">
        <v>1.36910042078926</v>
      </c>
      <c r="U130" s="270" t="n">
        <v>0.465370180825657</v>
      </c>
      <c r="V130" s="270" t="n">
        <v>2.2631070169453</v>
      </c>
      <c r="W130" s="270" t="n">
        <v>1.05220061412487</v>
      </c>
      <c r="X130" s="274" t="n">
        <v>0.0191272315103429</v>
      </c>
      <c r="Y130" s="269" t="n">
        <v>11.9022031737036</v>
      </c>
      <c r="Z130" s="275" t="n">
        <v>544</v>
      </c>
      <c r="AA130" s="275" t="n">
        <v>351</v>
      </c>
      <c r="AB130" s="270" t="n">
        <v>4601.56</v>
      </c>
      <c r="AC130" s="290" t="n"/>
      <c r="AD130" s="276" t="n">
        <v>0.0192689147067158</v>
      </c>
      <c r="AE130" s="141" t="n">
        <v>0.0124327004817229</v>
      </c>
      <c r="AF130" s="270" t="n">
        <v>8.45875</v>
      </c>
      <c r="AG130" s="277" t="n">
        <v>0.162990932275432</v>
      </c>
      <c r="AH130" s="131" t="n">
        <v>0.427779317992792</v>
      </c>
      <c r="AI130" s="131" t="n">
        <v>0.298586082617133</v>
      </c>
      <c r="AJ130" s="270" t="n">
        <v>0.561313403230377</v>
      </c>
      <c r="AK130" s="130" t="n">
        <v>0.293213374893738</v>
      </c>
      <c r="AL130" s="130" t="n">
        <v>0.0250425049589119</v>
      </c>
      <c r="AM130" s="133" t="n">
        <v>0.326013034854066</v>
      </c>
    </row>
    <row customHeight="1" ht="13.2" outlineLevel="1" r="131" s="3">
      <c r="A131" s="117" t="n">
        <v>43472</v>
      </c>
      <c r="B131" s="289" t="inlineStr">
        <is>
          <t>iOS</t>
        </is>
      </c>
      <c r="C131" s="268" t="n">
        <v>12465</v>
      </c>
      <c r="D131" s="268" t="n">
        <v>33494</v>
      </c>
      <c r="E131" s="269" t="n">
        <v>2.68704372242278</v>
      </c>
      <c r="F131" s="270" t="n">
        <v>0.359058305965247</v>
      </c>
      <c r="G131" s="292" t="n">
        <v>17.95</v>
      </c>
      <c r="H131" s="271" t="n">
        <v>24.65</v>
      </c>
      <c r="I131" s="142" t="n">
        <v>0.306</v>
      </c>
      <c r="J131" s="142" t="n">
        <v>0.159</v>
      </c>
      <c r="K131" s="142" t="n">
        <v>0.095</v>
      </c>
      <c r="L131" s="270" t="n">
        <v>9.377590016122291</v>
      </c>
      <c r="M131" s="272" t="n">
        <v>10.4908640353496</v>
      </c>
      <c r="N131" s="270" t="n">
        <v>17.5374825314434</v>
      </c>
      <c r="O131" s="273">
        <f>M131/N131</f>
        <v/>
      </c>
      <c r="P131" s="270" t="n">
        <v>2.44674585745658</v>
      </c>
      <c r="Q131" s="270" t="n">
        <v>3.16914553803154</v>
      </c>
      <c r="R131" s="270" t="n">
        <v>1.05510081852665</v>
      </c>
      <c r="S131" s="270" t="n">
        <v>6.0285486124975</v>
      </c>
      <c r="T131" s="270" t="n">
        <v>1.28768217209024</v>
      </c>
      <c r="U131" s="270" t="n">
        <v>0.485476142942703</v>
      </c>
      <c r="V131" s="270" t="n">
        <v>2.08195248552605</v>
      </c>
      <c r="W131" s="270" t="n">
        <v>0.9828309043721301</v>
      </c>
      <c r="X131" s="274" t="n">
        <v>0.0149877590016122</v>
      </c>
      <c r="Y131" s="269" t="n">
        <v>10.5058517943512</v>
      </c>
      <c r="Z131" s="275" t="n">
        <v>581</v>
      </c>
      <c r="AA131" s="275" t="n">
        <v>376</v>
      </c>
      <c r="AB131" s="270" t="n">
        <v>5206.19</v>
      </c>
      <c r="AC131" s="290" t="n"/>
      <c r="AD131" s="276" t="n">
        <v>0.0173463903982803</v>
      </c>
      <c r="AE131" s="141" t="n">
        <v>0.0112258912043948</v>
      </c>
      <c r="AF131" s="270" t="n">
        <v>8.96074010327022</v>
      </c>
      <c r="AG131" s="277" t="n">
        <v>0.155436496088852</v>
      </c>
      <c r="AH131" s="131" t="n">
        <v>0.423826714801444</v>
      </c>
      <c r="AI131" s="131" t="n">
        <v>0.283273164861613</v>
      </c>
      <c r="AJ131" s="270" t="n">
        <v>0.505254672478653</v>
      </c>
      <c r="AK131" s="130" t="n">
        <v>0.24664118946677</v>
      </c>
      <c r="AL131" s="130" t="n">
        <v>0.0225114945960471</v>
      </c>
      <c r="AM131" s="133" t="n">
        <v>0.282707350570251</v>
      </c>
    </row>
    <row customHeight="1" ht="13.2" outlineLevel="1" r="132" s="3">
      <c r="A132" s="117" t="n">
        <v>43473</v>
      </c>
      <c r="B132" s="289" t="inlineStr">
        <is>
          <t>iOS</t>
        </is>
      </c>
      <c r="C132" s="268" t="n">
        <v>18781</v>
      </c>
      <c r="D132" s="268" t="n">
        <v>40517</v>
      </c>
      <c r="E132" s="269" t="n">
        <v>2.15733986475694</v>
      </c>
      <c r="F132" s="270" t="n">
        <v>0.892818897253005</v>
      </c>
      <c r="G132" s="292" t="n">
        <v>18.19</v>
      </c>
      <c r="H132" s="271" t="n">
        <v>25.14</v>
      </c>
      <c r="I132" s="142" t="n">
        <v>0.324</v>
      </c>
      <c r="J132" s="142" t="n">
        <v>0.174</v>
      </c>
      <c r="K132" s="142" t="n">
        <v>0.103</v>
      </c>
      <c r="L132" s="270" t="n">
        <v>9.617321124466271</v>
      </c>
      <c r="M132" s="272" t="n">
        <v>9.47306069057433</v>
      </c>
      <c r="N132" s="270" t="n">
        <v>16.0299031072503</v>
      </c>
      <c r="O132" s="273">
        <f>M132/N132</f>
        <v/>
      </c>
      <c r="P132" s="270" t="n">
        <v>2.34622452388907</v>
      </c>
      <c r="Q132" s="270" t="n">
        <v>2.85745907116605</v>
      </c>
      <c r="R132" s="270" t="n">
        <v>0.950760106916138</v>
      </c>
      <c r="S132" s="270" t="n">
        <v>5.30170397594387</v>
      </c>
      <c r="T132" s="270" t="n">
        <v>1.20618944203141</v>
      </c>
      <c r="U132" s="270" t="n">
        <v>0.549031072502506</v>
      </c>
      <c r="V132" s="270" t="n">
        <v>1.90603073838958</v>
      </c>
      <c r="W132" s="270" t="n">
        <v>0.912504176411627</v>
      </c>
      <c r="X132" s="274" t="n">
        <v>0.0137719969395562</v>
      </c>
      <c r="Y132" s="269" t="n">
        <v>9.48683268751388</v>
      </c>
      <c r="Z132" s="275" t="n">
        <v>606</v>
      </c>
      <c r="AA132" s="275" t="n">
        <v>398</v>
      </c>
      <c r="AB132" s="270" t="n">
        <v>5071.94</v>
      </c>
      <c r="AC132" s="290" t="n"/>
      <c r="AD132" s="276" t="n">
        <v>0.0149566848483353</v>
      </c>
      <c r="AE132" s="141" t="n">
        <v>0.009823037243626129</v>
      </c>
      <c r="AF132" s="270" t="n">
        <v>8.36953795379538</v>
      </c>
      <c r="AG132" s="277" t="n">
        <v>0.125180541501098</v>
      </c>
      <c r="AH132" s="131" t="n">
        <v>0.457270645865502</v>
      </c>
      <c r="AI132" s="131" t="n">
        <v>0.296842553644641</v>
      </c>
      <c r="AJ132" s="270" t="n">
        <v>0.521929066811462</v>
      </c>
      <c r="AK132" s="130" t="n">
        <v>0.230471160253721</v>
      </c>
      <c r="AL132" s="130" t="n">
        <v>0.022089493299109</v>
      </c>
      <c r="AM132" s="133" t="n">
        <v>0.211269343732261</v>
      </c>
    </row>
    <row customFormat="1" customHeight="1" ht="12.45" outlineLevel="1" r="133" s="294">
      <c r="A133" s="121" t="n">
        <v>43474</v>
      </c>
      <c r="B133" s="295" t="inlineStr">
        <is>
          <t>iOS</t>
        </is>
      </c>
      <c r="C133" s="296" t="n">
        <v>23218</v>
      </c>
      <c r="D133" s="296" t="n">
        <v>47930</v>
      </c>
      <c r="E133" s="297" t="n">
        <v>2.0643466276165</v>
      </c>
      <c r="F133" s="294" t="n">
        <v>0.193408641769247</v>
      </c>
      <c r="G133" s="298" t="n">
        <v>18.45</v>
      </c>
      <c r="H133" s="306" t="n">
        <v>25.64</v>
      </c>
      <c r="I133" s="124" t="n">
        <v>0.34</v>
      </c>
      <c r="J133" s="124" t="n">
        <v>0.181</v>
      </c>
      <c r="K133" s="124" t="n">
        <v>0.104</v>
      </c>
      <c r="L133" s="294" t="n">
        <v>9.675046943459209</v>
      </c>
      <c r="M133" s="299" t="n">
        <v>8.988942207385771</v>
      </c>
      <c r="N133" s="294" t="n">
        <v>15.2796396779799</v>
      </c>
      <c r="O133" s="300">
        <f>M133/N133</f>
        <v/>
      </c>
      <c r="P133" s="294" t="n">
        <v>2.193566691492</v>
      </c>
      <c r="Q133" s="294" t="n">
        <v>2.63517395467603</v>
      </c>
      <c r="R133" s="294" t="n">
        <v>0.931623931623932</v>
      </c>
      <c r="S133" s="294" t="n">
        <v>5.14217824591269</v>
      </c>
      <c r="T133" s="294" t="n">
        <v>1.11008263290421</v>
      </c>
      <c r="U133" s="294" t="n">
        <v>0.585452353087208</v>
      </c>
      <c r="V133" s="294" t="n">
        <v>1.80278043763521</v>
      </c>
      <c r="W133" s="294" t="n">
        <v>0.878781430648651</v>
      </c>
      <c r="X133" s="301" t="n">
        <v>0.0131650323388275</v>
      </c>
      <c r="Y133" s="297" t="n">
        <v>9.0021072397246</v>
      </c>
      <c r="Z133" s="293" t="n">
        <v>598</v>
      </c>
      <c r="AA133" s="293" t="n">
        <v>420</v>
      </c>
      <c r="AB133" s="294" t="n">
        <v>4013.02</v>
      </c>
      <c r="AC133" s="302" t="n"/>
      <c r="AD133" s="303" t="n">
        <v>0.0124765282703943</v>
      </c>
      <c r="AE133" s="123" t="n">
        <v>0.008762779052785309</v>
      </c>
      <c r="AF133" s="294" t="n">
        <v>6.71073578595318</v>
      </c>
      <c r="AG133" s="304" t="n">
        <v>0.0837266847485917</v>
      </c>
      <c r="AH133" s="135" t="n">
        <v>0.470066327849083</v>
      </c>
      <c r="AI133" s="135" t="n">
        <v>0.31553105349298</v>
      </c>
      <c r="AJ133" s="294" t="n">
        <v>0.601752555810557</v>
      </c>
      <c r="AK133" s="136" t="n">
        <v>0.246067181306071</v>
      </c>
      <c r="AL133" s="136" t="n">
        <v>0.020655122052994</v>
      </c>
      <c r="AM133" s="137" t="n">
        <v>0</v>
      </c>
    </row>
    <row customHeight="1" ht="13.2" outlineLevel="1" r="134" s="3">
      <c r="A134" s="117" t="n">
        <v>43475</v>
      </c>
      <c r="B134" s="267" t="inlineStr">
        <is>
          <t>iOS</t>
        </is>
      </c>
      <c r="C134" s="268" t="n">
        <v>26529</v>
      </c>
      <c r="D134" s="268" t="n">
        <v>55280</v>
      </c>
      <c r="E134" s="269" t="n">
        <v>2.08375739756493</v>
      </c>
      <c r="F134" s="270" t="n">
        <v>0.217154625542692</v>
      </c>
      <c r="G134" s="292" t="n">
        <v>19.42</v>
      </c>
      <c r="H134" s="271" t="n">
        <v>27.39</v>
      </c>
      <c r="I134" s="142" t="n">
        <v>0.344</v>
      </c>
      <c r="J134" s="142" t="n">
        <v>0.179</v>
      </c>
      <c r="K134" s="142" t="n">
        <v>0.105</v>
      </c>
      <c r="L134" s="270" t="n">
        <v>9.88840448625181</v>
      </c>
      <c r="M134" s="272" t="n">
        <v>9.169753979739509</v>
      </c>
      <c r="N134" s="270" t="n">
        <v>15.2077283091324</v>
      </c>
      <c r="O134" s="273">
        <f>M134/N134</f>
        <v/>
      </c>
      <c r="P134" s="270" t="n">
        <v>2.24564982599304</v>
      </c>
      <c r="Q134" s="270" t="n">
        <v>2.69827793111724</v>
      </c>
      <c r="R134" s="270" t="n">
        <v>0.887585503420137</v>
      </c>
      <c r="S134" s="270" t="n">
        <v>4.95994839793592</v>
      </c>
      <c r="T134" s="270" t="n">
        <v>1.12777511100444</v>
      </c>
      <c r="U134" s="270" t="n">
        <v>0.599573982959318</v>
      </c>
      <c r="V134" s="270" t="n">
        <v>1.79902196087844</v>
      </c>
      <c r="W134" s="270" t="n">
        <v>0.889895595823833</v>
      </c>
      <c r="X134" s="274" t="n">
        <v>0.0136034732272069</v>
      </c>
      <c r="Y134" s="269" t="n">
        <v>9.18335745296671</v>
      </c>
      <c r="Z134" s="275" t="n">
        <v>733</v>
      </c>
      <c r="AA134" s="275" t="n">
        <v>518</v>
      </c>
      <c r="AB134" s="270" t="n">
        <v>5196.67</v>
      </c>
      <c r="AC134" s="290" t="n"/>
      <c r="AD134" s="276" t="n">
        <v>0.0132597684515195</v>
      </c>
      <c r="AE134" s="141" t="n">
        <v>0.009370477568740959</v>
      </c>
      <c r="AF134" s="270" t="n">
        <v>7.08959072305593</v>
      </c>
      <c r="AG134" s="277" t="n">
        <v>0.0940063314037627</v>
      </c>
      <c r="AH134" s="131" t="n">
        <v>0.497794865995703</v>
      </c>
      <c r="AI134" s="131" t="n">
        <v>0.344754796637642</v>
      </c>
      <c r="AJ134" s="270" t="n">
        <v>0.591877713458755</v>
      </c>
      <c r="AK134" s="130" t="n">
        <v>0.248082489146165</v>
      </c>
      <c r="AL134" s="130" t="n">
        <v>0.0188314037626628</v>
      </c>
      <c r="AM134" s="133" t="n">
        <v>0</v>
      </c>
    </row>
    <row customHeight="1" ht="13.2" outlineLevel="1" r="135" s="3">
      <c r="A135" s="117" t="n">
        <v>43476</v>
      </c>
      <c r="B135" s="267" t="inlineStr">
        <is>
          <t>iOS</t>
        </is>
      </c>
      <c r="C135" s="268" t="n">
        <v>27207</v>
      </c>
      <c r="D135" s="268" t="n">
        <v>60488</v>
      </c>
      <c r="E135" s="269" t="n">
        <v>2.22325136913294</v>
      </c>
      <c r="F135" s="270" t="n">
        <v>0.243159884605211</v>
      </c>
      <c r="G135" s="292" t="n">
        <v>19.48</v>
      </c>
      <c r="H135" s="271" t="n">
        <v>28.38</v>
      </c>
      <c r="I135" s="142" t="n">
        <v>0.349</v>
      </c>
      <c r="J135" s="142" t="n">
        <v>0.193</v>
      </c>
      <c r="K135" s="142" t="n">
        <v>0.106</v>
      </c>
      <c r="L135" s="270" t="n">
        <v>9.87911651897897</v>
      </c>
      <c r="M135" s="272" t="n">
        <v>9.040470837190851</v>
      </c>
      <c r="N135" s="270" t="n">
        <v>14.747572815534</v>
      </c>
      <c r="O135" s="273">
        <f>M135/N135</f>
        <v/>
      </c>
      <c r="P135" s="270" t="n">
        <v>2.167071197411</v>
      </c>
      <c r="Q135" s="270" t="n">
        <v>2.68576051779935</v>
      </c>
      <c r="R135" s="270" t="n">
        <v>0.85811758360302</v>
      </c>
      <c r="S135" s="270" t="n">
        <v>4.7039644012945</v>
      </c>
      <c r="T135" s="270" t="n">
        <v>1.09924487594391</v>
      </c>
      <c r="U135" s="270" t="n">
        <v>0.593581445523193</v>
      </c>
      <c r="V135" s="270" t="n">
        <v>1.7618932038835</v>
      </c>
      <c r="W135" s="270" t="n">
        <v>0.877939590075512</v>
      </c>
      <c r="X135" s="274" t="n">
        <v>0.0160858352069832</v>
      </c>
      <c r="Y135" s="269" t="n">
        <v>9.05655667239783</v>
      </c>
      <c r="Z135" s="275" t="n">
        <v>879</v>
      </c>
      <c r="AA135" s="275" t="n">
        <v>605</v>
      </c>
      <c r="AB135" s="270" t="n">
        <v>6367.21</v>
      </c>
      <c r="AC135" s="290" t="n"/>
      <c r="AD135" s="276" t="n">
        <v>0.0145318079619098</v>
      </c>
      <c r="AE135" s="141" t="n">
        <v>0.0100019838645682</v>
      </c>
      <c r="AF135" s="270" t="n">
        <v>7.24369738339021</v>
      </c>
      <c r="AG135" s="277" t="n">
        <v>0.105264019309615</v>
      </c>
      <c r="AH135" s="131" t="n">
        <v>0.50556841989194</v>
      </c>
      <c r="AI135" s="131" t="n">
        <v>0.364428272135847</v>
      </c>
      <c r="AJ135" s="270" t="n">
        <v>0.5835702949345321</v>
      </c>
      <c r="AK135" s="130" t="n">
        <v>0.258927390556805</v>
      </c>
      <c r="AL135" s="130" t="n">
        <v>0.0175737336331173</v>
      </c>
      <c r="AM135" s="133" t="n">
        <v>0</v>
      </c>
    </row>
    <row customHeight="1" ht="13.2" outlineLevel="1" r="136" s="3">
      <c r="A136" s="117" t="n">
        <v>43477</v>
      </c>
      <c r="B136" s="289" t="inlineStr">
        <is>
          <t>iOS</t>
        </is>
      </c>
      <c r="C136" s="268" t="n">
        <v>30825</v>
      </c>
      <c r="D136" s="268" t="n">
        <v>67750</v>
      </c>
      <c r="E136" s="269" t="n">
        <v>2.19789132197891</v>
      </c>
      <c r="F136" s="270" t="n">
        <v>0.256825288560886</v>
      </c>
      <c r="G136" s="292" t="n">
        <v>20.29</v>
      </c>
      <c r="H136" s="271" t="n">
        <v>29.43</v>
      </c>
      <c r="I136" s="142" t="n">
        <v>0.356</v>
      </c>
      <c r="J136" s="142" t="n">
        <v>0.194</v>
      </c>
      <c r="K136" s="142" t="n">
        <v>0.109</v>
      </c>
      <c r="L136" s="270" t="n">
        <v>9.770066420664209</v>
      </c>
      <c r="M136" s="272" t="n">
        <v>9.08622878228782</v>
      </c>
      <c r="N136" s="270" t="n">
        <v>14.7327206586253</v>
      </c>
      <c r="O136" s="273">
        <f>M136/N136</f>
        <v/>
      </c>
      <c r="P136" s="270" t="n">
        <v>2.18418533409918</v>
      </c>
      <c r="Q136" s="270" t="n">
        <v>2.67351139192035</v>
      </c>
      <c r="R136" s="270" t="n">
        <v>0.851928968026039</v>
      </c>
      <c r="S136" s="270" t="n">
        <v>4.70814187248708</v>
      </c>
      <c r="T136" s="270" t="n">
        <v>1.08244782691939</v>
      </c>
      <c r="U136" s="270" t="n">
        <v>0.583381198544898</v>
      </c>
      <c r="V136" s="270" t="n">
        <v>1.76838024124067</v>
      </c>
      <c r="W136" s="270" t="n">
        <v>0.880743825387708</v>
      </c>
      <c r="X136" s="274" t="n">
        <v>0.0149815498154982</v>
      </c>
      <c r="Y136" s="269" t="n">
        <v>9.101210332103321</v>
      </c>
      <c r="Z136" s="275" t="n">
        <v>1057</v>
      </c>
      <c r="AA136" s="275" t="n">
        <v>701</v>
      </c>
      <c r="AB136" s="270" t="n">
        <v>7532.43</v>
      </c>
      <c r="AC136" s="290" t="n"/>
      <c r="AD136" s="276" t="n">
        <v>0.0156014760147601</v>
      </c>
      <c r="AE136" s="141" t="n">
        <v>0.0103468634686347</v>
      </c>
      <c r="AF136" s="270" t="n">
        <v>7.12623462630085</v>
      </c>
      <c r="AG136" s="277" t="n">
        <v>0.111179778597786</v>
      </c>
      <c r="AH136" s="131" t="n">
        <v>0.523114355231144</v>
      </c>
      <c r="AI136" s="131" t="n">
        <v>0.362303325223033</v>
      </c>
      <c r="AJ136" s="270" t="n">
        <v>0.585830258302583</v>
      </c>
      <c r="AK136" s="130" t="n">
        <v>0.258007380073801</v>
      </c>
      <c r="AL136" s="130" t="n">
        <v>0.0164428044280443</v>
      </c>
      <c r="AM136" s="133" t="n">
        <v>0</v>
      </c>
    </row>
    <row customHeight="1" ht="13.2" outlineLevel="1" r="137" s="3">
      <c r="A137" s="117" t="n">
        <v>43478</v>
      </c>
      <c r="B137" s="289" t="inlineStr">
        <is>
          <t>iOS</t>
        </is>
      </c>
      <c r="C137" s="268" t="n">
        <v>32322</v>
      </c>
      <c r="D137" s="268" t="n">
        <v>74327</v>
      </c>
      <c r="E137" s="269" t="n">
        <v>2.29957923395829</v>
      </c>
      <c r="F137" s="270" t="n">
        <v>0.951392629273346</v>
      </c>
      <c r="G137" s="292" t="n">
        <v>19.76</v>
      </c>
      <c r="H137" s="271" t="n">
        <v>29.03</v>
      </c>
      <c r="I137" s="142" t="n">
        <v>0.366</v>
      </c>
      <c r="J137" s="142" t="n">
        <v>0.194</v>
      </c>
      <c r="K137" s="142" t="n">
        <v>0.114</v>
      </c>
      <c r="L137" s="270" t="n">
        <v>9.99354205066799</v>
      </c>
      <c r="M137" s="272" t="n">
        <v>9.816674963337681</v>
      </c>
      <c r="N137" s="270" t="n">
        <v>15.6086937919822</v>
      </c>
      <c r="O137" s="273">
        <f>M137/N137</f>
        <v/>
      </c>
      <c r="P137" s="270" t="n">
        <v>2.21347281050785</v>
      </c>
      <c r="Q137" s="270" t="n">
        <v>2.80432550378642</v>
      </c>
      <c r="R137" s="270" t="n">
        <v>0.932208103367133</v>
      </c>
      <c r="S137" s="270" t="n">
        <v>5.14114576648269</v>
      </c>
      <c r="T137" s="270" t="n">
        <v>1.11380652890087</v>
      </c>
      <c r="U137" s="270" t="n">
        <v>0.5940187395713</v>
      </c>
      <c r="V137" s="270" t="n">
        <v>1.88970179266675</v>
      </c>
      <c r="W137" s="270" t="n">
        <v>0.920014546699183</v>
      </c>
      <c r="X137" s="274" t="n">
        <v>0.0145169319359049</v>
      </c>
      <c r="Y137" s="269" t="n">
        <v>9.831191895273591</v>
      </c>
      <c r="Z137" s="275" t="n">
        <v>1240</v>
      </c>
      <c r="AA137" s="275" t="n">
        <v>809</v>
      </c>
      <c r="AB137" s="270" t="n">
        <v>8691.6</v>
      </c>
      <c r="AC137" s="290" t="n"/>
      <c r="AD137" s="276" t="n">
        <v>0.0166830357743485</v>
      </c>
      <c r="AE137" s="141" t="n">
        <v>0.0108843354366516</v>
      </c>
      <c r="AF137" s="270" t="n">
        <v>7.00935483870968</v>
      </c>
      <c r="AG137" s="277" t="n">
        <v>0.116937317529296</v>
      </c>
      <c r="AH137" s="131" t="n">
        <v>0.541767217375162</v>
      </c>
      <c r="AI137" s="131" t="n">
        <v>0.389889239527257</v>
      </c>
      <c r="AJ137" s="270" t="n">
        <v>0.629730784237222</v>
      </c>
      <c r="AK137" s="130" t="n">
        <v>0.270951336660971</v>
      </c>
      <c r="AL137" s="130" t="n">
        <v>0.0159968786578229</v>
      </c>
      <c r="AM137" s="133" t="n">
        <v>0</v>
      </c>
    </row>
    <row customHeight="1" ht="13.2" outlineLevel="1" r="138" s="3">
      <c r="A138" s="117" t="n">
        <v>43479</v>
      </c>
      <c r="B138" s="289" t="inlineStr">
        <is>
          <t>iOS</t>
        </is>
      </c>
      <c r="C138" s="268" t="n">
        <v>28768</v>
      </c>
      <c r="D138" s="268" t="n">
        <v>76013</v>
      </c>
      <c r="E138" s="269" t="n">
        <v>2.64227614015573</v>
      </c>
      <c r="F138" s="270" t="n">
        <v>0.970896892899899</v>
      </c>
      <c r="G138" s="292" t="n">
        <v>20.62</v>
      </c>
      <c r="H138" s="271" t="n">
        <v>29.77</v>
      </c>
      <c r="I138" s="142" t="n">
        <v>0.351</v>
      </c>
      <c r="J138" s="142" t="n">
        <v>0.19</v>
      </c>
      <c r="K138" s="142" t="n">
        <v>0.115</v>
      </c>
      <c r="L138" s="270" t="n">
        <v>10.3657269151329</v>
      </c>
      <c r="M138" s="272" t="n">
        <v>10.4399115940694</v>
      </c>
      <c r="N138" s="270" t="n">
        <v>16.2933785032338</v>
      </c>
      <c r="O138" s="273">
        <f>M138/N138</f>
        <v/>
      </c>
      <c r="P138" s="270" t="n">
        <v>2.25095986038394</v>
      </c>
      <c r="Q138" s="270" t="n">
        <v>3.08354378400575</v>
      </c>
      <c r="R138" s="270" t="n">
        <v>0.932881634329124</v>
      </c>
      <c r="S138" s="270" t="n">
        <v>5.38673647469459</v>
      </c>
      <c r="T138" s="270" t="n">
        <v>1.14082743044862</v>
      </c>
      <c r="U138" s="270" t="n">
        <v>0.545056975669849</v>
      </c>
      <c r="V138" s="270" t="n">
        <v>1.99396365876193</v>
      </c>
      <c r="W138" s="270" t="n">
        <v>0.959408684939944</v>
      </c>
      <c r="X138" s="274" t="n">
        <v>0.0160235749148172</v>
      </c>
      <c r="Y138" s="269" t="n">
        <v>10.4559351689843</v>
      </c>
      <c r="Z138" s="275" t="n">
        <v>1221</v>
      </c>
      <c r="AA138" s="275" t="n">
        <v>813</v>
      </c>
      <c r="AB138" s="270" t="n">
        <v>8594.790000000001</v>
      </c>
      <c r="AC138" s="290" t="n"/>
      <c r="AD138" s="276" t="n">
        <v>0.0160630418481049</v>
      </c>
      <c r="AE138" s="141" t="n">
        <v>0.010695538920974</v>
      </c>
      <c r="AF138" s="270" t="n">
        <v>7.03914004914005</v>
      </c>
      <c r="AG138" s="277" t="n">
        <v>0.113070001184008</v>
      </c>
      <c r="AH138" s="131" t="n">
        <v>0.540670189098999</v>
      </c>
      <c r="AI138" s="131" t="n">
        <v>0.407431868743048</v>
      </c>
      <c r="AJ138" s="270" t="n">
        <v>0.615276334311236</v>
      </c>
      <c r="AK138" s="130" t="n">
        <v>0.286306289713602</v>
      </c>
      <c r="AL138" s="130" t="n">
        <v>0.0164182442476945</v>
      </c>
      <c r="AM138" s="133" t="n">
        <v>0.176127767618697</v>
      </c>
    </row>
    <row customHeight="1" ht="13.2" outlineLevel="1" r="139" s="3">
      <c r="A139" s="117" t="n">
        <v>43480</v>
      </c>
      <c r="B139" s="289" t="inlineStr">
        <is>
          <t>iOS</t>
        </is>
      </c>
      <c r="C139" s="268" t="n">
        <v>23881</v>
      </c>
      <c r="D139" s="268" t="n">
        <v>72699</v>
      </c>
      <c r="E139" s="269" t="n">
        <v>3.04421925380009</v>
      </c>
      <c r="F139" s="270" t="n">
        <v>1.06056285065819</v>
      </c>
      <c r="G139" s="292" t="n">
        <v>20.3</v>
      </c>
      <c r="H139" s="271" t="n">
        <v>30.59</v>
      </c>
      <c r="I139" s="142" t="n">
        <v>0.352</v>
      </c>
      <c r="J139" s="142" t="n">
        <v>0.191</v>
      </c>
      <c r="K139" s="142" t="n">
        <v>0.108</v>
      </c>
      <c r="L139" s="270" t="n">
        <v>10.7534078873162</v>
      </c>
      <c r="M139" s="272" t="n">
        <v>11.4393870617202</v>
      </c>
      <c r="N139" s="270" t="n">
        <v>17.4848516704161</v>
      </c>
      <c r="O139" s="273">
        <f>M139/N139</f>
        <v/>
      </c>
      <c r="P139" s="270" t="n">
        <v>2.41460799360848</v>
      </c>
      <c r="Q139" s="270" t="n">
        <v>3.49050732712403</v>
      </c>
      <c r="R139" s="270" t="n">
        <v>0.94939343607426</v>
      </c>
      <c r="S139" s="270" t="n">
        <v>5.71858377310094</v>
      </c>
      <c r="T139" s="270" t="n">
        <v>1.22561655068015</v>
      </c>
      <c r="U139" s="270" t="n">
        <v>0.507663519962997</v>
      </c>
      <c r="V139" s="270" t="n">
        <v>2.14715219813721</v>
      </c>
      <c r="W139" s="270" t="n">
        <v>1.03132687172802</v>
      </c>
      <c r="X139" s="274" t="n">
        <v>0.0192024649582525</v>
      </c>
      <c r="Y139" s="269" t="n">
        <v>11.4585895266785</v>
      </c>
      <c r="Z139" s="275" t="n">
        <v>1190</v>
      </c>
      <c r="AA139" s="275" t="n">
        <v>754</v>
      </c>
      <c r="AB139" s="270" t="n">
        <v>9260.1</v>
      </c>
      <c r="AC139" s="290" t="n"/>
      <c r="AD139" s="276" t="n">
        <v>0.0163688633956451</v>
      </c>
      <c r="AE139" s="141" t="n">
        <v>0.010371531933039</v>
      </c>
      <c r="AF139" s="270" t="n">
        <v>7.78159663865546</v>
      </c>
      <c r="AG139" s="277" t="n">
        <v>0.127375892378162</v>
      </c>
      <c r="AH139" s="131" t="n">
        <v>0.539131527155479</v>
      </c>
      <c r="AI139" s="131" t="n">
        <v>0.422260374356183</v>
      </c>
      <c r="AJ139" s="270" t="n">
        <v>0.517311104691949</v>
      </c>
      <c r="AK139" s="130" t="n">
        <v>0.27026506554423</v>
      </c>
      <c r="AL139" s="130" t="n">
        <v>0.0153784783834716</v>
      </c>
      <c r="AM139" s="133" t="n">
        <v>0.388451010330266</v>
      </c>
    </row>
    <row customFormat="1" customHeight="1" ht="12.45" outlineLevel="1" r="140" s="294">
      <c r="A140" s="121" t="n">
        <v>43481</v>
      </c>
      <c r="B140" s="295" t="inlineStr">
        <is>
          <t>iOS</t>
        </is>
      </c>
      <c r="C140" s="296" t="n">
        <v>22414</v>
      </c>
      <c r="D140" s="296" t="n">
        <v>71605</v>
      </c>
      <c r="E140" s="297" t="n">
        <v>3.19465512626037</v>
      </c>
      <c r="F140" s="294" t="n">
        <v>1.05170215982124</v>
      </c>
      <c r="G140" s="298" t="n">
        <v>21.36</v>
      </c>
      <c r="H140" s="306" t="n">
        <v>32.67</v>
      </c>
      <c r="I140" s="124" t="n">
        <v>0.359</v>
      </c>
      <c r="J140" s="124" t="n">
        <v>0.191</v>
      </c>
      <c r="K140" s="124" t="n">
        <v>0.107</v>
      </c>
      <c r="L140" s="294" t="n">
        <v>10.0841002723274</v>
      </c>
      <c r="M140" s="299" t="n">
        <v>10.3483415962572</v>
      </c>
      <c r="N140" s="294" t="n">
        <v>15.8423235627392</v>
      </c>
      <c r="O140" s="300">
        <f>M140/N140</f>
        <v/>
      </c>
      <c r="P140" s="294" t="n">
        <v>2.2333397472901</v>
      </c>
      <c r="Q140" s="294" t="n">
        <v>3.07059628418104</v>
      </c>
      <c r="R140" s="294" t="n">
        <v>0.970773736985013</v>
      </c>
      <c r="S140" s="294" t="n">
        <v>5.00068415538879</v>
      </c>
      <c r="T140" s="294" t="n">
        <v>1.1589378487589</v>
      </c>
      <c r="U140" s="294" t="n">
        <v>0.531118380262117</v>
      </c>
      <c r="V140" s="294" t="n">
        <v>1.93395762512561</v>
      </c>
      <c r="W140" s="294" t="n">
        <v>0.942915784747611</v>
      </c>
      <c r="X140" s="301" t="n">
        <v>0.0182529152992109</v>
      </c>
      <c r="Y140" s="297" t="n">
        <v>10.3665945115565</v>
      </c>
      <c r="Z140" s="293" t="n">
        <v>1095</v>
      </c>
      <c r="AA140" s="293" t="n">
        <v>729</v>
      </c>
      <c r="AB140" s="294" t="n">
        <v>9672.049999999999</v>
      </c>
      <c r="AC140" s="302" t="n"/>
      <c r="AD140" s="303" t="n">
        <v>0.015292228196355</v>
      </c>
      <c r="AE140" s="123" t="n">
        <v>0.0101808532923679</v>
      </c>
      <c r="AF140" s="294" t="n">
        <v>8.83292237442922</v>
      </c>
      <c r="AG140" s="304" t="n">
        <v>0.135075064590462</v>
      </c>
      <c r="AH140" s="135" t="n">
        <v>0.574417774605158</v>
      </c>
      <c r="AI140" s="135" t="n">
        <v>0.449897385562595</v>
      </c>
      <c r="AJ140" s="294" t="n">
        <v>0.557838139794707</v>
      </c>
      <c r="AK140" s="136" t="n">
        <v>0.289588715871797</v>
      </c>
      <c r="AL140" s="136" t="n">
        <v>0.0183367083304239</v>
      </c>
      <c r="AM140" s="137" t="n">
        <v>0.295412331541093</v>
      </c>
    </row>
    <row customHeight="1" ht="13.2" outlineLevel="1" r="141" s="3">
      <c r="A141" s="117" t="n">
        <v>43482</v>
      </c>
      <c r="B141" s="267" t="inlineStr">
        <is>
          <t>iOS</t>
        </is>
      </c>
      <c r="C141" s="268" t="n">
        <v>28810</v>
      </c>
      <c r="D141" s="268" t="n">
        <v>78223</v>
      </c>
      <c r="E141" s="269" t="n">
        <v>2.71513363415481</v>
      </c>
      <c r="F141" s="270" t="n">
        <v>0.857014475205502</v>
      </c>
      <c r="G141" s="292" t="n">
        <v>21.03</v>
      </c>
      <c r="H141" s="271" t="n">
        <v>30.64</v>
      </c>
      <c r="I141" s="142" t="n">
        <v>0.369</v>
      </c>
      <c r="J141" s="142" t="n">
        <v>0.194</v>
      </c>
      <c r="K141" s="142" t="n">
        <v>0.109</v>
      </c>
      <c r="L141" s="270" t="n">
        <v>9.673983355279139</v>
      </c>
      <c r="M141" s="272" t="n">
        <v>9.21032177236874</v>
      </c>
      <c r="N141" s="270" t="n">
        <v>14.5647313306109</v>
      </c>
      <c r="O141" s="273">
        <f>M141/N141</f>
        <v/>
      </c>
      <c r="P141" s="270" t="n">
        <v>2.10671976711276</v>
      </c>
      <c r="Q141" s="270" t="n">
        <v>2.63188856992682</v>
      </c>
      <c r="R141" s="270" t="n">
        <v>0.909432741681155</v>
      </c>
      <c r="S141" s="270" t="n">
        <v>4.63619455787814</v>
      </c>
      <c r="T141" s="270" t="n">
        <v>1.0767597946064</v>
      </c>
      <c r="U141" s="270" t="n">
        <v>0.568309545950754</v>
      </c>
      <c r="V141" s="270" t="n">
        <v>1.75971374277281</v>
      </c>
      <c r="W141" s="270" t="n">
        <v>0.8757126106820849</v>
      </c>
      <c r="X141" s="274" t="n">
        <v>0.0178591974227529</v>
      </c>
      <c r="Y141" s="269" t="n">
        <v>9.22818096979149</v>
      </c>
      <c r="Z141" s="275" t="n">
        <v>1047</v>
      </c>
      <c r="AA141" s="275" t="n">
        <v>725</v>
      </c>
      <c r="AB141" s="270" t="n">
        <v>7386.53</v>
      </c>
      <c r="AC141" s="290" t="n"/>
      <c r="AD141" s="276" t="n">
        <v>0.0133848100942178</v>
      </c>
      <c r="AE141" s="141" t="n">
        <v>0.00926837375196553</v>
      </c>
      <c r="AF141" s="270" t="n">
        <v>7.05494746895893</v>
      </c>
      <c r="AG141" s="277" t="n">
        <v>0.0944291320966979</v>
      </c>
      <c r="AH141" s="131" t="n">
        <v>0.523568205484207</v>
      </c>
      <c r="AI141" s="131" t="n">
        <v>0.368622006247831</v>
      </c>
      <c r="AJ141" s="270" t="n">
        <v>0.510642649860016</v>
      </c>
      <c r="AK141" s="130" t="n">
        <v>0.297917492297662</v>
      </c>
      <c r="AL141" s="130" t="n">
        <v>0.0191248098385385</v>
      </c>
      <c r="AM141" s="133" t="n">
        <v>0</v>
      </c>
    </row>
    <row customHeight="1" ht="13.2" outlineLevel="1" r="142" s="3">
      <c r="A142" s="117" t="n">
        <v>43483</v>
      </c>
      <c r="B142" s="267" t="inlineStr">
        <is>
          <t>iOS</t>
        </is>
      </c>
      <c r="C142" s="268" t="n">
        <v>32690</v>
      </c>
      <c r="D142" s="268" t="n">
        <v>85057</v>
      </c>
      <c r="E142" s="269" t="n">
        <v>2.60192719486081</v>
      </c>
      <c r="F142" s="270" t="n">
        <v>0.897518025124328</v>
      </c>
      <c r="G142" s="292" t="n">
        <v>19.5</v>
      </c>
      <c r="H142" s="271" t="n">
        <v>28.76</v>
      </c>
      <c r="I142" s="142" t="n">
        <v>0.358</v>
      </c>
      <c r="J142" s="142" t="n">
        <v>0.2</v>
      </c>
      <c r="K142" s="142" t="n">
        <v>0.109</v>
      </c>
      <c r="L142" s="270" t="n">
        <v>9.90112512785544</v>
      </c>
      <c r="M142" s="272" t="n">
        <v>9.345838672889951</v>
      </c>
      <c r="N142" s="270" t="n">
        <v>14.7624610013371</v>
      </c>
      <c r="O142" s="273">
        <f>M142/N142</f>
        <v/>
      </c>
      <c r="P142" s="270" t="n">
        <v>2.1327068786213</v>
      </c>
      <c r="Q142" s="270" t="n">
        <v>2.72708364284653</v>
      </c>
      <c r="R142" s="270" t="n">
        <v>0.895093596790967</v>
      </c>
      <c r="S142" s="270" t="n">
        <v>4.68286658743129</v>
      </c>
      <c r="T142" s="270" t="n">
        <v>1.08273287772991</v>
      </c>
      <c r="U142" s="270" t="n">
        <v>0.570550438270688</v>
      </c>
      <c r="V142" s="270" t="n">
        <v>1.78534021690685</v>
      </c>
      <c r="W142" s="270" t="n">
        <v>0.886086762739563</v>
      </c>
      <c r="X142" s="274" t="n">
        <v>0.0205274110302503</v>
      </c>
      <c r="Y142" s="269" t="n">
        <v>9.3663660839202</v>
      </c>
      <c r="Z142" s="275" t="n">
        <v>1218</v>
      </c>
      <c r="AA142" s="275" t="n">
        <v>839</v>
      </c>
      <c r="AB142" s="270" t="n">
        <v>8529.82</v>
      </c>
      <c r="AC142" s="290" t="n"/>
      <c r="AD142" s="276" t="n">
        <v>0.0143198090692124</v>
      </c>
      <c r="AE142" s="141" t="n">
        <v>0.00986397357066438</v>
      </c>
      <c r="AF142" s="270" t="n">
        <v>7.00313628899836</v>
      </c>
      <c r="AG142" s="277" t="n">
        <v>0.100283574544129</v>
      </c>
      <c r="AH142" s="131" t="n">
        <v>0.530804527378403</v>
      </c>
      <c r="AI142" s="131" t="n">
        <v>0.377821963903334</v>
      </c>
      <c r="AJ142" s="270" t="n">
        <v>0.609720540343534</v>
      </c>
      <c r="AK142" s="130" t="n">
        <v>0.294625956711382</v>
      </c>
      <c r="AL142" s="130" t="n">
        <v>0.0185052376641546</v>
      </c>
      <c r="AM142" s="133" t="n">
        <v>0</v>
      </c>
    </row>
    <row customHeight="1" ht="13.2" outlineLevel="1" r="143" s="3">
      <c r="A143" s="117" t="n">
        <v>43484</v>
      </c>
      <c r="B143" s="289" t="inlineStr">
        <is>
          <t>iOS</t>
        </is>
      </c>
      <c r="C143" s="268" t="n">
        <v>36352</v>
      </c>
      <c r="D143" s="268" t="n">
        <v>91891</v>
      </c>
      <c r="E143" s="269" t="n">
        <v>2.52781139964789</v>
      </c>
      <c r="F143" s="270" t="n">
        <v>1.07029636234234</v>
      </c>
      <c r="G143" s="292" t="n">
        <v>18.75</v>
      </c>
      <c r="H143" s="271" t="n">
        <v>27.78</v>
      </c>
      <c r="I143" s="142" t="n">
        <v>0.365</v>
      </c>
      <c r="J143" s="142" t="n">
        <v>0.198</v>
      </c>
      <c r="K143" s="142" t="n">
        <v>0.115</v>
      </c>
      <c r="L143" s="270" t="n">
        <v>10.6654949886278</v>
      </c>
      <c r="M143" s="272" t="n">
        <v>11.0147457313556</v>
      </c>
      <c r="N143" s="270" t="n">
        <v>17.2867414732455</v>
      </c>
      <c r="O143" s="273">
        <f>M143/N143</f>
        <v/>
      </c>
      <c r="P143" s="270" t="n">
        <v>2.40513398575601</v>
      </c>
      <c r="Q143" s="270" t="n">
        <v>3.31017403631022</v>
      </c>
      <c r="R143" s="270" t="n">
        <v>0.869942443339994</v>
      </c>
      <c r="S143" s="270" t="n">
        <v>5.81841471537634</v>
      </c>
      <c r="T143" s="270" t="n">
        <v>1.21400146880497</v>
      </c>
      <c r="U143" s="270" t="n">
        <v>0.5200765144916401</v>
      </c>
      <c r="V143" s="270" t="n">
        <v>2.1505354306502</v>
      </c>
      <c r="W143" s="270" t="n">
        <v>0.998462878516165</v>
      </c>
      <c r="X143" s="274" t="n">
        <v>0.023429933290529</v>
      </c>
      <c r="Y143" s="269" t="n">
        <v>11.0381756646462</v>
      </c>
      <c r="Z143" s="275" t="n">
        <v>1589</v>
      </c>
      <c r="AA143" s="275" t="n">
        <v>1021</v>
      </c>
      <c r="AB143" s="270" t="n">
        <v>14250.11</v>
      </c>
      <c r="AC143" s="290" t="n"/>
      <c r="AD143" s="276" t="n">
        <v>0.017292226659847</v>
      </c>
      <c r="AE143" s="141" t="n">
        <v>0.0111109901949048</v>
      </c>
      <c r="AF143" s="270" t="n">
        <v>8.967973568281939</v>
      </c>
      <c r="AG143" s="277" t="n">
        <v>0.155076231622248</v>
      </c>
      <c r="AH143" s="131" t="n">
        <v>0.518981073943662</v>
      </c>
      <c r="AI143" s="131" t="n">
        <v>0.376127860915493</v>
      </c>
      <c r="AJ143" s="270" t="n">
        <v>0.502475759323546</v>
      </c>
      <c r="AK143" s="130" t="n">
        <v>0.251515382355182</v>
      </c>
      <c r="AL143" s="130" t="n">
        <v>0.0155510332894407</v>
      </c>
      <c r="AM143" s="133" t="n">
        <v>0.344027162616578</v>
      </c>
    </row>
    <row customHeight="1" ht="13.2" outlineLevel="1" r="144" s="3">
      <c r="A144" s="117" t="n">
        <v>43485</v>
      </c>
      <c r="B144" s="289" t="inlineStr">
        <is>
          <t>iOS</t>
        </is>
      </c>
      <c r="C144" s="268" t="n">
        <v>39917</v>
      </c>
      <c r="D144" s="268" t="n">
        <v>101057</v>
      </c>
      <c r="E144" s="269" t="n">
        <v>2.53167823233209</v>
      </c>
      <c r="F144" s="270" t="n">
        <v>0.995272552084467</v>
      </c>
      <c r="G144" s="292" t="n">
        <v>19.44</v>
      </c>
      <c r="H144" s="271" t="n">
        <v>29.32</v>
      </c>
      <c r="I144" s="142" t="n">
        <v>0.363</v>
      </c>
      <c r="J144" s="142" t="n">
        <v>0.191</v>
      </c>
      <c r="K144" s="142" t="n">
        <v>0.12</v>
      </c>
      <c r="L144" s="270" t="n">
        <v>10.2668494018227</v>
      </c>
      <c r="M144" s="272" t="n">
        <v>11.3489021047528</v>
      </c>
      <c r="N144" s="270" t="n">
        <v>17.6533624763341</v>
      </c>
      <c r="O144" s="273">
        <f>M144/N144</f>
        <v/>
      </c>
      <c r="P144" s="270" t="n">
        <v>2.39327658657472</v>
      </c>
      <c r="Q144" s="270" t="n">
        <v>3.45529268705651</v>
      </c>
      <c r="R144" s="270" t="n">
        <v>0.955792941031601</v>
      </c>
      <c r="S144" s="270" t="n">
        <v>5.93268890359721</v>
      </c>
      <c r="T144" s="270" t="n">
        <v>1.2173565040713</v>
      </c>
      <c r="U144" s="270" t="n">
        <v>0.540120368802623</v>
      </c>
      <c r="V144" s="270" t="n">
        <v>2.13851647759632</v>
      </c>
      <c r="W144" s="270" t="n">
        <v>1.02031800760386</v>
      </c>
      <c r="X144" s="274" t="n">
        <v>0.0196423800429461</v>
      </c>
      <c r="Y144" s="269" t="n">
        <v>11.3685444847957</v>
      </c>
      <c r="Z144" s="275" t="n">
        <v>1509</v>
      </c>
      <c r="AA144" s="275" t="n">
        <v>990</v>
      </c>
      <c r="AB144" s="270" t="n">
        <v>11722.91</v>
      </c>
      <c r="AC144" s="290" t="n"/>
      <c r="AD144" s="276" t="n">
        <v>0.0149321669948643</v>
      </c>
      <c r="AE144" s="141" t="n">
        <v>0.00979645150756504</v>
      </c>
      <c r="AF144" s="270" t="n">
        <v>7.76866136514248</v>
      </c>
      <c r="AG144" s="277" t="n">
        <v>0.116002948830858</v>
      </c>
      <c r="AH144" s="131" t="n">
        <v>0.536237693213418</v>
      </c>
      <c r="AI144" s="131" t="n">
        <v>0.387504070947215</v>
      </c>
      <c r="AJ144" s="270" t="n">
        <v>0.5283354938302151</v>
      </c>
      <c r="AK144" s="130" t="n">
        <v>0.247395034485488</v>
      </c>
      <c r="AL144" s="130" t="n">
        <v>0.0153477740285186</v>
      </c>
      <c r="AM144" s="133" t="n">
        <v>0.324826583017505</v>
      </c>
    </row>
    <row customHeight="1" ht="13.2" outlineLevel="1" r="145" s="3">
      <c r="A145" s="117" t="n">
        <v>43486</v>
      </c>
      <c r="B145" s="289" t="inlineStr">
        <is>
          <t>iOS</t>
        </is>
      </c>
      <c r="C145" s="268" t="n">
        <v>41042</v>
      </c>
      <c r="D145" s="268" t="n">
        <v>108297</v>
      </c>
      <c r="E145" s="269" t="n">
        <v>2.63868719847961</v>
      </c>
      <c r="F145" s="270" t="n">
        <v>1.03833017823208</v>
      </c>
      <c r="G145" s="292" t="n">
        <v>19.55</v>
      </c>
      <c r="H145" s="271" t="n">
        <v>28.8</v>
      </c>
      <c r="I145" s="142" t="n">
        <v>0.359</v>
      </c>
      <c r="J145" s="142" t="n">
        <v>0.194</v>
      </c>
      <c r="K145" s="142" t="n">
        <v>0.12</v>
      </c>
      <c r="L145" s="270" t="n">
        <v>10.3046714128739</v>
      </c>
      <c r="M145" s="272" t="n">
        <v>11.1796540993749</v>
      </c>
      <c r="N145" s="270" t="n">
        <v>17.333433549514</v>
      </c>
      <c r="O145" s="273">
        <f>M145/N145</f>
        <v/>
      </c>
      <c r="P145" s="270" t="n">
        <v>2.33041274749817</v>
      </c>
      <c r="Q145" s="270" t="n">
        <v>3.44003493249724</v>
      </c>
      <c r="R145" s="270" t="n">
        <v>0.954373004624261</v>
      </c>
      <c r="S145" s="270" t="n">
        <v>5.79126401236954</v>
      </c>
      <c r="T145" s="270" t="n">
        <v>1.1994301994302</v>
      </c>
      <c r="U145" s="270" t="n">
        <v>0.5287119357471119</v>
      </c>
      <c r="V145" s="270" t="n">
        <v>2.08239201706538</v>
      </c>
      <c r="W145" s="270" t="n">
        <v>1.00681470028204</v>
      </c>
      <c r="X145" s="274" t="n">
        <v>0.0190309980885897</v>
      </c>
      <c r="Y145" s="269" t="n">
        <v>11.1986850974635</v>
      </c>
      <c r="Z145" s="275" t="n">
        <v>1641</v>
      </c>
      <c r="AA145" s="275" t="n">
        <v>1085</v>
      </c>
      <c r="AB145" s="270" t="n">
        <v>12910.59</v>
      </c>
      <c r="AC145" s="290" t="n"/>
      <c r="AD145" s="276" t="n">
        <v>0.015152774315078</v>
      </c>
      <c r="AE145" s="141" t="n">
        <v>0.0100187447482386</v>
      </c>
      <c r="AF145" s="270" t="n">
        <v>7.86751371115174</v>
      </c>
      <c r="AG145" s="277" t="n">
        <v>0.119214659685864</v>
      </c>
      <c r="AH145" s="131" t="n">
        <v>0.521538911359096</v>
      </c>
      <c r="AI145" s="131" t="n">
        <v>0.384752205058233</v>
      </c>
      <c r="AJ145" s="270" t="n">
        <v>0.540439716704987</v>
      </c>
      <c r="AK145" s="130" t="n">
        <v>0.252869423899092</v>
      </c>
      <c r="AL145" s="130" t="n">
        <v>0.0150881372521861</v>
      </c>
      <c r="AM145" s="133" t="n">
        <v>0.31064572425829</v>
      </c>
    </row>
    <row customHeight="1" ht="13.2" outlineLevel="1" r="146" s="3">
      <c r="A146" s="117" t="n">
        <v>43487</v>
      </c>
      <c r="B146" s="289" t="inlineStr">
        <is>
          <t>iOS</t>
        </is>
      </c>
      <c r="C146" s="268" t="n">
        <v>43411</v>
      </c>
      <c r="D146" s="268" t="n">
        <v>113639</v>
      </c>
      <c r="E146" s="269" t="n">
        <v>2.61774665407385</v>
      </c>
      <c r="F146" s="270" t="n">
        <v>0.960423212699865</v>
      </c>
      <c r="G146" s="292" t="n">
        <v>19.92</v>
      </c>
      <c r="H146" s="271" t="n">
        <v>30.25</v>
      </c>
      <c r="I146" s="142" t="n">
        <v>0.37</v>
      </c>
      <c r="J146" s="142" t="n">
        <v>0.205</v>
      </c>
      <c r="K146" s="142" t="n">
        <v>0.118</v>
      </c>
      <c r="L146" s="270" t="n">
        <v>10.2413256012461</v>
      </c>
      <c r="M146" s="272" t="n">
        <v>10.5200591346281</v>
      </c>
      <c r="N146" s="270" t="n">
        <v>16.3289169956155</v>
      </c>
      <c r="O146" s="273">
        <f>M146/N146</f>
        <v/>
      </c>
      <c r="P146" s="270" t="n">
        <v>2.27205550926748</v>
      </c>
      <c r="Q146" s="270" t="n">
        <v>3.1629218854575</v>
      </c>
      <c r="R146" s="270" t="n">
        <v>0.925901137776078</v>
      </c>
      <c r="S146" s="270" t="n">
        <v>5.35798287189434</v>
      </c>
      <c r="T146" s="270" t="n">
        <v>1.14621720186306</v>
      </c>
      <c r="U146" s="270" t="n">
        <v>0.559135672626446</v>
      </c>
      <c r="V146" s="270" t="n">
        <v>1.9578626746616</v>
      </c>
      <c r="W146" s="270" t="n">
        <v>0.9468400420690311</v>
      </c>
      <c r="X146" s="274" t="n">
        <v>0.0182771759695175</v>
      </c>
      <c r="Y146" s="269" t="n">
        <v>10.5383363105976</v>
      </c>
      <c r="Z146" s="275" t="n">
        <v>1643</v>
      </c>
      <c r="AA146" s="275" t="n">
        <v>1082</v>
      </c>
      <c r="AB146" s="270" t="n">
        <v>11997.57</v>
      </c>
      <c r="AC146" s="290" t="n"/>
      <c r="AD146" s="276" t="n">
        <v>0.0144580645729019</v>
      </c>
      <c r="AE146" s="141" t="n">
        <v>0.009521379104004791</v>
      </c>
      <c r="AF146" s="270" t="n">
        <v>7.30223371880706</v>
      </c>
      <c r="AG146" s="277" t="n">
        <v>0.105576166632934</v>
      </c>
      <c r="AH146" s="131" t="n">
        <v>0.52168805141554</v>
      </c>
      <c r="AI146" s="131" t="n">
        <v>0.38193084702034</v>
      </c>
      <c r="AJ146" s="270" t="n">
        <v>0.559561418175098</v>
      </c>
      <c r="AK146" s="130" t="n">
        <v>0.262999498411637</v>
      </c>
      <c r="AL146" s="130" t="n">
        <v>0.0172563996515281</v>
      </c>
      <c r="AM146" s="133" t="n">
        <v>0.247943047721293</v>
      </c>
    </row>
    <row customFormat="1" customHeight="1" ht="12.45" outlineLevel="1" r="147" s="294">
      <c r="A147" s="121" t="n">
        <v>43488</v>
      </c>
      <c r="B147" s="295" t="inlineStr">
        <is>
          <t>iOS</t>
        </is>
      </c>
      <c r="C147" s="296" t="n">
        <v>48386</v>
      </c>
      <c r="D147" s="296" t="n">
        <v>122349</v>
      </c>
      <c r="E147" s="297" t="n">
        <v>2.52860331500847</v>
      </c>
      <c r="F147" s="294" t="n">
        <v>0.687250741558983</v>
      </c>
      <c r="G147" s="298" t="n">
        <v>20.03</v>
      </c>
      <c r="H147" s="306" t="n">
        <v>30.27</v>
      </c>
      <c r="I147" s="124" t="n">
        <v>0.371</v>
      </c>
      <c r="J147" s="124" t="n">
        <v>0.199</v>
      </c>
      <c r="K147" s="124" t="n">
        <v>0.115</v>
      </c>
      <c r="L147" s="294" t="n">
        <v>10.1719262110847</v>
      </c>
      <c r="M147" s="299" t="n">
        <v>9.835495181815951</v>
      </c>
      <c r="N147" s="294" t="n">
        <v>15.2649051146742</v>
      </c>
      <c r="O147" s="300">
        <f>M147/N147</f>
        <v/>
      </c>
      <c r="P147" s="294" t="n">
        <v>2.12888167241729</v>
      </c>
      <c r="Q147" s="294" t="n">
        <v>2.83099502740004</v>
      </c>
      <c r="R147" s="294" t="n">
        <v>0.894040491171098</v>
      </c>
      <c r="S147" s="294" t="n">
        <v>4.99237619240917</v>
      </c>
      <c r="T147" s="294" t="n">
        <v>1.10050487111833</v>
      </c>
      <c r="U147" s="294" t="n">
        <v>0.590356707935864</v>
      </c>
      <c r="V147" s="294" t="n">
        <v>1.83242845544956</v>
      </c>
      <c r="W147" s="294" t="n">
        <v>0.895321696772884</v>
      </c>
      <c r="X147" s="301" t="n">
        <v>0.0155293463779843</v>
      </c>
      <c r="Y147" s="297" t="n">
        <v>9.851024528193941</v>
      </c>
      <c r="Z147" s="293" t="n">
        <v>1726</v>
      </c>
      <c r="AA147" s="293" t="n">
        <v>1157</v>
      </c>
      <c r="AB147" s="294" t="n">
        <v>12315.74</v>
      </c>
      <c r="AC147" s="302" t="n"/>
      <c r="AD147" s="303" t="n">
        <v>0.0141071851833689</v>
      </c>
      <c r="AE147" s="123" t="n">
        <v>0.00945655461017254</v>
      </c>
      <c r="AF147" s="294" t="n">
        <v>7.13542294322132</v>
      </c>
      <c r="AG147" s="304" t="n">
        <v>0.100660732821682</v>
      </c>
      <c r="AH147" s="135" t="n">
        <v>0.5251312363080231</v>
      </c>
      <c r="AI147" s="135" t="n">
        <v>0.378725251105692</v>
      </c>
      <c r="AJ147" s="294" t="n">
        <v>0.618149719245764</v>
      </c>
      <c r="AK147" s="136" t="n">
        <v>0.285159666200786</v>
      </c>
      <c r="AL147" s="136" t="n">
        <v>0.0174827746855307</v>
      </c>
      <c r="AM147" s="137" t="n">
        <v>0</v>
      </c>
    </row>
    <row customHeight="1" ht="13.2" outlineLevel="1" r="148" s="3">
      <c r="A148" s="117" t="n">
        <v>43489</v>
      </c>
      <c r="B148" s="267" t="inlineStr">
        <is>
          <t>iOS</t>
        </is>
      </c>
      <c r="C148" s="268" t="n">
        <v>51682</v>
      </c>
      <c r="D148" s="268" t="n">
        <v>131736</v>
      </c>
      <c r="E148" s="269" t="n">
        <v>2.54897256298131</v>
      </c>
      <c r="F148" s="270" t="n">
        <v>0.852363692885771</v>
      </c>
      <c r="G148" s="292" t="n">
        <v>21.09</v>
      </c>
      <c r="H148" s="271" t="n">
        <v>31.81</v>
      </c>
      <c r="I148" s="142" t="n">
        <v>0.373</v>
      </c>
      <c r="J148" s="142" t="n">
        <v>0.205</v>
      </c>
      <c r="K148" s="142" t="n">
        <v>0.116</v>
      </c>
      <c r="L148" s="270" t="n">
        <v>10.2770996538532</v>
      </c>
      <c r="M148" s="272" t="n">
        <v>9.81898645776401</v>
      </c>
      <c r="N148" s="270" t="n">
        <v>15.0906948527696</v>
      </c>
      <c r="O148" s="273">
        <f>M148/N148</f>
        <v/>
      </c>
      <c r="P148" s="270" t="n">
        <v>2.15489523542862</v>
      </c>
      <c r="Q148" s="270" t="n">
        <v>2.85258294834103</v>
      </c>
      <c r="R148" s="270" t="n">
        <v>0.8815857016193011</v>
      </c>
      <c r="S148" s="270" t="n">
        <v>4.79086751598301</v>
      </c>
      <c r="T148" s="270" t="n">
        <v>1.10080965047366</v>
      </c>
      <c r="U148" s="270" t="n">
        <v>0.585491623500863</v>
      </c>
      <c r="V148" s="270" t="n">
        <v>1.82803677259788</v>
      </c>
      <c r="W148" s="270" t="n">
        <v>0.896425404825237</v>
      </c>
      <c r="X148" s="274" t="n">
        <v>0.0185902107244793</v>
      </c>
      <c r="Y148" s="269" t="n">
        <v>9.83757666848849</v>
      </c>
      <c r="Z148" s="275" t="n">
        <v>1832</v>
      </c>
      <c r="AA148" s="275" t="n">
        <v>1281</v>
      </c>
      <c r="AB148" s="270" t="n">
        <v>11965.68</v>
      </c>
      <c r="AC148" s="290" t="n"/>
      <c r="AD148" s="276" t="n">
        <v>0.0139066010809498</v>
      </c>
      <c r="AE148" s="141" t="n">
        <v>0.009723993441428311</v>
      </c>
      <c r="AF148" s="270" t="n">
        <v>6.53148471615721</v>
      </c>
      <c r="AG148" s="277" t="n">
        <v>0.0908307524139188</v>
      </c>
      <c r="AH148" s="131" t="n">
        <v>0.535021864478929</v>
      </c>
      <c r="AI148" s="131" t="n">
        <v>0.386130567702488</v>
      </c>
      <c r="AJ148" s="270" t="n">
        <v>0.615154551527297</v>
      </c>
      <c r="AK148" s="130" t="n">
        <v>0.291734985121759</v>
      </c>
      <c r="AL148" s="130" t="n">
        <v>0.0171251594097285</v>
      </c>
      <c r="AM148" s="133" t="n">
        <v>0</v>
      </c>
    </row>
    <row customHeight="1" ht="13.2" outlineLevel="1" r="149" s="3">
      <c r="A149" s="117" t="n">
        <v>43490</v>
      </c>
      <c r="B149" s="267" t="inlineStr">
        <is>
          <t>iOS</t>
        </is>
      </c>
      <c r="C149" s="268" t="n">
        <v>50561</v>
      </c>
      <c r="D149" s="268" t="n">
        <v>137744</v>
      </c>
      <c r="E149" s="269" t="n">
        <v>2.72431320583058</v>
      </c>
      <c r="F149" s="270" t="n">
        <v>0.8494911058194911</v>
      </c>
      <c r="G149" s="292" t="n">
        <v>19.77</v>
      </c>
      <c r="H149" s="271" t="n">
        <v>29.56</v>
      </c>
      <c r="I149" s="142" t="n">
        <v>0.371</v>
      </c>
      <c r="J149" s="142" t="n">
        <v>0.211</v>
      </c>
      <c r="K149" s="142" t="n">
        <v>0.117</v>
      </c>
      <c r="L149" s="270" t="n">
        <v>10.1067197119294</v>
      </c>
      <c r="M149" s="272" t="n">
        <v>9.73621355558137</v>
      </c>
      <c r="N149" s="270" t="n">
        <v>14.8602185089974</v>
      </c>
      <c r="O149" s="273">
        <f>M149/N149</f>
        <v/>
      </c>
      <c r="P149" s="270" t="n">
        <v>2.12639615282333</v>
      </c>
      <c r="Q149" s="270" t="n">
        <v>2.86173654817835</v>
      </c>
      <c r="R149" s="270" t="n">
        <v>0.878324173388884</v>
      </c>
      <c r="S149" s="270" t="n">
        <v>4.6669843099016</v>
      </c>
      <c r="T149" s="270" t="n">
        <v>1.07019546139527</v>
      </c>
      <c r="U149" s="270" t="n">
        <v>0.580312029075436</v>
      </c>
      <c r="V149" s="270" t="n">
        <v>1.78797314067902</v>
      </c>
      <c r="W149" s="270" t="n">
        <v>0.888296693555536</v>
      </c>
      <c r="X149" s="274" t="n">
        <v>0.0169444767104193</v>
      </c>
      <c r="Y149" s="269" t="n">
        <v>9.75315803229179</v>
      </c>
      <c r="Z149" s="275" t="n">
        <v>1934</v>
      </c>
      <c r="AA149" s="275" t="n">
        <v>1360</v>
      </c>
      <c r="AB149" s="270" t="n">
        <v>12490.66</v>
      </c>
      <c r="AC149" s="290" t="n"/>
      <c r="AD149" s="276" t="n">
        <v>0.0140405389708445</v>
      </c>
      <c r="AE149" s="141" t="n">
        <v>0.009873388314554541</v>
      </c>
      <c r="AF149" s="270" t="n">
        <v>6.45845915201655</v>
      </c>
      <c r="AG149" s="277" t="n">
        <v>0.09068024741549539</v>
      </c>
      <c r="AH149" s="131" t="n">
        <v>0.531417495698265</v>
      </c>
      <c r="AI149" s="131" t="n">
        <v>0.395304681473863</v>
      </c>
      <c r="AJ149" s="270" t="n">
        <v>0.6069012080381</v>
      </c>
      <c r="AK149" s="130" t="n">
        <v>0.299555697525845</v>
      </c>
      <c r="AL149" s="130" t="n">
        <v>0.0172276106400279</v>
      </c>
      <c r="AM149" s="133" t="n">
        <v>0</v>
      </c>
    </row>
    <row customHeight="1" ht="13.2" outlineLevel="1" r="150" s="3">
      <c r="A150" s="117" t="n">
        <v>43491</v>
      </c>
      <c r="B150" s="289" t="inlineStr">
        <is>
          <t>iOS</t>
        </is>
      </c>
      <c r="C150" s="268" t="n">
        <v>57886</v>
      </c>
      <c r="D150" s="268" t="n">
        <v>148761</v>
      </c>
      <c r="E150" s="269" t="n">
        <v>2.56989600248765</v>
      </c>
      <c r="F150" s="270" t="n">
        <v>0.29026641256781</v>
      </c>
      <c r="G150" s="292" t="n">
        <v>18.43</v>
      </c>
      <c r="H150" s="271" t="n">
        <v>28.26</v>
      </c>
      <c r="I150" s="142" t="n">
        <v>0.355</v>
      </c>
      <c r="J150" s="142" t="n">
        <v>0.194</v>
      </c>
      <c r="K150" s="142" t="n">
        <v>0.111</v>
      </c>
      <c r="L150" s="270" t="n">
        <v>10.5700149904881</v>
      </c>
      <c r="M150" s="272" t="n">
        <v>10.786483016382</v>
      </c>
      <c r="N150" s="270" t="n">
        <v>16.721459759694</v>
      </c>
      <c r="O150" s="273">
        <f>M150/N150</f>
        <v/>
      </c>
      <c r="P150" s="270" t="n">
        <v>2.35663446608518</v>
      </c>
      <c r="Q150" s="270" t="n">
        <v>3.22258000646096</v>
      </c>
      <c r="R150" s="270" t="n">
        <v>0.828524087910714</v>
      </c>
      <c r="S150" s="270" t="n">
        <v>5.57320161315534</v>
      </c>
      <c r="T150" s="270" t="n">
        <v>1.20624003501422</v>
      </c>
      <c r="U150" s="270" t="n">
        <v>0.519679869947166</v>
      </c>
      <c r="V150" s="270" t="n">
        <v>2.05767968237096</v>
      </c>
      <c r="W150" s="270" t="n">
        <v>0.956919998749492</v>
      </c>
      <c r="X150" s="274" t="n">
        <v>0.0171348673375414</v>
      </c>
      <c r="Y150" s="269" t="n">
        <v>10.8036178837195</v>
      </c>
      <c r="Z150" s="275" t="n">
        <v>2422</v>
      </c>
      <c r="AA150" s="275" t="n">
        <v>1464</v>
      </c>
      <c r="AB150" s="270" t="n">
        <v>18692.78</v>
      </c>
      <c r="AC150" s="290" t="n"/>
      <c r="AD150" s="276" t="n">
        <v>0.0162811489570519</v>
      </c>
      <c r="AE150" s="141" t="n">
        <v>0.00984128904753262</v>
      </c>
      <c r="AF150" s="270" t="n">
        <v>7.71791081750619</v>
      </c>
      <c r="AG150" s="277" t="n">
        <v>0.125656455657061</v>
      </c>
      <c r="AH150" s="131" t="n">
        <v>0.5204021697819849</v>
      </c>
      <c r="AI150" s="131" t="n">
        <v>0.369122067512006</v>
      </c>
      <c r="AJ150" s="270" t="n">
        <v>0.476395022889064</v>
      </c>
      <c r="AK150" s="130" t="n">
        <v>0.247638830069709</v>
      </c>
      <c r="AL150" s="130" t="n">
        <v>0.0142107138295655</v>
      </c>
      <c r="AM150" s="133" t="n">
        <v>0.343450232251733</v>
      </c>
    </row>
    <row customHeight="1" ht="13.2" outlineLevel="1" r="151" s="3">
      <c r="A151" s="117" t="n">
        <v>43492</v>
      </c>
      <c r="B151" s="289" t="inlineStr">
        <is>
          <t>iOS</t>
        </is>
      </c>
      <c r="C151" s="268" t="n">
        <v>57795</v>
      </c>
      <c r="D151" s="268" t="n">
        <v>156232</v>
      </c>
      <c r="E151" s="269" t="n">
        <v>2.70320962020936</v>
      </c>
      <c r="F151" s="270" t="n">
        <v>0.26594334835373</v>
      </c>
      <c r="G151" s="292" t="n">
        <v>18.02</v>
      </c>
      <c r="H151" s="271" t="n">
        <v>27.06</v>
      </c>
      <c r="I151" s="142" t="n">
        <v>0.356</v>
      </c>
      <c r="J151" s="142" t="n">
        <v>0.185</v>
      </c>
      <c r="K151" s="142" t="n">
        <v>0.116</v>
      </c>
      <c r="L151" s="270" t="n">
        <v>10.3151595063751</v>
      </c>
      <c r="M151" s="272" t="n">
        <v>10.984196579446</v>
      </c>
      <c r="N151" s="270" t="n">
        <v>16.8289628525478</v>
      </c>
      <c r="O151" s="273">
        <f>M151/N151</f>
        <v/>
      </c>
      <c r="P151" s="270" t="n">
        <v>2.30369120935159</v>
      </c>
      <c r="Q151" s="270" t="n">
        <v>3.31547875887499</v>
      </c>
      <c r="R151" s="270" t="n">
        <v>0.912711332522653</v>
      </c>
      <c r="S151" s="270" t="n">
        <v>5.54029537520104</v>
      </c>
      <c r="T151" s="270" t="n">
        <v>1.19011101086573</v>
      </c>
      <c r="U151" s="270" t="n">
        <v>0.532783509198604</v>
      </c>
      <c r="V151" s="270" t="n">
        <v>2.04111913074177</v>
      </c>
      <c r="W151" s="270" t="n">
        <v>0.992772525791394</v>
      </c>
      <c r="X151" s="274" t="n">
        <v>0.0191126017717241</v>
      </c>
      <c r="Y151" s="269" t="n">
        <v>11.0033091812177</v>
      </c>
      <c r="Z151" s="275" t="n">
        <v>2348</v>
      </c>
      <c r="AA151" s="275" t="n">
        <v>1569</v>
      </c>
      <c r="AB151" s="270" t="n">
        <v>17986.52</v>
      </c>
      <c r="AC151" s="290" t="n"/>
      <c r="AD151" s="276" t="n">
        <v>0.0150289313328895</v>
      </c>
      <c r="AE151" s="141" t="n">
        <v>0.0100427569255978</v>
      </c>
      <c r="AF151" s="270" t="n">
        <v>7.66035775127768</v>
      </c>
      <c r="AG151" s="277" t="n">
        <v>0.11512699062932</v>
      </c>
      <c r="AH151" s="131" t="n">
        <v>0.528955792023531</v>
      </c>
      <c r="AI151" s="131" t="n">
        <v>0.390639328661649</v>
      </c>
      <c r="AJ151" s="270" t="n">
        <v>0.51097726458088</v>
      </c>
      <c r="AK151" s="130" t="n">
        <v>0.25001280147473</v>
      </c>
      <c r="AL151" s="130" t="n">
        <v>0.0144656664447744</v>
      </c>
      <c r="AM151" s="133" t="n">
        <v>0.322718777203134</v>
      </c>
    </row>
    <row customHeight="1" ht="13.2" outlineLevel="1" r="152" s="3">
      <c r="A152" s="117" t="n">
        <v>43493</v>
      </c>
      <c r="B152" s="289" t="inlineStr">
        <is>
          <t>iOS</t>
        </is>
      </c>
      <c r="C152" s="268" t="n">
        <v>58067</v>
      </c>
      <c r="D152" s="268" t="n">
        <v>164311</v>
      </c>
      <c r="E152" s="269" t="n">
        <v>2.82967950815437</v>
      </c>
      <c r="F152" s="270" t="n">
        <v>0.250776521961402</v>
      </c>
      <c r="G152" s="292" t="n">
        <v>18.49</v>
      </c>
      <c r="H152" s="271" t="n">
        <v>27.5</v>
      </c>
      <c r="I152" s="142" t="n">
        <v>0.359</v>
      </c>
      <c r="J152" s="142" t="n">
        <v>0.2</v>
      </c>
      <c r="K152" s="142" t="n">
        <v>0.121</v>
      </c>
      <c r="L152" s="270" t="n">
        <v>10.3255229412517</v>
      </c>
      <c r="M152" s="272" t="n">
        <v>10.8841160969138</v>
      </c>
      <c r="N152" s="270" t="n">
        <v>16.623258321482</v>
      </c>
      <c r="O152" s="273">
        <f>M152/N152</f>
        <v/>
      </c>
      <c r="P152" s="270" t="n">
        <v>2.25533773923389</v>
      </c>
      <c r="Q152" s="270" t="n">
        <v>3.3171318888672</v>
      </c>
      <c r="R152" s="270" t="n">
        <v>0.920535772380395</v>
      </c>
      <c r="S152" s="270" t="n">
        <v>5.4382662688343</v>
      </c>
      <c r="T152" s="270" t="n">
        <v>1.1817852262904</v>
      </c>
      <c r="U152" s="270" t="n">
        <v>0.531375774983036</v>
      </c>
      <c r="V152" s="270" t="n">
        <v>2.00570722140115</v>
      </c>
      <c r="W152" s="270" t="n">
        <v>0.973118429491649</v>
      </c>
      <c r="X152" s="274" t="n">
        <v>0.0196395859072125</v>
      </c>
      <c r="Y152" s="269" t="n">
        <v>10.903755682821</v>
      </c>
      <c r="Z152" s="275" t="n">
        <v>2419</v>
      </c>
      <c r="AA152" s="275" t="n">
        <v>1574</v>
      </c>
      <c r="AB152" s="270" t="n">
        <v>17837.81</v>
      </c>
      <c r="AC152" s="290" t="n"/>
      <c r="AD152" s="276" t="n">
        <v>0.0147220819056545</v>
      </c>
      <c r="AE152" s="141" t="n">
        <v>0.00957939517135189</v>
      </c>
      <c r="AF152" s="270" t="n">
        <v>7.3740429929723</v>
      </c>
      <c r="AG152" s="277" t="n">
        <v>0.108561264918356</v>
      </c>
      <c r="AH152" s="131" t="n">
        <v>0.5293884650489949</v>
      </c>
      <c r="AI152" s="131" t="n">
        <v>0.397712986722235</v>
      </c>
      <c r="AJ152" s="270" t="n">
        <v>0.52591122931514</v>
      </c>
      <c r="AK152" s="130" t="n">
        <v>0.257584702180621</v>
      </c>
      <c r="AL152" s="130" t="n">
        <v>0.0149472646383991</v>
      </c>
      <c r="AM152" s="133" t="n">
        <v>0.31066696691031</v>
      </c>
    </row>
    <row customHeight="1" ht="13.2" outlineLevel="1" r="153" s="3">
      <c r="A153" s="117" t="n">
        <v>43494</v>
      </c>
      <c r="B153" s="289" t="inlineStr">
        <is>
          <t>iOS</t>
        </is>
      </c>
      <c r="C153" s="268" t="n">
        <v>58262</v>
      </c>
      <c r="D153" s="268" t="n">
        <v>167305</v>
      </c>
      <c r="E153" s="269" t="n">
        <v>2.8715972675157</v>
      </c>
      <c r="F153" s="270" t="n">
        <v>2.1189323610173</v>
      </c>
      <c r="G153" s="292" t="n">
        <v>20.43</v>
      </c>
      <c r="H153" s="271" t="n">
        <v>29.87</v>
      </c>
      <c r="I153" s="142" t="n">
        <v>0.373</v>
      </c>
      <c r="J153" s="142" t="n">
        <v>0.207</v>
      </c>
      <c r="K153" s="142" t="n">
        <v>0.113</v>
      </c>
      <c r="L153" s="270" t="n">
        <v>10.2540689160515</v>
      </c>
      <c r="M153" s="272" t="n">
        <v>10.3247840769851</v>
      </c>
      <c r="N153" s="270" t="n">
        <v>15.7049549959087</v>
      </c>
      <c r="O153" s="273">
        <f>M153/N153</f>
        <v/>
      </c>
      <c r="P153" s="270" t="n">
        <v>2.17648877170652</v>
      </c>
      <c r="Q153" s="270" t="n">
        <v>3.06920629148104</v>
      </c>
      <c r="R153" s="270" t="n">
        <v>0.9132193835803259</v>
      </c>
      <c r="S153" s="270" t="n">
        <v>5.06178743522138</v>
      </c>
      <c r="T153" s="270" t="n">
        <v>1.1244113101191</v>
      </c>
      <c r="U153" s="270" t="n">
        <v>0.553168469860897</v>
      </c>
      <c r="V153" s="270" t="n">
        <v>1.88504409491772</v>
      </c>
      <c r="W153" s="270" t="n">
        <v>0.921629239021729</v>
      </c>
      <c r="X153" s="274" t="n">
        <v>0.0185350109082215</v>
      </c>
      <c r="Y153" s="269" t="n">
        <v>10.3433190878934</v>
      </c>
      <c r="Z153" s="275" t="n">
        <v>2096</v>
      </c>
      <c r="AA153" s="275" t="n">
        <v>1455</v>
      </c>
      <c r="AB153" s="270" t="n">
        <v>15494.04</v>
      </c>
      <c r="AC153" s="290" t="n"/>
      <c r="AD153" s="276" t="n">
        <v>0.0125280176922387</v>
      </c>
      <c r="AE153" s="141" t="n">
        <v>0.008696691670900449</v>
      </c>
      <c r="AF153" s="270" t="n">
        <v>7.39219465648855</v>
      </c>
      <c r="AG153" s="277" t="n">
        <v>0.0926095454409611</v>
      </c>
      <c r="AH153" s="131" t="n">
        <v>0.538996258281556</v>
      </c>
      <c r="AI153" s="131" t="n">
        <v>0.392931928186468</v>
      </c>
      <c r="AJ153" s="270" t="n">
        <v>0.549965631630854</v>
      </c>
      <c r="AK153" s="130" t="n">
        <v>0.26920892979887</v>
      </c>
      <c r="AL153" s="130" t="n">
        <v>0.017052688204178</v>
      </c>
      <c r="AM153" s="133" t="n">
        <v>0.251821523564747</v>
      </c>
    </row>
    <row customFormat="1" customHeight="1" ht="12.45" outlineLevel="1" r="154" s="294">
      <c r="A154" s="121" t="n">
        <v>43495</v>
      </c>
      <c r="B154" s="295" t="inlineStr">
        <is>
          <t>iOS</t>
        </is>
      </c>
      <c r="C154" s="296" t="n">
        <v>55196</v>
      </c>
      <c r="D154" s="296" t="n">
        <v>167471</v>
      </c>
      <c r="E154" s="297" t="n">
        <v>3.03411479092688</v>
      </c>
      <c r="F154" s="294" t="n">
        <v>0.821491986952965</v>
      </c>
      <c r="G154" s="298" t="n">
        <v>20.19</v>
      </c>
      <c r="H154" s="306" t="n">
        <v>29.05</v>
      </c>
      <c r="I154" s="124" t="n">
        <v>0.374</v>
      </c>
      <c r="J154" s="124" t="n">
        <v>0.205</v>
      </c>
      <c r="K154" s="124" t="n">
        <v>0.119</v>
      </c>
      <c r="L154" s="294" t="n">
        <v>10.1472434033355</v>
      </c>
      <c r="M154" s="299" t="n">
        <v>9.865391620041679</v>
      </c>
      <c r="N154" s="294" t="n">
        <v>14.8762121716894</v>
      </c>
      <c r="O154" s="300">
        <f>M154/N154</f>
        <v/>
      </c>
      <c r="P154" s="294" t="n">
        <v>2.05493377513258</v>
      </c>
      <c r="Q154" s="294" t="n">
        <v>2.81899136510566</v>
      </c>
      <c r="R154" s="294" t="n">
        <v>0.899397628330377</v>
      </c>
      <c r="S154" s="294" t="n">
        <v>4.79036745572253</v>
      </c>
      <c r="T154" s="294" t="n">
        <v>1.06807069988565</v>
      </c>
      <c r="U154" s="294" t="n">
        <v>0.575755665805278</v>
      </c>
      <c r="V154" s="294" t="n">
        <v>1.78795436741971</v>
      </c>
      <c r="W154" s="294" t="n">
        <v>0.880741214287644</v>
      </c>
      <c r="X154" s="301" t="n">
        <v>0.0105510804855766</v>
      </c>
      <c r="Y154" s="297" t="n">
        <v>9.87594270052726</v>
      </c>
      <c r="Z154" s="293" t="n">
        <v>2117</v>
      </c>
      <c r="AA154" s="293" t="n">
        <v>1485</v>
      </c>
      <c r="AB154" s="294" t="n">
        <v>12894.83</v>
      </c>
      <c r="AC154" s="302" t="n"/>
      <c r="AD154" s="303" t="n">
        <v>0.0126409945602522</v>
      </c>
      <c r="AE154" s="123" t="n">
        <v>0.008867206859695109</v>
      </c>
      <c r="AF154" s="294" t="n">
        <v>6.09108644307983</v>
      </c>
      <c r="AG154" s="304" t="n">
        <v>0.0769973905929982</v>
      </c>
      <c r="AH154" s="135" t="n">
        <v>0.551960286977317</v>
      </c>
      <c r="AI154" s="135" t="n">
        <v>0.422403797376621</v>
      </c>
      <c r="AJ154" s="294" t="n">
        <v>0.620029736491691</v>
      </c>
      <c r="AK154" s="136" t="n">
        <v>0.298869655044754</v>
      </c>
      <c r="AL154" s="136" t="n">
        <v>0.0189465638827021</v>
      </c>
      <c r="AM154" s="137" t="n">
        <v>0</v>
      </c>
    </row>
    <row customHeight="1" ht="13.2" outlineLevel="1" r="155" s="3">
      <c r="A155" s="117" t="n">
        <v>43496</v>
      </c>
      <c r="B155" s="267" t="inlineStr">
        <is>
          <t>iOS</t>
        </is>
      </c>
      <c r="C155" s="268" t="n">
        <v>44960</v>
      </c>
      <c r="D155" s="268" t="n">
        <v>161232</v>
      </c>
      <c r="E155" s="269" t="n">
        <v>3.58612099644128</v>
      </c>
      <c r="F155" s="270" t="n">
        <v>0.919061294730575</v>
      </c>
      <c r="G155" s="292" t="n">
        <v>21.92</v>
      </c>
      <c r="H155" s="271" t="n">
        <v>30.6</v>
      </c>
      <c r="I155" s="142" t="n">
        <v>0.371</v>
      </c>
      <c r="J155" s="142" t="n">
        <v>0.202</v>
      </c>
      <c r="K155" s="142" t="n">
        <v>0.117</v>
      </c>
      <c r="L155" s="270" t="n">
        <v>9.94370224273097</v>
      </c>
      <c r="M155" s="272" t="n">
        <v>9.90519251761437</v>
      </c>
      <c r="N155" s="270" t="n">
        <v>14.7998220723017</v>
      </c>
      <c r="O155" s="273">
        <f>M155/N155</f>
        <v/>
      </c>
      <c r="P155" s="270" t="n">
        <v>2.02231509883328</v>
      </c>
      <c r="Q155" s="270" t="n">
        <v>2.86356096340435</v>
      </c>
      <c r="R155" s="270" t="n">
        <v>0.900249284119026</v>
      </c>
      <c r="S155" s="270" t="n">
        <v>4.73360887414396</v>
      </c>
      <c r="T155" s="270" t="n">
        <v>1.06146845953535</v>
      </c>
      <c r="U155" s="270" t="n">
        <v>0.561992048855981</v>
      </c>
      <c r="V155" s="270" t="n">
        <v>1.771390708838</v>
      </c>
      <c r="W155" s="270" t="n">
        <v>0.885236634571723</v>
      </c>
      <c r="X155" s="274" t="n">
        <v>0.0110648010320532</v>
      </c>
      <c r="Y155" s="269" t="n">
        <v>9.916257318646419</v>
      </c>
      <c r="Z155" s="275" t="n">
        <v>2059</v>
      </c>
      <c r="AA155" s="275" t="n">
        <v>1402</v>
      </c>
      <c r="AB155" s="270" t="n">
        <v>13362.41</v>
      </c>
      <c r="AC155" s="290" t="n"/>
      <c r="AD155" s="276" t="n">
        <v>0.0127704177830704</v>
      </c>
      <c r="AE155" s="141" t="n">
        <v>0.00869554430882207</v>
      </c>
      <c r="AF155" s="270" t="n">
        <v>6.48975716367168</v>
      </c>
      <c r="AG155" s="277" t="n">
        <v>0.08287691029076109</v>
      </c>
      <c r="AH155" s="131" t="n">
        <v>0.550578291814947</v>
      </c>
      <c r="AI155" s="131" t="n">
        <v>0.432095195729537</v>
      </c>
      <c r="AJ155" s="270" t="n">
        <v>0.618419420462439</v>
      </c>
      <c r="AK155" s="130" t="n">
        <v>0.319886871092587</v>
      </c>
      <c r="AL155" s="130" t="n">
        <v>0.0203495584003176</v>
      </c>
      <c r="AM155" s="133" t="n">
        <v>0</v>
      </c>
    </row>
    <row customHeight="1" ht="13.2" r="156" s="3">
      <c r="A156" s="117" t="n">
        <v>43497</v>
      </c>
      <c r="B156" s="267" t="inlineStr">
        <is>
          <t>iOS</t>
        </is>
      </c>
      <c r="C156" s="268" t="n">
        <v>48398</v>
      </c>
      <c r="D156" s="268" t="n">
        <v>164759</v>
      </c>
      <c r="E156" s="269" t="n">
        <v>3.40425224182817</v>
      </c>
      <c r="F156" s="270" t="n">
        <v>0.88132591116722</v>
      </c>
      <c r="G156" s="292" t="n">
        <v>22.11</v>
      </c>
      <c r="H156" s="271" t="n">
        <v>31.45</v>
      </c>
      <c r="I156" s="142" t="n">
        <v>0.367</v>
      </c>
      <c r="J156" s="142" t="n">
        <v>0.201</v>
      </c>
      <c r="K156" s="142" t="n">
        <v>0.108</v>
      </c>
      <c r="L156" s="270" t="n">
        <v>9.5894913176215</v>
      </c>
      <c r="M156" s="272" t="n">
        <v>9.17765949052859</v>
      </c>
      <c r="N156" s="270" t="n">
        <v>13.8486097373338</v>
      </c>
      <c r="O156" s="273">
        <f>M156/N156</f>
        <v/>
      </c>
      <c r="P156" s="270" t="n">
        <v>1.94504890647324</v>
      </c>
      <c r="Q156" s="270" t="n">
        <v>2.67000036634062</v>
      </c>
      <c r="R156" s="270" t="n">
        <v>0.829880572956735</v>
      </c>
      <c r="S156" s="270" t="n">
        <v>4.324431256182</v>
      </c>
      <c r="T156" s="270" t="n">
        <v>1.02791515551159</v>
      </c>
      <c r="U156" s="270" t="n">
        <v>0.551141151042239</v>
      </c>
      <c r="V156" s="270" t="n">
        <v>1.65960545114848</v>
      </c>
      <c r="W156" s="270" t="n">
        <v>0.840586877678866</v>
      </c>
      <c r="X156" s="274" t="n">
        <v>0.00945623607815051</v>
      </c>
      <c r="Y156" s="269" t="n">
        <v>9.18711572660674</v>
      </c>
      <c r="Z156" s="275" t="n">
        <v>2118</v>
      </c>
      <c r="AA156" s="275" t="n">
        <v>1444</v>
      </c>
      <c r="AB156" s="270" t="n">
        <v>14191.82</v>
      </c>
      <c r="AC156" s="290" t="n"/>
      <c r="AD156" s="276" t="n">
        <v>0.0128551399316578</v>
      </c>
      <c r="AE156" s="141" t="n">
        <v>0.008764316365115109</v>
      </c>
      <c r="AF156" s="270" t="n">
        <v>6.70057601510859</v>
      </c>
      <c r="AG156" s="277" t="n">
        <v>0.08613684229693069</v>
      </c>
      <c r="AH156" s="131" t="n">
        <v>0.544939873548494</v>
      </c>
      <c r="AI156" s="131" t="n">
        <v>0.385201867845779</v>
      </c>
      <c r="AJ156" s="270" t="n">
        <v>0.571877712294928</v>
      </c>
      <c r="AK156" s="130" t="n">
        <v>0.308116703791599</v>
      </c>
      <c r="AL156" s="130" t="n">
        <v>0.0208911197567356</v>
      </c>
      <c r="AM156" s="133" t="n">
        <v>0</v>
      </c>
    </row>
    <row customHeight="1" ht="13.2" outlineLevel="1" r="157" s="3">
      <c r="A157" s="117" t="n">
        <v>43498</v>
      </c>
      <c r="B157" s="289" t="inlineStr">
        <is>
          <t>iOS</t>
        </is>
      </c>
      <c r="C157" s="268" t="n">
        <v>51833</v>
      </c>
      <c r="D157" s="268" t="n">
        <v>167753</v>
      </c>
      <c r="E157" s="269" t="n">
        <v>3.23641309590415</v>
      </c>
      <c r="F157" s="270" t="n">
        <v>0.968232797672769</v>
      </c>
      <c r="G157" s="292" t="n">
        <v>20.47</v>
      </c>
      <c r="H157" s="271" t="n">
        <v>30.39</v>
      </c>
      <c r="I157" s="142" t="n">
        <v>0.363</v>
      </c>
      <c r="J157" s="142" t="n">
        <v>0.184</v>
      </c>
      <c r="K157" s="142" t="n">
        <v>0.111</v>
      </c>
      <c r="L157" s="270" t="n">
        <v>10.0505266671833</v>
      </c>
      <c r="M157" s="272" t="n">
        <v>10.1655827317544</v>
      </c>
      <c r="N157" s="270" t="n">
        <v>15.5323022834294</v>
      </c>
      <c r="O157" s="273">
        <f>M157/N157</f>
        <v/>
      </c>
      <c r="P157" s="270" t="n">
        <v>2.18140831215673</v>
      </c>
      <c r="Q157" s="270" t="n">
        <v>3.05101511052819</v>
      </c>
      <c r="R157" s="270" t="n">
        <v>0.846608556256888</v>
      </c>
      <c r="S157" s="270" t="n">
        <v>5.00052827645253</v>
      </c>
      <c r="T157" s="270" t="n">
        <v>1.15871064112723</v>
      </c>
      <c r="U157" s="270" t="n">
        <v>0.495013252452387</v>
      </c>
      <c r="V157" s="270" t="n">
        <v>1.90455501817089</v>
      </c>
      <c r="W157" s="270" t="n">
        <v>0.894463116284577</v>
      </c>
      <c r="X157" s="274" t="n">
        <v>0.008083312966087041</v>
      </c>
      <c r="Y157" s="269" t="n">
        <v>10.1736660447205</v>
      </c>
      <c r="Z157" s="275" t="n">
        <v>2524</v>
      </c>
      <c r="AA157" s="275" t="n">
        <v>1619</v>
      </c>
      <c r="AB157" s="270" t="n">
        <v>19933.76</v>
      </c>
      <c r="AC157" s="290" t="n"/>
      <c r="AD157" s="276" t="n">
        <v>0.0150459306241915</v>
      </c>
      <c r="AE157" s="141" t="n">
        <v>0.0096510941682116</v>
      </c>
      <c r="AF157" s="270" t="n">
        <v>7.89768621236133</v>
      </c>
      <c r="AG157" s="277" t="n">
        <v>0.118828038842822</v>
      </c>
      <c r="AH157" s="131" t="n">
        <v>0.540640132733973</v>
      </c>
      <c r="AI157" s="131" t="n">
        <v>0.385931742326317</v>
      </c>
      <c r="AJ157" s="270" t="n">
        <v>0.458376303255381</v>
      </c>
      <c r="AK157" s="130" t="n">
        <v>0.25616233390759</v>
      </c>
      <c r="AL157" s="130" t="n">
        <v>0.0177999797321061</v>
      </c>
      <c r="AM157" s="133" t="n">
        <v>0.344655535221427</v>
      </c>
    </row>
    <row customHeight="1" ht="13.2" outlineLevel="1" r="158" s="3">
      <c r="A158" s="117" t="n">
        <v>43499</v>
      </c>
      <c r="B158" s="289" t="inlineStr">
        <is>
          <t>iOS</t>
        </is>
      </c>
      <c r="C158" s="268" t="n">
        <v>57002</v>
      </c>
      <c r="D158" s="268" t="n">
        <v>177699</v>
      </c>
      <c r="E158" s="269" t="n">
        <v>3.1174169327392</v>
      </c>
      <c r="F158" s="270" t="n">
        <v>0.243019607313491</v>
      </c>
      <c r="G158" s="292" t="n">
        <v>19.43</v>
      </c>
      <c r="H158" s="271" t="n">
        <v>30.03</v>
      </c>
      <c r="I158" s="142" t="n">
        <v>0.366</v>
      </c>
      <c r="J158" s="142" t="n">
        <v>0.188</v>
      </c>
      <c r="K158" s="142" t="n">
        <v>0.115</v>
      </c>
      <c r="L158" s="270" t="n">
        <v>9.686464189443949</v>
      </c>
      <c r="M158" s="272" t="n">
        <v>10.1656227665884</v>
      </c>
      <c r="N158" s="270" t="n">
        <v>15.5361651988441</v>
      </c>
      <c r="O158" s="273">
        <f>M158/N158</f>
        <v/>
      </c>
      <c r="P158" s="270" t="n">
        <v>2.12444956653365</v>
      </c>
      <c r="Q158" s="270" t="n">
        <v>3.0742397137746</v>
      </c>
      <c r="R158" s="270" t="n">
        <v>0.885484037429476</v>
      </c>
      <c r="S158" s="270" t="n">
        <v>5.00731904499794</v>
      </c>
      <c r="T158" s="270" t="n">
        <v>1.14893525526352</v>
      </c>
      <c r="U158" s="270" t="n">
        <v>0.516495802944819</v>
      </c>
      <c r="V158" s="270" t="n">
        <v>1.86491158662447</v>
      </c>
      <c r="W158" s="270" t="n">
        <v>0.914330191275629</v>
      </c>
      <c r="X158" s="274" t="n">
        <v>0.00659542259663814</v>
      </c>
      <c r="Y158" s="269" t="n">
        <v>10.1722181891851</v>
      </c>
      <c r="Z158" s="275" t="n">
        <v>2448</v>
      </c>
      <c r="AA158" s="275" t="n">
        <v>1566</v>
      </c>
      <c r="AB158" s="270" t="n">
        <v>18694.52</v>
      </c>
      <c r="AC158" s="290" t="n"/>
      <c r="AD158" s="276" t="n">
        <v>0.0137761045363227</v>
      </c>
      <c r="AE158" s="141" t="n">
        <v>0.00881265510779464</v>
      </c>
      <c r="AF158" s="270" t="n">
        <v>7.63665032679739</v>
      </c>
      <c r="AG158" s="277" t="n">
        <v>0.105203293209303</v>
      </c>
      <c r="AH158" s="131" t="n">
        <v>0.548050945580857</v>
      </c>
      <c r="AI158" s="131" t="n">
        <v>0.391933616364338</v>
      </c>
      <c r="AJ158" s="270" t="n">
        <v>0.469800055149438</v>
      </c>
      <c r="AK158" s="130" t="n">
        <v>0.246478595827776</v>
      </c>
      <c r="AL158" s="130" t="n">
        <v>0.0173101705693335</v>
      </c>
      <c r="AM158" s="133" t="n">
        <v>0.319382776492833</v>
      </c>
    </row>
    <row customHeight="1" ht="13.2" outlineLevel="1" r="159" s="3">
      <c r="A159" s="117" t="n">
        <v>43500</v>
      </c>
      <c r="B159" s="289" t="inlineStr">
        <is>
          <t>iOS</t>
        </is>
      </c>
      <c r="C159" s="268" t="n">
        <v>60968</v>
      </c>
      <c r="D159" s="268" t="n">
        <v>188986</v>
      </c>
      <c r="E159" s="269" t="n">
        <v>3.09975724970476</v>
      </c>
      <c r="F159" s="270" t="n">
        <v>0.798950891420528</v>
      </c>
      <c r="G159" s="292" t="n">
        <v>19.78</v>
      </c>
      <c r="H159" s="271" t="n">
        <v>30.74</v>
      </c>
      <c r="I159" s="142" t="n">
        <v>0.354</v>
      </c>
      <c r="J159" s="142" t="n">
        <v>0.198</v>
      </c>
      <c r="K159" s="142" t="n">
        <v>0.118</v>
      </c>
      <c r="L159" s="270" t="n">
        <v>9.798016784312059</v>
      </c>
      <c r="M159" s="272" t="n">
        <v>9.98716307028034</v>
      </c>
      <c r="N159" s="270" t="n">
        <v>15.2303310039862</v>
      </c>
      <c r="O159" s="273">
        <f>M159/N159</f>
        <v/>
      </c>
      <c r="P159" s="270" t="n">
        <v>2.08481674547714</v>
      </c>
      <c r="Q159" s="270" t="n">
        <v>3.07469780352791</v>
      </c>
      <c r="R159" s="270" t="n">
        <v>0.850620531607572</v>
      </c>
      <c r="S159" s="270" t="n">
        <v>4.86023110565983</v>
      </c>
      <c r="T159" s="270" t="n">
        <v>1.13321659700144</v>
      </c>
      <c r="U159" s="270" t="n">
        <v>0.515598018172135</v>
      </c>
      <c r="V159" s="270" t="n">
        <v>1.81830285815729</v>
      </c>
      <c r="W159" s="270" t="n">
        <v>0.892847344382938</v>
      </c>
      <c r="X159" s="274" t="n">
        <v>0.00660895516069973</v>
      </c>
      <c r="Y159" s="269" t="n">
        <v>9.993772025441039</v>
      </c>
      <c r="Z159" s="275" t="n">
        <v>2304</v>
      </c>
      <c r="AA159" s="275" t="n">
        <v>1563</v>
      </c>
      <c r="AB159" s="270" t="n">
        <v>16748.96</v>
      </c>
      <c r="AC159" s="290" t="n"/>
      <c r="AD159" s="276" t="n">
        <v>0.0121913792556062</v>
      </c>
      <c r="AE159" s="141" t="n">
        <v>0.008270453896055791</v>
      </c>
      <c r="AF159" s="270" t="n">
        <v>7.26951388888889</v>
      </c>
      <c r="AG159" s="277" t="n">
        <v>0.0886254008233414</v>
      </c>
      <c r="AH159" s="131" t="n">
        <v>0.550124655557014</v>
      </c>
      <c r="AI159" s="131" t="n">
        <v>0.39715916546385</v>
      </c>
      <c r="AJ159" s="270" t="n">
        <v>0.470706824844168</v>
      </c>
      <c r="AK159" s="130" t="n">
        <v>0.241393542378801</v>
      </c>
      <c r="AL159" s="130" t="n">
        <v>0.0168742658186321</v>
      </c>
      <c r="AM159" s="133" t="n">
        <v>0.300323833511477</v>
      </c>
    </row>
    <row customHeight="1" ht="13.2" outlineLevel="1" r="160" s="3">
      <c r="A160" s="117" t="n">
        <v>43501</v>
      </c>
      <c r="B160" s="289" t="inlineStr">
        <is>
          <t>iOS</t>
        </is>
      </c>
      <c r="C160" s="268" t="n">
        <v>59877</v>
      </c>
      <c r="D160" s="268" t="n">
        <v>184469</v>
      </c>
      <c r="E160" s="269" t="n">
        <v>3.08079897122434</v>
      </c>
      <c r="F160" s="270" t="n">
        <v>0.208135797342643</v>
      </c>
      <c r="G160" s="292" t="n">
        <v>20.87</v>
      </c>
      <c r="H160" s="271" t="n">
        <v>32.26</v>
      </c>
      <c r="I160" s="142" t="n">
        <v>0.383</v>
      </c>
      <c r="J160" s="142" t="n">
        <v>0.209</v>
      </c>
      <c r="K160" s="142" t="n">
        <v>0.117</v>
      </c>
      <c r="L160" s="270" t="n">
        <v>9.97413115482818</v>
      </c>
      <c r="M160" s="272" t="n">
        <v>9.841902975567709</v>
      </c>
      <c r="N160" s="270" t="n">
        <v>15.0079440527068</v>
      </c>
      <c r="O160" s="273">
        <f>M160/N160</f>
        <v/>
      </c>
      <c r="P160" s="270" t="n">
        <v>2.0576501806218</v>
      </c>
      <c r="Q160" s="270" t="n">
        <v>2.96991014375346</v>
      </c>
      <c r="R160" s="270" t="n">
        <v>0.854494052293525</v>
      </c>
      <c r="S160" s="270" t="n">
        <v>4.76096750460854</v>
      </c>
      <c r="T160" s="270" t="n">
        <v>1.1247902389829</v>
      </c>
      <c r="U160" s="270" t="n">
        <v>0.556538343900604</v>
      </c>
      <c r="V160" s="270" t="n">
        <v>1.79375222160683</v>
      </c>
      <c r="W160" s="270" t="n">
        <v>0.889841366939184</v>
      </c>
      <c r="X160" s="274" t="n">
        <v>0.00742130114002895</v>
      </c>
      <c r="Y160" s="269" t="n">
        <v>9.84932427670774</v>
      </c>
      <c r="Z160" s="275" t="n">
        <v>2296</v>
      </c>
      <c r="AA160" s="275" t="n">
        <v>1567</v>
      </c>
      <c r="AB160" s="270" t="n">
        <v>16621.04</v>
      </c>
      <c r="AC160" s="290" t="n"/>
      <c r="AD160" s="276" t="n">
        <v>0.0124465357322911</v>
      </c>
      <c r="AE160" s="141" t="n">
        <v>0.00849465221798785</v>
      </c>
      <c r="AF160" s="270" t="n">
        <v>7.23912891986063</v>
      </c>
      <c r="AG160" s="277" t="n">
        <v>0.0901020767717069</v>
      </c>
      <c r="AH160" s="131" t="n">
        <v>0.55533844380981</v>
      </c>
      <c r="AI160" s="131" t="n">
        <v>0.403677538954857</v>
      </c>
      <c r="AJ160" s="270" t="n">
        <v>0.518661672150876</v>
      </c>
      <c r="AK160" s="130" t="n">
        <v>0.253495167209667</v>
      </c>
      <c r="AL160" s="130" t="n">
        <v>0.0199328884528024</v>
      </c>
      <c r="AM160" s="133" t="n">
        <v>0.247472475050008</v>
      </c>
    </row>
    <row customFormat="1" customHeight="1" ht="12.45" outlineLevel="1" r="161" s="294">
      <c r="A161" s="121" t="n">
        <v>43502</v>
      </c>
      <c r="B161" s="295" t="inlineStr">
        <is>
          <t>iOS</t>
        </is>
      </c>
      <c r="C161" s="296" t="n">
        <v>57880</v>
      </c>
      <c r="D161" s="296" t="n">
        <v>191982</v>
      </c>
      <c r="E161" s="297" t="n">
        <v>3.31689702833448</v>
      </c>
      <c r="F161" s="294" t="n">
        <v>0.794174355220802</v>
      </c>
      <c r="G161" s="298" t="n">
        <v>20.45</v>
      </c>
      <c r="H161" s="306" t="n">
        <v>32.3</v>
      </c>
      <c r="I161" s="124" t="n">
        <v>0.384</v>
      </c>
      <c r="J161" s="124" t="n">
        <v>0.205</v>
      </c>
      <c r="K161" s="124" t="n">
        <v>0.11</v>
      </c>
      <c r="L161" s="294" t="n">
        <v>9.71061870383682</v>
      </c>
      <c r="M161" s="299" t="n">
        <v>9.15286849808836</v>
      </c>
      <c r="N161" s="294" t="n">
        <v>13.8488686427654</v>
      </c>
      <c r="O161" s="300">
        <f>M161/N161</f>
        <v/>
      </c>
      <c r="P161" s="294" t="n">
        <v>1.93813197985546</v>
      </c>
      <c r="Q161" s="294" t="n">
        <v>2.60174333835108</v>
      </c>
      <c r="R161" s="294" t="n">
        <v>0.787520786866641</v>
      </c>
      <c r="S161" s="294" t="n">
        <v>4.41417684008102</v>
      </c>
      <c r="T161" s="294" t="n">
        <v>1.05033771269595</v>
      </c>
      <c r="U161" s="294" t="n">
        <v>0.576460203494558</v>
      </c>
      <c r="V161" s="294" t="n">
        <v>1.64625678774934</v>
      </c>
      <c r="W161" s="294" t="n">
        <v>0.834240993671335</v>
      </c>
      <c r="X161" s="301" t="n">
        <v>0.00782885895552708</v>
      </c>
      <c r="Y161" s="297" t="n">
        <v>9.16069735704389</v>
      </c>
      <c r="Z161" s="293" t="n">
        <v>2108</v>
      </c>
      <c r="AA161" s="293" t="n">
        <v>1457</v>
      </c>
      <c r="AB161" s="294" t="n">
        <v>15094.92</v>
      </c>
      <c r="AC161" s="302" t="n"/>
      <c r="AD161" s="303" t="n">
        <v>0.0109801960600473</v>
      </c>
      <c r="AE161" s="123" t="n">
        <v>0.00758925315915034</v>
      </c>
      <c r="AF161" s="294" t="n">
        <v>7.1607779886148</v>
      </c>
      <c r="AG161" s="304" t="n">
        <v>0.0786267462574616</v>
      </c>
      <c r="AH161" s="135" t="n">
        <v>0.565687629578438</v>
      </c>
      <c r="AI161" s="135" t="n">
        <v>0.421423635107118</v>
      </c>
      <c r="AJ161" s="294" t="n">
        <v>0.559052411163547</v>
      </c>
      <c r="AK161" s="136" t="n">
        <v>0.281302413767957</v>
      </c>
      <c r="AL161" s="136" t="n">
        <v>0.021236365909304</v>
      </c>
      <c r="AM161" s="137" t="n">
        <v>0</v>
      </c>
    </row>
    <row customHeight="1" ht="13.2" outlineLevel="1" r="162" s="3">
      <c r="A162" s="117" t="n">
        <v>43503</v>
      </c>
      <c r="B162" s="267" t="inlineStr">
        <is>
          <t>iOS</t>
        </is>
      </c>
      <c r="C162" s="268" t="n">
        <v>55232</v>
      </c>
      <c r="D162" s="268" t="n">
        <v>196826</v>
      </c>
      <c r="E162" s="269" t="n">
        <v>3.56362253765933</v>
      </c>
      <c r="F162" s="270" t="n">
        <v>0.169496980581834</v>
      </c>
      <c r="G162" s="292" t="n">
        <v>21.87</v>
      </c>
      <c r="H162" s="271" t="n">
        <v>34.34</v>
      </c>
      <c r="I162" s="142" t="n">
        <v>0.377</v>
      </c>
      <c r="J162" s="142" t="n">
        <v>0.2</v>
      </c>
      <c r="K162" s="142" t="n">
        <v>0.109</v>
      </c>
      <c r="L162" s="270" t="n">
        <v>9.381743265625481</v>
      </c>
      <c r="M162" s="272" t="n">
        <v>8.844263461128101</v>
      </c>
      <c r="N162" s="270" t="n">
        <v>13.3997967839521</v>
      </c>
      <c r="O162" s="273">
        <f>M162/N162</f>
        <v/>
      </c>
      <c r="P162" s="270" t="n">
        <v>1.88883928227787</v>
      </c>
      <c r="Q162" s="270" t="n">
        <v>2.54067784868102</v>
      </c>
      <c r="R162" s="270" t="n">
        <v>0.750398349639369</v>
      </c>
      <c r="S162" s="270" t="n">
        <v>4.21002840406124</v>
      </c>
      <c r="T162" s="270" t="n">
        <v>1.02709547305463</v>
      </c>
      <c r="U162" s="270" t="n">
        <v>0.564640407663708</v>
      </c>
      <c r="V162" s="270" t="n">
        <v>1.5960311290037</v>
      </c>
      <c r="W162" s="270" t="n">
        <v>0.822085889570552</v>
      </c>
      <c r="X162" s="274" t="n">
        <v>0.00599514291811041</v>
      </c>
      <c r="Y162" s="269" t="n">
        <v>8.850258604046211</v>
      </c>
      <c r="Z162" s="275" t="n">
        <v>2183</v>
      </c>
      <c r="AA162" s="275" t="n">
        <v>1492</v>
      </c>
      <c r="AB162" s="270" t="n">
        <v>14442.17</v>
      </c>
      <c r="AC162" s="290" t="n"/>
      <c r="AD162" s="276" t="n">
        <v>0.0110910143985043</v>
      </c>
      <c r="AE162" s="141" t="n">
        <v>0.00758029935069554</v>
      </c>
      <c r="AF162" s="270" t="n">
        <v>6.61574438845625</v>
      </c>
      <c r="AG162" s="277" t="n">
        <v>0.0733753162691921</v>
      </c>
      <c r="AH162" s="131" t="n">
        <v>0.568384269988413</v>
      </c>
      <c r="AI162" s="131" t="n">
        <v>0.432303736964079</v>
      </c>
      <c r="AJ162" s="270" t="n">
        <v>0.532282320425147</v>
      </c>
      <c r="AK162" s="130" t="n">
        <v>0.287985327141739</v>
      </c>
      <c r="AL162" s="130" t="n">
        <v>0.0201599382195442</v>
      </c>
      <c r="AM162" s="133" t="n">
        <v>0</v>
      </c>
    </row>
    <row customHeight="1" ht="13.2" outlineLevel="1" r="163" s="3">
      <c r="A163" s="117" t="n">
        <v>43504</v>
      </c>
      <c r="B163" s="267" t="inlineStr">
        <is>
          <t>iOS</t>
        </is>
      </c>
      <c r="C163" s="268" t="n">
        <v>52182</v>
      </c>
      <c r="D163" s="268" t="n">
        <v>194712</v>
      </c>
      <c r="E163" s="269" t="n">
        <v>3.73140163274692</v>
      </c>
      <c r="F163" s="270" t="n">
        <v>0.750807849654875</v>
      </c>
      <c r="G163" s="292" t="n">
        <v>20.06</v>
      </c>
      <c r="H163" s="271" t="n">
        <v>31.48</v>
      </c>
      <c r="I163" s="142" t="n">
        <v>0.366</v>
      </c>
      <c r="J163" s="142" t="n">
        <v>0.202</v>
      </c>
      <c r="K163" s="142" t="n">
        <v>0.104</v>
      </c>
      <c r="L163" s="270" t="n">
        <v>9.135990591232179</v>
      </c>
      <c r="M163" s="272" t="n">
        <v>8.72954414725338</v>
      </c>
      <c r="N163" s="270" t="n">
        <v>13.3194398733681</v>
      </c>
      <c r="O163" s="273">
        <f>M163/N163</f>
        <v/>
      </c>
      <c r="P163" s="270" t="n">
        <v>1.89110128982713</v>
      </c>
      <c r="Q163" s="270" t="n">
        <v>2.53671227294811</v>
      </c>
      <c r="R163" s="270" t="n">
        <v>0.741329321234347</v>
      </c>
      <c r="S163" s="270" t="n">
        <v>4.16231761405488</v>
      </c>
      <c r="T163" s="270" t="n">
        <v>1.02694845393139</v>
      </c>
      <c r="U163" s="270" t="n">
        <v>0.549540019120159</v>
      </c>
      <c r="V163" s="270" t="n">
        <v>1.5834469572304</v>
      </c>
      <c r="W163" s="270" t="n">
        <v>0.828043945021706</v>
      </c>
      <c r="X163" s="274" t="n">
        <v>0.00677410739964666</v>
      </c>
      <c r="Y163" s="269" t="n">
        <v>8.73631825465303</v>
      </c>
      <c r="Z163" s="275" t="n">
        <v>2213</v>
      </c>
      <c r="AA163" s="275" t="n">
        <v>1539</v>
      </c>
      <c r="AB163" s="270" t="n">
        <v>14187.87</v>
      </c>
      <c r="AC163" s="290" t="n"/>
      <c r="AD163" s="276" t="n">
        <v>0.0113655039237438</v>
      </c>
      <c r="AE163" s="141" t="n">
        <v>0.007903981264637001</v>
      </c>
      <c r="AF163" s="270" t="n">
        <v>6.41114776321735</v>
      </c>
      <c r="AG163" s="277" t="n">
        <v>0.072865925058548</v>
      </c>
      <c r="AH163" s="131" t="n">
        <v>0.550496339734008</v>
      </c>
      <c r="AI163" s="131" t="n">
        <v>0.420049059062512</v>
      </c>
      <c r="AJ163" s="270" t="n">
        <v>0.515920949915773</v>
      </c>
      <c r="AK163" s="130" t="n">
        <v>0.294198611282304</v>
      </c>
      <c r="AL163" s="130" t="n">
        <v>0.0195057315419697</v>
      </c>
      <c r="AM163" s="133" t="n">
        <v>0</v>
      </c>
    </row>
    <row customHeight="1" ht="13.2" outlineLevel="1" r="164" s="3">
      <c r="A164" s="117" t="n">
        <v>43505</v>
      </c>
      <c r="B164" s="289" t="inlineStr">
        <is>
          <t>iOS</t>
        </is>
      </c>
      <c r="C164" s="268" t="n">
        <v>65735</v>
      </c>
      <c r="D164" s="268" t="n">
        <v>205685</v>
      </c>
      <c r="E164" s="269" t="n">
        <v>3.12900281433027</v>
      </c>
      <c r="F164" s="270" t="n">
        <v>0.22544571261881</v>
      </c>
      <c r="G164" s="292" t="n">
        <v>17.96</v>
      </c>
      <c r="H164" s="271" t="n">
        <v>30.12</v>
      </c>
      <c r="I164" s="142" t="n">
        <v>0.354</v>
      </c>
      <c r="J164" s="142" t="n">
        <v>0.184</v>
      </c>
      <c r="K164" s="142" t="n">
        <v>0.104</v>
      </c>
      <c r="L164" s="270" t="n">
        <v>9.821328730826259</v>
      </c>
      <c r="M164" s="272" t="n">
        <v>9.971412596932201</v>
      </c>
      <c r="N164" s="270" t="n">
        <v>15.372052585031</v>
      </c>
      <c r="O164" s="273">
        <f>M164/N164</f>
        <v/>
      </c>
      <c r="P164" s="270" t="n">
        <v>2.14032918109457</v>
      </c>
      <c r="Q164" s="270" t="n">
        <v>2.92785297776978</v>
      </c>
      <c r="R164" s="270" t="n">
        <v>0.742778552262745</v>
      </c>
      <c r="S164" s="270" t="n">
        <v>5.11754433301854</v>
      </c>
      <c r="T164" s="270" t="n">
        <v>1.15536418281843</v>
      </c>
      <c r="U164" s="270" t="n">
        <v>0.502960531246721</v>
      </c>
      <c r="V164" s="270" t="n">
        <v>1.87209755512584</v>
      </c>
      <c r="W164" s="270" t="n">
        <v>0.913125271694323</v>
      </c>
      <c r="X164" s="274" t="n">
        <v>0.00676276831076646</v>
      </c>
      <c r="Y164" s="269" t="n">
        <v>9.97817536524297</v>
      </c>
      <c r="Z164" s="275" t="n">
        <v>2506</v>
      </c>
      <c r="AA164" s="275" t="n">
        <v>1623</v>
      </c>
      <c r="AB164" s="270" t="n">
        <v>20073.94</v>
      </c>
      <c r="AC164" s="290" t="n"/>
      <c r="AD164" s="276" t="n">
        <v>0.0121836789265138</v>
      </c>
      <c r="AE164" s="141" t="n">
        <v>0.00789070666310134</v>
      </c>
      <c r="AF164" s="270" t="n">
        <v>8.01035115722267</v>
      </c>
      <c r="AG164" s="277" t="n">
        <v>0.0975955465882296</v>
      </c>
      <c r="AH164" s="131" t="n">
        <v>0.546512512360234</v>
      </c>
      <c r="AI164" s="131" t="n">
        <v>0.382657640526356</v>
      </c>
      <c r="AJ164" s="270" t="n">
        <v>0.412626103021611</v>
      </c>
      <c r="AK164" s="130" t="n">
        <v>0.238899287745825</v>
      </c>
      <c r="AL164" s="130" t="n">
        <v>0.0157230716872888</v>
      </c>
      <c r="AM164" s="133" t="n">
        <v>0.342295257310937</v>
      </c>
    </row>
    <row customHeight="1" ht="13.2" outlineLevel="1" r="165" s="3">
      <c r="A165" s="117" t="n">
        <v>43506</v>
      </c>
      <c r="B165" s="289" t="inlineStr">
        <is>
          <t>iOS</t>
        </is>
      </c>
      <c r="C165" s="268" t="n">
        <v>49632</v>
      </c>
      <c r="D165" s="268" t="n">
        <v>194976</v>
      </c>
      <c r="E165" s="269" t="n">
        <v>3.9284332688588</v>
      </c>
      <c r="F165" s="270" t="n">
        <v>0.850096239691039</v>
      </c>
      <c r="G165" s="292" t="n">
        <v>17.67</v>
      </c>
      <c r="H165" s="271" t="n">
        <v>28.8</v>
      </c>
      <c r="I165" s="142" t="n">
        <v>0.363</v>
      </c>
      <c r="J165" s="142" t="n">
        <v>0.192</v>
      </c>
      <c r="K165" s="142" t="n">
        <v>0.117</v>
      </c>
      <c r="L165" s="270" t="n">
        <v>9.52075127195142</v>
      </c>
      <c r="M165" s="272" t="n">
        <v>10.4531532086</v>
      </c>
      <c r="N165" s="270" t="n">
        <v>15.7529293553872</v>
      </c>
      <c r="O165" s="273">
        <f>M165/N165</f>
        <v/>
      </c>
      <c r="P165" s="270" t="n">
        <v>2.09853918689133</v>
      </c>
      <c r="Q165" s="270" t="n">
        <v>3.09630545679394</v>
      </c>
      <c r="R165" s="270" t="n">
        <v>0.833614159839233</v>
      </c>
      <c r="S165" s="270" t="n">
        <v>5.21422167259236</v>
      </c>
      <c r="T165" s="270" t="n">
        <v>1.17675838614933</v>
      </c>
      <c r="U165" s="270" t="n">
        <v>0.5069794404080999</v>
      </c>
      <c r="V165" s="270" t="n">
        <v>1.88168959653733</v>
      </c>
      <c r="W165" s="270" t="n">
        <v>0.944821456175607</v>
      </c>
      <c r="X165" s="274" t="n">
        <v>0.00653926637124569</v>
      </c>
      <c r="Y165" s="269" t="n">
        <v>10.4596924749713</v>
      </c>
      <c r="Z165" s="275" t="n">
        <v>2505</v>
      </c>
      <c r="AA165" s="275" t="n">
        <v>1653</v>
      </c>
      <c r="AB165" s="270" t="n">
        <v>20362.95</v>
      </c>
      <c r="AC165" s="290" t="n"/>
      <c r="AD165" s="276" t="n">
        <v>0.0128477351058592</v>
      </c>
      <c r="AE165" s="141" t="n">
        <v>0.00847796651895618</v>
      </c>
      <c r="AF165" s="270" t="n">
        <v>8.12892215568862</v>
      </c>
      <c r="AG165" s="277" t="n">
        <v>0.104438238552437</v>
      </c>
      <c r="AH165" s="131" t="n">
        <v>0.583675854287556</v>
      </c>
      <c r="AI165" s="131" t="n">
        <v>0.470382011605416</v>
      </c>
      <c r="AJ165" s="270" t="n">
        <v>0.452337723617266</v>
      </c>
      <c r="AK165" s="130" t="n">
        <v>0.25622127851633</v>
      </c>
      <c r="AL165" s="130" t="n">
        <v>0.0170892827835221</v>
      </c>
      <c r="AM165" s="133" t="n">
        <v>0.346976038076481</v>
      </c>
    </row>
    <row customHeight="1" ht="13.2" outlineLevel="1" r="166" s="3">
      <c r="A166" s="117" t="n">
        <v>43507</v>
      </c>
      <c r="B166" s="289" t="inlineStr">
        <is>
          <t>iOS</t>
        </is>
      </c>
      <c r="C166" s="268" t="n">
        <v>37068</v>
      </c>
      <c r="D166" s="268" t="n">
        <v>185054</v>
      </c>
      <c r="E166" s="269" t="n">
        <v>4.99228445019963</v>
      </c>
      <c r="F166" s="270" t="n">
        <v>0.81461686226723</v>
      </c>
      <c r="G166" s="292" t="n">
        <v>17.37</v>
      </c>
      <c r="H166" s="271" t="n">
        <v>28.05</v>
      </c>
      <c r="I166" s="142" t="n">
        <v>0.362</v>
      </c>
      <c r="J166" s="142" t="n">
        <v>0.195</v>
      </c>
      <c r="K166" s="142" t="n">
        <v>0.123</v>
      </c>
      <c r="L166" s="270" t="n">
        <v>9.47708776897554</v>
      </c>
      <c r="M166" s="272" t="n">
        <v>10.4504955310342</v>
      </c>
      <c r="N166" s="270" t="n">
        <v>15.5975255669904</v>
      </c>
      <c r="O166" s="273">
        <f>M166/N166</f>
        <v/>
      </c>
      <c r="P166" s="270" t="n">
        <v>2.06487724618511</v>
      </c>
      <c r="Q166" s="270" t="n">
        <v>3.07730586830984</v>
      </c>
      <c r="R166" s="270" t="n">
        <v>0.8457512017292</v>
      </c>
      <c r="S166" s="270" t="n">
        <v>5.14652224408814</v>
      </c>
      <c r="T166" s="270" t="n">
        <v>1.17592831564345</v>
      </c>
      <c r="U166" s="270" t="n">
        <v>0.491055586024454</v>
      </c>
      <c r="V166" s="270" t="n">
        <v>1.8557521695648</v>
      </c>
      <c r="W166" s="270" t="n">
        <v>0.940332935445366</v>
      </c>
      <c r="X166" s="274" t="n">
        <v>0.00654943962302895</v>
      </c>
      <c r="Y166" s="269" t="n">
        <v>10.4570449706572</v>
      </c>
      <c r="Z166" s="275" t="n">
        <v>2232</v>
      </c>
      <c r="AA166" s="275" t="n">
        <v>1559</v>
      </c>
      <c r="AB166" s="270" t="n">
        <v>17325.68</v>
      </c>
      <c r="AC166" s="290" t="n"/>
      <c r="AD166" s="276" t="n">
        <v>0.0120613442562711</v>
      </c>
      <c r="AE166" s="141" t="n">
        <v>0.00842456796394566</v>
      </c>
      <c r="AF166" s="270" t="n">
        <v>7.76240143369176</v>
      </c>
      <c r="AG166" s="277" t="n">
        <v>0.093624995947129</v>
      </c>
      <c r="AH166" s="131" t="n">
        <v>0.592101003561023</v>
      </c>
      <c r="AI166" s="131" t="n">
        <v>0.5222563936549049</v>
      </c>
      <c r="AJ166" s="270" t="n">
        <v>0.472948436672539</v>
      </c>
      <c r="AK166" s="130" t="n">
        <v>0.281166578404141</v>
      </c>
      <c r="AL166" s="130" t="n">
        <v>0.0184973034897922</v>
      </c>
      <c r="AM166" s="133" t="n">
        <v>0.345547786051639</v>
      </c>
    </row>
    <row customHeight="1" ht="13.2" outlineLevel="1" r="167" s="3">
      <c r="A167" s="117" t="n">
        <v>43508</v>
      </c>
      <c r="B167" s="289" t="inlineStr">
        <is>
          <t>iOS</t>
        </is>
      </c>
      <c r="C167" s="268" t="n">
        <v>33513</v>
      </c>
      <c r="D167" s="268" t="n">
        <v>171920</v>
      </c>
      <c r="E167" s="269" t="n">
        <v>5.12994957180796</v>
      </c>
      <c r="F167" s="270" t="n">
        <v>0.820494969258958</v>
      </c>
      <c r="G167" s="292" t="n">
        <v>18.7</v>
      </c>
      <c r="H167" s="271" t="n">
        <v>29.36</v>
      </c>
      <c r="I167" s="142" t="n">
        <v>0.364</v>
      </c>
      <c r="J167" s="142" t="n">
        <v>0.194</v>
      </c>
      <c r="K167" s="142" t="n">
        <v>0.111</v>
      </c>
      <c r="L167" s="270" t="n">
        <v>9.339041414611451</v>
      </c>
      <c r="M167" s="272" t="n">
        <v>10.0559620753839</v>
      </c>
      <c r="N167" s="270" t="n">
        <v>15.0855664435738</v>
      </c>
      <c r="O167" s="273">
        <f>M167/N167</f>
        <v/>
      </c>
      <c r="P167" s="270" t="n">
        <v>2.01581138035445</v>
      </c>
      <c r="Q167" s="270" t="n">
        <v>2.88429420336646</v>
      </c>
      <c r="R167" s="270" t="n">
        <v>0.8520344499611699</v>
      </c>
      <c r="S167" s="270" t="n">
        <v>4.9694330765002</v>
      </c>
      <c r="T167" s="270" t="n">
        <v>1.14343679374526</v>
      </c>
      <c r="U167" s="270" t="n">
        <v>0.513005994712088</v>
      </c>
      <c r="V167" s="270" t="n">
        <v>1.79466147764854</v>
      </c>
      <c r="W167" s="270" t="n">
        <v>0.912889067285626</v>
      </c>
      <c r="X167" s="274" t="n">
        <v>0.00665425779432294</v>
      </c>
      <c r="Y167" s="269" t="n">
        <v>10.0626163331782</v>
      </c>
      <c r="Z167" s="275" t="n">
        <v>2004</v>
      </c>
      <c r="AA167" s="275" t="n">
        <v>1422</v>
      </c>
      <c r="AB167" s="270" t="n">
        <v>15250.96</v>
      </c>
      <c r="AC167" s="290" t="n"/>
      <c r="AD167" s="276" t="n">
        <v>0.0116565844578874</v>
      </c>
      <c r="AE167" s="141" t="n">
        <v>0.00827128897161471</v>
      </c>
      <c r="AF167" s="270" t="n">
        <v>7.61025948103793</v>
      </c>
      <c r="AG167" s="277" t="n">
        <v>0.0887096323871568</v>
      </c>
      <c r="AH167" s="131" t="n">
        <v>0.565840121743801</v>
      </c>
      <c r="AI167" s="131" t="n">
        <v>0.460239310118461</v>
      </c>
      <c r="AJ167" s="270" t="n">
        <v>0.505176826430898</v>
      </c>
      <c r="AK167" s="130" t="n">
        <v>0.300302466263378</v>
      </c>
      <c r="AL167" s="130" t="n">
        <v>0.0225046533271289</v>
      </c>
      <c r="AM167" s="133" t="n">
        <v>0.283137505816659</v>
      </c>
    </row>
    <row customFormat="1" customHeight="1" ht="12.45" outlineLevel="1" r="168" s="294">
      <c r="A168" s="121" t="n">
        <v>43509</v>
      </c>
      <c r="B168" s="295" t="inlineStr">
        <is>
          <t>iOS</t>
        </is>
      </c>
      <c r="C168" s="296" t="n">
        <v>29999</v>
      </c>
      <c r="D168" s="296" t="n">
        <v>161227</v>
      </c>
      <c r="E168" s="297" t="n">
        <v>5.37441248041601</v>
      </c>
      <c r="F168" s="294" t="n">
        <v>0.73722931500307</v>
      </c>
      <c r="G168" s="298" t="n">
        <v>18.35</v>
      </c>
      <c r="H168" s="306" t="n">
        <v>28.99</v>
      </c>
      <c r="I168" s="124" t="n">
        <v>0.368</v>
      </c>
      <c r="J168" s="124" t="n">
        <v>0.198</v>
      </c>
      <c r="K168" s="124" t="n">
        <v>0.111</v>
      </c>
      <c r="L168" s="294" t="n">
        <v>9.04601586582892</v>
      </c>
      <c r="M168" s="299" t="n">
        <v>9.35655938521464</v>
      </c>
      <c r="N168" s="294" t="n">
        <v>14.0603038493802</v>
      </c>
      <c r="O168" s="300">
        <f>M168/N168</f>
        <v/>
      </c>
      <c r="P168" s="294" t="n">
        <v>1.91437226209339</v>
      </c>
      <c r="Q168" s="294" t="n">
        <v>2.56054618324168</v>
      </c>
      <c r="R168" s="294" t="n">
        <v>0.835846770435269</v>
      </c>
      <c r="S168" s="294" t="n">
        <v>4.5928138689533</v>
      </c>
      <c r="T168" s="294" t="n">
        <v>1.09250629135987</v>
      </c>
      <c r="U168" s="294" t="n">
        <v>0.53553919284183</v>
      </c>
      <c r="V168" s="294" t="n">
        <v>1.66526237300774</v>
      </c>
      <c r="W168" s="294" t="n">
        <v>0.863416907447106</v>
      </c>
      <c r="X168" s="301" t="n">
        <v>0.00627066186184696</v>
      </c>
      <c r="Y168" s="297" t="n">
        <v>9.36283004707648</v>
      </c>
      <c r="Z168" s="293" t="n">
        <v>1784</v>
      </c>
      <c r="AA168" s="293" t="n">
        <v>1248</v>
      </c>
      <c r="AB168" s="294" t="n">
        <v>11953.16</v>
      </c>
      <c r="AC168" s="302" t="n"/>
      <c r="AD168" s="303" t="n">
        <v>0.0110651441756033</v>
      </c>
      <c r="AE168" s="123" t="n">
        <v>0.00774063897486153</v>
      </c>
      <c r="AF168" s="294" t="n">
        <v>6.70020179372197</v>
      </c>
      <c r="AG168" s="304" t="n">
        <v>0.0741386988531698</v>
      </c>
      <c r="AH168" s="135" t="n">
        <v>0.572519083969466</v>
      </c>
      <c r="AI168" s="135" t="n">
        <v>0.461915397179906</v>
      </c>
      <c r="AJ168" s="294" t="n">
        <v>0.579053136261296</v>
      </c>
      <c r="AK168" s="136" t="n">
        <v>0.332518746860017</v>
      </c>
      <c r="AL168" s="136" t="n">
        <v>0.0256780812146849</v>
      </c>
      <c r="AM168" s="137" t="n">
        <v>0</v>
      </c>
    </row>
    <row customHeight="1" ht="13.2" outlineLevel="1" r="169" s="3">
      <c r="A169" s="117" t="n">
        <v>43510</v>
      </c>
      <c r="B169" s="267" t="inlineStr">
        <is>
          <t>iOS</t>
        </is>
      </c>
      <c r="C169" s="268" t="n">
        <v>29328</v>
      </c>
      <c r="D169" s="268" t="n">
        <v>154288</v>
      </c>
      <c r="E169" s="269" t="n">
        <v>5.2607746863066</v>
      </c>
      <c r="F169" s="270" t="n">
        <v>0.7265839965648661</v>
      </c>
      <c r="G169" s="292" t="n">
        <v>18.49</v>
      </c>
      <c r="H169" s="271" t="n">
        <v>29.65</v>
      </c>
      <c r="I169" s="142" t="n">
        <v>0.353</v>
      </c>
      <c r="J169" s="142" t="n">
        <v>0.191</v>
      </c>
      <c r="K169" s="142" t="n">
        <v>0.106</v>
      </c>
      <c r="L169" s="270" t="n">
        <v>8.758276729233639</v>
      </c>
      <c r="M169" s="272" t="n">
        <v>9.03932256559162</v>
      </c>
      <c r="N169" s="270" t="n">
        <v>13.7396705613461</v>
      </c>
      <c r="O169" s="273">
        <f>M169/N169</f>
        <v/>
      </c>
      <c r="P169" s="270" t="n">
        <v>1.90512876086143</v>
      </c>
      <c r="Q169" s="270" t="n">
        <v>2.53570232301539</v>
      </c>
      <c r="R169" s="270" t="n">
        <v>0.796297755797687</v>
      </c>
      <c r="S169" s="270" t="n">
        <v>4.40670502236321</v>
      </c>
      <c r="T169" s="270" t="n">
        <v>1.08550233483735</v>
      </c>
      <c r="U169" s="270" t="n">
        <v>0.525742320650996</v>
      </c>
      <c r="V169" s="270" t="n">
        <v>1.63163753866766</v>
      </c>
      <c r="W169" s="270" t="n">
        <v>0.852954505152405</v>
      </c>
      <c r="X169" s="274" t="n">
        <v>0.00632583220989319</v>
      </c>
      <c r="Y169" s="269" t="n">
        <v>9.045648397801511</v>
      </c>
      <c r="Z169" s="275" t="n">
        <v>1663</v>
      </c>
      <c r="AA169" s="275" t="n">
        <v>1159</v>
      </c>
      <c r="AB169" s="270" t="n">
        <v>11750.37</v>
      </c>
      <c r="AC169" s="290" t="n"/>
      <c r="AD169" s="276" t="n">
        <v>0.0107785440215701</v>
      </c>
      <c r="AE169" s="141" t="n">
        <v>0.00751192574924816</v>
      </c>
      <c r="AF169" s="270" t="n">
        <v>7.06576668671076</v>
      </c>
      <c r="AG169" s="277" t="n">
        <v>0.0761586772788551</v>
      </c>
      <c r="AH169" s="131" t="n">
        <v>0.554828150572831</v>
      </c>
      <c r="AI169" s="131" t="n">
        <v>0.429759956355701</v>
      </c>
      <c r="AJ169" s="270" t="n">
        <v>0.539439230529918</v>
      </c>
      <c r="AK169" s="130" t="n">
        <v>0.335295032666183</v>
      </c>
      <c r="AL169" s="130" t="n">
        <v>0.0263403505133257</v>
      </c>
      <c r="AM169" s="133" t="n">
        <v>0</v>
      </c>
    </row>
    <row customHeight="1" ht="13.2" outlineLevel="1" r="170" s="3">
      <c r="A170" s="117" t="n">
        <v>43511</v>
      </c>
      <c r="B170" s="267" t="inlineStr">
        <is>
          <t>iOS</t>
        </is>
      </c>
      <c r="C170" s="268" t="n">
        <v>36585</v>
      </c>
      <c r="D170" s="268" t="n">
        <v>156648</v>
      </c>
      <c r="E170" s="269" t="n">
        <v>4.28175481754818</v>
      </c>
      <c r="F170" s="270" t="n">
        <v>0.674973602114294</v>
      </c>
      <c r="G170" s="292" t="n">
        <v>17.71</v>
      </c>
      <c r="H170" s="271" t="n">
        <v>28.13</v>
      </c>
      <c r="I170" s="142" t="n">
        <v>0.352</v>
      </c>
      <c r="J170" s="142" t="n">
        <v>0.184</v>
      </c>
      <c r="K170" s="142" t="n">
        <v>0.095</v>
      </c>
      <c r="L170" s="270" t="n">
        <v>8.441141923292991</v>
      </c>
      <c r="M170" s="272" t="n">
        <v>8.462999846790259</v>
      </c>
      <c r="N170" s="270" t="n">
        <v>13.2107502665644</v>
      </c>
      <c r="O170" s="273">
        <f>M170/N170</f>
        <v/>
      </c>
      <c r="P170" s="270" t="n">
        <v>1.91031479506931</v>
      </c>
      <c r="Q170" s="270" t="n">
        <v>2.40880509411964</v>
      </c>
      <c r="R170" s="270" t="n">
        <v>0.750535619973892</v>
      </c>
      <c r="S170" s="270" t="n">
        <v>4.16702374664926</v>
      </c>
      <c r="T170" s="270" t="n">
        <v>1.06630726151209</v>
      </c>
      <c r="U170" s="270" t="n">
        <v>0.516487130173092</v>
      </c>
      <c r="V170" s="270" t="n">
        <v>1.56576416777112</v>
      </c>
      <c r="W170" s="270" t="n">
        <v>0.825512451295951</v>
      </c>
      <c r="X170" s="274" t="n">
        <v>0.00528573617282059</v>
      </c>
      <c r="Y170" s="269" t="n">
        <v>8.46828558296308</v>
      </c>
      <c r="Z170" s="275" t="n">
        <v>1666</v>
      </c>
      <c r="AA170" s="275" t="n">
        <v>1164</v>
      </c>
      <c r="AB170" s="270" t="n">
        <v>12269.34</v>
      </c>
      <c r="AC170" s="290" t="n"/>
      <c r="AD170" s="276" t="n">
        <v>0.0106353097390327</v>
      </c>
      <c r="AE170" s="141" t="n">
        <v>0.00743067259077677</v>
      </c>
      <c r="AF170" s="270" t="n">
        <v>7.36454981992797</v>
      </c>
      <c r="AG170" s="277" t="n">
        <v>0.0783242684234717</v>
      </c>
      <c r="AH170" s="131" t="n">
        <v>0.499275659423261</v>
      </c>
      <c r="AI170" s="131" t="n">
        <v>0.357031570315703</v>
      </c>
      <c r="AJ170" s="270" t="n">
        <v>0.506524181604617</v>
      </c>
      <c r="AK170" s="130" t="n">
        <v>0.318663500331954</v>
      </c>
      <c r="AL170" s="130" t="n">
        <v>0.0249987232521322</v>
      </c>
      <c r="AM170" s="133" t="n">
        <v>0</v>
      </c>
    </row>
    <row customHeight="1" ht="13.2" outlineLevel="1" r="171" s="3">
      <c r="A171" s="117" t="n">
        <v>43512</v>
      </c>
      <c r="B171" s="289" t="inlineStr">
        <is>
          <t>iOS</t>
        </is>
      </c>
      <c r="C171" s="268" t="n">
        <v>55016</v>
      </c>
      <c r="D171" s="268" t="n">
        <v>176584</v>
      </c>
      <c r="E171" s="269" t="n">
        <v>3.20968445543115</v>
      </c>
      <c r="F171" s="270" t="n">
        <v>0.818039938125764</v>
      </c>
      <c r="G171" s="292" t="n">
        <v>16.34</v>
      </c>
      <c r="H171" s="271" t="n">
        <v>26.22</v>
      </c>
      <c r="I171" s="142" t="n">
        <v>0.337</v>
      </c>
      <c r="J171" s="142" t="n">
        <v>0.172</v>
      </c>
      <c r="K171" s="142" t="n">
        <v>0.091</v>
      </c>
      <c r="L171" s="270" t="n">
        <v>9.731917954061521</v>
      </c>
      <c r="M171" s="272" t="n">
        <v>10.2818262130204</v>
      </c>
      <c r="N171" s="270" t="n">
        <v>16.2390411877823</v>
      </c>
      <c r="O171" s="273">
        <f>M171/N171</f>
        <v/>
      </c>
      <c r="P171" s="270" t="n">
        <v>2.21986494342829</v>
      </c>
      <c r="Q171" s="270" t="n">
        <v>2.89151647958499</v>
      </c>
      <c r="R171" s="270" t="n">
        <v>0.791252627342248</v>
      </c>
      <c r="S171" s="270" t="n">
        <v>5.71455659407003</v>
      </c>
      <c r="T171" s="270" t="n">
        <v>1.24006976432181</v>
      </c>
      <c r="U171" s="270" t="n">
        <v>0.477975045838737</v>
      </c>
      <c r="V171" s="270" t="n">
        <v>1.96944680470462</v>
      </c>
      <c r="W171" s="270" t="n">
        <v>0.93435892849157</v>
      </c>
      <c r="X171" s="274" t="n">
        <v>0.00687491505459158</v>
      </c>
      <c r="Y171" s="269" t="n">
        <v>10.288701128075</v>
      </c>
      <c r="Z171" s="275" t="n">
        <v>2383</v>
      </c>
      <c r="AA171" s="275" t="n">
        <v>1528</v>
      </c>
      <c r="AB171" s="270" t="n">
        <v>20178.17</v>
      </c>
      <c r="AD171" s="276" t="n">
        <v>0.0134949938839306</v>
      </c>
      <c r="AE171" s="141" t="n">
        <v>0.008653105604131741</v>
      </c>
      <c r="AF171" s="270" t="n">
        <v>8.467549307595471</v>
      </c>
      <c r="AG171" s="277" t="n">
        <v>0.114269526117882</v>
      </c>
      <c r="AH171" s="131" t="n">
        <v>0.5038170713974121</v>
      </c>
      <c r="AI171" s="131" t="n">
        <v>0.321997237167369</v>
      </c>
      <c r="AJ171" s="270" t="n">
        <v>0.405348162913967</v>
      </c>
      <c r="AK171" s="130" t="n">
        <v>0.25028881438862</v>
      </c>
      <c r="AL171" s="130" t="n">
        <v>0.0195431069632583</v>
      </c>
      <c r="AM171" s="133" t="n">
        <v>0.333535314637793</v>
      </c>
    </row>
    <row customHeight="1" ht="13.2" outlineLevel="1" r="172" s="3">
      <c r="A172" s="117" t="n">
        <v>43513</v>
      </c>
      <c r="B172" s="289" t="inlineStr">
        <is>
          <t>iOS</t>
        </is>
      </c>
      <c r="C172" s="268" t="n">
        <v>61932</v>
      </c>
      <c r="D172" s="268" t="n">
        <v>189924</v>
      </c>
      <c r="E172" s="269" t="n">
        <v>3.0666537492734</v>
      </c>
      <c r="F172" s="270" t="n">
        <v>0.775278552631579</v>
      </c>
      <c r="G172" s="292" t="n">
        <v>16.36</v>
      </c>
      <c r="H172" s="271" t="n">
        <v>26.02</v>
      </c>
      <c r="I172" s="142" t="n">
        <v>0.342</v>
      </c>
      <c r="J172" s="142" t="n">
        <v>0.169</v>
      </c>
      <c r="K172" s="142" t="n">
        <v>0.096</v>
      </c>
      <c r="L172" s="270" t="n">
        <v>9.408968850698169</v>
      </c>
      <c r="M172" s="272" t="n">
        <v>10.1806038204756</v>
      </c>
      <c r="N172" s="270" t="n">
        <v>16.1006320207176</v>
      </c>
      <c r="O172" s="273">
        <f>M172/N172</f>
        <v/>
      </c>
      <c r="P172" s="270" t="n">
        <v>2.18187041493534</v>
      </c>
      <c r="Q172" s="270" t="n">
        <v>2.98919985677528</v>
      </c>
      <c r="R172" s="270" t="n">
        <v>0.846399813474782</v>
      </c>
      <c r="S172" s="270" t="n">
        <v>5.48702234139111</v>
      </c>
      <c r="T172" s="270" t="n">
        <v>1.23404751396857</v>
      </c>
      <c r="U172" s="270" t="n">
        <v>0.498172219400288</v>
      </c>
      <c r="V172" s="270" t="n">
        <v>1.91217493400838</v>
      </c>
      <c r="W172" s="270" t="n">
        <v>0.951744926763871</v>
      </c>
      <c r="X172" s="274" t="n">
        <v>0.00576546408036899</v>
      </c>
      <c r="Y172" s="269" t="n">
        <v>10.1863692845559</v>
      </c>
      <c r="Z172" s="275" t="n">
        <v>2345</v>
      </c>
      <c r="AA172" s="275" t="n">
        <v>1534</v>
      </c>
      <c r="AB172" s="270" t="n">
        <v>19270.55</v>
      </c>
      <c r="AD172" s="276" t="n">
        <v>0.0123470440807902</v>
      </c>
      <c r="AE172" s="141" t="n">
        <v>0.00807691497651692</v>
      </c>
      <c r="AF172" s="270" t="n">
        <v>8.217718550106611</v>
      </c>
      <c r="AG172" s="277" t="n">
        <v>0.101464533181694</v>
      </c>
      <c r="AH172" s="131" t="n">
        <v>0.512513724730349</v>
      </c>
      <c r="AI172" s="131" t="n">
        <v>0.347267971323387</v>
      </c>
      <c r="AJ172" s="270" t="n">
        <v>0.419609949242855</v>
      </c>
      <c r="AK172" s="130" t="n">
        <v>0.240506729007392</v>
      </c>
      <c r="AL172" s="130" t="n">
        <v>0.018344179777174</v>
      </c>
      <c r="AM172" s="133" t="n">
        <v>0.315115519892167</v>
      </c>
    </row>
    <row customHeight="1" ht="13.2" outlineLevel="1" r="173" s="3">
      <c r="A173" s="117" t="n">
        <v>43514</v>
      </c>
      <c r="B173" s="289" t="inlineStr">
        <is>
          <t>iOS</t>
        </is>
      </c>
      <c r="C173" s="268" t="n">
        <v>77929</v>
      </c>
      <c r="D173" s="268" t="n">
        <v>216764</v>
      </c>
      <c r="E173" s="269" t="n">
        <v>2.78155757163572</v>
      </c>
      <c r="F173" s="270" t="n">
        <v>0.73385066641601</v>
      </c>
      <c r="G173" s="292" t="n">
        <v>16.68</v>
      </c>
      <c r="H173" s="271" t="n">
        <v>25.93</v>
      </c>
      <c r="I173" s="142" t="n">
        <v>0.345</v>
      </c>
      <c r="J173" s="142" t="n">
        <v>0.178</v>
      </c>
      <c r="K173" s="142" t="n">
        <v>0.101</v>
      </c>
      <c r="L173" s="270" t="n">
        <v>9.48424553892713</v>
      </c>
      <c r="M173" s="272" t="n">
        <v>9.67439704009891</v>
      </c>
      <c r="N173" s="270" t="n">
        <v>15.4785211319585</v>
      </c>
      <c r="O173" s="273">
        <f>M173/N173</f>
        <v/>
      </c>
      <c r="P173" s="270" t="n">
        <v>2.14618178060554</v>
      </c>
      <c r="Q173" s="270" t="n">
        <v>2.92607136003307</v>
      </c>
      <c r="R173" s="270" t="n">
        <v>0.811185249701067</v>
      </c>
      <c r="S173" s="270" t="n">
        <v>5.13026822751362</v>
      </c>
      <c r="T173" s="270" t="n">
        <v>1.19043858224709</v>
      </c>
      <c r="U173" s="270" t="n">
        <v>0.50766153437357</v>
      </c>
      <c r="V173" s="270" t="n">
        <v>1.84446642358394</v>
      </c>
      <c r="W173" s="270" t="n">
        <v>0.922247973900592</v>
      </c>
      <c r="X173" s="274" t="n">
        <v>0.00538834861877433</v>
      </c>
      <c r="Y173" s="269" t="n">
        <v>9.679785388717679</v>
      </c>
      <c r="Z173" s="275" t="n">
        <v>2484</v>
      </c>
      <c r="AA173" s="275" t="n">
        <v>1658</v>
      </c>
      <c r="AB173" s="270" t="n">
        <v>19881.16</v>
      </c>
      <c r="AD173" s="276" t="n">
        <v>0.0114594674392427</v>
      </c>
      <c r="AE173" s="141" t="n">
        <v>0.00764887158384234</v>
      </c>
      <c r="AF173" s="270" t="n">
        <v>8.00368760064412</v>
      </c>
      <c r="AG173" s="277" t="n">
        <v>0.0917179974534517</v>
      </c>
      <c r="AH173" s="131" t="n">
        <v>0.512094342285927</v>
      </c>
      <c r="AI173" s="131" t="n">
        <v>0.335497696621283</v>
      </c>
      <c r="AJ173" s="270" t="n">
        <v>0.422874647081619</v>
      </c>
      <c r="AK173" s="130" t="n">
        <v>0.229014042922256</v>
      </c>
      <c r="AL173" s="130" t="n">
        <v>0.0175721060692735</v>
      </c>
      <c r="AM173" s="133" t="n">
        <v>0.290993891974682</v>
      </c>
    </row>
    <row customHeight="1" ht="13.2" outlineLevel="1" r="174" s="3">
      <c r="A174" s="117" t="n">
        <v>43515</v>
      </c>
      <c r="B174" s="289" t="inlineStr">
        <is>
          <t>iOS</t>
        </is>
      </c>
      <c r="C174" s="268" t="n">
        <v>69957</v>
      </c>
      <c r="D174" s="268" t="n">
        <v>215419</v>
      </c>
      <c r="E174" s="269" t="n">
        <v>3.07930585931358</v>
      </c>
      <c r="F174" s="270" t="n">
        <v>0.719721921993882</v>
      </c>
      <c r="G174" s="292" t="n">
        <v>17.68</v>
      </c>
      <c r="H174" s="271" t="n">
        <v>26.87</v>
      </c>
      <c r="I174" s="142" t="n">
        <v>0.344</v>
      </c>
      <c r="J174" s="142" t="n">
        <v>0.179</v>
      </c>
      <c r="K174" s="142" t="n">
        <v>0.097</v>
      </c>
      <c r="L174" s="270" t="n">
        <v>9.607142359773279</v>
      </c>
      <c r="M174" s="272" t="n">
        <v>9.33505865313645</v>
      </c>
      <c r="N174" s="270" t="n">
        <v>14.7886732510167</v>
      </c>
      <c r="O174" s="273" t="n">
        <v>0.6312303000199611</v>
      </c>
      <c r="P174" s="270" t="n">
        <v>2.04044006795167</v>
      </c>
      <c r="Q174" s="270" t="n">
        <v>2.78640084130638</v>
      </c>
      <c r="R174" s="270" t="n">
        <v>0.806889299082947</v>
      </c>
      <c r="S174" s="270" t="n">
        <v>4.81444193588716</v>
      </c>
      <c r="T174" s="270" t="n">
        <v>1.14388251127012</v>
      </c>
      <c r="U174" s="270" t="n">
        <v>0.538119856742585</v>
      </c>
      <c r="V174" s="270" t="n">
        <v>1.76871428676487</v>
      </c>
      <c r="W174" s="270" t="n">
        <v>0.889784452010972</v>
      </c>
      <c r="X174" s="274" t="n">
        <v>0.00617865647876928</v>
      </c>
      <c r="Y174" s="269" t="n">
        <v>9.341237309615209</v>
      </c>
      <c r="Z174" s="275" t="n">
        <v>2225</v>
      </c>
      <c r="AA174" s="275" t="n">
        <v>1512</v>
      </c>
      <c r="AB174" s="270" t="n">
        <v>17073.75</v>
      </c>
      <c r="AD174" s="276" t="n">
        <v>0.0103287082383634</v>
      </c>
      <c r="AE174" s="141" t="n">
        <v>0.00701887948602491</v>
      </c>
      <c r="AF174" s="270" t="n">
        <v>7.67359550561798</v>
      </c>
      <c r="AG174" s="277" t="n">
        <v>0.0792583291167446</v>
      </c>
      <c r="AH174" s="131" t="n">
        <v>0.526366196377775</v>
      </c>
      <c r="AI174" s="131" t="n">
        <v>0.376817187701016</v>
      </c>
      <c r="AJ174" s="270" t="n">
        <v>0.461871979723237</v>
      </c>
      <c r="AK174" s="130" t="n">
        <v>0.247085911641963</v>
      </c>
      <c r="AL174" s="130" t="n">
        <v>0.0204067422093687</v>
      </c>
      <c r="AM174" s="133" t="n">
        <v>0.242833733329001</v>
      </c>
    </row>
    <row customFormat="1" customHeight="1" ht="12.45" outlineLevel="1" r="175" s="294">
      <c r="A175" s="121" t="n">
        <v>43516</v>
      </c>
      <c r="B175" s="295" t="inlineStr">
        <is>
          <t>iOS</t>
        </is>
      </c>
      <c r="C175" s="296" t="n">
        <v>58719</v>
      </c>
      <c r="D175" s="296" t="n">
        <v>205906</v>
      </c>
      <c r="E175" s="297" t="n">
        <v>3.50663328735162</v>
      </c>
      <c r="F175" s="294" t="n">
        <v>0.643172364744107</v>
      </c>
      <c r="G175" s="298" t="n">
        <v>18.67</v>
      </c>
      <c r="H175" s="306" t="n">
        <v>28.07</v>
      </c>
      <c r="I175" s="124" t="n">
        <v>0.349</v>
      </c>
      <c r="J175" s="124" t="n">
        <v>0.181</v>
      </c>
      <c r="K175" s="124" t="n">
        <v>0.094</v>
      </c>
      <c r="L175" s="294" t="n">
        <v>9.180116169514241</v>
      </c>
      <c r="M175" s="299" t="n">
        <v>8.404791506804081</v>
      </c>
      <c r="N175" s="294" t="n">
        <v>13.3346457906335</v>
      </c>
      <c r="O175" s="300" t="n">
        <v>0.630297320136373</v>
      </c>
      <c r="P175" s="294" t="n">
        <v>1.88869797044274</v>
      </c>
      <c r="Q175" s="294" t="n">
        <v>2.42088271100769</v>
      </c>
      <c r="R175" s="294" t="n">
        <v>0.766408284661972</v>
      </c>
      <c r="S175" s="294" t="n">
        <v>4.22525465781079</v>
      </c>
      <c r="T175" s="294" t="n">
        <v>1.0560940654328</v>
      </c>
      <c r="U175" s="294" t="n">
        <v>0.547394862153457</v>
      </c>
      <c r="V175" s="294" t="n">
        <v>1.60331941255336</v>
      </c>
      <c r="W175" s="294" t="n">
        <v>0.826593826570711</v>
      </c>
      <c r="X175" s="301" t="n">
        <v>0.0059444600934407</v>
      </c>
      <c r="Y175" s="297" t="n">
        <v>8.410735966897519</v>
      </c>
      <c r="Z175" s="293" t="n">
        <v>1904</v>
      </c>
      <c r="AA175" s="293" t="n">
        <v>1333</v>
      </c>
      <c r="AB175" s="294" t="n">
        <v>11963.96</v>
      </c>
      <c r="AD175" s="303" t="n">
        <v>0.00924693792312997</v>
      </c>
      <c r="AE175" s="123" t="n">
        <v>0.00647382786319971</v>
      </c>
      <c r="AF175" s="294" t="n">
        <v>6.28359243697479</v>
      </c>
      <c r="AG175" s="304" t="n">
        <v>0.0581039891989549</v>
      </c>
      <c r="AH175" s="135" t="n">
        <v>0.527699722406717</v>
      </c>
      <c r="AI175" s="135" t="n">
        <v>0.393143616205998</v>
      </c>
      <c r="AJ175" s="294" t="n">
        <v>0.514764018532729</v>
      </c>
      <c r="AK175" s="136" t="n">
        <v>0.281929618369547</v>
      </c>
      <c r="AL175" s="136" t="n">
        <v>0.0228259497052053</v>
      </c>
      <c r="AM175" s="137" t="n">
        <v>0</v>
      </c>
    </row>
    <row customHeight="1" ht="13.2" outlineLevel="1" r="176" s="3">
      <c r="A176" s="117" t="n">
        <v>43517</v>
      </c>
      <c r="B176" s="267" t="inlineStr">
        <is>
          <t>iOS</t>
        </is>
      </c>
      <c r="C176" s="268" t="n">
        <v>50177</v>
      </c>
      <c r="D176" s="268" t="n">
        <v>196555</v>
      </c>
      <c r="E176" s="269" t="n">
        <v>3.917232995197</v>
      </c>
      <c r="F176" s="270" t="n">
        <v>0.6322428589453331</v>
      </c>
      <c r="G176" s="292" t="n">
        <v>18.41</v>
      </c>
      <c r="H176" s="271" t="n">
        <v>28.44</v>
      </c>
      <c r="I176" s="142" t="n">
        <v>0.342</v>
      </c>
      <c r="J176" s="142" t="n">
        <v>0.174</v>
      </c>
      <c r="K176" s="142" t="n">
        <v>0.092</v>
      </c>
      <c r="L176" s="270" t="n">
        <v>8.95450128462771</v>
      </c>
      <c r="M176" s="272" t="n">
        <v>8.03931723944952</v>
      </c>
      <c r="N176" s="270" t="n">
        <v>12.8545234163365</v>
      </c>
      <c r="O176" s="273" t="n">
        <v>0.62540764671466</v>
      </c>
      <c r="P176" s="270" t="n">
        <v>1.84709624411236</v>
      </c>
      <c r="Q176" s="270" t="n">
        <v>2.35233919317969</v>
      </c>
      <c r="R176" s="270" t="n">
        <v>0.740236075068943</v>
      </c>
      <c r="S176" s="270" t="n">
        <v>4.00328650337192</v>
      </c>
      <c r="T176" s="270" t="n">
        <v>1.03422356357838</v>
      </c>
      <c r="U176" s="270" t="n">
        <v>0.526011372603252</v>
      </c>
      <c r="V176" s="270" t="n">
        <v>1.54485995753577</v>
      </c>
      <c r="W176" s="270" t="n">
        <v>0.806470506886201</v>
      </c>
      <c r="X176" s="274" t="n">
        <v>0.00451781943985144</v>
      </c>
      <c r="Y176" s="269" t="n">
        <v>8.043835058889369</v>
      </c>
      <c r="Z176" s="275" t="n">
        <v>1857</v>
      </c>
      <c r="AA176" s="275" t="n">
        <v>1360</v>
      </c>
      <c r="AB176" s="270" t="n">
        <v>11809.43</v>
      </c>
      <c r="AD176" s="276" t="n">
        <v>0.0094477372745542</v>
      </c>
      <c r="AE176" s="141" t="n">
        <v>0.0069191829258986</v>
      </c>
      <c r="AF176" s="270" t="n">
        <v>6.35941303177168</v>
      </c>
      <c r="AG176" s="277" t="n">
        <v>0.060082063544555</v>
      </c>
      <c r="AH176" s="131" t="n">
        <v>0.516272395719154</v>
      </c>
      <c r="AI176" s="131" t="n">
        <v>0.393108396277179</v>
      </c>
      <c r="AJ176" s="270" t="n">
        <v>0.48923202157157</v>
      </c>
      <c r="AK176" s="130" t="n">
        <v>0.291414616773931</v>
      </c>
      <c r="AL176" s="130" t="n">
        <v>0.0233318918368904</v>
      </c>
      <c r="AM176" s="133" t="n">
        <v>0</v>
      </c>
    </row>
    <row customHeight="1" ht="13.2" outlineLevel="1" r="177" s="3">
      <c r="A177" s="117" t="n">
        <v>43518</v>
      </c>
      <c r="B177" s="267" t="inlineStr">
        <is>
          <t>iOS</t>
        </is>
      </c>
      <c r="C177" s="268" t="n">
        <v>44023</v>
      </c>
      <c r="D177" s="268" t="n">
        <v>186402</v>
      </c>
      <c r="E177" s="269" t="n">
        <v>4.23419576130659</v>
      </c>
      <c r="F177" s="270" t="n">
        <v>0.6197395837866549</v>
      </c>
      <c r="G177" s="292" t="n">
        <v>17.54</v>
      </c>
      <c r="H177" s="271" t="n">
        <v>26.16</v>
      </c>
      <c r="I177" s="142" t="n">
        <v>0.337</v>
      </c>
      <c r="J177" s="142" t="n">
        <v>0.178</v>
      </c>
      <c r="K177" s="142" t="n">
        <v>0.095</v>
      </c>
      <c r="L177" s="270" t="n">
        <v>8.772658018690789</v>
      </c>
      <c r="M177" s="272" t="n">
        <v>7.99726934260362</v>
      </c>
      <c r="N177" s="270" t="n">
        <v>12.8307913446145</v>
      </c>
      <c r="O177" s="273" t="n">
        <v>0.623287303784294</v>
      </c>
      <c r="P177" s="270" t="n">
        <v>1.85551978791895</v>
      </c>
      <c r="Q177" s="270" t="n">
        <v>2.3435385860116</v>
      </c>
      <c r="R177" s="270" t="n">
        <v>0.7481193300166979</v>
      </c>
      <c r="S177" s="270" t="n">
        <v>3.97671756382228</v>
      </c>
      <c r="T177" s="270" t="n">
        <v>1.04387943054862</v>
      </c>
      <c r="U177" s="270" t="n">
        <v>0.517042226850975</v>
      </c>
      <c r="V177" s="270" t="n">
        <v>1.5382245098208</v>
      </c>
      <c r="W177" s="270" t="n">
        <v>0.807749909624554</v>
      </c>
      <c r="X177" s="274" t="n">
        <v>0.00604607246703362</v>
      </c>
      <c r="Y177" s="269" t="n">
        <v>8.00331541507065</v>
      </c>
      <c r="Z177" s="275" t="n">
        <v>1766</v>
      </c>
      <c r="AA177" s="275" t="n">
        <v>1283</v>
      </c>
      <c r="AB177" s="270" t="n">
        <v>11953.34</v>
      </c>
      <c r="AD177" s="276" t="n">
        <v>0.00947414727309793</v>
      </c>
      <c r="AE177" s="141" t="n">
        <v>0.00688297335865495</v>
      </c>
      <c r="AF177" s="270" t="n">
        <v>6.76859569648924</v>
      </c>
      <c r="AG177" s="277" t="n">
        <v>0.0641266724605959</v>
      </c>
      <c r="AH177" s="131" t="n">
        <v>0.5092110942007591</v>
      </c>
      <c r="AI177" s="131" t="n">
        <v>0.400676918883311</v>
      </c>
      <c r="AJ177" s="270" t="n">
        <v>0.490139590776923</v>
      </c>
      <c r="AK177" s="130" t="n">
        <v>0.302641602557912</v>
      </c>
      <c r="AL177" s="130" t="n">
        <v>0.0240769948820292</v>
      </c>
      <c r="AM177" s="133" t="n">
        <v>0</v>
      </c>
    </row>
    <row customHeight="1" ht="13.2" outlineLevel="1" r="178" s="3">
      <c r="A178" s="117" t="n">
        <v>43519</v>
      </c>
      <c r="B178" s="289" t="inlineStr">
        <is>
          <t>iOS</t>
        </is>
      </c>
      <c r="C178" s="268" t="n">
        <v>43710</v>
      </c>
      <c r="D178" s="268" t="n">
        <v>180445</v>
      </c>
      <c r="E178" s="269" t="n">
        <v>4.1282315259666</v>
      </c>
      <c r="F178" s="270" t="n">
        <v>0.75789430203109</v>
      </c>
      <c r="G178" s="292" t="n">
        <v>16.71</v>
      </c>
      <c r="H178" s="271" t="n">
        <v>26.06</v>
      </c>
      <c r="I178" s="142" t="n">
        <v>0.315</v>
      </c>
      <c r="J178" s="142" t="n">
        <v>0.153</v>
      </c>
      <c r="K178" s="142" t="n">
        <v>0.08599999999999999</v>
      </c>
      <c r="L178" s="270" t="n">
        <v>9.49988085012053</v>
      </c>
      <c r="M178" s="272" t="n">
        <v>9.24754357283383</v>
      </c>
      <c r="N178" s="270" t="n">
        <v>14.9998471855168</v>
      </c>
      <c r="O178" s="273" t="n">
        <v>0.616509185624428</v>
      </c>
      <c r="P178" s="270" t="n">
        <v>2.09013357783651</v>
      </c>
      <c r="Q178" s="270" t="n">
        <v>2.76880067597936</v>
      </c>
      <c r="R178" s="270" t="n">
        <v>0.839535803534509</v>
      </c>
      <c r="S178" s="270" t="n">
        <v>4.92924689427036</v>
      </c>
      <c r="T178" s="270" t="n">
        <v>1.19019110799489</v>
      </c>
      <c r="U178" s="270" t="n">
        <v>0.449571220538267</v>
      </c>
      <c r="V178" s="270" t="n">
        <v>1.85109576973554</v>
      </c>
      <c r="W178" s="270" t="n">
        <v>0.881272135627349</v>
      </c>
      <c r="X178" s="274" t="n">
        <v>0.00515946687356258</v>
      </c>
      <c r="Y178" s="269" t="n">
        <v>9.25270303970739</v>
      </c>
      <c r="Z178" s="275" t="n">
        <v>2207</v>
      </c>
      <c r="AA178" s="275" t="n">
        <v>1454</v>
      </c>
      <c r="AB178" s="270" t="n">
        <v>19392.93</v>
      </c>
      <c r="AD178" s="276" t="n">
        <v>0.0122308736734185</v>
      </c>
      <c r="AE178" s="141" t="n">
        <v>0.008057856964726089</v>
      </c>
      <c r="AF178" s="270" t="n">
        <v>8.787009515178971</v>
      </c>
      <c r="AG178" s="277" t="n">
        <v>0.10747280334728</v>
      </c>
      <c r="AH178" s="131" t="n">
        <v>0.487051018073667</v>
      </c>
      <c r="AI178" s="131" t="n">
        <v>0.367009837565774</v>
      </c>
      <c r="AJ178" s="270" t="n">
        <v>0.396830059020754</v>
      </c>
      <c r="AK178" s="130" t="n">
        <v>0.261703011998116</v>
      </c>
      <c r="AL178" s="130" t="n">
        <v>0.0211421762864031</v>
      </c>
      <c r="AM178" s="133" t="n">
        <v>0.333874587824545</v>
      </c>
    </row>
    <row customHeight="1" ht="13.2" outlineLevel="1" r="179" s="3">
      <c r="A179" s="117" t="n">
        <v>43520</v>
      </c>
      <c r="B179" s="289" t="inlineStr">
        <is>
          <t>iOS</t>
        </is>
      </c>
      <c r="C179" s="268" t="n">
        <v>40942</v>
      </c>
      <c r="D179" s="268" t="n">
        <v>176480</v>
      </c>
      <c r="E179" s="269" t="n">
        <v>4.31048800742514</v>
      </c>
      <c r="F179" s="270" t="n">
        <v>0.713849198050771</v>
      </c>
      <c r="G179" s="292" t="n">
        <v>15.57</v>
      </c>
      <c r="H179" s="271" t="n">
        <v>23.82</v>
      </c>
      <c r="I179" s="142" t="n">
        <v>0.311</v>
      </c>
      <c r="J179" s="142" t="n">
        <v>0.153</v>
      </c>
      <c r="K179" s="142" t="n">
        <v>0.08799999999999999</v>
      </c>
      <c r="L179" s="270" t="n">
        <v>9.145347914777879</v>
      </c>
      <c r="M179" s="272" t="n">
        <v>9.540848821396191</v>
      </c>
      <c r="N179" s="270" t="n">
        <v>15.3550102137594</v>
      </c>
      <c r="O179" s="273" t="n">
        <v>0.621350861287398</v>
      </c>
      <c r="P179" s="270" t="n">
        <v>2.08380754359087</v>
      </c>
      <c r="Q179" s="270" t="n">
        <v>2.86263405559203</v>
      </c>
      <c r="R179" s="270" t="n">
        <v>0.907829940906106</v>
      </c>
      <c r="S179" s="270" t="n">
        <v>5.06167469176333</v>
      </c>
      <c r="T179" s="270" t="n">
        <v>1.20667359743197</v>
      </c>
      <c r="U179" s="270" t="n">
        <v>0.463531407310134</v>
      </c>
      <c r="V179" s="270" t="n">
        <v>1.84966622893412</v>
      </c>
      <c r="W179" s="270" t="n">
        <v>0.919192748230831</v>
      </c>
      <c r="X179" s="274" t="n">
        <v>0.0038871260199456</v>
      </c>
      <c r="Y179" s="269" t="n">
        <v>9.54473594741614</v>
      </c>
      <c r="Z179" s="275" t="n">
        <v>1886</v>
      </c>
      <c r="AA179" s="275" t="n">
        <v>1283</v>
      </c>
      <c r="AB179" s="270" t="n">
        <v>17590.14</v>
      </c>
      <c r="AD179" s="276" t="n">
        <v>0.0106867633726201</v>
      </c>
      <c r="AE179" s="141" t="n">
        <v>0.00726994560290118</v>
      </c>
      <c r="AF179" s="270" t="n">
        <v>9.326691410392369</v>
      </c>
      <c r="AG179" s="277" t="n">
        <v>0.0996721441523119</v>
      </c>
      <c r="AH179" s="131" t="n">
        <v>0.501294514190807</v>
      </c>
      <c r="AI179" s="131" t="n">
        <v>0.381686287919496</v>
      </c>
      <c r="AJ179" s="270" t="n">
        <v>0.412182683590209</v>
      </c>
      <c r="AK179" s="130" t="n">
        <v>0.263587941976428</v>
      </c>
      <c r="AL179" s="130" t="n">
        <v>0.0218608340888486</v>
      </c>
      <c r="AM179" s="133" t="n">
        <v>0.32560630099728</v>
      </c>
    </row>
    <row customHeight="1" ht="13.2" outlineLevel="1" r="180" s="3">
      <c r="A180" s="117" t="n">
        <v>43521</v>
      </c>
      <c r="B180" s="289" t="inlineStr">
        <is>
          <t>iOS</t>
        </is>
      </c>
      <c r="C180" s="268" t="n">
        <v>37910</v>
      </c>
      <c r="D180" s="268" t="n">
        <v>174994</v>
      </c>
      <c r="E180" s="269" t="n">
        <v>4.61603798470061</v>
      </c>
      <c r="F180" s="270" t="n">
        <v>0.6925363623895679</v>
      </c>
      <c r="G180" s="292" t="n">
        <v>15.49</v>
      </c>
      <c r="H180" s="271" t="n">
        <v>23.83</v>
      </c>
      <c r="I180" s="142" t="n">
        <v>0.32</v>
      </c>
      <c r="J180" s="142" t="n">
        <v>0.164</v>
      </c>
      <c r="K180" s="142" t="n">
        <v>0.093</v>
      </c>
      <c r="L180" s="270" t="n">
        <v>9.10925517446312</v>
      </c>
      <c r="M180" s="272" t="n">
        <v>9.472507628832989</v>
      </c>
      <c r="N180" s="270" t="n">
        <v>15.153137340939</v>
      </c>
      <c r="O180" s="273" t="n">
        <v>0.6251185754940169</v>
      </c>
      <c r="P180" s="270" t="n">
        <v>2.04633794061723</v>
      </c>
      <c r="Q180" s="270" t="n">
        <v>2.847255740822</v>
      </c>
      <c r="R180" s="270" t="n">
        <v>0.908576495538979</v>
      </c>
      <c r="S180" s="270" t="n">
        <v>4.98015394178733</v>
      </c>
      <c r="T180" s="270" t="n">
        <v>1.20351579640193</v>
      </c>
      <c r="U180" s="270" t="n">
        <v>0.451842913558578</v>
      </c>
      <c r="V180" s="270" t="n">
        <v>1.81046145970455</v>
      </c>
      <c r="W180" s="270" t="n">
        <v>0.90499305250841</v>
      </c>
      <c r="X180" s="274" t="n">
        <v>0.00372584202886956</v>
      </c>
      <c r="Y180" s="269" t="n">
        <v>9.47623347086186</v>
      </c>
      <c r="Z180" s="275" t="n">
        <v>1962</v>
      </c>
      <c r="AA180" s="275" t="n">
        <v>1361</v>
      </c>
      <c r="AB180" s="270" t="n">
        <v>16350.38</v>
      </c>
      <c r="AD180" s="276" t="n">
        <v>0.0112118129764449</v>
      </c>
      <c r="AE180" s="141" t="n">
        <v>0.00777740951118324</v>
      </c>
      <c r="AF180" s="270" t="n">
        <v>8.33352701325178</v>
      </c>
      <c r="AG180" s="277" t="n">
        <v>0.09343394630673051</v>
      </c>
      <c r="AH180" s="131" t="n">
        <v>0.496913743075706</v>
      </c>
      <c r="AI180" s="131" t="n">
        <v>0.386890002637826</v>
      </c>
      <c r="AJ180" s="270" t="n">
        <v>0.432757694549527</v>
      </c>
      <c r="AK180" s="130" t="n">
        <v>0.273929391864864</v>
      </c>
      <c r="AL180" s="130" t="n">
        <v>0.0233722299050253</v>
      </c>
      <c r="AM180" s="133" t="n">
        <v>0.316016549138828</v>
      </c>
    </row>
    <row customHeight="1" ht="13.2" outlineLevel="1" r="181" s="3">
      <c r="A181" s="117" t="n">
        <v>43522</v>
      </c>
      <c r="B181" s="289" t="inlineStr">
        <is>
          <t>iOS</t>
        </is>
      </c>
      <c r="C181" s="268" t="n">
        <v>38452</v>
      </c>
      <c r="D181" s="268" t="n">
        <v>168206</v>
      </c>
      <c r="E181" s="269" t="n">
        <v>4.37444086133361</v>
      </c>
      <c r="F181" s="270" t="n">
        <v>0.658014419039749</v>
      </c>
      <c r="G181" s="292" t="n">
        <v>17.03</v>
      </c>
      <c r="H181" s="271" t="n">
        <v>26.33</v>
      </c>
      <c r="I181" s="142" t="n">
        <v>0.332</v>
      </c>
      <c r="J181" s="142" t="n">
        <v>0.172</v>
      </c>
      <c r="K181" s="142" t="n">
        <v>0.095</v>
      </c>
      <c r="L181" s="270" t="n">
        <v>9.1923712590514</v>
      </c>
      <c r="M181" s="272" t="n">
        <v>9.059242833192631</v>
      </c>
      <c r="N181" s="270" t="n">
        <v>14.5320764073661</v>
      </c>
      <c r="O181" s="273" t="n">
        <v>0.6233963116654579</v>
      </c>
      <c r="P181" s="270" t="n">
        <v>1.96573493929944</v>
      </c>
      <c r="Q181" s="270" t="n">
        <v>2.64906207383248</v>
      </c>
      <c r="R181" s="270" t="n">
        <v>0.91073727577032</v>
      </c>
      <c r="S181" s="270" t="n">
        <v>4.75898110796403</v>
      </c>
      <c r="T181" s="270" t="n">
        <v>1.15015401634576</v>
      </c>
      <c r="U181" s="270" t="n">
        <v>0.483096348429796</v>
      </c>
      <c r="V181" s="270" t="n">
        <v>1.73779074757532</v>
      </c>
      <c r="W181" s="270" t="n">
        <v>0.876519898148943</v>
      </c>
      <c r="X181" s="274" t="n">
        <v>0.00326980012603593</v>
      </c>
      <c r="Y181" s="269" t="n">
        <v>9.06251263331867</v>
      </c>
      <c r="Z181" s="275" t="n">
        <v>1701</v>
      </c>
      <c r="AA181" s="275" t="n">
        <v>1228</v>
      </c>
      <c r="AB181" s="270" t="n">
        <v>12060.99</v>
      </c>
      <c r="AD181" s="276" t="n">
        <v>0.0101126000261584</v>
      </c>
      <c r="AE181" s="141" t="n">
        <v>0.0073005719177675</v>
      </c>
      <c r="AF181" s="270" t="n">
        <v>7.0905291005291</v>
      </c>
      <c r="AG181" s="277" t="n">
        <v>0.07170368476748749</v>
      </c>
      <c r="AH181" s="131" t="n">
        <v>0.493056277956933</v>
      </c>
      <c r="AI181" s="131" t="n">
        <v>0.367419119941746</v>
      </c>
      <c r="AJ181" s="270" t="n">
        <v>0.466701544534678</v>
      </c>
      <c r="AK181" s="130" t="n">
        <v>0.286648514321725</v>
      </c>
      <c r="AL181" s="130" t="n">
        <v>0.0280905556282178</v>
      </c>
      <c r="AM181" s="133" t="n">
        <v>0.256043185142028</v>
      </c>
    </row>
    <row customFormat="1" customHeight="1" ht="12.45" outlineLevel="1" r="182" s="294">
      <c r="A182" s="121" t="n">
        <v>43523</v>
      </c>
      <c r="B182" s="295" t="inlineStr">
        <is>
          <t>iOS</t>
        </is>
      </c>
      <c r="C182" s="296" t="n">
        <v>33397</v>
      </c>
      <c r="D182" s="296" t="n">
        <v>159902</v>
      </c>
      <c r="E182" s="297" t="n">
        <v>4.78791508219301</v>
      </c>
      <c r="F182" s="294" t="n">
        <v>0.617017396811797</v>
      </c>
      <c r="G182" s="298" t="n">
        <v>17.05</v>
      </c>
      <c r="H182" s="306" t="n">
        <v>26.66</v>
      </c>
      <c r="I182" s="124" t="n">
        <v>0.336</v>
      </c>
      <c r="J182" s="124" t="n">
        <v>0.169</v>
      </c>
      <c r="K182" s="124" t="n">
        <v>0.091</v>
      </c>
      <c r="L182" s="294" t="n">
        <v>8.755443959425151</v>
      </c>
      <c r="M182" s="299" t="n">
        <v>8.29050918687696</v>
      </c>
      <c r="N182" s="294" t="n">
        <v>13.3454371570947</v>
      </c>
      <c r="O182" s="300" t="n">
        <v>0.621224249853035</v>
      </c>
      <c r="P182" s="294" t="n">
        <v>1.87604570393114</v>
      </c>
      <c r="Q182" s="294" t="n">
        <v>2.31963557658429</v>
      </c>
      <c r="R182" s="294" t="n">
        <v>0.829053203805305</v>
      </c>
      <c r="S182" s="294" t="n">
        <v>4.27512961191926</v>
      </c>
      <c r="T182" s="294" t="n">
        <v>1.09670307545175</v>
      </c>
      <c r="U182" s="294" t="n">
        <v>0.507635777923189</v>
      </c>
      <c r="V182" s="294" t="n">
        <v>1.60752000805356</v>
      </c>
      <c r="W182" s="294" t="n">
        <v>0.833714199426184</v>
      </c>
      <c r="X182" s="301" t="n">
        <v>0.0034521144200823</v>
      </c>
      <c r="Y182" s="297" t="n">
        <v>8.29396130129704</v>
      </c>
      <c r="Z182" s="293" t="n">
        <v>1455</v>
      </c>
      <c r="AA182" s="293" t="n">
        <v>1097</v>
      </c>
      <c r="AB182" s="294" t="n">
        <v>10421.45</v>
      </c>
      <c r="AD182" s="303" t="n">
        <v>0.00909932333554302</v>
      </c>
      <c r="AE182" s="123" t="n">
        <v>0.00686045202686646</v>
      </c>
      <c r="AF182" s="294" t="n">
        <v>7.16250859106529</v>
      </c>
      <c r="AG182" s="304" t="n">
        <v>0.06517398156370779</v>
      </c>
      <c r="AH182" s="135" t="n">
        <v>0.503278737611163</v>
      </c>
      <c r="AI182" s="135" t="n">
        <v>0.390813546126898</v>
      </c>
      <c r="AJ182" s="294" t="n">
        <v>0.539711823491889</v>
      </c>
      <c r="AK182" s="136" t="n">
        <v>0.317632049630399</v>
      </c>
      <c r="AL182" s="136" t="n">
        <v>0.031919550724819</v>
      </c>
      <c r="AM182" s="137" t="n">
        <v>0</v>
      </c>
    </row>
    <row customHeight="1" ht="13.2" outlineLevel="1" r="183" s="3">
      <c r="A183" s="117" t="n">
        <v>43524</v>
      </c>
      <c r="B183" s="267" t="inlineStr">
        <is>
          <t>iOS</t>
        </is>
      </c>
      <c r="C183" s="268" t="n">
        <v>33556</v>
      </c>
      <c r="D183" s="268" t="n">
        <v>156479</v>
      </c>
      <c r="E183" s="269" t="n">
        <v>4.6632196924544</v>
      </c>
      <c r="F183" s="270" t="n">
        <v>0.59457056537938</v>
      </c>
      <c r="G183" s="292" t="n">
        <v>17</v>
      </c>
      <c r="H183" s="271" t="n">
        <v>26.38</v>
      </c>
      <c r="I183" s="142" t="n">
        <v>0.332</v>
      </c>
      <c r="J183" s="142" t="n">
        <v>0.168</v>
      </c>
      <c r="K183" s="142" t="n">
        <v>0.093</v>
      </c>
      <c r="L183" s="270" t="n">
        <v>8.575930316528099</v>
      </c>
      <c r="M183" s="272" t="n">
        <v>8.11699972520274</v>
      </c>
      <c r="N183" s="270" t="n">
        <v>13.1559376456575</v>
      </c>
      <c r="O183" s="273" t="n">
        <v>0.616983748618025</v>
      </c>
      <c r="P183" s="270" t="n">
        <v>1.88662281837485</v>
      </c>
      <c r="Q183" s="270" t="n">
        <v>2.30161064788441</v>
      </c>
      <c r="R183" s="270" t="n">
        <v>0.7951939510073019</v>
      </c>
      <c r="S183" s="270" t="n">
        <v>4.14091874255528</v>
      </c>
      <c r="T183" s="270" t="n">
        <v>1.10341291625667</v>
      </c>
      <c r="U183" s="270" t="n">
        <v>0.5012170490444871</v>
      </c>
      <c r="V183" s="270" t="n">
        <v>1.58787094101196</v>
      </c>
      <c r="W183" s="270" t="n">
        <v>0.839090579522502</v>
      </c>
      <c r="X183" s="274" t="n">
        <v>0.00346372356674059</v>
      </c>
      <c r="Y183" s="269" t="n">
        <v>8.120463448769479</v>
      </c>
      <c r="Z183" s="275" t="n">
        <v>1415</v>
      </c>
      <c r="AA183" s="275" t="n">
        <v>1021</v>
      </c>
      <c r="AB183" s="270" t="n">
        <v>9429.85</v>
      </c>
      <c r="AD183" s="276" t="n">
        <v>0.00904274695006998</v>
      </c>
      <c r="AE183" s="141" t="n">
        <v>0.00652483719860173</v>
      </c>
      <c r="AF183" s="270" t="n">
        <v>6.66420494699647</v>
      </c>
      <c r="AG183" s="277" t="n">
        <v>0.0602627189590935</v>
      </c>
      <c r="AH183" s="131" t="n">
        <v>0.489301466205746</v>
      </c>
      <c r="AI183" s="131" t="n">
        <v>0.367654070807009</v>
      </c>
      <c r="AJ183" s="270" t="n">
        <v>0.513877261485567</v>
      </c>
      <c r="AK183" s="130" t="n">
        <v>0.318298302008576</v>
      </c>
      <c r="AL183" s="130" t="n">
        <v>0.0319723413365372</v>
      </c>
      <c r="AM183" s="133" t="n">
        <v>0</v>
      </c>
    </row>
    <row customHeight="1" ht="13.2" r="184" s="3">
      <c r="A184" s="117" t="n">
        <v>43525</v>
      </c>
      <c r="B184" s="267" t="inlineStr">
        <is>
          <t>iOS</t>
        </is>
      </c>
      <c r="C184" s="268" t="n">
        <v>37344</v>
      </c>
      <c r="D184" s="268" t="n">
        <v>157825</v>
      </c>
      <c r="E184" s="269" t="n">
        <v>4.22624785775493</v>
      </c>
      <c r="F184" s="270" t="n">
        <v>0.562373747188341</v>
      </c>
      <c r="G184" s="292" t="n">
        <v>15.85</v>
      </c>
      <c r="H184" s="271" t="n">
        <v>23.94</v>
      </c>
      <c r="I184" s="142" t="n">
        <v>0.329</v>
      </c>
      <c r="J184" s="142" t="n">
        <v>0.17</v>
      </c>
      <c r="K184" s="142" t="n">
        <v>0.092</v>
      </c>
      <c r="L184" s="270" t="n">
        <v>8.445417392681771</v>
      </c>
      <c r="M184" s="272" t="n">
        <v>7.9083161729764</v>
      </c>
      <c r="N184" s="270" t="n">
        <v>12.9932333957943</v>
      </c>
      <c r="O184" s="273" t="n">
        <v>0.6086488198954541</v>
      </c>
      <c r="P184" s="270" t="n">
        <v>1.89192171559442</v>
      </c>
      <c r="Q184" s="270" t="n">
        <v>2.27420362273579</v>
      </c>
      <c r="R184" s="270" t="n">
        <v>0.775525713095982</v>
      </c>
      <c r="S184" s="270" t="n">
        <v>4.08344784509681</v>
      </c>
      <c r="T184" s="270" t="n">
        <v>1.08597751405372</v>
      </c>
      <c r="U184" s="270" t="n">
        <v>0.499937539038101</v>
      </c>
      <c r="V184" s="270" t="n">
        <v>1.55880699562773</v>
      </c>
      <c r="W184" s="270" t="n">
        <v>0.823412450551739</v>
      </c>
      <c r="X184" s="274" t="n">
        <v>0.00311104070964676</v>
      </c>
      <c r="Y184" s="269" t="n">
        <v>7.91142721368604</v>
      </c>
      <c r="Z184" s="275" t="n">
        <v>1366</v>
      </c>
      <c r="AA184" s="275" t="n">
        <v>1042</v>
      </c>
      <c r="AB184" s="270" t="n">
        <v>9448.34</v>
      </c>
      <c r="AD184" s="276" t="n">
        <v>0.00865515602724537</v>
      </c>
      <c r="AE184" s="141" t="n">
        <v>0.006602249326786</v>
      </c>
      <c r="AF184" s="270" t="n">
        <v>6.91679355783309</v>
      </c>
      <c r="AG184" s="277" t="n">
        <v>0.059865927451291</v>
      </c>
      <c r="AH184" s="131" t="n">
        <v>0.474801842330763</v>
      </c>
      <c r="AI184" s="131" t="n">
        <v>0.341447086546701</v>
      </c>
      <c r="AJ184" s="270" t="n">
        <v>0.491639474101061</v>
      </c>
      <c r="AK184" s="130" t="n">
        <v>0.312808490416601</v>
      </c>
      <c r="AL184" s="130" t="n">
        <v>0.0309013147473467</v>
      </c>
      <c r="AM184" s="133" t="n">
        <v>0</v>
      </c>
    </row>
    <row customHeight="1" ht="13.2" outlineLevel="1" r="185" s="3">
      <c r="A185" s="117" t="n">
        <v>43526</v>
      </c>
      <c r="B185" s="289" t="inlineStr">
        <is>
          <t>iOS</t>
        </is>
      </c>
      <c r="C185" s="268" t="n">
        <v>43968</v>
      </c>
      <c r="D185" s="268" t="n">
        <v>162737</v>
      </c>
      <c r="E185" s="269" t="n">
        <v>3.70126000727802</v>
      </c>
      <c r="F185" s="270" t="n">
        <v>0.704895586977762</v>
      </c>
      <c r="G185" s="292" t="n">
        <v>14.7</v>
      </c>
      <c r="H185" s="271" t="n">
        <v>22.67</v>
      </c>
      <c r="I185" s="142" t="n">
        <v>0.31</v>
      </c>
      <c r="J185" s="142" t="n">
        <v>0.159</v>
      </c>
      <c r="K185" s="142" t="n">
        <v>0.092</v>
      </c>
      <c r="L185" s="270" t="n">
        <v>9.612325408481169</v>
      </c>
      <c r="M185" s="272" t="n">
        <v>9.749190411522889</v>
      </c>
      <c r="N185" s="270" t="n">
        <v>16.0086573971303</v>
      </c>
      <c r="O185" s="273" t="n">
        <v>0.608994881311564</v>
      </c>
      <c r="P185" s="270" t="n">
        <v>2.16428874134765</v>
      </c>
      <c r="Q185" s="270" t="n">
        <v>2.74005610154784</v>
      </c>
      <c r="R185" s="270" t="n">
        <v>0.846800395536093</v>
      </c>
      <c r="S185" s="270" t="n">
        <v>5.6925211389825</v>
      </c>
      <c r="T185" s="270" t="n">
        <v>1.25277985187577</v>
      </c>
      <c r="U185" s="270" t="n">
        <v>0.444917563013339</v>
      </c>
      <c r="V185" s="270" t="n">
        <v>1.9513450245192</v>
      </c>
      <c r="W185" s="270" t="n">
        <v>0.915948580307953</v>
      </c>
      <c r="X185" s="274" t="n">
        <v>0.00324449879253028</v>
      </c>
      <c r="Y185" s="269" t="n">
        <v>9.75243491031542</v>
      </c>
      <c r="Z185" s="275" t="n">
        <v>1844</v>
      </c>
      <c r="AA185" s="275" t="n">
        <v>1280</v>
      </c>
      <c r="AB185" s="270" t="n">
        <v>15457.56</v>
      </c>
      <c r="AD185" s="276" t="n">
        <v>0.0113311662375489</v>
      </c>
      <c r="AE185" s="141" t="n">
        <v>0.00786545161825522</v>
      </c>
      <c r="AF185" s="270" t="n">
        <v>8.382624728850329</v>
      </c>
      <c r="AG185" s="277" t="n">
        <v>0.09498491430959161</v>
      </c>
      <c r="AH185" s="131" t="n">
        <v>0.467066957787482</v>
      </c>
      <c r="AI185" s="131" t="n">
        <v>0.322984898107715</v>
      </c>
      <c r="AJ185" s="270" t="n">
        <v>0.397426522548652</v>
      </c>
      <c r="AK185" s="130" t="n">
        <v>0.257280151409944</v>
      </c>
      <c r="AL185" s="130" t="n">
        <v>0.024671709568199</v>
      </c>
      <c r="AM185" s="133" t="n">
        <v>0.324050461788038</v>
      </c>
    </row>
    <row customHeight="1" ht="13.2" outlineLevel="1" r="186" s="3">
      <c r="A186" s="117" t="n">
        <v>43527</v>
      </c>
      <c r="B186" s="289" t="inlineStr">
        <is>
          <t>iOS</t>
        </is>
      </c>
      <c r="C186" s="268" t="n">
        <v>46801</v>
      </c>
      <c r="D186" s="268" t="n">
        <v>165868</v>
      </c>
      <c r="E186" s="269" t="n">
        <v>3.54411230529262</v>
      </c>
      <c r="F186" s="270" t="n">
        <v>0.684074673427062</v>
      </c>
      <c r="G186" s="292" t="n">
        <v>14.57</v>
      </c>
      <c r="H186" s="271" t="n">
        <v>22.85</v>
      </c>
      <c r="I186" s="142" t="n">
        <v>0.341</v>
      </c>
      <c r="J186" s="142" t="n">
        <v>0.176</v>
      </c>
      <c r="K186" s="142" t="n">
        <v>0.106</v>
      </c>
      <c r="L186" s="270" t="n">
        <v>9.42276991342513</v>
      </c>
      <c r="M186" s="272" t="n">
        <v>9.80666554127378</v>
      </c>
      <c r="N186" s="270" t="n">
        <v>16.0170547978928</v>
      </c>
      <c r="O186" s="273" t="n">
        <v>0.612263968939156</v>
      </c>
      <c r="P186" s="270" t="n">
        <v>2.14346905617646</v>
      </c>
      <c r="Q186" s="270" t="n">
        <v>2.88511643936783</v>
      </c>
      <c r="R186" s="270" t="n">
        <v>0.908374772290877</v>
      </c>
      <c r="S186" s="270" t="n">
        <v>5.49437250750825</v>
      </c>
      <c r="T186" s="270" t="n">
        <v>1.26487125203092</v>
      </c>
      <c r="U186" s="270" t="n">
        <v>0.462517847471813</v>
      </c>
      <c r="V186" s="270" t="n">
        <v>1.92401161931958</v>
      </c>
      <c r="W186" s="270" t="n">
        <v>0.934321303727045</v>
      </c>
      <c r="X186" s="274" t="n">
        <v>0.00362336315624472</v>
      </c>
      <c r="Y186" s="269" t="n">
        <v>9.810288904430029</v>
      </c>
      <c r="Z186" s="275" t="n">
        <v>1755</v>
      </c>
      <c r="AA186" s="275" t="n">
        <v>1227</v>
      </c>
      <c r="AB186" s="270" t="n">
        <v>14449.45</v>
      </c>
      <c r="AD186" s="276" t="n">
        <v>0.01058070272747</v>
      </c>
      <c r="AE186" s="141" t="n">
        <v>0.00739744857356452</v>
      </c>
      <c r="AF186" s="270" t="n">
        <v>8.23330484330484</v>
      </c>
      <c r="AG186" s="277" t="n">
        <v>0.08711415101164779</v>
      </c>
      <c r="AH186" s="131" t="n">
        <v>0.496378282515331</v>
      </c>
      <c r="AI186" s="131" t="n">
        <v>0.341018354308669</v>
      </c>
      <c r="AJ186" s="270" t="n">
        <v>0.407896640702245</v>
      </c>
      <c r="AK186" s="130" t="n">
        <v>0.249584006559433</v>
      </c>
      <c r="AL186" s="130" t="n">
        <v>0.025110328695107</v>
      </c>
      <c r="AM186" s="133" t="n">
        <v>0.315503894663226</v>
      </c>
    </row>
    <row customHeight="1" ht="13.2" outlineLevel="1" r="187" s="3">
      <c r="A187" s="117" t="n">
        <v>43528</v>
      </c>
      <c r="B187" s="289" t="inlineStr">
        <is>
          <t>iOS</t>
        </is>
      </c>
      <c r="C187" s="268" t="n">
        <v>47294</v>
      </c>
      <c r="D187" s="268" t="n">
        <v>173729</v>
      </c>
      <c r="E187" s="269" t="n">
        <v>3.67338351587939</v>
      </c>
      <c r="F187" s="270" t="n">
        <v>0.705521035290596</v>
      </c>
      <c r="G187" s="292" t="n">
        <v>15.02</v>
      </c>
      <c r="H187" s="271" t="n">
        <v>22.89</v>
      </c>
      <c r="I187" s="142" t="n">
        <v>0.349</v>
      </c>
      <c r="J187" s="142" t="n">
        <v>0.19</v>
      </c>
      <c r="K187" s="142" t="n">
        <v>0.114</v>
      </c>
      <c r="L187" s="270" t="n">
        <v>9.6506743261056</v>
      </c>
      <c r="M187" s="272" t="n">
        <v>9.793108807395431</v>
      </c>
      <c r="N187" s="270" t="n">
        <v>15.7495672298079</v>
      </c>
      <c r="O187" s="273" t="n">
        <v>0.621801771724928</v>
      </c>
      <c r="P187" s="270" t="n">
        <v>2.12322147651007</v>
      </c>
      <c r="Q187" s="270" t="n">
        <v>2.92357324693358</v>
      </c>
      <c r="R187" s="270" t="n">
        <v>0.900513769960657</v>
      </c>
      <c r="S187" s="270" t="n">
        <v>5.2431474195788</v>
      </c>
      <c r="T187" s="270" t="n">
        <v>1.25542235593613</v>
      </c>
      <c r="U187" s="270" t="n">
        <v>0.471631566766952</v>
      </c>
      <c r="V187" s="270" t="n">
        <v>1.90136542467022</v>
      </c>
      <c r="W187" s="270" t="n">
        <v>0.930691969451516</v>
      </c>
      <c r="X187" s="274" t="n">
        <v>0.00549131118005629</v>
      </c>
      <c r="Y187" s="269" t="n">
        <v>9.798600118575481</v>
      </c>
      <c r="Z187" s="275" t="n">
        <v>1926</v>
      </c>
      <c r="AA187" s="275" t="n">
        <v>1295</v>
      </c>
      <c r="AB187" s="270" t="n">
        <v>15630.74</v>
      </c>
      <c r="AD187" s="276" t="n">
        <v>0.0110862320050193</v>
      </c>
      <c r="AE187" s="141" t="n">
        <v>0.00745413834190032</v>
      </c>
      <c r="AF187" s="270" t="n">
        <v>8.11564901349948</v>
      </c>
      <c r="AG187" s="277" t="n">
        <v>0.08997196783496129</v>
      </c>
      <c r="AH187" s="131" t="n">
        <v>0.505074639489153</v>
      </c>
      <c r="AI187" s="131" t="n">
        <v>0.361060599653233</v>
      </c>
      <c r="AJ187" s="270" t="n">
        <v>0.435010850232258</v>
      </c>
      <c r="AK187" s="130" t="n">
        <v>0.25907591708926</v>
      </c>
      <c r="AL187" s="130" t="n">
        <v>0.0260290452371222</v>
      </c>
      <c r="AM187" s="133" t="n">
        <v>0.309510789793299</v>
      </c>
    </row>
    <row customHeight="1" ht="13.2" outlineLevel="1" r="188" s="3">
      <c r="A188" s="117" t="n">
        <v>43529</v>
      </c>
      <c r="B188" s="289" t="inlineStr">
        <is>
          <t>iOS</t>
        </is>
      </c>
      <c r="C188" s="268" t="n">
        <v>43537</v>
      </c>
      <c r="D188" s="268" t="n">
        <v>171047</v>
      </c>
      <c r="E188" s="269" t="n">
        <v>3.92877322736982</v>
      </c>
      <c r="F188" s="270" t="n">
        <v>0.694589749296977</v>
      </c>
      <c r="G188" s="292" t="n">
        <v>16.25</v>
      </c>
      <c r="H188" s="271" t="n">
        <v>25.46</v>
      </c>
      <c r="I188" s="142" t="n">
        <v>0.358</v>
      </c>
      <c r="J188" s="142" t="n">
        <v>0.196</v>
      </c>
      <c r="K188" s="142" t="n">
        <v>0.112</v>
      </c>
      <c r="L188" s="270" t="n">
        <v>9.541547060164749</v>
      </c>
      <c r="M188" s="272" t="n">
        <v>9.3492841148924</v>
      </c>
      <c r="N188" s="270" t="n">
        <v>14.9460447119518</v>
      </c>
      <c r="O188" s="273" t="n">
        <v>0.625535671482107</v>
      </c>
      <c r="P188" s="270" t="n">
        <v>2.03413211708849</v>
      </c>
      <c r="Q188" s="270" t="n">
        <v>2.74577554301095</v>
      </c>
      <c r="R188" s="270" t="n">
        <v>0.894313806123593</v>
      </c>
      <c r="S188" s="270" t="n">
        <v>4.88611723802759</v>
      </c>
      <c r="T188" s="270" t="n">
        <v>1.18642753000112</v>
      </c>
      <c r="U188" s="270" t="n">
        <v>0.502224382219896</v>
      </c>
      <c r="V188" s="270" t="n">
        <v>1.80502074843919</v>
      </c>
      <c r="W188" s="270" t="n">
        <v>0.892033347041011</v>
      </c>
      <c r="X188" s="274" t="n">
        <v>0.00547802650733424</v>
      </c>
      <c r="Y188" s="269" t="n">
        <v>9.35476214139973</v>
      </c>
      <c r="Z188" s="275" t="n">
        <v>1905</v>
      </c>
      <c r="AA188" s="275" t="n">
        <v>1290</v>
      </c>
      <c r="AB188" s="270" t="n">
        <v>13325.95</v>
      </c>
      <c r="AD188" s="276" t="n">
        <v>0.0111372897507703</v>
      </c>
      <c r="AE188" s="141" t="n">
        <v>0.00754178676036411</v>
      </c>
      <c r="AF188" s="270" t="n">
        <v>6.99524934383202</v>
      </c>
      <c r="AG188" s="277" t="n">
        <v>0.07790811882114269</v>
      </c>
      <c r="AH188" s="131" t="n">
        <v>0.508946413395503</v>
      </c>
      <c r="AI188" s="131" t="n">
        <v>0.383306153386774</v>
      </c>
      <c r="AJ188" s="270" t="n">
        <v>0.47561196630166</v>
      </c>
      <c r="AK188" s="130" t="n">
        <v>0.276918040070858</v>
      </c>
      <c r="AL188" s="130" t="n">
        <v>0.0304945424357048</v>
      </c>
      <c r="AM188" s="133" t="n">
        <v>0.2545265336428</v>
      </c>
    </row>
    <row customFormat="1" customHeight="1" ht="12.45" outlineLevel="1" r="189" s="294">
      <c r="A189" s="121" t="n">
        <v>43530</v>
      </c>
      <c r="B189" s="295" t="inlineStr">
        <is>
          <t>iOS</t>
        </is>
      </c>
      <c r="C189" s="296" t="n">
        <v>39731</v>
      </c>
      <c r="D189" s="296" t="n">
        <v>166030</v>
      </c>
      <c r="E189" s="297" t="n">
        <v>4.17885278497898</v>
      </c>
      <c r="F189" s="294" t="n">
        <v>0.630278011263025</v>
      </c>
      <c r="G189" s="298" t="n">
        <v>16.7</v>
      </c>
      <c r="H189" s="306" t="n">
        <v>27.78</v>
      </c>
      <c r="I189" s="124" t="n">
        <v>0.354</v>
      </c>
      <c r="J189" s="124" t="n">
        <v>0.189</v>
      </c>
      <c r="K189" s="124" t="n">
        <v>0.109</v>
      </c>
      <c r="L189" s="294" t="n">
        <v>9.12618803830633</v>
      </c>
      <c r="M189" s="299" t="n">
        <v>8.524543757152321</v>
      </c>
      <c r="N189" s="294" t="n">
        <v>13.716697518002</v>
      </c>
      <c r="O189" s="300" t="n">
        <v>0.62147202312835</v>
      </c>
      <c r="P189" s="294" t="n">
        <v>1.90969442640745</v>
      </c>
      <c r="Q189" s="294" t="n">
        <v>2.45534632642974</v>
      </c>
      <c r="R189" s="294" t="n">
        <v>0.851041353711367</v>
      </c>
      <c r="S189" s="294" t="n">
        <v>4.37304594749135</v>
      </c>
      <c r="T189" s="294" t="n">
        <v>1.10958200478761</v>
      </c>
      <c r="U189" s="294" t="n">
        <v>0.52577459465222</v>
      </c>
      <c r="V189" s="294" t="n">
        <v>1.65646472771677</v>
      </c>
      <c r="W189" s="294" t="n">
        <v>0.835748136805481</v>
      </c>
      <c r="X189" s="301" t="n">
        <v>0.00575197253508402</v>
      </c>
      <c r="Y189" s="297" t="n">
        <v>8.53029572968741</v>
      </c>
      <c r="Z189" s="293" t="n">
        <v>1538</v>
      </c>
      <c r="AA189" s="293" t="n">
        <v>1100</v>
      </c>
      <c r="AB189" s="294" t="n">
        <v>10746.62</v>
      </c>
      <c r="AD189" s="303" t="n">
        <v>0.00926338613503584</v>
      </c>
      <c r="AE189" s="123" t="n">
        <v>0.00662530867915437</v>
      </c>
      <c r="AF189" s="294" t="n">
        <v>6.98739921976593</v>
      </c>
      <c r="AG189" s="304" t="n">
        <v>0.0647269770523399</v>
      </c>
      <c r="AH189" s="135" t="n">
        <v>0.502781203594171</v>
      </c>
      <c r="AI189" s="135" t="n">
        <v>0.384259142734892</v>
      </c>
      <c r="AJ189" s="294" t="n">
        <v>0.539715714027585</v>
      </c>
      <c r="AK189" s="136" t="n">
        <v>0.306980666144673</v>
      </c>
      <c r="AL189" s="136" t="n">
        <v>0.0337649822321267</v>
      </c>
      <c r="AM189" s="137" t="n">
        <v>0</v>
      </c>
    </row>
    <row customHeight="1" ht="13.2" outlineLevel="1" r="190" s="3">
      <c r="A190" s="117" t="n">
        <v>43531</v>
      </c>
      <c r="B190" s="267" t="inlineStr">
        <is>
          <t>iOS</t>
        </is>
      </c>
      <c r="C190" s="268" t="n">
        <v>40351</v>
      </c>
      <c r="D190" s="268" t="n">
        <v>166886</v>
      </c>
      <c r="E190" s="269" t="n">
        <v>4.13585784738916</v>
      </c>
      <c r="F190" s="270" t="n">
        <v>0.6168936308617859</v>
      </c>
      <c r="G190" s="292" t="n">
        <v>17.02</v>
      </c>
      <c r="H190" s="271" t="n">
        <v>27.37</v>
      </c>
      <c r="I190" s="142" t="n">
        <v>0.349</v>
      </c>
      <c r="J190" s="142" t="n">
        <v>0.186</v>
      </c>
      <c r="K190" s="142" t="n">
        <v>0.105</v>
      </c>
      <c r="L190" s="270" t="n">
        <v>8.891398919022571</v>
      </c>
      <c r="M190" s="272" t="n">
        <v>8.29967163213211</v>
      </c>
      <c r="N190" s="270" t="n">
        <v>13.4403862015429</v>
      </c>
      <c r="O190" s="273" t="n">
        <v>0.6175173471711231</v>
      </c>
      <c r="P190" s="270" t="n">
        <v>1.91711222162923</v>
      </c>
      <c r="Q190" s="270" t="n">
        <v>2.42678181553539</v>
      </c>
      <c r="R190" s="270" t="n">
        <v>0.81422541361409</v>
      </c>
      <c r="S190" s="270" t="n">
        <v>4.22486051137742</v>
      </c>
      <c r="T190" s="270" t="n">
        <v>1.1033525787201</v>
      </c>
      <c r="U190" s="270" t="n">
        <v>0.514501964970162</v>
      </c>
      <c r="V190" s="270" t="n">
        <v>1.6168259667168</v>
      </c>
      <c r="W190" s="270" t="n">
        <v>0.822725728979671</v>
      </c>
      <c r="X190" s="274" t="n">
        <v>0.00654938101458481</v>
      </c>
      <c r="Y190" s="269" t="n">
        <v>8.3062210131467</v>
      </c>
      <c r="Z190" s="275" t="n">
        <v>1511</v>
      </c>
      <c r="AA190" s="275" t="n">
        <v>1100</v>
      </c>
      <c r="AB190" s="270" t="n">
        <v>10137.89</v>
      </c>
      <c r="AD190" s="276" t="n">
        <v>0.009054084824371131</v>
      </c>
      <c r="AE190" s="141" t="n">
        <v>0.00659132581522716</v>
      </c>
      <c r="AF190" s="270" t="n">
        <v>6.70939113170086</v>
      </c>
      <c r="AG190" s="277" t="n">
        <v>0.060747396426303</v>
      </c>
      <c r="AH190" s="131" t="n">
        <v>0.493246759683775</v>
      </c>
      <c r="AI190" s="131" t="n">
        <v>0.359668905355505</v>
      </c>
      <c r="AJ190" s="270" t="n">
        <v>0.513775870953825</v>
      </c>
      <c r="AK190" s="130" t="n">
        <v>0.308647819469578</v>
      </c>
      <c r="AL190" s="130" t="n">
        <v>0.032908692161116</v>
      </c>
      <c r="AM190" s="133" t="n">
        <v>0</v>
      </c>
    </row>
    <row customHeight="1" ht="13.2" outlineLevel="1" r="191" s="3">
      <c r="A191" s="117" t="n">
        <v>43532</v>
      </c>
      <c r="B191" s="267" t="inlineStr">
        <is>
          <t>iOS</t>
        </is>
      </c>
      <c r="C191" s="268" t="n">
        <v>39823</v>
      </c>
      <c r="D191" s="268" t="n">
        <v>164915</v>
      </c>
      <c r="E191" s="269" t="n">
        <v>4.14119980915551</v>
      </c>
      <c r="F191" s="270" t="n">
        <v>0.603236496395113</v>
      </c>
      <c r="G191" s="292" t="n">
        <v>16.04</v>
      </c>
      <c r="H191" s="271" t="n">
        <v>25.67</v>
      </c>
      <c r="I191" s="142" t="n">
        <v>0.343</v>
      </c>
      <c r="J191" s="142" t="n">
        <v>0.187</v>
      </c>
      <c r="K191" s="142" t="n">
        <v>0.102</v>
      </c>
      <c r="L191" s="270" t="n">
        <v>8.866082527362581</v>
      </c>
      <c r="M191" s="272" t="n">
        <v>8.134196404208231</v>
      </c>
      <c r="N191" s="270" t="n">
        <v>13.2678997082241</v>
      </c>
      <c r="O191" s="273" t="n">
        <v>0.6130734014492319</v>
      </c>
      <c r="P191" s="270" t="n">
        <v>1.90649324959201</v>
      </c>
      <c r="Q191" s="270" t="n">
        <v>2.39522278819049</v>
      </c>
      <c r="R191" s="270" t="n">
        <v>0.804984916670788</v>
      </c>
      <c r="S191" s="270" t="n">
        <v>4.13984471588942</v>
      </c>
      <c r="T191" s="270" t="n">
        <v>1.09188467434845</v>
      </c>
      <c r="U191" s="270" t="n">
        <v>0.510103357895257</v>
      </c>
      <c r="V191" s="270" t="n">
        <v>1.59945601107759</v>
      </c>
      <c r="W191" s="270" t="n">
        <v>0.819909994560111</v>
      </c>
      <c r="X191" s="274" t="n">
        <v>0.00657308310341691</v>
      </c>
      <c r="Y191" s="269" t="n">
        <v>8.140769487311649</v>
      </c>
      <c r="Z191" s="275" t="n">
        <v>1532</v>
      </c>
      <c r="AA191" s="275" t="n">
        <v>1127</v>
      </c>
      <c r="AB191" s="270" t="n">
        <v>11618.68</v>
      </c>
      <c r="AD191" s="276" t="n">
        <v>0.00928963405390656</v>
      </c>
      <c r="AE191" s="141" t="n">
        <v>0.00683382348482552</v>
      </c>
      <c r="AF191" s="270" t="n">
        <v>7.58399477806789</v>
      </c>
      <c r="AG191" s="277" t="n">
        <v>0.07045253615498891</v>
      </c>
      <c r="AH191" s="131" t="n">
        <v>0.488963664214148</v>
      </c>
      <c r="AI191" s="131" t="n">
        <v>0.359114079803129</v>
      </c>
      <c r="AJ191" s="270" t="n">
        <v>0.506539732589516</v>
      </c>
      <c r="AK191" s="130" t="n">
        <v>0.3090864991056</v>
      </c>
      <c r="AL191" s="130" t="n">
        <v>0.0324166995118697</v>
      </c>
      <c r="AM191" s="133" t="n">
        <v>0</v>
      </c>
    </row>
    <row customHeight="1" ht="13.2" outlineLevel="1" r="192" s="3">
      <c r="A192" s="117" t="n">
        <v>43533</v>
      </c>
      <c r="B192" s="289" t="inlineStr">
        <is>
          <t>iOS</t>
        </is>
      </c>
      <c r="C192" s="268" t="n">
        <v>42527</v>
      </c>
      <c r="D192" s="268" t="n">
        <v>166290</v>
      </c>
      <c r="E192" s="269" t="n">
        <v>3.91022174148188</v>
      </c>
      <c r="F192" s="270" t="n">
        <v>0.732940222875699</v>
      </c>
      <c r="G192" s="292" t="n">
        <v>14.62</v>
      </c>
      <c r="H192" s="271" t="n">
        <v>24.43</v>
      </c>
      <c r="I192" s="142" t="n">
        <v>0.346</v>
      </c>
      <c r="J192" s="142" t="n">
        <v>0.178</v>
      </c>
      <c r="K192" s="142" t="n">
        <v>0.102</v>
      </c>
      <c r="L192" s="270" t="n">
        <v>10.0569487040712</v>
      </c>
      <c r="M192" s="272" t="n">
        <v>10.3256780323531</v>
      </c>
      <c r="N192" s="270" t="n">
        <v>16.4708867316399</v>
      </c>
      <c r="O192" s="273" t="n">
        <v>0.626904804858981</v>
      </c>
      <c r="P192" s="270" t="n">
        <v>2.22393714987338</v>
      </c>
      <c r="Q192" s="270" t="n">
        <v>2.9211016038677</v>
      </c>
      <c r="R192" s="270" t="n">
        <v>0.904736781520988</v>
      </c>
      <c r="S192" s="270" t="n">
        <v>5.74693998925639</v>
      </c>
      <c r="T192" s="270" t="n">
        <v>1.28884007367048</v>
      </c>
      <c r="U192" s="270" t="n">
        <v>0.456872074284399</v>
      </c>
      <c r="V192" s="270" t="n">
        <v>2.00008633259151</v>
      </c>
      <c r="W192" s="270" t="n">
        <v>0.92837272657509</v>
      </c>
      <c r="X192" s="274" t="n">
        <v>0.00722232244873414</v>
      </c>
      <c r="Y192" s="269" t="n">
        <v>10.3329003548019</v>
      </c>
      <c r="Z192" s="275" t="n">
        <v>1996</v>
      </c>
      <c r="AA192" s="275" t="n">
        <v>1342</v>
      </c>
      <c r="AB192" s="270" t="n">
        <v>15919.04</v>
      </c>
      <c r="AD192" s="276" t="n">
        <v>0.0120031270671718</v>
      </c>
      <c r="AE192" s="141" t="n">
        <v>0.008070238739551389</v>
      </c>
      <c r="AF192" s="270" t="n">
        <v>7.97547094188377</v>
      </c>
      <c r="AG192" s="277" t="n">
        <v>0.0957305911359673</v>
      </c>
      <c r="AH192" s="131" t="n">
        <v>0.506266607096668</v>
      </c>
      <c r="AI192" s="131" t="n">
        <v>0.34944858560444</v>
      </c>
      <c r="AJ192" s="270" t="n">
        <v>0.419622346503097</v>
      </c>
      <c r="AK192" s="130" t="n">
        <v>0.263623789764869</v>
      </c>
      <c r="AL192" s="130" t="n">
        <v>0.0272535931204522</v>
      </c>
      <c r="AM192" s="133" t="n">
        <v>0.349299416681701</v>
      </c>
    </row>
    <row customHeight="1" ht="13.2" outlineLevel="1" r="193" s="3">
      <c r="A193" s="117" t="n">
        <v>43534</v>
      </c>
      <c r="B193" s="289" t="inlineStr">
        <is>
          <t>iOS</t>
        </is>
      </c>
      <c r="C193" s="268" t="n">
        <v>41044</v>
      </c>
      <c r="D193" s="268" t="n">
        <v>168817</v>
      </c>
      <c r="E193" s="269" t="n">
        <v>4.11307377448592</v>
      </c>
      <c r="F193" s="270" t="n">
        <v>0.945597882973871</v>
      </c>
      <c r="G193" s="292" t="n">
        <v>13.98</v>
      </c>
      <c r="H193" s="271" t="n">
        <v>23.76</v>
      </c>
      <c r="I193" s="142" t="n">
        <v>0.3337</v>
      </c>
      <c r="J193" s="142" t="n">
        <v>0.176</v>
      </c>
      <c r="K193" s="142" t="n">
        <v>0.104</v>
      </c>
      <c r="L193" s="270" t="n">
        <v>9.76340060538927</v>
      </c>
      <c r="M193" s="272" t="n">
        <v>10.7057346120355</v>
      </c>
      <c r="N193" s="270" t="n">
        <v>16.8345799528675</v>
      </c>
      <c r="O193" s="273" t="n">
        <v>0.6359371390322059</v>
      </c>
      <c r="P193" s="270" t="n">
        <v>2.23048334062986</v>
      </c>
      <c r="Q193" s="270" t="n">
        <v>3.11492496996004</v>
      </c>
      <c r="R193" s="270" t="n">
        <v>0.992818353717038</v>
      </c>
      <c r="S193" s="270" t="n">
        <v>5.73413936678558</v>
      </c>
      <c r="T193" s="270" t="n">
        <v>1.31852603928947</v>
      </c>
      <c r="U193" s="270" t="n">
        <v>0.475171623648202</v>
      </c>
      <c r="V193" s="270" t="n">
        <v>2.00339055674059</v>
      </c>
      <c r="W193" s="270" t="n">
        <v>0.965125702096743</v>
      </c>
      <c r="X193" s="274" t="n">
        <v>0.00597688621406612</v>
      </c>
      <c r="Y193" s="269" t="n">
        <v>10.7117114982496</v>
      </c>
      <c r="Z193" s="275" t="n">
        <v>2034</v>
      </c>
      <c r="AA193" s="275" t="n">
        <v>1354</v>
      </c>
      <c r="AB193" s="270" t="n">
        <v>16770.66</v>
      </c>
      <c r="AD193" s="276" t="n">
        <v>0.0120485496128944</v>
      </c>
      <c r="AE193" s="141" t="n">
        <v>0.00802051926050102</v>
      </c>
      <c r="AF193" s="270" t="n">
        <v>8.245162241887909</v>
      </c>
      <c r="AG193" s="277" t="n">
        <v>0.0993422463377503</v>
      </c>
      <c r="AH193" s="131" t="n">
        <v>0.522220056524705</v>
      </c>
      <c r="AI193" s="131" t="n">
        <v>0.390946301530065</v>
      </c>
      <c r="AJ193" s="270" t="n">
        <v>0.456849724849985</v>
      </c>
      <c r="AK193" s="130" t="n">
        <v>0.26917312829869</v>
      </c>
      <c r="AL193" s="130" t="n">
        <v>0.0280895881338965</v>
      </c>
      <c r="AM193" s="133" t="n">
        <v>0.346807489767026</v>
      </c>
    </row>
    <row customHeight="1" ht="13.2" outlineLevel="1" r="194" s="3">
      <c r="A194" s="117" t="n">
        <v>43535</v>
      </c>
      <c r="B194" s="289" t="inlineStr">
        <is>
          <t>iOS</t>
        </is>
      </c>
      <c r="C194" s="268" t="n">
        <v>48638</v>
      </c>
      <c r="D194" s="268" t="n">
        <v>179494</v>
      </c>
      <c r="E194" s="269" t="n">
        <v>3.69040667790616</v>
      </c>
      <c r="F194" s="270" t="n">
        <v>0.7244127278349139</v>
      </c>
      <c r="G194" s="292" t="n">
        <v>14.86</v>
      </c>
      <c r="H194" s="271" t="n">
        <v>24.98</v>
      </c>
      <c r="I194" s="142" t="n">
        <v>0.329</v>
      </c>
      <c r="J194" s="142" t="n">
        <v>0.176</v>
      </c>
      <c r="K194" s="142" t="n">
        <v>0.1</v>
      </c>
      <c r="L194" s="270" t="n">
        <v>9.545444415969341</v>
      </c>
      <c r="M194" s="272" t="n">
        <v>10.1135135436282</v>
      </c>
      <c r="N194" s="270" t="n">
        <v>16.1503456374943</v>
      </c>
      <c r="O194" s="273" t="n">
        <v>0.626210346863962</v>
      </c>
      <c r="P194" s="270" t="n">
        <v>2.17108388715403</v>
      </c>
      <c r="Q194" s="270" t="n">
        <v>3.03502637876887</v>
      </c>
      <c r="R194" s="270" t="n">
        <v>0.944822554959476</v>
      </c>
      <c r="S194" s="270" t="n">
        <v>5.38615314810366</v>
      </c>
      <c r="T194" s="270" t="n">
        <v>1.27650109874467</v>
      </c>
      <c r="U194" s="270" t="n">
        <v>0.469301874538483</v>
      </c>
      <c r="V194" s="270" t="n">
        <v>1.93341696248254</v>
      </c>
      <c r="W194" s="270" t="n">
        <v>0.934039732742591</v>
      </c>
      <c r="X194" s="274" t="n">
        <v>0.00659632076838223</v>
      </c>
      <c r="Y194" s="269" t="n">
        <v>10.1201098643966</v>
      </c>
      <c r="Z194" s="275" t="n">
        <v>2148</v>
      </c>
      <c r="AA194" s="275" t="n">
        <v>1397</v>
      </c>
      <c r="AB194" s="270" t="n">
        <v>17752.52</v>
      </c>
      <c r="AD194" s="276" t="n">
        <v>0.0119669738264232</v>
      </c>
      <c r="AE194" s="141" t="n">
        <v>0.00778298996066721</v>
      </c>
      <c r="AF194" s="270" t="n">
        <v>8.26467411545624</v>
      </c>
      <c r="AG194" s="277" t="n">
        <v>0.0989031388235818</v>
      </c>
      <c r="AH194" s="131" t="n">
        <v>0.470948640980303</v>
      </c>
      <c r="AI194" s="131" t="n">
        <v>0.331016900365969</v>
      </c>
      <c r="AJ194" s="270" t="n">
        <v>0.450822868730988</v>
      </c>
      <c r="AK194" s="130" t="n">
        <v>0.265262348602182</v>
      </c>
      <c r="AL194" s="130" t="n">
        <v>0.0279396525789163</v>
      </c>
      <c r="AM194" s="133" t="n">
        <v>0.323910548542013</v>
      </c>
    </row>
    <row customHeight="1" ht="13.2" outlineLevel="1" r="195" s="3">
      <c r="A195" s="117" t="n">
        <v>43536</v>
      </c>
      <c r="B195" s="289" t="inlineStr">
        <is>
          <t>iOS</t>
        </is>
      </c>
      <c r="C195" s="268" t="n">
        <v>41860</v>
      </c>
      <c r="D195" s="268" t="n">
        <v>171655</v>
      </c>
      <c r="E195" s="269" t="n">
        <v>4.10069278547539</v>
      </c>
      <c r="F195" s="270" t="n">
        <v>0.719558717206024</v>
      </c>
      <c r="G195" s="292" t="n">
        <v>16.78</v>
      </c>
      <c r="H195" s="271" t="n">
        <v>27.69</v>
      </c>
      <c r="I195" s="142" t="n">
        <v>0.35</v>
      </c>
      <c r="J195" s="142" t="n">
        <v>0.189</v>
      </c>
      <c r="K195" s="142" t="n">
        <v>0.108</v>
      </c>
      <c r="L195" s="270" t="n">
        <v>9.634738283184291</v>
      </c>
      <c r="M195" s="272" t="n">
        <v>9.66603361393493</v>
      </c>
      <c r="N195" s="270" t="n">
        <v>15.1968547929146</v>
      </c>
      <c r="O195" s="273" t="n">
        <v>0.636054877515948</v>
      </c>
      <c r="P195" s="270" t="n">
        <v>2.08402483925922</v>
      </c>
      <c r="Q195" s="270" t="n">
        <v>2.84442490520415</v>
      </c>
      <c r="R195" s="270" t="n">
        <v>0.901311571504461</v>
      </c>
      <c r="S195" s="270" t="n">
        <v>4.90715502555366</v>
      </c>
      <c r="T195" s="270" t="n">
        <v>1.21464160759099</v>
      </c>
      <c r="U195" s="270" t="n">
        <v>0.503718561667674</v>
      </c>
      <c r="V195" s="270" t="n">
        <v>1.83656646700005</v>
      </c>
      <c r="W195" s="270" t="n">
        <v>0.905011815134363</v>
      </c>
      <c r="X195" s="274" t="n">
        <v>0.00777140193993767</v>
      </c>
      <c r="Y195" s="269" t="n">
        <v>9.673805015874869</v>
      </c>
      <c r="Z195" s="275" t="n">
        <v>1788</v>
      </c>
      <c r="AA195" s="275" t="n">
        <v>1238</v>
      </c>
      <c r="AB195" s="270" t="n">
        <v>13696.12</v>
      </c>
      <c r="AD195" s="276" t="n">
        <v>0.0104162418805162</v>
      </c>
      <c r="AE195" s="141" t="n">
        <v>0.00721214063091666</v>
      </c>
      <c r="AF195" s="270" t="n">
        <v>7.66002237136465</v>
      </c>
      <c r="AG195" s="277" t="n">
        <v>0.0797886458302991</v>
      </c>
      <c r="AH195" s="131" t="n">
        <v>0.520974677496417</v>
      </c>
      <c r="AI195" s="131" t="n">
        <v>0.383325370281892</v>
      </c>
      <c r="AJ195" s="270" t="n">
        <v>0.487967143398095</v>
      </c>
      <c r="AK195" s="130" t="n">
        <v>0.285223267600711</v>
      </c>
      <c r="AL195" s="130" t="n">
        <v>0.0334508170458186</v>
      </c>
      <c r="AM195" s="133" t="n">
        <v>0.270146514811686</v>
      </c>
    </row>
    <row customFormat="1" customHeight="1" ht="12.45" outlineLevel="1" r="196" s="294">
      <c r="A196" s="121" t="n">
        <v>43537</v>
      </c>
      <c r="B196" s="295" t="inlineStr">
        <is>
          <t>iOS</t>
        </is>
      </c>
      <c r="C196" s="296" t="n">
        <v>41521</v>
      </c>
      <c r="D196" s="296" t="n">
        <v>168883</v>
      </c>
      <c r="E196" s="297" t="n">
        <v>4.06741167120252</v>
      </c>
      <c r="F196" s="294" t="n">
        <v>0.650782483879372</v>
      </c>
      <c r="G196" s="298" t="n">
        <v>17.67</v>
      </c>
      <c r="H196" s="306" t="n">
        <v>28.11</v>
      </c>
      <c r="I196" s="124" t="n">
        <v>0.362</v>
      </c>
      <c r="J196" s="124" t="n">
        <v>0.19</v>
      </c>
      <c r="K196" s="124" t="n">
        <v>0.108</v>
      </c>
      <c r="L196" s="294" t="n">
        <v>9.144697808542009</v>
      </c>
      <c r="M196" s="299" t="n">
        <v>8.808909126436649</v>
      </c>
      <c r="N196" s="294" t="n">
        <v>13.9627484842228</v>
      </c>
      <c r="O196" s="300" t="n">
        <v>0.630886471699342</v>
      </c>
      <c r="P196" s="294" t="n">
        <v>1.99037035646575</v>
      </c>
      <c r="Q196" s="294" t="n">
        <v>2.49552306046215</v>
      </c>
      <c r="R196" s="294" t="n">
        <v>0.840819927543033</v>
      </c>
      <c r="S196" s="294" t="n">
        <v>4.4560096108723</v>
      </c>
      <c r="T196" s="294" t="n">
        <v>1.12907101158185</v>
      </c>
      <c r="U196" s="294" t="n">
        <v>0.535487019691025</v>
      </c>
      <c r="V196" s="294" t="n">
        <v>1.67106226418636</v>
      </c>
      <c r="W196" s="294" t="n">
        <v>0.844405233420307</v>
      </c>
      <c r="X196" s="301" t="n">
        <v>0.008615431985457391</v>
      </c>
      <c r="Y196" s="297" t="n">
        <v>8.8175245584221</v>
      </c>
      <c r="Z196" s="293" t="n">
        <v>1577</v>
      </c>
      <c r="AA196" s="293" t="n">
        <v>1123</v>
      </c>
      <c r="AB196" s="294" t="n">
        <v>10025.23</v>
      </c>
      <c r="AD196" s="303" t="n">
        <v>0.009337825595234569</v>
      </c>
      <c r="AE196" s="123" t="n">
        <v>0.006649573965408</v>
      </c>
      <c r="AF196" s="294" t="n">
        <v>6.35715282181357</v>
      </c>
      <c r="AG196" s="304" t="n">
        <v>0.0593619843323484</v>
      </c>
      <c r="AH196" s="135" t="n">
        <v>0.516003949808531</v>
      </c>
      <c r="AI196" s="135" t="n">
        <v>0.373449579730739</v>
      </c>
      <c r="AJ196" s="294" t="n">
        <v>0.544838734508506</v>
      </c>
      <c r="AK196" s="136" t="n">
        <v>0.307502827401219</v>
      </c>
      <c r="AL196" s="136" t="n">
        <v>0.0354209719154681</v>
      </c>
      <c r="AM196" s="137" t="n">
        <v>0</v>
      </c>
    </row>
    <row customHeight="1" ht="13.2" outlineLevel="1" r="197" s="3">
      <c r="A197" s="117" t="n">
        <v>43538</v>
      </c>
      <c r="B197" s="267" t="inlineStr">
        <is>
          <t>iOS</t>
        </is>
      </c>
      <c r="C197" s="268" t="n">
        <v>41521</v>
      </c>
      <c r="D197" s="268" t="n">
        <v>168883</v>
      </c>
      <c r="E197" s="269" t="n">
        <v>4.06741167120252</v>
      </c>
      <c r="F197" s="270" t="n">
        <v>0.660956773920406</v>
      </c>
      <c r="G197" s="292" t="n">
        <v>18.02</v>
      </c>
      <c r="H197" s="271" t="n">
        <v>28.18</v>
      </c>
      <c r="I197" s="142" t="n">
        <v>0.366</v>
      </c>
      <c r="J197" s="142" t="n">
        <v>0.2</v>
      </c>
      <c r="K197" s="142" t="n">
        <v>0.115</v>
      </c>
      <c r="L197" s="270" t="n">
        <v>9.144697808542009</v>
      </c>
      <c r="M197" s="272" t="n">
        <v>8.808909126436649</v>
      </c>
      <c r="N197" s="270" t="n">
        <v>13.9627484842228</v>
      </c>
      <c r="O197" s="273" t="n">
        <v>0.630886471699342</v>
      </c>
      <c r="P197" s="270" t="n">
        <v>1.93897471514651</v>
      </c>
      <c r="Q197" s="270" t="n">
        <v>2.53811499258536</v>
      </c>
      <c r="R197" s="270" t="n">
        <v>0.833977812400278</v>
      </c>
      <c r="S197" s="270" t="n">
        <v>4.41394327332795</v>
      </c>
      <c r="T197" s="270" t="n">
        <v>1.12324254312691</v>
      </c>
      <c r="U197" s="270" t="n">
        <v>0.52782835582753</v>
      </c>
      <c r="V197" s="270" t="n">
        <v>1.66282169203912</v>
      </c>
      <c r="W197" s="270" t="n">
        <v>0.840453888461322</v>
      </c>
      <c r="X197" s="274" t="n">
        <v>0.008615431985457391</v>
      </c>
      <c r="Y197" s="269" t="n">
        <v>8.8175245584221</v>
      </c>
      <c r="Z197" s="275" t="n">
        <v>1577</v>
      </c>
      <c r="AA197" s="275" t="n">
        <v>1123</v>
      </c>
      <c r="AB197" s="270" t="n">
        <v>10025.23</v>
      </c>
      <c r="AD197" s="276" t="n">
        <v>0.009337825595234569</v>
      </c>
      <c r="AE197" s="141" t="n">
        <v>0.006649573965408</v>
      </c>
      <c r="AF197" s="270" t="n">
        <v>6.35715282181357</v>
      </c>
      <c r="AG197" s="277" t="n">
        <v>0.0593619843323484</v>
      </c>
      <c r="AH197" s="131" t="n">
        <v>0.516003949808531</v>
      </c>
      <c r="AI197" s="131" t="n">
        <v>0.373449579730739</v>
      </c>
      <c r="AJ197" s="270" t="n">
        <v>0.544838734508506</v>
      </c>
      <c r="AK197" s="130" t="n">
        <v>0.307502827401219</v>
      </c>
      <c r="AL197" s="130" t="n">
        <v>0.0354209719154681</v>
      </c>
      <c r="AM197" s="133" t="n">
        <v>0</v>
      </c>
    </row>
    <row customHeight="1" ht="13.2" outlineLevel="1" r="198" s="3">
      <c r="A198" s="117" t="n">
        <v>43539</v>
      </c>
      <c r="B198" s="267" t="inlineStr">
        <is>
          <t>iOS</t>
        </is>
      </c>
      <c r="C198" s="268" t="n">
        <v>30863</v>
      </c>
      <c r="D198" s="268" t="n">
        <v>156040</v>
      </c>
      <c r="E198" s="269" t="n">
        <v>5.05589216861614</v>
      </c>
      <c r="F198" s="270" t="n">
        <v>0.6547761752883871</v>
      </c>
      <c r="G198" s="292" t="n">
        <v>16.76</v>
      </c>
      <c r="H198" s="271" t="n">
        <v>25.05</v>
      </c>
      <c r="I198" s="142" t="n">
        <v>0.358</v>
      </c>
      <c r="J198" s="142" t="n">
        <v>0.191</v>
      </c>
      <c r="K198" s="142" t="n">
        <v>0.105</v>
      </c>
      <c r="L198" s="270" t="n">
        <v>8.78941937964624</v>
      </c>
      <c r="M198" s="272" t="n">
        <v>8.70593437580108</v>
      </c>
      <c r="N198" s="270" t="n">
        <v>13.7388903497239</v>
      </c>
      <c r="O198" s="273" t="n">
        <v>0.633670853627275</v>
      </c>
      <c r="P198" s="270" t="n">
        <v>1.97029672930278</v>
      </c>
      <c r="Q198" s="270" t="n">
        <v>2.51545338700216</v>
      </c>
      <c r="R198" s="270" t="n">
        <v>0.822336616840955</v>
      </c>
      <c r="S198" s="270" t="n">
        <v>4.30482008131233</v>
      </c>
      <c r="T198" s="270" t="n">
        <v>1.12854224397743</v>
      </c>
      <c r="U198" s="270" t="n">
        <v>0.517799712777362</v>
      </c>
      <c r="V198" s="270" t="n">
        <v>1.63921195817068</v>
      </c>
      <c r="W198" s="270" t="n">
        <v>0.840429620340217</v>
      </c>
      <c r="X198" s="274" t="n">
        <v>0.00347346834145091</v>
      </c>
      <c r="Y198" s="269" t="n">
        <v>8.709407844142531</v>
      </c>
      <c r="Z198" s="275" t="n">
        <v>1676</v>
      </c>
      <c r="AA198" s="275" t="n">
        <v>1178</v>
      </c>
      <c r="AB198" s="270" t="n">
        <v>11704.24</v>
      </c>
      <c r="AD198" s="276" t="n">
        <v>0.0107408356831582</v>
      </c>
      <c r="AE198" s="141" t="n">
        <v>0.00754934632145604</v>
      </c>
      <c r="AF198" s="270" t="n">
        <v>6.98343675417661</v>
      </c>
      <c r="AG198" s="277" t="n">
        <v>0.0750079466803384</v>
      </c>
      <c r="AH198" s="131" t="n">
        <v>0.534620743284839</v>
      </c>
      <c r="AI198" s="131" t="n">
        <v>0.409065871755824</v>
      </c>
      <c r="AJ198" s="270" t="n">
        <v>0.540380671622661</v>
      </c>
      <c r="AK198" s="130" t="n">
        <v>0.329646244552679</v>
      </c>
      <c r="AL198" s="130" t="n">
        <v>0.0365098692642912</v>
      </c>
      <c r="AM198" s="133" t="n">
        <v>0</v>
      </c>
    </row>
    <row customHeight="1" ht="13.2" outlineLevel="1" r="199" s="3">
      <c r="A199" s="117" t="n">
        <v>43540</v>
      </c>
      <c r="B199" s="289" t="inlineStr">
        <is>
          <t>iOS</t>
        </is>
      </c>
      <c r="C199" s="268" t="n">
        <v>34110</v>
      </c>
      <c r="D199" s="268" t="n">
        <v>156617</v>
      </c>
      <c r="E199" s="269" t="n">
        <v>4.59152741131633</v>
      </c>
      <c r="F199" s="270" t="n">
        <v>0.857760365094466</v>
      </c>
      <c r="G199" s="292" t="n">
        <v>15.7</v>
      </c>
      <c r="H199" s="271" t="n">
        <v>24.62</v>
      </c>
      <c r="I199" s="142" t="n">
        <v>0.341</v>
      </c>
      <c r="J199" s="142" t="n">
        <v>0.177</v>
      </c>
      <c r="K199" s="142" t="n">
        <v>0.102</v>
      </c>
      <c r="L199" s="270" t="n">
        <v>10.0307118639739</v>
      </c>
      <c r="M199" s="272" t="n">
        <v>11.2500558687754</v>
      </c>
      <c r="N199" s="270" t="n">
        <v>17.6207334513416</v>
      </c>
      <c r="O199" s="273" t="n">
        <v>0.638455595497296</v>
      </c>
      <c r="P199" s="270" t="n">
        <v>2.34117388217175</v>
      </c>
      <c r="Q199" s="270" t="n">
        <v>3.14603022211555</v>
      </c>
      <c r="R199" s="270" t="n">
        <v>0.942685988019161</v>
      </c>
      <c r="S199" s="270" t="n">
        <v>6.27629934095387</v>
      </c>
      <c r="T199" s="270" t="n">
        <v>1.35607492524477</v>
      </c>
      <c r="U199" s="270" t="n">
        <v>0.453381736721571</v>
      </c>
      <c r="V199" s="270" t="n">
        <v>2.14732031242187</v>
      </c>
      <c r="W199" s="270" t="n">
        <v>0.957767043693058</v>
      </c>
      <c r="X199" s="274" t="n">
        <v>0.00478875217888224</v>
      </c>
      <c r="Y199" s="269" t="n">
        <v>11.2548446209543</v>
      </c>
      <c r="Z199" s="275" t="n">
        <v>2224</v>
      </c>
      <c r="AA199" s="275" t="n">
        <v>1437</v>
      </c>
      <c r="AB199" s="270" t="n">
        <v>18637.76</v>
      </c>
      <c r="AD199" s="276" t="n">
        <v>0.0142002464611121</v>
      </c>
      <c r="AE199" s="141" t="n">
        <v>0.00917524917473837</v>
      </c>
      <c r="AF199" s="270" t="n">
        <v>8.38028776978417</v>
      </c>
      <c r="AG199" s="277" t="n">
        <v>0.119002151745979</v>
      </c>
      <c r="AH199" s="131" t="n">
        <v>0.518117854001759</v>
      </c>
      <c r="AI199" s="131" t="n">
        <v>0.361800058633832</v>
      </c>
      <c r="AJ199" s="270" t="n">
        <v>0.423517242700345</v>
      </c>
      <c r="AK199" s="130" t="n">
        <v>0.280735807734793</v>
      </c>
      <c r="AL199" s="130" t="n">
        <v>0.0309417240784845</v>
      </c>
      <c r="AM199" s="133" t="n">
        <v>0.365898976484034</v>
      </c>
    </row>
    <row customHeight="1" ht="13.2" outlineLevel="1" r="200" s="3">
      <c r="A200" s="117" t="n">
        <v>43541</v>
      </c>
      <c r="B200" s="289" t="inlineStr">
        <is>
          <t>iOS</t>
        </is>
      </c>
      <c r="C200" s="268" t="n">
        <v>41009</v>
      </c>
      <c r="D200" s="268" t="n">
        <v>163786</v>
      </c>
      <c r="E200" s="269" t="n">
        <v>3.99390377721963</v>
      </c>
      <c r="F200" s="270" t="n">
        <v>0.811060970534722</v>
      </c>
      <c r="G200" s="292" t="n">
        <v>15.3</v>
      </c>
      <c r="H200" s="271" t="n">
        <v>24.24</v>
      </c>
      <c r="I200" s="142" t="n">
        <v>0.345</v>
      </c>
      <c r="J200" s="142" t="n">
        <v>0.178</v>
      </c>
      <c r="K200" s="142" t="n">
        <v>0.108</v>
      </c>
      <c r="L200" s="270" t="n">
        <v>9.543910956980451</v>
      </c>
      <c r="M200" s="272" t="n">
        <v>11.0917782960693</v>
      </c>
      <c r="N200" s="270" t="n">
        <v>17.402630494966</v>
      </c>
      <c r="O200" s="273" t="n">
        <v>0.637362167706642</v>
      </c>
      <c r="P200" s="270" t="n">
        <v>2.31079307603146</v>
      </c>
      <c r="Q200" s="270" t="n">
        <v>3.31491220507515</v>
      </c>
      <c r="R200" s="270" t="n">
        <v>0.980553879165828</v>
      </c>
      <c r="S200" s="270" t="n">
        <v>5.94004272398962</v>
      </c>
      <c r="T200" s="270" t="n">
        <v>1.34354494161374</v>
      </c>
      <c r="U200" s="270" t="n">
        <v>0.473402879558583</v>
      </c>
      <c r="V200" s="270" t="n">
        <v>2.05743790173482</v>
      </c>
      <c r="W200" s="270" t="n">
        <v>0.981942887796841</v>
      </c>
      <c r="X200" s="274" t="n">
        <v>0.00500653291490115</v>
      </c>
      <c r="Y200" s="269" t="n">
        <v>11.0967848289842</v>
      </c>
      <c r="Z200" s="275" t="n">
        <v>2171</v>
      </c>
      <c r="AA200" s="275" t="n">
        <v>1376</v>
      </c>
      <c r="AB200" s="270" t="n">
        <v>17799.29</v>
      </c>
      <c r="AD200" s="276" t="n">
        <v>0.013255101168598</v>
      </c>
      <c r="AE200" s="141" t="n">
        <v>0.00840120645232193</v>
      </c>
      <c r="AF200" s="270" t="n">
        <v>8.19865960386918</v>
      </c>
      <c r="AG200" s="277" t="n">
        <v>0.108674062496184</v>
      </c>
      <c r="AH200" s="131" t="n">
        <v>0.509473530200688</v>
      </c>
      <c r="AI200" s="131" t="n">
        <v>0.351020507693433</v>
      </c>
      <c r="AJ200" s="270" t="n">
        <v>0.429389569316059</v>
      </c>
      <c r="AK200" s="130" t="n">
        <v>0.269882651752897</v>
      </c>
      <c r="AL200" s="130" t="n">
        <v>0.030362790470492</v>
      </c>
      <c r="AM200" s="133" t="n">
        <v>0.341384489516808</v>
      </c>
    </row>
    <row customHeight="1" ht="13.2" outlineLevel="1" r="201" s="3">
      <c r="A201" s="117" t="n">
        <v>43542</v>
      </c>
      <c r="B201" s="289" t="inlineStr">
        <is>
          <t>iOS</t>
        </is>
      </c>
      <c r="C201" s="268" t="n">
        <v>46364</v>
      </c>
      <c r="D201" s="268" t="n">
        <v>174775</v>
      </c>
      <c r="E201" s="269" t="n">
        <v>3.76962729704081</v>
      </c>
      <c r="F201" s="270" t="n">
        <v>0.80985489323988</v>
      </c>
      <c r="G201" s="292" t="n">
        <v>16.82</v>
      </c>
      <c r="H201" s="271" t="n">
        <v>25.66</v>
      </c>
      <c r="I201" s="142" t="n">
        <v>0.351</v>
      </c>
      <c r="J201" s="142" t="n">
        <v>0.19</v>
      </c>
      <c r="K201" s="142" t="n">
        <v>0.115</v>
      </c>
      <c r="L201" s="270" t="n">
        <v>9.56226577027607</v>
      </c>
      <c r="M201" s="272" t="n">
        <v>10.9355514232585</v>
      </c>
      <c r="N201" s="270" t="n">
        <v>17.0959694443451</v>
      </c>
      <c r="O201" s="273" t="n">
        <v>0.639656701473323</v>
      </c>
      <c r="P201" s="270" t="n">
        <v>2.29341836917242</v>
      </c>
      <c r="Q201" s="270" t="n">
        <v>3.35465490715231</v>
      </c>
      <c r="R201" s="270" t="n">
        <v>0.963504955454578</v>
      </c>
      <c r="S201" s="270" t="n">
        <v>5.69711796486458</v>
      </c>
      <c r="T201" s="270" t="n">
        <v>1.32468961322409</v>
      </c>
      <c r="U201" s="270" t="n">
        <v>0.480777487566639</v>
      </c>
      <c r="V201" s="270" t="n">
        <v>2.01208451107374</v>
      </c>
      <c r="W201" s="270" t="n">
        <v>0.969721635836703</v>
      </c>
      <c r="X201" s="274" t="n">
        <v>0.0043541696466886</v>
      </c>
      <c r="Y201" s="269" t="n">
        <v>10.9399055929052</v>
      </c>
      <c r="Z201" s="275" t="n">
        <v>2111</v>
      </c>
      <c r="AA201" s="275" t="n">
        <v>1413</v>
      </c>
      <c r="AB201" s="270" t="n">
        <v>15348.89</v>
      </c>
      <c r="AD201" s="276" t="n">
        <v>0.0120783864969246</v>
      </c>
      <c r="AE201" s="141" t="n">
        <v>0.00808468030324703</v>
      </c>
      <c r="AF201" s="270" t="n">
        <v>7.27090952155377</v>
      </c>
      <c r="AG201" s="277" t="n">
        <v>0.0878208553854956</v>
      </c>
      <c r="AH201" s="131" t="n">
        <v>0.505931326028815</v>
      </c>
      <c r="AI201" s="131" t="n">
        <v>0.352083513070486</v>
      </c>
      <c r="AJ201" s="270" t="n">
        <v>0.449543699041625</v>
      </c>
      <c r="AK201" s="130" t="n">
        <v>0.267378057502503</v>
      </c>
      <c r="AL201" s="130" t="n">
        <v>0.030296094979259</v>
      </c>
      <c r="AM201" s="133" t="n">
        <v>0.324829065941925</v>
      </c>
    </row>
    <row customHeight="1" ht="13.2" outlineLevel="1" r="202" s="3">
      <c r="A202" s="117" t="n">
        <v>43543</v>
      </c>
      <c r="B202" s="289" t="inlineStr">
        <is>
          <t>iOS</t>
        </is>
      </c>
      <c r="C202" s="268" t="n">
        <v>47968</v>
      </c>
      <c r="D202" s="268" t="n">
        <v>177785</v>
      </c>
      <c r="E202" s="269" t="n">
        <v>3.70632505003336</v>
      </c>
      <c r="F202" s="270" t="n">
        <v>0.781542761909047</v>
      </c>
      <c r="G202" s="292" t="n">
        <v>17.35</v>
      </c>
      <c r="H202" s="271" t="n">
        <v>25.55</v>
      </c>
      <c r="I202" s="142" t="n">
        <v>0.346</v>
      </c>
      <c r="J202" s="142" t="n">
        <v>0.188</v>
      </c>
      <c r="K202" s="142" t="n">
        <v>0.108</v>
      </c>
      <c r="L202" s="270" t="n">
        <v>9.640953961245319</v>
      </c>
      <c r="M202" s="272" t="n">
        <v>10.4635992912788</v>
      </c>
      <c r="N202" s="270" t="n">
        <v>16.2934406558468</v>
      </c>
      <c r="O202" s="273" t="n">
        <v>0.642197035745423</v>
      </c>
      <c r="P202" s="270" t="n">
        <v>2.20928765995463</v>
      </c>
      <c r="Q202" s="270" t="n">
        <v>3.21799374633232</v>
      </c>
      <c r="R202" s="270" t="n">
        <v>0.942289332854528</v>
      </c>
      <c r="S202" s="270" t="n">
        <v>5.27974214569119</v>
      </c>
      <c r="T202" s="270" t="n">
        <v>1.25884403492945</v>
      </c>
      <c r="U202" s="270" t="n">
        <v>0.519798901666769</v>
      </c>
      <c r="V202" s="270" t="n">
        <v>1.9278550970895</v>
      </c>
      <c r="W202" s="270" t="n">
        <v>0.93762973732844</v>
      </c>
      <c r="X202" s="274" t="n">
        <v>0.00384171893016846</v>
      </c>
      <c r="Y202" s="269" t="n">
        <v>10.467441010209</v>
      </c>
      <c r="Z202" s="275" t="n">
        <v>2062</v>
      </c>
      <c r="AA202" s="275" t="n">
        <v>1380</v>
      </c>
      <c r="AB202" s="270" t="n">
        <v>15450.38</v>
      </c>
      <c r="AD202" s="276" t="n">
        <v>0.0115982788199229</v>
      </c>
      <c r="AE202" s="141" t="n">
        <v>0.00776218466124814</v>
      </c>
      <c r="AF202" s="270" t="n">
        <v>7.49290979631426</v>
      </c>
      <c r="AG202" s="277" t="n">
        <v>0.0869048569901848</v>
      </c>
      <c r="AH202" s="131" t="n">
        <v>0.507692628418946</v>
      </c>
      <c r="AI202" s="131" t="n">
        <v>0.352672615076718</v>
      </c>
      <c r="AJ202" s="270" t="n">
        <v>0.486469612172006</v>
      </c>
      <c r="AK202" s="130" t="n">
        <v>0.276828753831876</v>
      </c>
      <c r="AL202" s="130" t="n">
        <v>0.0342098602244284</v>
      </c>
      <c r="AM202" s="133" t="n">
        <v>0.264184267514132</v>
      </c>
    </row>
    <row customFormat="1" customHeight="1" ht="12.45" outlineLevel="1" r="203" s="294">
      <c r="A203" s="121" t="n">
        <v>43544</v>
      </c>
      <c r="B203" s="295" t="inlineStr">
        <is>
          <t>iOS</t>
        </is>
      </c>
      <c r="C203" s="296" t="n">
        <v>43165</v>
      </c>
      <c r="D203" s="296" t="n">
        <v>172772</v>
      </c>
      <c r="E203" s="297" t="n">
        <v>4.00259469477586</v>
      </c>
      <c r="F203" s="294" t="n">
        <v>0.722690182436969</v>
      </c>
      <c r="G203" s="298" t="n">
        <v>18.11</v>
      </c>
      <c r="H203" s="306" t="n">
        <v>26.53</v>
      </c>
      <c r="I203" s="124" t="n">
        <v>0.356</v>
      </c>
      <c r="J203" s="124" t="n">
        <v>0.188</v>
      </c>
      <c r="K203" s="124" t="n">
        <v>0.107</v>
      </c>
      <c r="L203" s="294" t="n">
        <v>9.14004584076123</v>
      </c>
      <c r="M203" s="299" t="n">
        <v>9.605126988169379</v>
      </c>
      <c r="N203" s="294" t="n">
        <v>15.0206551352721</v>
      </c>
      <c r="O203" s="300" t="n">
        <v>0.639461255295997</v>
      </c>
      <c r="P203" s="294" t="n">
        <v>2.07046460477367</v>
      </c>
      <c r="Q203" s="294" t="n">
        <v>2.9132520523891</v>
      </c>
      <c r="R203" s="294" t="n">
        <v>0.887501018274635</v>
      </c>
      <c r="S203" s="294" t="n">
        <v>4.79866221341226</v>
      </c>
      <c r="T203" s="294" t="n">
        <v>1.17857369140395</v>
      </c>
      <c r="U203" s="294" t="n">
        <v>0.54347806410152</v>
      </c>
      <c r="V203" s="294" t="n">
        <v>1.75334220363682</v>
      </c>
      <c r="W203" s="294" t="n">
        <v>0.875381287280166</v>
      </c>
      <c r="X203" s="301" t="n">
        <v>0.00562012363114394</v>
      </c>
      <c r="Y203" s="297" t="n">
        <v>9.610747111800521</v>
      </c>
      <c r="Z203" s="293" t="n">
        <v>1856</v>
      </c>
      <c r="AA203" s="293" t="n">
        <v>1310</v>
      </c>
      <c r="AB203" s="294" t="n">
        <v>11379.44</v>
      </c>
      <c r="AD203" s="303" t="n">
        <v>0.0107424814206006</v>
      </c>
      <c r="AE203" s="123" t="n">
        <v>0.00758224712337647</v>
      </c>
      <c r="AF203" s="294" t="n">
        <v>6.13116379310345</v>
      </c>
      <c r="AG203" s="304" t="n">
        <v>0.0658639131340726</v>
      </c>
      <c r="AH203" s="135" t="n">
        <v>0.520560639406927</v>
      </c>
      <c r="AI203" s="135" t="n">
        <v>0.376161241746786</v>
      </c>
      <c r="AJ203" s="294" t="n">
        <v>0.5552288565276779</v>
      </c>
      <c r="AK203" s="136" t="n">
        <v>0.305634014770912</v>
      </c>
      <c r="AL203" s="136" t="n">
        <v>0.0367710045609242</v>
      </c>
      <c r="AM203" s="137" t="n">
        <v>0</v>
      </c>
    </row>
    <row customHeight="1" ht="13.2" outlineLevel="1" r="204" s="3">
      <c r="A204" s="117" t="n">
        <v>43545</v>
      </c>
      <c r="B204" s="267" t="inlineStr">
        <is>
          <t>iOS</t>
        </is>
      </c>
      <c r="C204" s="268" t="n">
        <v>39643</v>
      </c>
      <c r="D204" s="268" t="n">
        <v>170167</v>
      </c>
      <c r="E204" s="269" t="n">
        <v>4.29248543248493</v>
      </c>
      <c r="F204" s="270" t="n">
        <v>0.746124675148531</v>
      </c>
      <c r="G204" s="292" t="n">
        <v>18.28</v>
      </c>
      <c r="H204" s="271" t="n">
        <v>26.48</v>
      </c>
      <c r="I204" s="142" t="n">
        <v>0.347</v>
      </c>
      <c r="J204" s="142" t="n">
        <v>0.182</v>
      </c>
      <c r="K204" s="142" t="n">
        <v>0.102</v>
      </c>
      <c r="L204" s="270" t="n">
        <v>8.94950254749746</v>
      </c>
      <c r="M204" s="272" t="n">
        <v>9.545352506655229</v>
      </c>
      <c r="N204" s="270" t="n">
        <v>14.8096171555175</v>
      </c>
      <c r="O204" s="273" t="n">
        <v>0.644537425000147</v>
      </c>
      <c r="P204" s="270" t="n">
        <v>2.08159264763537</v>
      </c>
      <c r="Q204" s="270" t="n">
        <v>2.95778590249729</v>
      </c>
      <c r="R204" s="270" t="n">
        <v>0.866364572981154</v>
      </c>
      <c r="S204" s="270" t="n">
        <v>4.61214088385197</v>
      </c>
      <c r="T204" s="270" t="n">
        <v>1.1816026769026</v>
      </c>
      <c r="U204" s="270" t="n">
        <v>0.536757264380602</v>
      </c>
      <c r="V204" s="270" t="n">
        <v>1.70793862088458</v>
      </c>
      <c r="W204" s="270" t="n">
        <v>0.865434586383902</v>
      </c>
      <c r="X204" s="274" t="n">
        <v>0.00752202248379533</v>
      </c>
      <c r="Y204" s="269" t="n">
        <v>9.55287452913902</v>
      </c>
      <c r="Z204" s="275" t="n">
        <v>1899</v>
      </c>
      <c r="AA204" s="275" t="n">
        <v>1279</v>
      </c>
      <c r="AB204" s="270" t="n">
        <v>12546.01</v>
      </c>
      <c r="AD204" s="276" t="n">
        <v>0.0111596255443182</v>
      </c>
      <c r="AE204" s="141" t="n">
        <v>0.00751614590372987</v>
      </c>
      <c r="AF204" s="270" t="n">
        <v>6.60664033701948</v>
      </c>
      <c r="AG204" s="277" t="n">
        <v>0.07372763226712579</v>
      </c>
      <c r="AH204" s="131" t="n">
        <v>0.519360290593547</v>
      </c>
      <c r="AI204" s="131" t="n">
        <v>0.387912115632016</v>
      </c>
      <c r="AJ204" s="270" t="n">
        <v>0.543278073892118</v>
      </c>
      <c r="AK204" s="130" t="n">
        <v>0.313204087749094</v>
      </c>
      <c r="AL204" s="130" t="n">
        <v>0.0364054135055563</v>
      </c>
      <c r="AM204" s="133" t="n">
        <v>0</v>
      </c>
    </row>
    <row customHeight="1" ht="13.2" outlineLevel="1" r="205" s="3">
      <c r="A205" s="117" t="n">
        <v>43546</v>
      </c>
      <c r="B205" s="267" t="inlineStr">
        <is>
          <t>iOS</t>
        </is>
      </c>
      <c r="C205" s="268" t="n">
        <v>37220</v>
      </c>
      <c r="D205" s="268" t="n">
        <v>167100</v>
      </c>
      <c r="E205" s="269" t="n">
        <v>4.48952176249328</v>
      </c>
      <c r="F205" s="270" t="n">
        <v>0.695134583770197</v>
      </c>
      <c r="G205" s="292" t="n">
        <v>17.08</v>
      </c>
      <c r="H205" s="271" t="n">
        <v>25.03</v>
      </c>
      <c r="I205" s="142" t="n">
        <v>0.343</v>
      </c>
      <c r="J205" s="142" t="n">
        <v>0.185</v>
      </c>
      <c r="K205" s="142" t="n">
        <v>0.102</v>
      </c>
      <c r="L205" s="270" t="n">
        <v>8.704560143626569</v>
      </c>
      <c r="M205" s="272" t="n">
        <v>9.529066427289051</v>
      </c>
      <c r="N205" s="270" t="n">
        <v>14.8323024759208</v>
      </c>
      <c r="O205" s="273" t="n">
        <v>0.642453620586475</v>
      </c>
      <c r="P205" s="270" t="n">
        <v>2.10408554874527</v>
      </c>
      <c r="Q205" s="270" t="n">
        <v>2.98988393539132</v>
      </c>
      <c r="R205" s="270" t="n">
        <v>0.858868789239339</v>
      </c>
      <c r="S205" s="270" t="n">
        <v>4.58059317771112</v>
      </c>
      <c r="T205" s="270" t="n">
        <v>1.18571268886115</v>
      </c>
      <c r="U205" s="270" t="n">
        <v>0.534782122696872</v>
      </c>
      <c r="V205" s="270" t="n">
        <v>1.71008998267414</v>
      </c>
      <c r="W205" s="270" t="n">
        <v>0.868286230601561</v>
      </c>
      <c r="X205" s="274" t="n">
        <v>0.008186714542190309</v>
      </c>
      <c r="Y205" s="269" t="n">
        <v>9.53725314183124</v>
      </c>
      <c r="Z205" s="275" t="n">
        <v>1788</v>
      </c>
      <c r="AA205" s="275" t="n">
        <v>1258</v>
      </c>
      <c r="AB205" s="270" t="n">
        <v>11432.12</v>
      </c>
      <c r="AD205" s="276" t="n">
        <v>0.0107001795332136</v>
      </c>
      <c r="AE205" s="141" t="n">
        <v>0.00752842609216038</v>
      </c>
      <c r="AF205" s="270" t="n">
        <v>6.39380313199105</v>
      </c>
      <c r="AG205" s="277" t="n">
        <v>0.0684148414123279</v>
      </c>
      <c r="AH205" s="131" t="n">
        <v>0.509215475550779</v>
      </c>
      <c r="AI205" s="131" t="n">
        <v>0.38113917248791</v>
      </c>
      <c r="AJ205" s="270" t="n">
        <v>0.52638539796529</v>
      </c>
      <c r="AK205" s="130" t="n">
        <v>0.317324955116697</v>
      </c>
      <c r="AL205" s="130" t="n">
        <v>0.0366606822262118</v>
      </c>
      <c r="AM205" s="133" t="n">
        <v>0</v>
      </c>
    </row>
    <row customHeight="1" ht="13.2" outlineLevel="1" r="206" s="3">
      <c r="A206" s="117" t="n">
        <v>43547</v>
      </c>
      <c r="B206" s="289" t="inlineStr">
        <is>
          <t>iOS</t>
        </is>
      </c>
      <c r="C206" s="268" t="n">
        <v>35107</v>
      </c>
      <c r="D206" s="268" t="n">
        <v>162448</v>
      </c>
      <c r="E206" s="269" t="n">
        <v>4.62722533967585</v>
      </c>
      <c r="F206" s="270" t="n">
        <v>0.886066537378115</v>
      </c>
      <c r="G206" s="292" t="n">
        <v>15.68</v>
      </c>
      <c r="H206" s="271" t="n">
        <v>23.38</v>
      </c>
      <c r="I206" s="142" t="n">
        <v>0.335</v>
      </c>
      <c r="J206" s="142" t="n">
        <v>0.178</v>
      </c>
      <c r="K206" s="142" t="n">
        <v>0.104</v>
      </c>
      <c r="L206" s="270" t="n">
        <v>9.92987294395745</v>
      </c>
      <c r="M206" s="272" t="n">
        <v>11.7062444597656</v>
      </c>
      <c r="N206" s="270" t="n">
        <v>18.1429757191242</v>
      </c>
      <c r="O206" s="273" t="n">
        <v>0.64522185560918</v>
      </c>
      <c r="P206" s="270" t="n">
        <v>2.46844440204169</v>
      </c>
      <c r="Q206" s="270" t="n">
        <v>3.59762438582264</v>
      </c>
      <c r="R206" s="270" t="n">
        <v>1.05315078948624</v>
      </c>
      <c r="S206" s="270" t="n">
        <v>6.03255259266326</v>
      </c>
      <c r="T206" s="270" t="n">
        <v>1.41142012116586</v>
      </c>
      <c r="U206" s="270" t="n">
        <v>0.468415780184134</v>
      </c>
      <c r="V206" s="270" t="n">
        <v>2.13995134284215</v>
      </c>
      <c r="W206" s="270" t="n">
        <v>0.971416304918189</v>
      </c>
      <c r="X206" s="274" t="n">
        <v>0.0100032010243278</v>
      </c>
      <c r="Y206" s="269" t="n">
        <v>11.7162476607899</v>
      </c>
      <c r="Z206" s="275" t="n">
        <v>2352</v>
      </c>
      <c r="AA206" s="275" t="n">
        <v>1516</v>
      </c>
      <c r="AB206" s="270" t="n">
        <v>19714.48</v>
      </c>
      <c r="AD206" s="276" t="n">
        <v>0.0144784792672117</v>
      </c>
      <c r="AE206" s="141" t="n">
        <v>0.009332217078695949</v>
      </c>
      <c r="AF206" s="270" t="n">
        <v>8.38200680272109</v>
      </c>
      <c r="AG206" s="277" t="n">
        <v>0.121358711710824</v>
      </c>
      <c r="AH206" s="131" t="n">
        <v>0.513572791750933</v>
      </c>
      <c r="AI206" s="131" t="n">
        <v>0.373401315976871</v>
      </c>
      <c r="AJ206" s="270" t="n">
        <v>0.433431005614104</v>
      </c>
      <c r="AK206" s="130" t="n">
        <v>0.276790111297154</v>
      </c>
      <c r="AL206" s="130" t="n">
        <v>0.0317640106372501</v>
      </c>
      <c r="AM206" s="133" t="n">
        <v>0.349182507633212</v>
      </c>
    </row>
    <row customHeight="1" ht="13.2" outlineLevel="1" r="207" s="3">
      <c r="A207" s="117" t="n">
        <v>43548</v>
      </c>
      <c r="B207" s="289" t="inlineStr">
        <is>
          <t>iOS</t>
        </is>
      </c>
      <c r="C207" s="268" t="n">
        <v>36349</v>
      </c>
      <c r="D207" s="268" t="n">
        <v>163837</v>
      </c>
      <c r="E207" s="269" t="n">
        <v>4.50733170100966</v>
      </c>
      <c r="F207" s="270" t="n">
        <v>0.823301538822122</v>
      </c>
      <c r="G207" s="292" t="n">
        <v>15.01</v>
      </c>
      <c r="H207" s="271" t="n">
        <v>23.08</v>
      </c>
      <c r="I207" s="142" t="n">
        <v>0.335</v>
      </c>
      <c r="J207" s="142" t="n">
        <v>0.17</v>
      </c>
      <c r="K207" s="142" t="n">
        <v>0.106</v>
      </c>
      <c r="L207" s="270" t="n">
        <v>9.36032153909068</v>
      </c>
      <c r="M207" s="272" t="n">
        <v>11.7107368909343</v>
      </c>
      <c r="N207" s="270" t="n">
        <v>18.0652122741439</v>
      </c>
      <c r="O207" s="273" t="n">
        <v>0.648247953758919</v>
      </c>
      <c r="P207" s="270" t="n">
        <v>2.39181033265227</v>
      </c>
      <c r="Q207" s="270" t="n">
        <v>3.65890195561498</v>
      </c>
      <c r="R207" s="270" t="n">
        <v>1.09698042501907</v>
      </c>
      <c r="S207" s="270" t="n">
        <v>6.01417044074308</v>
      </c>
      <c r="T207" s="270" t="n">
        <v>1.38209345899988</v>
      </c>
      <c r="U207" s="270" t="n">
        <v>0.470665775325544</v>
      </c>
      <c r="V207" s="270" t="n">
        <v>2.06396000263636</v>
      </c>
      <c r="W207" s="270" t="n">
        <v>0.9866298831527111</v>
      </c>
      <c r="X207" s="274" t="n">
        <v>0.00936906803713447</v>
      </c>
      <c r="Y207" s="269" t="n">
        <v>11.7201059589714</v>
      </c>
      <c r="Z207" s="275" t="n">
        <v>2163</v>
      </c>
      <c r="AA207" s="275" t="n">
        <v>1399</v>
      </c>
      <c r="AB207" s="270" t="n">
        <v>17251.37</v>
      </c>
      <c r="AD207" s="276" t="n">
        <v>0.0132021460353888</v>
      </c>
      <c r="AE207" s="141" t="n">
        <v>0.008538974712671741</v>
      </c>
      <c r="AF207" s="270" t="n">
        <v>7.97566805362922</v>
      </c>
      <c r="AG207" s="277" t="n">
        <v>0.105295934373798</v>
      </c>
      <c r="AH207" s="131" t="n">
        <v>0.500481443781122</v>
      </c>
      <c r="AI207" s="131" t="n">
        <v>0.360642658670115</v>
      </c>
      <c r="AJ207" s="270" t="n">
        <v>0.437160104249956</v>
      </c>
      <c r="AK207" s="130" t="n">
        <v>0.271593107783956</v>
      </c>
      <c r="AL207" s="130" t="n">
        <v>0.0321966344598595</v>
      </c>
      <c r="AM207" s="133" t="n">
        <v>0.3334045423195</v>
      </c>
    </row>
    <row customHeight="1" ht="13.2" outlineLevel="1" r="208" s="3">
      <c r="A208" s="117" t="n">
        <v>43549</v>
      </c>
      <c r="B208" s="289" t="inlineStr">
        <is>
          <t>iOS</t>
        </is>
      </c>
      <c r="C208" s="268" t="n">
        <v>39461</v>
      </c>
      <c r="D208" s="268" t="n">
        <v>170781</v>
      </c>
      <c r="E208" s="269" t="n">
        <v>4.32784268011454</v>
      </c>
      <c r="F208" s="270" t="n">
        <v>0.833538728986246</v>
      </c>
      <c r="G208" s="292" t="n">
        <v>15.75</v>
      </c>
      <c r="H208" s="271" t="n">
        <v>23.87</v>
      </c>
      <c r="I208" s="142" t="n">
        <v>0.333</v>
      </c>
      <c r="J208" s="142" t="n">
        <v>0.182</v>
      </c>
      <c r="K208" s="142" t="n">
        <v>0.111</v>
      </c>
      <c r="L208" s="270" t="n">
        <v>9.46828394259315</v>
      </c>
      <c r="M208" s="272" t="n">
        <v>11.5951833049344</v>
      </c>
      <c r="N208" s="270" t="n">
        <v>17.8525179856115</v>
      </c>
      <c r="O208" s="273" t="n">
        <v>0.649498480510127</v>
      </c>
      <c r="P208" s="270" t="n">
        <v>2.36628441607616</v>
      </c>
      <c r="Q208" s="270" t="n">
        <v>3.66489965921999</v>
      </c>
      <c r="R208" s="270" t="n">
        <v>1.08017345522079</v>
      </c>
      <c r="S208" s="270" t="n">
        <v>5.88551414507492</v>
      </c>
      <c r="T208" s="270" t="n">
        <v>1.37914931212924</v>
      </c>
      <c r="U208" s="270" t="n">
        <v>0.473909594129208</v>
      </c>
      <c r="V208" s="270" t="n">
        <v>2.02945312922594</v>
      </c>
      <c r="W208" s="270" t="n">
        <v>0.973134274535259</v>
      </c>
      <c r="X208" s="274" t="n">
        <v>0.00861922579209631</v>
      </c>
      <c r="Y208" s="269" t="n">
        <v>11.6038025307265</v>
      </c>
      <c r="Z208" s="275" t="n">
        <v>2084</v>
      </c>
      <c r="AA208" s="275" t="n">
        <v>1372</v>
      </c>
      <c r="AB208" s="270" t="n">
        <v>17069.16</v>
      </c>
      <c r="AD208" s="276" t="n">
        <v>0.0122027626023972</v>
      </c>
      <c r="AE208" s="141" t="n">
        <v>0.008033680561654981</v>
      </c>
      <c r="AF208" s="270" t="n">
        <v>8.190575815738971</v>
      </c>
      <c r="AG208" s="277" t="n">
        <v>0.09994765225639859</v>
      </c>
      <c r="AH208" s="131" t="n">
        <v>0.50530903930463</v>
      </c>
      <c r="AI208" s="131" t="n">
        <v>0.360431818757761</v>
      </c>
      <c r="AJ208" s="270" t="n">
        <v>0.459816958560964</v>
      </c>
      <c r="AK208" s="130" t="n">
        <v>0.273285669951575</v>
      </c>
      <c r="AL208" s="130" t="n">
        <v>0.0324509166710583</v>
      </c>
      <c r="AM208" s="133" t="n">
        <v>0.319912636651618</v>
      </c>
    </row>
    <row customHeight="1" ht="13.2" outlineLevel="1" r="209" s="3">
      <c r="A209" s="117" t="n">
        <v>43550</v>
      </c>
      <c r="B209" s="289" t="inlineStr">
        <is>
          <t>iOS</t>
        </is>
      </c>
      <c r="C209" s="268" t="n">
        <v>35558</v>
      </c>
      <c r="D209" s="268" t="n">
        <v>164433</v>
      </c>
      <c r="E209" s="269" t="n">
        <v>4.62436020023623</v>
      </c>
      <c r="F209" s="270" t="n">
        <v>0.806338212110708</v>
      </c>
      <c r="G209" s="292" t="n">
        <v>16.85</v>
      </c>
      <c r="H209" s="271" t="n">
        <v>24.36</v>
      </c>
      <c r="I209" s="142" t="n">
        <v>0.341</v>
      </c>
      <c r="J209" s="142" t="n">
        <v>0.19</v>
      </c>
      <c r="K209" s="142" t="n">
        <v>0.11</v>
      </c>
      <c r="L209" s="270" t="n">
        <v>9.387434395772139</v>
      </c>
      <c r="M209" s="272" t="n">
        <v>11.1182852590417</v>
      </c>
      <c r="N209" s="270" t="n">
        <v>16.9648123231105</v>
      </c>
      <c r="O209" s="273" t="n">
        <v>0.6553733131427389</v>
      </c>
      <c r="P209" s="270" t="n">
        <v>2.27586878856772</v>
      </c>
      <c r="Q209" s="270" t="n">
        <v>3.45031318145966</v>
      </c>
      <c r="R209" s="270" t="n">
        <v>1.04115436366167</v>
      </c>
      <c r="S209" s="270" t="n">
        <v>5.48841460585533</v>
      </c>
      <c r="T209" s="270" t="n">
        <v>1.31274532547673</v>
      </c>
      <c r="U209" s="270" t="n">
        <v>0.507929290585997</v>
      </c>
      <c r="V209" s="270" t="n">
        <v>1.94358094000835</v>
      </c>
      <c r="W209" s="270" t="n">
        <v>0.944805827495012</v>
      </c>
      <c r="X209" s="274" t="n">
        <v>0.0127103440306994</v>
      </c>
      <c r="Y209" s="269" t="n">
        <v>11.1309956030724</v>
      </c>
      <c r="Z209" s="275" t="n">
        <v>1873</v>
      </c>
      <c r="AA209" s="275" t="n">
        <v>1314</v>
      </c>
      <c r="AB209" s="270" t="n">
        <v>12789.27</v>
      </c>
      <c r="AD209" s="276" t="n">
        <v>0.0113906575930622</v>
      </c>
      <c r="AE209" s="141" t="n">
        <v>0.007991096677674191</v>
      </c>
      <c r="AF209" s="270" t="n">
        <v>6.82822744260544</v>
      </c>
      <c r="AG209" s="277" t="n">
        <v>0.07777800076626951</v>
      </c>
      <c r="AH209" s="131" t="n">
        <v>0.504218459980876</v>
      </c>
      <c r="AI209" s="131" t="n">
        <v>0.375667922830305</v>
      </c>
      <c r="AJ209" s="270" t="n">
        <v>0.502672821149039</v>
      </c>
      <c r="AK209" s="130" t="n">
        <v>0.29302512269435</v>
      </c>
      <c r="AL209" s="130" t="n">
        <v>0.0388668941149283</v>
      </c>
      <c r="AM209" s="133" t="n">
        <v>0.269197788765029</v>
      </c>
    </row>
    <row customFormat="1" customHeight="1" ht="12.45" outlineLevel="1" r="210" s="294">
      <c r="A210" s="121" t="n">
        <v>43551</v>
      </c>
      <c r="B210" s="295" t="inlineStr">
        <is>
          <t>iOS</t>
        </is>
      </c>
      <c r="C210" s="296" t="n">
        <v>31635</v>
      </c>
      <c r="D210" s="296" t="n">
        <v>157495</v>
      </c>
      <c r="E210" s="297" t="n">
        <v>4.97850482061008</v>
      </c>
      <c r="F210" s="294" t="n">
        <v>0.708889631061304</v>
      </c>
      <c r="G210" s="298" t="n">
        <v>17.44</v>
      </c>
      <c r="H210" s="306" t="n">
        <v>25.18</v>
      </c>
      <c r="I210" s="124" t="n">
        <v>0.342</v>
      </c>
      <c r="J210" s="124" t="n">
        <v>0.182</v>
      </c>
      <c r="K210" s="124" t="n">
        <v>0.104</v>
      </c>
      <c r="L210" s="294" t="n">
        <v>8.70458109781263</v>
      </c>
      <c r="M210" s="299" t="n">
        <v>9.89219975237309</v>
      </c>
      <c r="N210" s="294" t="n">
        <v>15.2359959317791</v>
      </c>
      <c r="O210" s="300" t="n">
        <v>0.649265056033525</v>
      </c>
      <c r="P210" s="294" t="n">
        <v>2.1197582537944</v>
      </c>
      <c r="Q210" s="294" t="n">
        <v>3.04948364888124</v>
      </c>
      <c r="R210" s="294" t="n">
        <v>0.920298075418557</v>
      </c>
      <c r="S210" s="294" t="n">
        <v>4.82132099827883</v>
      </c>
      <c r="T210" s="294" t="n">
        <v>1.20316656235331</v>
      </c>
      <c r="U210" s="294" t="n">
        <v>0.52972930683774</v>
      </c>
      <c r="V210" s="294" t="n">
        <v>1.72050539821624</v>
      </c>
      <c r="W210" s="294" t="n">
        <v>0.871733687998748</v>
      </c>
      <c r="X210" s="301" t="n">
        <v>0.014819518079939</v>
      </c>
      <c r="Y210" s="297" t="n">
        <v>9.907019270453031</v>
      </c>
      <c r="Z210" s="293" t="n">
        <v>1491</v>
      </c>
      <c r="AA210" s="293" t="n">
        <v>1086</v>
      </c>
      <c r="AB210" s="294" t="n">
        <v>9516.09</v>
      </c>
      <c r="AD210" s="303" t="n">
        <v>0.009466967205308111</v>
      </c>
      <c r="AE210" s="123" t="n">
        <v>0.00689545699863488</v>
      </c>
      <c r="AF210" s="294" t="n">
        <v>6.38235412474849</v>
      </c>
      <c r="AG210" s="304" t="n">
        <v>0.0604215371916569</v>
      </c>
      <c r="AH210" s="135" t="n">
        <v>0.501627943733207</v>
      </c>
      <c r="AI210" s="135" t="n">
        <v>0.378378378378378</v>
      </c>
      <c r="AJ210" s="294" t="n">
        <v>0.559001873075336</v>
      </c>
      <c r="AK210" s="136" t="n">
        <v>0.320073653131845</v>
      </c>
      <c r="AL210" s="136" t="n">
        <v>0.0420775262706753</v>
      </c>
      <c r="AM210" s="137" t="n">
        <v>0</v>
      </c>
    </row>
    <row customHeight="1" ht="13.2" outlineLevel="1" r="211" s="3">
      <c r="A211" s="117" t="n">
        <v>43552</v>
      </c>
      <c r="B211" s="267" t="inlineStr">
        <is>
          <t>iOS</t>
        </is>
      </c>
      <c r="C211" s="268" t="n">
        <v>31376</v>
      </c>
      <c r="D211" s="268" t="n">
        <v>154761</v>
      </c>
      <c r="E211" s="269" t="n">
        <v>4.93246430392657</v>
      </c>
      <c r="F211" s="270" t="n">
        <v>0.666519045612267</v>
      </c>
      <c r="G211" s="292" t="n">
        <v>16.78</v>
      </c>
      <c r="H211" s="271" t="n">
        <v>24.27</v>
      </c>
      <c r="I211" s="142" t="n">
        <v>0.33</v>
      </c>
      <c r="J211" s="142" t="n">
        <v>0.174</v>
      </c>
      <c r="K211" s="142" t="n">
        <v>0.097</v>
      </c>
      <c r="L211" s="270" t="n">
        <v>8.52608861405651</v>
      </c>
      <c r="M211" s="272" t="n">
        <v>9.68142490679176</v>
      </c>
      <c r="N211" s="270" t="n">
        <v>14.9829201707983</v>
      </c>
      <c r="O211" s="273" t="n">
        <v>0.64616408526696</v>
      </c>
      <c r="P211" s="270" t="n">
        <v>2.11891881081189</v>
      </c>
      <c r="Q211" s="270" t="n">
        <v>3.00763992360076</v>
      </c>
      <c r="R211" s="270" t="n">
        <v>0.887631123688763</v>
      </c>
      <c r="S211" s="270" t="n">
        <v>4.68166318336817</v>
      </c>
      <c r="T211" s="270" t="n">
        <v>1.20056799432006</v>
      </c>
      <c r="U211" s="270" t="n">
        <v>0.523444765552344</v>
      </c>
      <c r="V211" s="270" t="n">
        <v>1.70084299157008</v>
      </c>
      <c r="W211" s="270" t="n">
        <v>0.862211377886221</v>
      </c>
      <c r="X211" s="274" t="n">
        <v>0.0151523962755475</v>
      </c>
      <c r="Y211" s="269" t="n">
        <v>9.696577303067309</v>
      </c>
      <c r="Z211" s="275" t="n">
        <v>1338</v>
      </c>
      <c r="AA211" s="275" t="n">
        <v>976</v>
      </c>
      <c r="AB211" s="270" t="n">
        <v>8737.620000000001</v>
      </c>
      <c r="AD211" s="276" t="n">
        <v>0.008645589004981869</v>
      </c>
      <c r="AE211" s="141" t="n">
        <v>0.00630649840722146</v>
      </c>
      <c r="AF211" s="270" t="n">
        <v>6.53035874439462</v>
      </c>
      <c r="AG211" s="277" t="n">
        <v>0.0564587977591254</v>
      </c>
      <c r="AH211" s="131" t="n">
        <v>0.495442376338603</v>
      </c>
      <c r="AI211" s="131" t="n">
        <v>0.358108108108108</v>
      </c>
      <c r="AJ211" s="270" t="n">
        <v>0.540549621674711</v>
      </c>
      <c r="AK211" s="130" t="n">
        <v>0.320455411893177</v>
      </c>
      <c r="AL211" s="130" t="n">
        <v>0.0411343943241514</v>
      </c>
      <c r="AM211" s="133" t="n">
        <v>0</v>
      </c>
    </row>
    <row customHeight="1" ht="13.2" outlineLevel="1" r="212" s="3">
      <c r="A212" s="117" t="n">
        <v>43553</v>
      </c>
      <c r="B212" s="267" t="inlineStr">
        <is>
          <t>iOS</t>
        </is>
      </c>
      <c r="C212" s="268" t="n">
        <v>32076</v>
      </c>
      <c r="D212" s="268" t="n">
        <v>152983</v>
      </c>
      <c r="E212" s="269" t="n">
        <v>4.76939144531737</v>
      </c>
      <c r="F212" s="270" t="n">
        <v>0.6831357966832921</v>
      </c>
      <c r="G212" s="292" t="n">
        <v>16.76</v>
      </c>
      <c r="H212" s="271" t="n">
        <v>24.18</v>
      </c>
      <c r="I212" s="142" t="n">
        <v>0.322</v>
      </c>
      <c r="J212" s="142" t="n">
        <v>0.171</v>
      </c>
      <c r="K212" s="142" t="n">
        <v>0.091</v>
      </c>
      <c r="L212" s="270" t="n">
        <v>8.36554388396096</v>
      </c>
      <c r="M212" s="272" t="n">
        <v>9.47881790787212</v>
      </c>
      <c r="N212" s="270" t="n">
        <v>14.7926918839515</v>
      </c>
      <c r="O212" s="273" t="n">
        <v>0.640777079806253</v>
      </c>
      <c r="P212" s="270" t="n">
        <v>2.14049047211001</v>
      </c>
      <c r="Q212" s="270" t="n">
        <v>2.99047211000939</v>
      </c>
      <c r="R212" s="270" t="n">
        <v>0.867272615987269</v>
      </c>
      <c r="S212" s="270" t="n">
        <v>4.55751417962215</v>
      </c>
      <c r="T212" s="270" t="n">
        <v>1.19829028440854</v>
      </c>
      <c r="U212" s="270" t="n">
        <v>0.516964540743461</v>
      </c>
      <c r="V212" s="270" t="n">
        <v>1.66783980087322</v>
      </c>
      <c r="W212" s="270" t="n">
        <v>0.853847880197495</v>
      </c>
      <c r="X212" s="274" t="n">
        <v>0.0164985652000549</v>
      </c>
      <c r="Y212" s="269" t="n">
        <v>9.495316473072171</v>
      </c>
      <c r="Z212" s="275" t="n">
        <v>1486</v>
      </c>
      <c r="AA212" s="275" t="n">
        <v>1036</v>
      </c>
      <c r="AB212" s="270" t="n">
        <v>10522.14</v>
      </c>
      <c r="AD212" s="276" t="n">
        <v>0.00971349757816228</v>
      </c>
      <c r="AE212" s="141" t="n">
        <v>0.00677199427387357</v>
      </c>
      <c r="AF212" s="270" t="n">
        <v>7.08084791386272</v>
      </c>
      <c r="AG212" s="277" t="n">
        <v>0.06877979906264101</v>
      </c>
      <c r="AH212" s="131" t="n">
        <v>0.483196159122085</v>
      </c>
      <c r="AI212" s="131" t="n">
        <v>0.349981294425739</v>
      </c>
      <c r="AJ212" s="270" t="n">
        <v>0.519397580123282</v>
      </c>
      <c r="AK212" s="130" t="n">
        <v>0.315368374263807</v>
      </c>
      <c r="AL212" s="130" t="n">
        <v>0.0411156795199467</v>
      </c>
      <c r="AM212" s="133" t="n">
        <v>0</v>
      </c>
    </row>
    <row customHeight="1" ht="13.2" outlineLevel="1" r="213" s="3">
      <c r="A213" s="117" t="n">
        <v>43554</v>
      </c>
      <c r="B213" s="289" t="inlineStr">
        <is>
          <t>iOS</t>
        </is>
      </c>
      <c r="C213" s="268" t="n">
        <v>38185</v>
      </c>
      <c r="D213" s="268" t="n">
        <v>156786</v>
      </c>
      <c r="E213" s="269" t="n">
        <v>4.10595783684693</v>
      </c>
      <c r="F213" s="270" t="n">
        <v>0.840255439516283</v>
      </c>
      <c r="G213" s="292" t="n">
        <v>15.38</v>
      </c>
      <c r="H213" s="271" t="n">
        <v>22.17</v>
      </c>
      <c r="I213" s="142" t="n">
        <v>0.31</v>
      </c>
      <c r="J213" s="142" t="n">
        <v>0.154</v>
      </c>
      <c r="K213" s="142" t="n">
        <v>0.09</v>
      </c>
      <c r="L213" s="270" t="n">
        <v>9.603606189328129</v>
      </c>
      <c r="M213" s="272" t="n">
        <v>11.6643705432883</v>
      </c>
      <c r="N213" s="270" t="n">
        <v>18.3139226309096</v>
      </c>
      <c r="O213" s="273" t="n">
        <v>0.636912734555381</v>
      </c>
      <c r="P213" s="270" t="n">
        <v>2.48336153977108</v>
      </c>
      <c r="Q213" s="270" t="n">
        <v>3.47597111927818</v>
      </c>
      <c r="R213" s="270" t="n">
        <v>0.984187704663576</v>
      </c>
      <c r="S213" s="270" t="n">
        <v>6.46463513554111</v>
      </c>
      <c r="T213" s="270" t="n">
        <v>1.4057821528355</v>
      </c>
      <c r="U213" s="270" t="n">
        <v>0.45365966012077</v>
      </c>
      <c r="V213" s="270" t="n">
        <v>2.10458746833035</v>
      </c>
      <c r="W213" s="270" t="n">
        <v>0.94173785036902</v>
      </c>
      <c r="X213" s="274" t="n">
        <v>0.014267855548327</v>
      </c>
      <c r="Y213" s="269" t="n">
        <v>11.6786383988366</v>
      </c>
      <c r="Z213" s="275" t="n">
        <v>2014</v>
      </c>
      <c r="AA213" s="275" t="n">
        <v>1323</v>
      </c>
      <c r="AB213" s="270" t="n">
        <v>16848.86</v>
      </c>
      <c r="AD213" s="276" t="n">
        <v>0.0128455346778411</v>
      </c>
      <c r="AE213" s="141" t="n">
        <v>0.008438253415483529</v>
      </c>
      <c r="AF213" s="270" t="n">
        <v>8.365868917576959</v>
      </c>
      <c r="AG213" s="277" t="n">
        <v>0.107464059291008</v>
      </c>
      <c r="AH213" s="131" t="n">
        <v>0.467591986382087</v>
      </c>
      <c r="AI213" s="131" t="n">
        <v>0.318213958360613</v>
      </c>
      <c r="AJ213" s="270" t="n">
        <v>0.403205643361014</v>
      </c>
      <c r="AK213" s="130" t="n">
        <v>0.255112063577105</v>
      </c>
      <c r="AL213" s="130" t="n">
        <v>0.0334468638781524</v>
      </c>
      <c r="AM213" s="133" t="n">
        <v>0.330246323013534</v>
      </c>
    </row>
    <row customHeight="1" ht="13.2" outlineLevel="1" r="214" s="3">
      <c r="A214" s="117" t="n">
        <v>43555</v>
      </c>
      <c r="B214" s="289" t="inlineStr">
        <is>
          <t>iOS</t>
        </is>
      </c>
      <c r="C214" s="268" t="n">
        <v>39967</v>
      </c>
      <c r="D214" s="268" t="n">
        <v>161677</v>
      </c>
      <c r="E214" s="269" t="n">
        <v>4.04526234143168</v>
      </c>
      <c r="F214" s="270" t="n">
        <v>0.791158887299987</v>
      </c>
      <c r="G214" s="292" t="n">
        <v>14.82</v>
      </c>
      <c r="H214" s="271" t="n">
        <v>21.66</v>
      </c>
      <c r="I214" s="142" t="n">
        <v>0.31</v>
      </c>
      <c r="J214" s="142" t="n">
        <v>0.156</v>
      </c>
      <c r="K214" s="142" t="n">
        <v>0.093</v>
      </c>
      <c r="L214" s="270" t="n">
        <v>9.21801493100441</v>
      </c>
      <c r="M214" s="272" t="n">
        <v>11.659586706829</v>
      </c>
      <c r="N214" s="270" t="n">
        <v>18.1560384100475</v>
      </c>
      <c r="O214" s="273" t="n">
        <v>0.642187818922914</v>
      </c>
      <c r="P214" s="270" t="n">
        <v>2.44700318799542</v>
      </c>
      <c r="Q214" s="270" t="n">
        <v>3.62869003245784</v>
      </c>
      <c r="R214" s="270" t="n">
        <v>1.01992737919809</v>
      </c>
      <c r="S214" s="270" t="n">
        <v>6.16593949550695</v>
      </c>
      <c r="T214" s="270" t="n">
        <v>1.40588671540158</v>
      </c>
      <c r="U214" s="270" t="n">
        <v>0.464879077696553</v>
      </c>
      <c r="V214" s="270" t="n">
        <v>2.04794513951092</v>
      </c>
      <c r="W214" s="270" t="n">
        <v>0.975767382280139</v>
      </c>
      <c r="X214" s="274" t="n">
        <v>0.00736035428663323</v>
      </c>
      <c r="Y214" s="269" t="n">
        <v>11.6669470611157</v>
      </c>
      <c r="Z214" s="275" t="n">
        <v>1974</v>
      </c>
      <c r="AA214" s="275" t="n">
        <v>1281</v>
      </c>
      <c r="AB214" s="270" t="n">
        <v>15463.26</v>
      </c>
      <c r="AD214" s="276" t="n">
        <v>0.0122095288754739</v>
      </c>
      <c r="AE214" s="141" t="n">
        <v>0.00792320490855224</v>
      </c>
      <c r="AF214" s="270" t="n">
        <v>7.83346504559271</v>
      </c>
      <c r="AG214" s="277" t="n">
        <v>0.0956429176691799</v>
      </c>
      <c r="AH214" s="131" t="n">
        <v>0.484424650336528</v>
      </c>
      <c r="AI214" s="131" t="n">
        <v>0.338304100883229</v>
      </c>
      <c r="AJ214" s="270" t="n">
        <v>0.416552756421754</v>
      </c>
      <c r="AK214" s="130" t="n">
        <v>0.255231108939429</v>
      </c>
      <c r="AL214" s="130" t="n">
        <v>0.0329422243114358</v>
      </c>
      <c r="AM214" s="133" t="n">
        <v>0.32045374419367</v>
      </c>
    </row>
    <row customHeight="1" ht="13.2" r="215" s="3">
      <c r="A215" s="117" t="n">
        <v>43556</v>
      </c>
      <c r="B215" s="289" t="inlineStr">
        <is>
          <t>iOS</t>
        </is>
      </c>
      <c r="C215" s="268" t="n">
        <v>42180</v>
      </c>
      <c r="D215" s="268" t="n">
        <v>167458</v>
      </c>
      <c r="E215" s="269" t="n">
        <v>3.97008060692271</v>
      </c>
      <c r="F215" s="270" t="n">
        <v>0.758535705776971</v>
      </c>
      <c r="G215" s="292" t="n">
        <v>14.57</v>
      </c>
      <c r="H215" s="271" t="n">
        <v>20.95</v>
      </c>
      <c r="I215" s="142" t="n">
        <v>0.32</v>
      </c>
      <c r="J215" s="142" t="n">
        <v>0.171</v>
      </c>
      <c r="K215" s="142" t="n">
        <v>0.098</v>
      </c>
      <c r="L215" s="270" t="n">
        <v>9.2845609048239</v>
      </c>
      <c r="M215" s="272" t="n">
        <v>11.5347012385195</v>
      </c>
      <c r="N215" s="270" t="n">
        <v>17.8476336554987</v>
      </c>
      <c r="O215" s="273" t="n">
        <v>0.6462874272952021</v>
      </c>
      <c r="P215" s="270" t="n">
        <v>2.42969341932622</v>
      </c>
      <c r="Q215" s="270" t="n">
        <v>3.67411712527489</v>
      </c>
      <c r="R215" s="270" t="n">
        <v>1.0025502189862</v>
      </c>
      <c r="S215" s="270" t="n">
        <v>5.8644965165487</v>
      </c>
      <c r="T215" s="270" t="n">
        <v>1.40719420471975</v>
      </c>
      <c r="U215" s="270" t="n">
        <v>0.473795575924454</v>
      </c>
      <c r="V215" s="270" t="n">
        <v>2.02178774046902</v>
      </c>
      <c r="W215" s="270" t="n">
        <v>0.973998854249441</v>
      </c>
      <c r="X215" s="274" t="n">
        <v>0.00451456484611067</v>
      </c>
      <c r="Y215" s="269" t="n">
        <v>11.5392158033656</v>
      </c>
      <c r="Z215" s="275" t="n">
        <v>1916</v>
      </c>
      <c r="AA215" s="275" t="n">
        <v>1282</v>
      </c>
      <c r="AB215" s="270" t="n">
        <v>14783.84</v>
      </c>
      <c r="AD215" s="276" t="n">
        <v>0.0114416749274445</v>
      </c>
      <c r="AE215" s="141" t="n">
        <v>0.00765565096919825</v>
      </c>
      <c r="AF215" s="270" t="n">
        <v>7.71599164926931</v>
      </c>
      <c r="AG215" s="277" t="n">
        <v>0.0882838681938158</v>
      </c>
      <c r="AH215" s="131" t="n">
        <v>0.482005689900427</v>
      </c>
      <c r="AI215" s="131" t="n">
        <v>0.340445708866762</v>
      </c>
      <c r="AJ215" s="270" t="n">
        <v>0.434270085633413</v>
      </c>
      <c r="AK215" s="130" t="n">
        <v>0.258542440492541</v>
      </c>
      <c r="AL215" s="130" t="n">
        <v>0.0337218884735277</v>
      </c>
      <c r="AM215" s="133" t="n">
        <v>0.310639085621469</v>
      </c>
    </row>
    <row customHeight="1" ht="13.2" outlineLevel="1" r="216" s="3">
      <c r="A216" s="117" t="n">
        <v>43557</v>
      </c>
      <c r="B216" s="289" t="inlineStr">
        <is>
          <t>iOS</t>
        </is>
      </c>
      <c r="C216" s="268" t="n">
        <v>37801</v>
      </c>
      <c r="D216" s="268" t="n">
        <v>162318</v>
      </c>
      <c r="E216" s="269" t="n">
        <v>4.29401338588926</v>
      </c>
      <c r="F216" s="270" t="n">
        <v>0.777917842937937</v>
      </c>
      <c r="G216" s="292" t="n">
        <v>15.74</v>
      </c>
      <c r="H216" s="271" t="n">
        <v>22.03</v>
      </c>
      <c r="I216" s="142" t="n">
        <v>0.328</v>
      </c>
      <c r="J216" s="142" t="n">
        <v>0.172</v>
      </c>
      <c r="K216" s="142" t="n">
        <v>0.097</v>
      </c>
      <c r="L216" s="270" t="n">
        <v>9.330425461131849</v>
      </c>
      <c r="M216" s="272" t="n">
        <v>11.1479626412351</v>
      </c>
      <c r="N216" s="270" t="n">
        <v>17.065583356125</v>
      </c>
      <c r="O216" s="273" t="n">
        <v>0.653242400719575</v>
      </c>
      <c r="P216" s="270" t="n">
        <v>2.32288061263946</v>
      </c>
      <c r="Q216" s="270" t="n">
        <v>3.4803693189856</v>
      </c>
      <c r="R216" s="270" t="n">
        <v>0.988824233964898</v>
      </c>
      <c r="S216" s="270" t="n">
        <v>5.51135967104581</v>
      </c>
      <c r="T216" s="270" t="n">
        <v>1.34921203776183</v>
      </c>
      <c r="U216" s="270" t="n">
        <v>0.510756085369649</v>
      </c>
      <c r="V216" s="270" t="n">
        <v>1.94715796025766</v>
      </c>
      <c r="W216" s="270" t="n">
        <v>0.955023436100082</v>
      </c>
      <c r="X216" s="274" t="n">
        <v>0.00576645843344546</v>
      </c>
      <c r="Y216" s="269" t="n">
        <v>11.1537290996686</v>
      </c>
      <c r="Z216" s="275" t="n">
        <v>1787</v>
      </c>
      <c r="AA216" s="275" t="n">
        <v>1257</v>
      </c>
      <c r="AB216" s="270" t="n">
        <v>13974.13</v>
      </c>
      <c r="AD216" s="276" t="n">
        <v>0.0110092534407767</v>
      </c>
      <c r="AE216" s="141" t="n">
        <v>0.00774405796030015</v>
      </c>
      <c r="AF216" s="270" t="n">
        <v>7.81988248461108</v>
      </c>
      <c r="AG216" s="277" t="n">
        <v>0.08609106815017439</v>
      </c>
      <c r="AH216" s="131" t="n">
        <v>0.504193010766911</v>
      </c>
      <c r="AI216" s="131" t="n">
        <v>0.37419644982937</v>
      </c>
      <c r="AJ216" s="270" t="n">
        <v>0.487820204783203</v>
      </c>
      <c r="AK216" s="130" t="n">
        <v>0.281847977427026</v>
      </c>
      <c r="AL216" s="130" t="n">
        <v>0.0393918111361648</v>
      </c>
      <c r="AM216" s="133" t="n">
        <v>0.26016215083971</v>
      </c>
    </row>
    <row customFormat="1" customHeight="1" ht="12.45" outlineLevel="1" r="217" s="294">
      <c r="A217" s="121" t="n">
        <v>43558</v>
      </c>
      <c r="B217" s="295" t="inlineStr">
        <is>
          <t>iOS</t>
        </is>
      </c>
      <c r="C217" s="296" t="n">
        <v>38339</v>
      </c>
      <c r="D217" s="296" t="n">
        <v>161258</v>
      </c>
      <c r="E217" s="297" t="n">
        <v>4.20610866219776</v>
      </c>
      <c r="F217" s="294" t="n">
        <v>0.644591900581676</v>
      </c>
      <c r="G217" s="306" t="n">
        <v>15.77</v>
      </c>
      <c r="H217" s="306" t="n">
        <v>22.32</v>
      </c>
      <c r="I217" s="124" t="n">
        <v>0.302</v>
      </c>
      <c r="J217" s="124" t="n">
        <v>0.15</v>
      </c>
      <c r="K217" s="124" t="n">
        <v>0.082</v>
      </c>
      <c r="L217" s="294" t="n">
        <v>8.6281548822384</v>
      </c>
      <c r="M217" s="299" t="n">
        <v>9.770330774287171</v>
      </c>
      <c r="N217" s="294" t="n">
        <v>15.2572894978938</v>
      </c>
      <c r="O217" s="300" t="n">
        <v>0.640371330414615</v>
      </c>
      <c r="P217" s="294" t="n">
        <v>2.14769767104053</v>
      </c>
      <c r="Q217" s="294" t="n">
        <v>3.04786713794606</v>
      </c>
      <c r="R217" s="294" t="n">
        <v>0.888568246743815</v>
      </c>
      <c r="S217" s="294" t="n">
        <v>4.84124340289546</v>
      </c>
      <c r="T217" s="294" t="n">
        <v>1.21730499201085</v>
      </c>
      <c r="U217" s="294" t="n">
        <v>0.532184186316758</v>
      </c>
      <c r="V217" s="294" t="n">
        <v>1.71146080472571</v>
      </c>
      <c r="W217" s="294" t="n">
        <v>0.870963056214593</v>
      </c>
      <c r="X217" s="301" t="n">
        <v>0.0112056456113805</v>
      </c>
      <c r="Y217" s="297" t="n">
        <v>9.781536419898551</v>
      </c>
      <c r="Z217" s="293" t="n">
        <v>1466</v>
      </c>
      <c r="AA217" s="293" t="n">
        <v>1051</v>
      </c>
      <c r="AB217" s="294" t="n">
        <v>9503.34</v>
      </c>
      <c r="AD217" s="303" t="n">
        <v>0.00909102184077689</v>
      </c>
      <c r="AE217" s="123" t="n">
        <v>0.00651750610822409</v>
      </c>
      <c r="AF217" s="294" t="n">
        <v>6.4824965893588</v>
      </c>
      <c r="AG217" s="304" t="n">
        <v>0.0589325180766226</v>
      </c>
      <c r="AH217" s="135" t="n">
        <v>0.450559482511281</v>
      </c>
      <c r="AI217" s="135" t="n">
        <v>0.330968465531182</v>
      </c>
      <c r="AJ217" s="294" t="n">
        <v>0.532823177764824</v>
      </c>
      <c r="AK217" s="136" t="n">
        <v>0.302205161914448</v>
      </c>
      <c r="AL217" s="136" t="n">
        <v>0.042348286596634</v>
      </c>
      <c r="AM217" s="137" t="n">
        <v>0</v>
      </c>
    </row>
    <row customHeight="1" ht="13.2" outlineLevel="1" r="218" s="3">
      <c r="A218" s="117" t="n">
        <v>43559</v>
      </c>
      <c r="B218" s="267" t="inlineStr">
        <is>
          <t>iOS</t>
        </is>
      </c>
      <c r="C218" s="268" t="n">
        <v>34751</v>
      </c>
      <c r="D218" s="268" t="n">
        <v>155864</v>
      </c>
      <c r="E218" s="269" t="n">
        <v>4.48516589450663</v>
      </c>
      <c r="F218" s="270" t="n">
        <v>0.637400068649592</v>
      </c>
      <c r="G218" s="271" t="n">
        <v>16</v>
      </c>
      <c r="H218" s="271" t="n">
        <v>22.44</v>
      </c>
      <c r="I218" s="142" t="n">
        <v>0.299</v>
      </c>
      <c r="J218" s="142" t="n">
        <v>0.146</v>
      </c>
      <c r="K218" s="142" t="n">
        <v>0.081</v>
      </c>
      <c r="L218" s="270" t="n">
        <v>8.46280731920135</v>
      </c>
      <c r="M218" s="272" t="n">
        <v>9.628554380742189</v>
      </c>
      <c r="N218" s="270" t="n">
        <v>15.012854627666</v>
      </c>
      <c r="O218" s="273" t="n">
        <v>0.641354000923882</v>
      </c>
      <c r="P218" s="270" t="n">
        <v>2.15010403745348</v>
      </c>
      <c r="Q218" s="270" t="n">
        <v>3.02763995038214</v>
      </c>
      <c r="R218" s="270" t="n">
        <v>0.857258613100716</v>
      </c>
      <c r="S218" s="270" t="n">
        <v>4.69005842103157</v>
      </c>
      <c r="T218" s="270" t="n">
        <v>1.21693809771518</v>
      </c>
      <c r="U218" s="270" t="n">
        <v>0.519877155776079</v>
      </c>
      <c r="V218" s="270" t="n">
        <v>1.68284582449682</v>
      </c>
      <c r="W218" s="270" t="n">
        <v>0.868132527709976</v>
      </c>
      <c r="X218" s="274" t="n">
        <v>0.0139416414309911</v>
      </c>
      <c r="Y218" s="269" t="n">
        <v>9.64249602217318</v>
      </c>
      <c r="Z218" s="275" t="n">
        <v>1407</v>
      </c>
      <c r="AA218" s="275" t="n">
        <v>1006</v>
      </c>
      <c r="AB218" s="270" t="n">
        <v>8704.93</v>
      </c>
      <c r="AD218" s="276" t="n">
        <v>0.00902710054919674</v>
      </c>
      <c r="AE218" s="141" t="n">
        <v>0.00645434481342709</v>
      </c>
      <c r="AF218" s="270" t="n">
        <v>6.18687277896233</v>
      </c>
      <c r="AG218" s="277" t="n">
        <v>0.0558495226607812</v>
      </c>
      <c r="AH218" s="131" t="n">
        <v>0.459181030761705</v>
      </c>
      <c r="AI218" s="131" t="n">
        <v>0.342090875082731</v>
      </c>
      <c r="AJ218" s="270" t="n">
        <v>0.516174357131859</v>
      </c>
      <c r="AK218" s="130" t="n">
        <v>0.308717856592927</v>
      </c>
      <c r="AL218" s="130" t="n">
        <v>0.0417543499461069</v>
      </c>
      <c r="AM218" s="133" t="n">
        <v>0</v>
      </c>
    </row>
    <row customHeight="1" ht="13.2" outlineLevel="1" r="219" s="3">
      <c r="A219" s="117" t="n">
        <v>43560</v>
      </c>
      <c r="B219" s="267" t="inlineStr">
        <is>
          <t>iOS</t>
        </is>
      </c>
      <c r="C219" s="268" t="n">
        <v>33928</v>
      </c>
      <c r="D219" s="268" t="n">
        <v>152963</v>
      </c>
      <c r="E219" s="269" t="n">
        <v>4.5084590898373</v>
      </c>
      <c r="F219" s="270" t="n">
        <v>0.644254126468492</v>
      </c>
      <c r="G219" s="271" t="n">
        <v>15.69</v>
      </c>
      <c r="H219" s="271" t="n">
        <v>21.78</v>
      </c>
      <c r="I219" s="142" t="n">
        <v>0.32</v>
      </c>
      <c r="J219" s="142" t="n">
        <v>0.17</v>
      </c>
      <c r="K219" s="142" t="n">
        <v>0.092</v>
      </c>
      <c r="L219" s="270" t="n">
        <v>8.42323306943509</v>
      </c>
      <c r="M219" s="272" t="n">
        <v>9.56055385943006</v>
      </c>
      <c r="N219" s="270" t="n">
        <v>14.9712943151688</v>
      </c>
      <c r="O219" s="273" t="n">
        <v>0.638592339323889</v>
      </c>
      <c r="P219" s="270" t="n">
        <v>2.20035626170903</v>
      </c>
      <c r="Q219" s="270" t="n">
        <v>3.09840194101207</v>
      </c>
      <c r="R219" s="270" t="n">
        <v>0.87729445849244</v>
      </c>
      <c r="S219" s="270" t="n">
        <v>4.79967445050726</v>
      </c>
      <c r="T219" s="270" t="n">
        <v>1.24538037079882</v>
      </c>
      <c r="U219" s="270" t="n">
        <v>0.53202772289391</v>
      </c>
      <c r="V219" s="270" t="n">
        <v>1.72217729138727</v>
      </c>
      <c r="W219" s="270" t="n">
        <v>0.888422518196988</v>
      </c>
      <c r="X219" s="274" t="n">
        <v>0.012525904957408</v>
      </c>
      <c r="Y219" s="269" t="n">
        <v>9.573079764387471</v>
      </c>
      <c r="Z219" s="275" t="n">
        <v>1484</v>
      </c>
      <c r="AA219" s="275" t="n">
        <v>1054</v>
      </c>
      <c r="AB219" s="270" t="n">
        <v>9882.16</v>
      </c>
      <c r="AD219" s="276" t="n">
        <v>0.00970169256617613</v>
      </c>
      <c r="AE219" s="141" t="n">
        <v>0.00689055523231108</v>
      </c>
      <c r="AF219" s="270" t="n">
        <v>6.65913746630728</v>
      </c>
      <c r="AG219" s="277" t="n">
        <v>0.0646049044540183</v>
      </c>
      <c r="AH219" s="131" t="n">
        <v>0.476008016977128</v>
      </c>
      <c r="AI219" s="131" t="n">
        <v>0.34408158453195</v>
      </c>
      <c r="AJ219" s="270" t="n">
        <v>0.51583062570687</v>
      </c>
      <c r="AK219" s="130" t="n">
        <v>0.310323411543968</v>
      </c>
      <c r="AL219" s="130" t="n">
        <v>0.0419578590901068</v>
      </c>
      <c r="AM219" s="133" t="n">
        <v>0</v>
      </c>
    </row>
    <row customHeight="1" ht="13.2" outlineLevel="1" r="220" s="3">
      <c r="A220" s="117" t="n">
        <v>43561</v>
      </c>
      <c r="B220" s="289" t="inlineStr">
        <is>
          <t>iOS</t>
        </is>
      </c>
      <c r="C220" s="268" t="n">
        <v>35785</v>
      </c>
      <c r="D220" s="268" t="n">
        <v>152566</v>
      </c>
      <c r="E220" s="269" t="n">
        <v>4.26340645521867</v>
      </c>
      <c r="F220" s="270" t="n">
        <v>0.792694322457166</v>
      </c>
      <c r="G220" s="271" t="n">
        <v>14</v>
      </c>
      <c r="H220" s="271" t="n">
        <v>19.93</v>
      </c>
      <c r="I220" s="142" t="n">
        <v>0.314</v>
      </c>
      <c r="J220" s="142" t="n">
        <v>0.162</v>
      </c>
      <c r="K220" s="142" t="n">
        <v>0.094</v>
      </c>
      <c r="L220" s="270" t="n">
        <v>9.73154569170064</v>
      </c>
      <c r="M220" s="272" t="n">
        <v>12.079467246962</v>
      </c>
      <c r="N220" s="270" t="n">
        <v>18.6686791535399</v>
      </c>
      <c r="O220" s="273" t="n">
        <v>0.647044557765164</v>
      </c>
      <c r="P220" s="270" t="n">
        <v>2.50087624218726</v>
      </c>
      <c r="Q220" s="270" t="n">
        <v>3.56150409757185</v>
      </c>
      <c r="R220" s="270" t="n">
        <v>1.01333103720737</v>
      </c>
      <c r="S220" s="270" t="n">
        <v>6.58646433744948</v>
      </c>
      <c r="T220" s="270" t="n">
        <v>1.44015721709533</v>
      </c>
      <c r="U220" s="270" t="n">
        <v>0.460062603199044</v>
      </c>
      <c r="V220" s="270" t="n">
        <v>2.1359036437493</v>
      </c>
      <c r="W220" s="270" t="n">
        <v>0.97037997508028</v>
      </c>
      <c r="X220" s="274" t="n">
        <v>0.0133581531927166</v>
      </c>
      <c r="Y220" s="269" t="n">
        <v>12.0928254001547</v>
      </c>
      <c r="Z220" s="275" t="n">
        <v>1912</v>
      </c>
      <c r="AA220" s="275" t="n">
        <v>1235</v>
      </c>
      <c r="AB220" s="270" t="n">
        <v>15495.88</v>
      </c>
      <c r="AD220" s="276" t="n">
        <v>0.0125322811111257</v>
      </c>
      <c r="AE220" s="141" t="n">
        <v>0.00809485730765701</v>
      </c>
      <c r="AF220" s="270" t="n">
        <v>8.10453974895397</v>
      </c>
      <c r="AG220" s="277" t="n">
        <v>0.101568370410183</v>
      </c>
      <c r="AH220" s="131" t="n">
        <v>0.484756182758139</v>
      </c>
      <c r="AI220" s="131" t="n">
        <v>0.344865166969401</v>
      </c>
      <c r="AJ220" s="270" t="n">
        <v>0.408105344572185</v>
      </c>
      <c r="AK220" s="130" t="n">
        <v>0.260339787370712</v>
      </c>
      <c r="AL220" s="130" t="n">
        <v>0.0350798998466238</v>
      </c>
      <c r="AM220" s="133" t="n">
        <v>0.342291205117785</v>
      </c>
    </row>
    <row customHeight="1" ht="13.2" outlineLevel="1" r="221" s="3">
      <c r="A221" s="117" t="n">
        <v>43562</v>
      </c>
      <c r="B221" s="289" t="inlineStr">
        <is>
          <t>iOS</t>
        </is>
      </c>
      <c r="C221" s="268" t="n">
        <v>31927</v>
      </c>
      <c r="D221" s="268" t="n">
        <v>149649</v>
      </c>
      <c r="E221" s="269" t="n">
        <v>4.6872239797037</v>
      </c>
      <c r="F221" s="270" t="n">
        <v>0.743486053204499</v>
      </c>
      <c r="G221" s="271" t="n">
        <v>13.08</v>
      </c>
      <c r="H221" s="271" t="n">
        <v>19.03</v>
      </c>
      <c r="I221" s="142" t="n">
        <v>0.318</v>
      </c>
      <c r="J221" s="142" t="n">
        <v>0.16</v>
      </c>
      <c r="K221" s="142" t="n">
        <v>0.098</v>
      </c>
      <c r="L221" s="270" t="n">
        <v>9.417911245648151</v>
      </c>
      <c r="M221" s="272" t="n">
        <v>12.1322828752614</v>
      </c>
      <c r="N221" s="270" t="n">
        <v>18.5876306602373</v>
      </c>
      <c r="O221" s="273" t="n">
        <v>0.652707335164284</v>
      </c>
      <c r="P221" s="270" t="n">
        <v>2.45325921148274</v>
      </c>
      <c r="Q221" s="270" t="n">
        <v>3.72844170070743</v>
      </c>
      <c r="R221" s="270" t="n">
        <v>1.07360995935584</v>
      </c>
      <c r="S221" s="270" t="n">
        <v>6.34713392098447</v>
      </c>
      <c r="T221" s="270" t="n">
        <v>1.43439090062144</v>
      </c>
      <c r="U221" s="270" t="n">
        <v>0.464131781279114</v>
      </c>
      <c r="V221" s="270" t="n">
        <v>2.08973453320638</v>
      </c>
      <c r="W221" s="270" t="n">
        <v>0.996928652599896</v>
      </c>
      <c r="X221" s="274" t="n">
        <v>0.0142867643619403</v>
      </c>
      <c r="Y221" s="269" t="n">
        <v>12.1465696396234</v>
      </c>
      <c r="Z221" s="275" t="n">
        <v>1814</v>
      </c>
      <c r="AA221" s="275" t="n">
        <v>1216</v>
      </c>
      <c r="AB221" s="270" t="n">
        <v>14239.86</v>
      </c>
      <c r="AD221" s="276" t="n">
        <v>0.0121216981069035</v>
      </c>
      <c r="AE221" s="141" t="n">
        <v>0.008125680759644229</v>
      </c>
      <c r="AF221" s="270" t="n">
        <v>7.84997794928335</v>
      </c>
      <c r="AG221" s="277" t="n">
        <v>0.0951550628470621</v>
      </c>
      <c r="AH221" s="131" t="n">
        <v>0.504087449494159</v>
      </c>
      <c r="AI221" s="131" t="n">
        <v>0.373946816174398</v>
      </c>
      <c r="AJ221" s="270" t="n">
        <v>0.43471723833771</v>
      </c>
      <c r="AK221" s="130" t="n">
        <v>0.266991426604922</v>
      </c>
      <c r="AL221" s="130" t="n">
        <v>0.0361378960099967</v>
      </c>
      <c r="AM221" s="133" t="n">
        <v>0.341372144150646</v>
      </c>
    </row>
    <row customHeight="1" ht="13.2" outlineLevel="1" r="222" s="3">
      <c r="A222" s="117" t="n">
        <v>43563</v>
      </c>
      <c r="B222" s="289" t="inlineStr">
        <is>
          <t>iOS</t>
        </is>
      </c>
      <c r="C222" s="268" t="n">
        <v>31884</v>
      </c>
      <c r="D222" s="268" t="n">
        <v>153003</v>
      </c>
      <c r="E222" s="269" t="n">
        <v>4.79873917952578</v>
      </c>
      <c r="F222" s="270" t="n">
        <v>0.7439432299366679</v>
      </c>
      <c r="G222" s="271" t="n">
        <v>13.9</v>
      </c>
      <c r="H222" s="271" t="n">
        <v>19.88</v>
      </c>
      <c r="I222" s="142" t="n">
        <v>0.322</v>
      </c>
      <c r="J222" s="142" t="n">
        <v>0.167</v>
      </c>
      <c r="K222" s="142" t="n">
        <v>0.098</v>
      </c>
      <c r="L222" s="270" t="n">
        <v>9.388619830983711</v>
      </c>
      <c r="M222" s="272" t="n">
        <v>11.8184153251897</v>
      </c>
      <c r="N222" s="270" t="n">
        <v>18.1507769212238</v>
      </c>
      <c r="O222" s="273" t="n">
        <v>0.651124487755142</v>
      </c>
      <c r="P222" s="270" t="n">
        <v>2.41467919376857</v>
      </c>
      <c r="Q222" s="270" t="n">
        <v>3.6956255520758</v>
      </c>
      <c r="R222" s="270" t="n">
        <v>1.0332148879788</v>
      </c>
      <c r="S222" s="270" t="n">
        <v>6.10366979844214</v>
      </c>
      <c r="T222" s="270" t="n">
        <v>1.42433550148559</v>
      </c>
      <c r="U222" s="270" t="n">
        <v>0.45650646430579</v>
      </c>
      <c r="V222" s="270" t="n">
        <v>2.04477836665864</v>
      </c>
      <c r="W222" s="270" t="n">
        <v>0.977967156508472</v>
      </c>
      <c r="X222" s="274" t="n">
        <v>0.0157840042352111</v>
      </c>
      <c r="Y222" s="269" t="n">
        <v>11.8341993294249</v>
      </c>
      <c r="Z222" s="275" t="n">
        <v>1761</v>
      </c>
      <c r="AA222" s="275" t="n">
        <v>1181</v>
      </c>
      <c r="AB222" s="270" t="n">
        <v>13368.39</v>
      </c>
      <c r="AD222" s="276" t="n">
        <v>0.0115095782435639</v>
      </c>
      <c r="AE222" s="141" t="n">
        <v>0.00771880289928956</v>
      </c>
      <c r="AF222" s="270" t="n">
        <v>7.59136286201022</v>
      </c>
      <c r="AG222" s="277" t="n">
        <v>0.0873733848355914</v>
      </c>
      <c r="AH222" s="131" t="n">
        <v>0.490998619997491</v>
      </c>
      <c r="AI222" s="131" t="n">
        <v>0.361780203236733</v>
      </c>
      <c r="AJ222" s="270" t="n">
        <v>0.442056691698856</v>
      </c>
      <c r="AK222" s="130" t="n">
        <v>0.2741580230453</v>
      </c>
      <c r="AL222" s="130" t="n">
        <v>0.0379404325405384</v>
      </c>
      <c r="AM222" s="133" t="n">
        <v>0.329124265537277</v>
      </c>
    </row>
    <row customHeight="1" ht="13.2" outlineLevel="1" r="223" s="3">
      <c r="A223" s="117" t="n">
        <v>43564</v>
      </c>
      <c r="B223" s="289" t="inlineStr">
        <is>
          <t>iOS</t>
        </is>
      </c>
      <c r="C223" s="268" t="n">
        <v>35894</v>
      </c>
      <c r="D223" s="268" t="n">
        <v>153119</v>
      </c>
      <c r="E223" s="269" t="n">
        <v>4.26586616147546</v>
      </c>
      <c r="F223" s="270" t="n">
        <v>0.7234774684395801</v>
      </c>
      <c r="G223" s="271" t="n">
        <v>14.81</v>
      </c>
      <c r="H223" s="271" t="n">
        <v>21.03</v>
      </c>
      <c r="I223" s="142" t="n">
        <v>0.308</v>
      </c>
      <c r="J223" s="142" t="n">
        <v>0.167</v>
      </c>
      <c r="K223" s="142" t="n">
        <v>0.092</v>
      </c>
      <c r="L223" s="270" t="n">
        <v>9.348513247866039</v>
      </c>
      <c r="M223" s="272" t="n">
        <v>11.0249544471947</v>
      </c>
      <c r="N223" s="270" t="n">
        <v>17.0742388995651</v>
      </c>
      <c r="O223" s="273" t="n">
        <v>0.645706933822713</v>
      </c>
      <c r="P223" s="270" t="n">
        <v>2.31522200869829</v>
      </c>
      <c r="Q223" s="270" t="n">
        <v>3.47670678668959</v>
      </c>
      <c r="R223" s="270" t="n">
        <v>0.993486396277941</v>
      </c>
      <c r="S223" s="270" t="n">
        <v>5.55181551532315</v>
      </c>
      <c r="T223" s="270" t="n">
        <v>1.35080408617376</v>
      </c>
      <c r="U223" s="270" t="n">
        <v>0.50080914331951</v>
      </c>
      <c r="V223" s="270" t="n">
        <v>1.94298573884899</v>
      </c>
      <c r="W223" s="270" t="n">
        <v>0.942409224233842</v>
      </c>
      <c r="X223" s="274" t="n">
        <v>0.0166471829100242</v>
      </c>
      <c r="Y223" s="269" t="n">
        <v>11.0416016301047</v>
      </c>
      <c r="Z223" s="275" t="n">
        <v>1610</v>
      </c>
      <c r="AA223" s="275" t="n">
        <v>1115</v>
      </c>
      <c r="AB223" s="270" t="n">
        <v>12239.9</v>
      </c>
      <c r="AD223" s="276" t="n">
        <v>0.0105146977187678</v>
      </c>
      <c r="AE223" s="141" t="n">
        <v>0.00728191798535779</v>
      </c>
      <c r="AF223" s="270" t="n">
        <v>7.60242236024845</v>
      </c>
      <c r="AG223" s="277" t="n">
        <v>0.0799371730484133</v>
      </c>
      <c r="AH223" s="131" t="n">
        <v>0.472418788655486</v>
      </c>
      <c r="AI223" s="131" t="n">
        <v>0.339248899537527</v>
      </c>
      <c r="AJ223" s="270" t="n">
        <v>0.481631933332898</v>
      </c>
      <c r="AK223" s="130" t="n">
        <v>0.283753159307467</v>
      </c>
      <c r="AL223" s="130" t="n">
        <v>0.0428294333165708</v>
      </c>
      <c r="AM223" s="133" t="n">
        <v>0.26588470405371</v>
      </c>
    </row>
    <row customFormat="1" customHeight="1" ht="12.45" outlineLevel="1" r="224" s="294">
      <c r="A224" s="121" t="n">
        <v>43565</v>
      </c>
      <c r="B224" s="295" t="inlineStr">
        <is>
          <t>iOS</t>
        </is>
      </c>
      <c r="C224" s="296" t="n">
        <v>26104</v>
      </c>
      <c r="D224" s="296" t="n">
        <v>140824</v>
      </c>
      <c r="E224" s="297" t="n">
        <v>5.3947287771989</v>
      </c>
      <c r="F224" s="294" t="n">
        <v>0.657223181133898</v>
      </c>
      <c r="G224" s="306" t="n">
        <v>15.61</v>
      </c>
      <c r="H224" s="306" t="n">
        <v>21.16</v>
      </c>
      <c r="I224" s="124" t="n">
        <v>0.324</v>
      </c>
      <c r="J224" s="124" t="n">
        <v>0.168</v>
      </c>
      <c r="K224" s="124" t="n">
        <v>0.095</v>
      </c>
      <c r="L224" s="294" t="n">
        <v>8.68141794012384</v>
      </c>
      <c r="M224" s="299" t="n">
        <v>10.0786797704937</v>
      </c>
      <c r="N224" s="294" t="n">
        <v>15.5422689443714</v>
      </c>
      <c r="O224" s="300" t="n">
        <v>0.64846901096404</v>
      </c>
      <c r="P224" s="294" t="n">
        <v>2.15227770477442</v>
      </c>
      <c r="Q224" s="294" t="n">
        <v>3.09675865089794</v>
      </c>
      <c r="R224" s="294" t="n">
        <v>0.931855015330705</v>
      </c>
      <c r="S224" s="294" t="n">
        <v>4.94889399912396</v>
      </c>
      <c r="T224" s="294" t="n">
        <v>1.25035041611914</v>
      </c>
      <c r="U224" s="294" t="n">
        <v>0.523236968900569</v>
      </c>
      <c r="V224" s="294" t="n">
        <v>1.75454445904512</v>
      </c>
      <c r="W224" s="294" t="n">
        <v>0.884351730179588</v>
      </c>
      <c r="X224" s="301" t="n">
        <v>0.0175254218031017</v>
      </c>
      <c r="Y224" s="297" t="n">
        <v>10.0962051922968</v>
      </c>
      <c r="Z224" s="293" t="n">
        <v>1369</v>
      </c>
      <c r="AA224" s="293" t="n">
        <v>952</v>
      </c>
      <c r="AB224" s="294" t="n">
        <v>8415.309999999999</v>
      </c>
      <c r="AD224" s="303" t="n">
        <v>0.009721354314605459</v>
      </c>
      <c r="AE224" s="123" t="n">
        <v>0.00676021132761461</v>
      </c>
      <c r="AF224" s="294" t="n">
        <v>6.14704894083273</v>
      </c>
      <c r="AG224" s="304" t="n">
        <v>0.0597576407430552</v>
      </c>
      <c r="AH224" s="135" t="n">
        <v>0.498735825927061</v>
      </c>
      <c r="AI224" s="135" t="n">
        <v>0.387450199203187</v>
      </c>
      <c r="AJ224" s="294" t="n">
        <v>0.556403737999205</v>
      </c>
      <c r="AK224" s="136" t="n">
        <v>0.323886553428393</v>
      </c>
      <c r="AL224" s="136" t="n">
        <v>0.0489263193773789</v>
      </c>
      <c r="AM224" s="137" t="n">
        <v>0</v>
      </c>
    </row>
    <row customHeight="1" ht="13.2" outlineLevel="1" r="225" s="3">
      <c r="A225" s="117" t="n">
        <v>43566</v>
      </c>
      <c r="B225" s="267" t="inlineStr">
        <is>
          <t>iOS</t>
        </is>
      </c>
      <c r="C225" s="268" t="n">
        <v>21825</v>
      </c>
      <c r="D225" s="268" t="n">
        <v>133082</v>
      </c>
      <c r="E225" s="269" t="n">
        <v>6.097686139748</v>
      </c>
      <c r="F225" s="270" t="n">
        <v>0.667903276829323</v>
      </c>
      <c r="G225" s="271" t="n">
        <v>15.93</v>
      </c>
      <c r="H225" s="271" t="n">
        <v>21.45</v>
      </c>
      <c r="I225" s="142" t="n">
        <v>0.32</v>
      </c>
      <c r="J225" s="142" t="n">
        <v>0.168</v>
      </c>
      <c r="K225" s="142" t="n">
        <v>0.089</v>
      </c>
      <c r="L225" s="270" t="n">
        <v>8.52543544581536</v>
      </c>
      <c r="M225" s="272" t="n">
        <v>10.0285763664508</v>
      </c>
      <c r="N225" s="270" t="n">
        <v>15.4247096214967</v>
      </c>
      <c r="O225" s="273" t="n">
        <v>0.65016305736313</v>
      </c>
      <c r="P225" s="270" t="n">
        <v>2.18252528171049</v>
      </c>
      <c r="Q225" s="270" t="n">
        <v>3.10143889049408</v>
      </c>
      <c r="R225" s="270" t="n">
        <v>0.911979196763941</v>
      </c>
      <c r="S225" s="270" t="n">
        <v>4.83998844264663</v>
      </c>
      <c r="T225" s="270" t="n">
        <v>1.26332273909275</v>
      </c>
      <c r="U225" s="270" t="n">
        <v>0.518185495521526</v>
      </c>
      <c r="V225" s="270" t="n">
        <v>1.72666859289223</v>
      </c>
      <c r="W225" s="270" t="n">
        <v>0.880600982375036</v>
      </c>
      <c r="X225" s="274" t="n">
        <v>0.0171623510316947</v>
      </c>
      <c r="Y225" s="269" t="n">
        <v>10.0457387174825</v>
      </c>
      <c r="Z225" s="275" t="n">
        <v>1246</v>
      </c>
      <c r="AA225" s="275" t="n">
        <v>898</v>
      </c>
      <c r="AB225" s="270" t="n">
        <v>8106.54</v>
      </c>
      <c r="AD225" s="276" t="n">
        <v>0.009362648592597051</v>
      </c>
      <c r="AE225" s="141" t="n">
        <v>0.00674771945116545</v>
      </c>
      <c r="AF225" s="270" t="n">
        <v>6.50605136436597</v>
      </c>
      <c r="AG225" s="277" t="n">
        <v>0.0609138726499451</v>
      </c>
      <c r="AH225" s="131" t="n">
        <v>0.509828178694158</v>
      </c>
      <c r="AI225" s="131" t="n">
        <v>0.402794959908362</v>
      </c>
      <c r="AJ225" s="270" t="n">
        <v>0.551194000691303</v>
      </c>
      <c r="AK225" s="130" t="n">
        <v>0.332682105769375</v>
      </c>
      <c r="AL225" s="130" t="n">
        <v>0.0496686253588013</v>
      </c>
      <c r="AM225" s="133" t="n">
        <v>0</v>
      </c>
    </row>
    <row customHeight="1" ht="13.2" outlineLevel="1" r="226" s="3">
      <c r="A226" s="117" t="n">
        <v>43567</v>
      </c>
      <c r="B226" s="267" t="inlineStr">
        <is>
          <t>iOS</t>
        </is>
      </c>
      <c r="C226" s="268" t="n">
        <v>17831</v>
      </c>
      <c r="D226" s="268" t="n">
        <v>125721</v>
      </c>
      <c r="E226" s="269" t="n">
        <v>7.0506982221973</v>
      </c>
      <c r="F226" s="270" t="n">
        <v>0.600522387357721</v>
      </c>
      <c r="G226" s="271" t="n">
        <v>14.79</v>
      </c>
      <c r="H226" s="271" t="n">
        <v>20.29</v>
      </c>
      <c r="I226" s="142" t="n">
        <v>0.307</v>
      </c>
      <c r="J226" s="142" t="n">
        <v>0.165</v>
      </c>
      <c r="K226" s="142" t="n">
        <v>0.09</v>
      </c>
      <c r="L226" s="270" t="n">
        <v>8.182992499264239</v>
      </c>
      <c r="M226" s="272" t="n">
        <v>9.716141296998909</v>
      </c>
      <c r="N226" s="270" t="n">
        <v>15.0398675186841</v>
      </c>
      <c r="O226" s="273" t="n">
        <v>0.646025723626125</v>
      </c>
      <c r="P226" s="270" t="n">
        <v>2.13616272054568</v>
      </c>
      <c r="Q226" s="270" t="n">
        <v>3.02450165601645</v>
      </c>
      <c r="R226" s="270" t="n">
        <v>0.891133847991233</v>
      </c>
      <c r="S226" s="270" t="n">
        <v>4.65080830840074</v>
      </c>
      <c r="T226" s="270" t="n">
        <v>1.262463216735</v>
      </c>
      <c r="U226" s="270" t="n">
        <v>0.506347037023357</v>
      </c>
      <c r="V226" s="270" t="n">
        <v>1.69630258929561</v>
      </c>
      <c r="W226" s="270" t="n">
        <v>0.872148142675975</v>
      </c>
      <c r="X226" s="274" t="n">
        <v>0.0185887799174362</v>
      </c>
      <c r="Y226" s="269" t="n">
        <v>9.73473007691635</v>
      </c>
      <c r="Z226" s="275" t="n">
        <v>1180</v>
      </c>
      <c r="AA226" s="275" t="n">
        <v>868</v>
      </c>
      <c r="AB226" s="270" t="n">
        <v>6874.2</v>
      </c>
      <c r="AD226" s="276" t="n">
        <v>0.00938586234598834</v>
      </c>
      <c r="AE226" s="141" t="n">
        <v>0.00690417670874397</v>
      </c>
      <c r="AF226" s="270" t="n">
        <v>5.82559322033898</v>
      </c>
      <c r="AG226" s="277" t="n">
        <v>0.0546782160498246</v>
      </c>
      <c r="AH226" s="131" t="n">
        <v>0.507823453535977</v>
      </c>
      <c r="AI226" s="131" t="n">
        <v>0.417867758398295</v>
      </c>
      <c r="AJ226" s="270" t="n">
        <v>0.540259781579847</v>
      </c>
      <c r="AK226" s="130" t="n">
        <v>0.336514981586211</v>
      </c>
      <c r="AL226" s="130" t="n">
        <v>0.0510415920967857</v>
      </c>
      <c r="AM226" s="133" t="n">
        <v>0</v>
      </c>
    </row>
    <row customHeight="1" ht="13.2" outlineLevel="1" r="227" s="3">
      <c r="A227" s="117" t="n">
        <v>43568</v>
      </c>
      <c r="B227" s="289" t="inlineStr">
        <is>
          <t>iOS</t>
        </is>
      </c>
      <c r="C227" s="268" t="n">
        <v>17669</v>
      </c>
      <c r="D227" s="268" t="n">
        <v>120696</v>
      </c>
      <c r="E227" s="269" t="n">
        <v>6.83094685607561</v>
      </c>
      <c r="F227" s="270" t="n">
        <v>0.840317641628554</v>
      </c>
      <c r="G227" s="271" t="n">
        <v>12.71</v>
      </c>
      <c r="H227" s="271" t="n">
        <v>18.28</v>
      </c>
      <c r="I227" s="142" t="n">
        <v>0.306</v>
      </c>
      <c r="J227" s="142" t="n">
        <v>0.151</v>
      </c>
      <c r="K227" s="142" t="n">
        <v>0.08500000000000001</v>
      </c>
      <c r="L227" s="270" t="n">
        <v>9.966113210048389</v>
      </c>
      <c r="M227" s="272" t="n">
        <v>13.0196361105588</v>
      </c>
      <c r="N227" s="270" t="n">
        <v>19.811119515885</v>
      </c>
      <c r="O227" s="273" t="n">
        <v>0.657188307814675</v>
      </c>
      <c r="P227" s="270" t="n">
        <v>2.56928895612708</v>
      </c>
      <c r="Q227" s="270" t="n">
        <v>3.67402924861321</v>
      </c>
      <c r="R227" s="270" t="n">
        <v>1.11490166414523</v>
      </c>
      <c r="S227" s="270" t="n">
        <v>7.19048159354513</v>
      </c>
      <c r="T227" s="270" t="n">
        <v>1.56094301563288</v>
      </c>
      <c r="U227" s="270" t="n">
        <v>0.430572365103379</v>
      </c>
      <c r="V227" s="270" t="n">
        <v>2.27168431669188</v>
      </c>
      <c r="W227" s="270" t="n">
        <v>0.999218356026223</v>
      </c>
      <c r="X227" s="274" t="n">
        <v>0.0200172333797309</v>
      </c>
      <c r="Y227" s="269" t="n">
        <v>13.0396533439385</v>
      </c>
      <c r="Z227" s="275" t="n">
        <v>1741</v>
      </c>
      <c r="AA227" s="275" t="n">
        <v>1137</v>
      </c>
      <c r="AB227" s="270" t="n">
        <v>15373.59</v>
      </c>
      <c r="AD227" s="276" t="n">
        <v>0.0144246702459071</v>
      </c>
      <c r="AE227" s="141" t="n">
        <v>0.009420361900974349</v>
      </c>
      <c r="AF227" s="270" t="n">
        <v>8.830321654221709</v>
      </c>
      <c r="AG227" s="277" t="n">
        <v>0.127374478027441</v>
      </c>
      <c r="AH227" s="131" t="n">
        <v>0.494934631275115</v>
      </c>
      <c r="AI227" s="131" t="n">
        <v>0.390967230743109</v>
      </c>
      <c r="AJ227" s="270" t="n">
        <v>0.427122688407238</v>
      </c>
      <c r="AK227" s="130" t="n">
        <v>0.291293829124412</v>
      </c>
      <c r="AL227" s="130" t="n">
        <v>0.0445333731026712</v>
      </c>
      <c r="AM227" s="133" t="n">
        <v>0.366996420759594</v>
      </c>
    </row>
    <row customHeight="1" ht="13.2" outlineLevel="1" r="228" s="3">
      <c r="A228" s="117" t="n">
        <v>43569</v>
      </c>
      <c r="B228" s="289" t="inlineStr">
        <is>
          <t>iOS</t>
        </is>
      </c>
      <c r="C228" s="268" t="n">
        <v>22148</v>
      </c>
      <c r="D228" s="268" t="n">
        <v>124900</v>
      </c>
      <c r="E228" s="269" t="n">
        <v>5.63933538016977</v>
      </c>
      <c r="F228" s="270" t="n">
        <v>0.795468189559648</v>
      </c>
      <c r="G228" s="271" t="n">
        <v>13.16</v>
      </c>
      <c r="H228" s="271" t="n">
        <v>18.18</v>
      </c>
      <c r="I228" s="142" t="n">
        <v>0.305</v>
      </c>
      <c r="J228" s="142" t="n">
        <v>0.15</v>
      </c>
      <c r="K228" s="142" t="n">
        <v>0.08500000000000001</v>
      </c>
      <c r="L228" s="270" t="n">
        <v>9.47577261809448</v>
      </c>
      <c r="M228" s="272" t="n">
        <v>12.7683506805444</v>
      </c>
      <c r="N228" s="270" t="n">
        <v>19.70526745005</v>
      </c>
      <c r="O228" s="273" t="n">
        <v>0.647966373098479</v>
      </c>
      <c r="P228" s="270" t="n">
        <v>2.5538298056369</v>
      </c>
      <c r="Q228" s="270" t="n">
        <v>3.79760536753531</v>
      </c>
      <c r="R228" s="270" t="n">
        <v>1.17386415588588</v>
      </c>
      <c r="S228" s="270" t="n">
        <v>6.96076905017855</v>
      </c>
      <c r="T228" s="270" t="n">
        <v>1.55148212674995</v>
      </c>
      <c r="U228" s="270" t="n">
        <v>0.444119064388182</v>
      </c>
      <c r="V228" s="270" t="n">
        <v>2.19059445700659</v>
      </c>
      <c r="W228" s="270" t="n">
        <v>1.03300342266869</v>
      </c>
      <c r="X228" s="274" t="n">
        <v>0.0180544435548439</v>
      </c>
      <c r="Y228" s="269" t="n">
        <v>12.7864051240993</v>
      </c>
      <c r="Z228" s="275" t="n">
        <v>1924</v>
      </c>
      <c r="AA228" s="275" t="n">
        <v>1051</v>
      </c>
      <c r="AB228" s="270" t="n">
        <v>13028.76</v>
      </c>
      <c r="AD228" s="276" t="n">
        <v>0.015404323458767</v>
      </c>
      <c r="AE228" s="141" t="n">
        <v>0.00841473178542834</v>
      </c>
      <c r="AF228" s="270" t="n">
        <v>6.77170478170478</v>
      </c>
      <c r="AG228" s="277" t="n">
        <v>0.10431353082466</v>
      </c>
      <c r="AH228" s="131" t="n">
        <v>0.476070074047318</v>
      </c>
      <c r="AI228" s="131" t="n">
        <v>0.334567455300704</v>
      </c>
      <c r="AJ228" s="270" t="n">
        <v>0.433851080864692</v>
      </c>
      <c r="AK228" s="130" t="n">
        <v>0.282834267413931</v>
      </c>
      <c r="AL228" s="130" t="n">
        <v>0.0443955164131305</v>
      </c>
      <c r="AM228" s="133" t="n">
        <v>0.347429943955164</v>
      </c>
    </row>
    <row customHeight="1" ht="13.2" outlineLevel="1" r="229" s="3">
      <c r="A229" s="117" t="n">
        <v>43570</v>
      </c>
      <c r="B229" s="289" t="inlineStr">
        <is>
          <t>iOS</t>
        </is>
      </c>
      <c r="C229" s="268" t="n">
        <v>30121</v>
      </c>
      <c r="D229" s="268" t="n">
        <v>134651</v>
      </c>
      <c r="E229" s="269" t="n">
        <v>4.47033631021546</v>
      </c>
      <c r="F229" s="270" t="n">
        <v>0.729081758026305</v>
      </c>
      <c r="G229" s="271" t="n">
        <v>13.22</v>
      </c>
      <c r="H229" s="271" t="n">
        <v>18.2</v>
      </c>
      <c r="I229" s="142" t="n">
        <v>0.301</v>
      </c>
      <c r="J229" s="142" t="n">
        <v>0.153</v>
      </c>
      <c r="K229" s="142" t="n">
        <v>0.08400000000000001</v>
      </c>
      <c r="L229" s="270" t="n">
        <v>9.35741286733853</v>
      </c>
      <c r="M229" s="272" t="n">
        <v>11.9787450520234</v>
      </c>
      <c r="N229" s="270" t="n">
        <v>18.7023874401401</v>
      </c>
      <c r="O229" s="273" t="n">
        <v>0.640492829611366</v>
      </c>
      <c r="P229" s="270" t="n">
        <v>2.48249713020187</v>
      </c>
      <c r="Q229" s="270" t="n">
        <v>3.69464188397899</v>
      </c>
      <c r="R229" s="270" t="n">
        <v>1.10048351750287</v>
      </c>
      <c r="S229" s="270" t="n">
        <v>6.38543418016535</v>
      </c>
      <c r="T229" s="270" t="n">
        <v>1.50408728824368</v>
      </c>
      <c r="U229" s="270" t="n">
        <v>0.448523358417495</v>
      </c>
      <c r="V229" s="270" t="n">
        <v>2.09249446331876</v>
      </c>
      <c r="W229" s="270" t="n">
        <v>0.9942256183110511</v>
      </c>
      <c r="X229" s="274" t="n">
        <v>0.0160414701710347</v>
      </c>
      <c r="Y229" s="269" t="n">
        <v>11.9947865221944</v>
      </c>
      <c r="Z229" s="275" t="n">
        <v>1619</v>
      </c>
      <c r="AA229" s="275" t="n">
        <v>1073</v>
      </c>
      <c r="AB229" s="270" t="n">
        <v>12036.81</v>
      </c>
      <c r="AD229" s="276" t="n">
        <v>0.0120236760217154</v>
      </c>
      <c r="AE229" s="141" t="n">
        <v>0.007968748839592719</v>
      </c>
      <c r="AF229" s="270" t="n">
        <v>7.43471896232242</v>
      </c>
      <c r="AG229" s="277" t="n">
        <v>0.0893926521154689</v>
      </c>
      <c r="AH229" s="131" t="n">
        <v>0.461571660967431</v>
      </c>
      <c r="AI229" s="131" t="n">
        <v>0.303940772218718</v>
      </c>
      <c r="AJ229" s="270" t="n">
        <v>0.438154933866069</v>
      </c>
      <c r="AK229" s="130" t="n">
        <v>0.276188071384542</v>
      </c>
      <c r="AL229" s="130" t="n">
        <v>0.0434233685602038</v>
      </c>
      <c r="AM229" s="133" t="n">
        <v>0.322166192601615</v>
      </c>
    </row>
    <row customHeight="1" ht="13.2" outlineLevel="1" r="230" s="3">
      <c r="A230" s="117" t="n">
        <v>43571</v>
      </c>
      <c r="B230" s="289" t="inlineStr">
        <is>
          <t>iOS</t>
        </is>
      </c>
      <c r="C230" s="268" t="n">
        <v>31276</v>
      </c>
      <c r="D230" s="268" t="n">
        <v>133998</v>
      </c>
      <c r="E230" s="269" t="n">
        <v>4.28437140299271</v>
      </c>
      <c r="F230" s="270" t="n">
        <v>0.708681969507008</v>
      </c>
      <c r="G230" s="271" t="n">
        <v>14.65</v>
      </c>
      <c r="H230" s="271" t="n">
        <v>19.63</v>
      </c>
      <c r="I230" s="142" t="n">
        <v>0.313</v>
      </c>
      <c r="J230" s="142" t="n">
        <v>0.159</v>
      </c>
      <c r="K230" s="142" t="n">
        <v>0.089</v>
      </c>
      <c r="L230" s="270" t="n">
        <v>9.16943536470694</v>
      </c>
      <c r="M230" s="272" t="n">
        <v>11.0500902998552</v>
      </c>
      <c r="N230" s="270" t="n">
        <v>17.3439769479455</v>
      </c>
      <c r="O230" s="273" t="n">
        <v>0.637113986775922</v>
      </c>
      <c r="P230" s="270" t="n">
        <v>2.37882443892611</v>
      </c>
      <c r="Q230" s="270" t="n">
        <v>3.4587335426135</v>
      </c>
      <c r="R230" s="270" t="n">
        <v>1.02942416717425</v>
      </c>
      <c r="S230" s="270" t="n">
        <v>5.68011760296116</v>
      </c>
      <c r="T230" s="270" t="n">
        <v>1.4199386215621</v>
      </c>
      <c r="U230" s="270" t="n">
        <v>0.490125568101954</v>
      </c>
      <c r="V230" s="270" t="n">
        <v>1.94406831279576</v>
      </c>
      <c r="W230" s="270" t="n">
        <v>0.942744693810617</v>
      </c>
      <c r="X230" s="274" t="n">
        <v>0.0185525157091897</v>
      </c>
      <c r="Y230" s="269" t="n">
        <v>11.0686428155644</v>
      </c>
      <c r="Z230" s="275" t="n">
        <v>1465</v>
      </c>
      <c r="AA230" s="275" t="n">
        <v>972</v>
      </c>
      <c r="AB230" s="270" t="n">
        <v>10120.35</v>
      </c>
      <c r="AD230" s="276" t="n">
        <v>0.0109329989999851</v>
      </c>
      <c r="AE230" s="141" t="n">
        <v>0.00725383960954641</v>
      </c>
      <c r="AF230" s="270" t="n">
        <v>6.90808873720137</v>
      </c>
      <c r="AG230" s="277" t="n">
        <v>0.0755261272556307</v>
      </c>
      <c r="AH230" s="131" t="n">
        <v>0.460448906509784</v>
      </c>
      <c r="AI230" s="131" t="n">
        <v>0.317304003069446</v>
      </c>
      <c r="AJ230" s="270" t="n">
        <v>0.466715921133151</v>
      </c>
      <c r="AK230" s="130" t="n">
        <v>0.284026627263093</v>
      </c>
      <c r="AL230" s="130" t="n">
        <v>0.0489335661726294</v>
      </c>
      <c r="AM230" s="133" t="n">
        <v>0.260563590501351</v>
      </c>
    </row>
    <row customFormat="1" customHeight="1" ht="12.45" outlineLevel="1" r="231" s="294">
      <c r="A231" s="121" t="n">
        <v>43572</v>
      </c>
      <c r="B231" s="295" t="inlineStr">
        <is>
          <t>iOS</t>
        </is>
      </c>
      <c r="C231" s="296" t="n">
        <v>35796</v>
      </c>
      <c r="D231" s="296" t="n">
        <v>137477</v>
      </c>
      <c r="E231" s="297" t="n">
        <v>3.84056877863448</v>
      </c>
      <c r="F231" s="294" t="n">
        <v>0.598099121511235</v>
      </c>
      <c r="G231" s="306" t="n">
        <v>14.44</v>
      </c>
      <c r="H231" s="306" t="n">
        <v>19.62</v>
      </c>
      <c r="I231" s="124" t="n">
        <v>0.307</v>
      </c>
      <c r="J231" s="124" t="n">
        <v>0.154</v>
      </c>
      <c r="K231" s="124" t="n">
        <v>0.08500000000000001</v>
      </c>
      <c r="L231" s="294" t="n">
        <v>8.6124951810121</v>
      </c>
      <c r="M231" s="299" t="n">
        <v>9.48714330397085</v>
      </c>
      <c r="N231" s="294" t="n">
        <v>15.2239238024092</v>
      </c>
      <c r="O231" s="300" t="n">
        <v>0.623173330811699</v>
      </c>
      <c r="P231" s="294" t="n">
        <v>2.1978709496685</v>
      </c>
      <c r="Q231" s="294" t="n">
        <v>2.98669343542814</v>
      </c>
      <c r="R231" s="294" t="n">
        <v>0.8853067513306569</v>
      </c>
      <c r="S231" s="294" t="n">
        <v>4.80489541507144</v>
      </c>
      <c r="T231" s="294" t="n">
        <v>1.26558268745915</v>
      </c>
      <c r="U231" s="294" t="n">
        <v>0.530838547016528</v>
      </c>
      <c r="V231" s="294" t="n">
        <v>1.69713558688953</v>
      </c>
      <c r="W231" s="294" t="n">
        <v>0.855600429545242</v>
      </c>
      <c r="X231" s="301" t="n">
        <v>0.0155807880590935</v>
      </c>
      <c r="Y231" s="297" t="n">
        <v>9.50272409202994</v>
      </c>
      <c r="Z231" s="293" t="n">
        <v>1192</v>
      </c>
      <c r="AA231" s="293" t="n">
        <v>798</v>
      </c>
      <c r="AB231" s="294" t="n">
        <v>8690.08</v>
      </c>
      <c r="AD231" s="303" t="n">
        <v>0.008670541254173429</v>
      </c>
      <c r="AE231" s="123" t="n">
        <v>0.00580460731613288</v>
      </c>
      <c r="AF231" s="294" t="n">
        <v>7.2903355704698</v>
      </c>
      <c r="AG231" s="304" t="n">
        <v>0.0632111553205264</v>
      </c>
      <c r="AH231" s="135" t="n">
        <v>0.465471002346631</v>
      </c>
      <c r="AI231" s="135" t="n">
        <v>0.31592915409543</v>
      </c>
      <c r="AJ231" s="294" t="n">
        <v>0.510892731147756</v>
      </c>
      <c r="AK231" s="136" t="n">
        <v>0.29595495973872</v>
      </c>
      <c r="AL231" s="136" t="n">
        <v>0.0494846410672331</v>
      </c>
      <c r="AM231" s="137" t="n">
        <v>0</v>
      </c>
    </row>
    <row customHeight="1" ht="13.2" outlineLevel="1" r="232" s="3">
      <c r="A232" s="117" t="n">
        <v>43573</v>
      </c>
      <c r="B232" s="267" t="inlineStr">
        <is>
          <t>iOS</t>
        </is>
      </c>
      <c r="C232" s="268" t="n">
        <v>35992</v>
      </c>
      <c r="D232" s="268" t="n">
        <v>137771</v>
      </c>
      <c r="E232" s="269" t="n">
        <v>3.82782284952212</v>
      </c>
      <c r="F232" s="270" t="n">
        <v>0.5903688526613</v>
      </c>
      <c r="G232" s="271" t="n">
        <v>15.51</v>
      </c>
      <c r="H232" s="271" t="n">
        <v>21.25</v>
      </c>
      <c r="I232" s="142" t="n">
        <v>0.302</v>
      </c>
      <c r="J232" s="142" t="n">
        <v>0.15</v>
      </c>
      <c r="K232" s="142" t="n">
        <v>0.082</v>
      </c>
      <c r="L232" s="270" t="n">
        <v>8.586821609772739</v>
      </c>
      <c r="M232" s="272" t="n">
        <v>9.09262471782886</v>
      </c>
      <c r="N232" s="270" t="n">
        <v>14.6423854219022</v>
      </c>
      <c r="O232" s="273" t="n">
        <v>0.62097974174536</v>
      </c>
      <c r="P232" s="270" t="n">
        <v>2.14641216555819</v>
      </c>
      <c r="Q232" s="270" t="n">
        <v>2.93130574030133</v>
      </c>
      <c r="R232" s="270" t="n">
        <v>0.831297558238753</v>
      </c>
      <c r="S232" s="270" t="n">
        <v>4.52081166060804</v>
      </c>
      <c r="T232" s="270" t="n">
        <v>1.21456874685867</v>
      </c>
      <c r="U232" s="270" t="n">
        <v>0.521407782310381</v>
      </c>
      <c r="V232" s="270" t="n">
        <v>1.63680993068624</v>
      </c>
      <c r="W232" s="270" t="n">
        <v>0.839771837340596</v>
      </c>
      <c r="X232" s="274" t="n">
        <v>0.0162080553962735</v>
      </c>
      <c r="Y232" s="269" t="n">
        <v>9.10883277322513</v>
      </c>
      <c r="Z232" s="275" t="n">
        <v>1099</v>
      </c>
      <c r="AA232" s="275" t="n">
        <v>793</v>
      </c>
      <c r="AB232" s="270" t="n">
        <v>7454.01</v>
      </c>
      <c r="AD232" s="276" t="n">
        <v>0.00797700532042302</v>
      </c>
      <c r="AE232" s="141" t="n">
        <v>0.00575592831582844</v>
      </c>
      <c r="AF232" s="270" t="n">
        <v>6.78253867151956</v>
      </c>
      <c r="AG232" s="277" t="n">
        <v>0.0541043470686864</v>
      </c>
      <c r="AH232" s="131" t="n">
        <v>0.464797732829518</v>
      </c>
      <c r="AI232" s="131" t="n">
        <v>0.313708601911536</v>
      </c>
      <c r="AJ232" s="270" t="n">
        <v>0.489660378454101</v>
      </c>
      <c r="AK232" s="130" t="n">
        <v>0.29048203177737</v>
      </c>
      <c r="AL232" s="130" t="n">
        <v>0.0466135834101516</v>
      </c>
      <c r="AM232" s="133" t="n">
        <v>0</v>
      </c>
    </row>
    <row customHeight="1" ht="13.2" outlineLevel="1" r="233" s="3">
      <c r="A233" s="117" t="n">
        <v>43574</v>
      </c>
      <c r="B233" s="267" t="inlineStr">
        <is>
          <t>iOS</t>
        </is>
      </c>
      <c r="C233" s="268" t="n">
        <v>38164</v>
      </c>
      <c r="D233" s="268" t="n">
        <v>140854</v>
      </c>
      <c r="E233" s="269" t="n">
        <v>3.69075568598679</v>
      </c>
      <c r="F233" s="270" t="n">
        <v>0.545422427009528</v>
      </c>
      <c r="G233" s="271" t="n">
        <v>14.34</v>
      </c>
      <c r="H233" s="271" t="n">
        <v>19.77</v>
      </c>
      <c r="I233" s="142" t="n">
        <v>0.298</v>
      </c>
      <c r="J233" s="142" t="n">
        <v>0.153</v>
      </c>
      <c r="K233" s="142" t="n">
        <v>0.081</v>
      </c>
      <c r="L233" s="270" t="n">
        <v>8.309639768838659</v>
      </c>
      <c r="M233" s="272" t="n">
        <v>8.98658895026055</v>
      </c>
      <c r="N233" s="270" t="n">
        <v>14.6122064968947</v>
      </c>
      <c r="O233" s="273" t="n">
        <v>0.615005608644412</v>
      </c>
      <c r="P233" s="270" t="n">
        <v>2.15466488121349</v>
      </c>
      <c r="Q233" s="270" t="n">
        <v>2.91527947729319</v>
      </c>
      <c r="R233" s="270" t="n">
        <v>0.820862096830051</v>
      </c>
      <c r="S233" s="270" t="n">
        <v>4.49241567196915</v>
      </c>
      <c r="T233" s="270" t="n">
        <v>1.21823701890887</v>
      </c>
      <c r="U233" s="270" t="n">
        <v>0.5303257682451</v>
      </c>
      <c r="V233" s="270" t="n">
        <v>1.63751067808741</v>
      </c>
      <c r="W233" s="270" t="n">
        <v>0.842910904347424</v>
      </c>
      <c r="X233" s="274" t="n">
        <v>0.0168330327857214</v>
      </c>
      <c r="Y233" s="269" t="n">
        <v>9.00342198304627</v>
      </c>
      <c r="Z233" s="275" t="n">
        <v>1221</v>
      </c>
      <c r="AA233" s="275" t="n">
        <v>848</v>
      </c>
      <c r="AB233" s="270" t="n">
        <v>7326.79</v>
      </c>
      <c r="AD233" s="276" t="n">
        <v>0.008668550413903761</v>
      </c>
      <c r="AE233" s="141" t="n">
        <v>0.00602041830547943</v>
      </c>
      <c r="AF233" s="270" t="n">
        <v>6.00064701064701</v>
      </c>
      <c r="AG233" s="277" t="n">
        <v>0.0520169111278345</v>
      </c>
      <c r="AH233" s="131" t="n">
        <v>0.470941201131957</v>
      </c>
      <c r="AI233" s="131" t="n">
        <v>0.320328057855571</v>
      </c>
      <c r="AJ233" s="270" t="n">
        <v>0.479610092720122</v>
      </c>
      <c r="AK233" s="130" t="n">
        <v>0.283939398242151</v>
      </c>
      <c r="AL233" s="130" t="n">
        <v>0.0437545259630539</v>
      </c>
      <c r="AM233" s="133" t="n">
        <v>0</v>
      </c>
    </row>
    <row customHeight="1" ht="13.2" outlineLevel="1" r="234" s="3">
      <c r="A234" s="117" t="n">
        <v>43575</v>
      </c>
      <c r="B234" s="289" t="inlineStr">
        <is>
          <t>iOS</t>
        </is>
      </c>
      <c r="C234" s="268" t="n">
        <v>39728</v>
      </c>
      <c r="D234" s="268" t="n">
        <v>143137</v>
      </c>
      <c r="E234" s="269" t="n">
        <v>3.60292488924688</v>
      </c>
      <c r="F234" s="270" t="n">
        <v>0.7335304816364741</v>
      </c>
      <c r="G234" s="271" t="n">
        <v>13.1</v>
      </c>
      <c r="H234" s="271" t="n">
        <v>18.55</v>
      </c>
      <c r="I234" s="142" t="n">
        <v>0.293</v>
      </c>
      <c r="J234" s="142" t="n">
        <v>0.144</v>
      </c>
      <c r="K234" s="142" t="n">
        <v>0.079</v>
      </c>
      <c r="L234" s="270" t="n">
        <v>9.814625149332461</v>
      </c>
      <c r="M234" s="272" t="n">
        <v>11.7257941692225</v>
      </c>
      <c r="N234" s="270" t="n">
        <v>18.7241460095049</v>
      </c>
      <c r="O234" s="273" t="n">
        <v>0.626239197412269</v>
      </c>
      <c r="P234" s="270" t="n">
        <v>2.52251277360048</v>
      </c>
      <c r="Q234" s="270" t="n">
        <v>3.58484125036257</v>
      </c>
      <c r="R234" s="270" t="n">
        <v>1.02656239541266</v>
      </c>
      <c r="S234" s="270" t="n">
        <v>6.58446194694214</v>
      </c>
      <c r="T234" s="270" t="n">
        <v>1.46270554898592</v>
      </c>
      <c r="U234" s="270" t="n">
        <v>0.466420491309489</v>
      </c>
      <c r="V234" s="270" t="n">
        <v>2.11787411588835</v>
      </c>
      <c r="W234" s="270" t="n">
        <v>0.95876748700328</v>
      </c>
      <c r="X234" s="274" t="n">
        <v>0.0161523575315956</v>
      </c>
      <c r="Y234" s="269" t="n">
        <v>11.7419465267541</v>
      </c>
      <c r="Z234" s="275" t="n">
        <v>1643</v>
      </c>
      <c r="AA234" s="275" t="n">
        <v>1045</v>
      </c>
      <c r="AB234" s="270" t="n">
        <v>14042.57</v>
      </c>
      <c r="AD234" s="276" t="n">
        <v>0.0114785135918735</v>
      </c>
      <c r="AE234" s="141" t="n">
        <v>0.00730069793274974</v>
      </c>
      <c r="AF234" s="270" t="n">
        <v>8.546908094948259</v>
      </c>
      <c r="AG234" s="277" t="n">
        <v>0.0981058007363575</v>
      </c>
      <c r="AH234" s="131" t="n">
        <v>0.464005235602094</v>
      </c>
      <c r="AI234" s="131" t="n">
        <v>0.323827023761579</v>
      </c>
      <c r="AJ234" s="270" t="n">
        <v>0.398380572458554</v>
      </c>
      <c r="AK234" s="130" t="n">
        <v>0.24259974709544</v>
      </c>
      <c r="AL234" s="130" t="n">
        <v>0.036140201345564</v>
      </c>
      <c r="AM234" s="133" t="n">
        <v>0.316074809448291</v>
      </c>
    </row>
    <row customHeight="1" ht="13.2" outlineLevel="1" r="235" s="3">
      <c r="A235" s="117" t="n">
        <v>43576</v>
      </c>
      <c r="B235" s="289" t="inlineStr">
        <is>
          <t>iOS</t>
        </is>
      </c>
      <c r="C235" s="268" t="n">
        <v>35901</v>
      </c>
      <c r="D235" s="268" t="n">
        <v>140739</v>
      </c>
      <c r="E235" s="269" t="n">
        <v>3.92019720899139</v>
      </c>
      <c r="F235" s="270" t="n">
        <v>0.737283239976126</v>
      </c>
      <c r="G235" s="271" t="n">
        <v>13.49</v>
      </c>
      <c r="H235" s="271" t="n">
        <v>18.97</v>
      </c>
      <c r="I235" s="142" t="n">
        <v>0.301</v>
      </c>
      <c r="J235" s="142" t="n">
        <v>0.148</v>
      </c>
      <c r="K235" s="142" t="n">
        <v>0.08400000000000001</v>
      </c>
      <c r="L235" s="270" t="n">
        <v>9.48546600444795</v>
      </c>
      <c r="M235" s="272" t="n">
        <v>11.5396798328821</v>
      </c>
      <c r="N235" s="270" t="n">
        <v>18.3147976904687</v>
      </c>
      <c r="O235" s="273" t="n">
        <v>0.630074108811346</v>
      </c>
      <c r="P235" s="270" t="n">
        <v>2.43418737877216</v>
      </c>
      <c r="Q235" s="270" t="n">
        <v>3.70533176958816</v>
      </c>
      <c r="R235" s="270" t="n">
        <v>1.05335152690694</v>
      </c>
      <c r="S235" s="270" t="n">
        <v>6.17808651720872</v>
      </c>
      <c r="T235" s="270" t="n">
        <v>1.45486941224232</v>
      </c>
      <c r="U235" s="270" t="n">
        <v>0.469980603545491</v>
      </c>
      <c r="V235" s="270" t="n">
        <v>2.04184897830304</v>
      </c>
      <c r="W235" s="270" t="n">
        <v>0.977141503901845</v>
      </c>
      <c r="X235" s="274" t="n">
        <v>0.0129530549456796</v>
      </c>
      <c r="Y235" s="269" t="n">
        <v>11.5526328878278</v>
      </c>
      <c r="Z235" s="275" t="n">
        <v>1570</v>
      </c>
      <c r="AA235" s="275" t="n">
        <v>1002</v>
      </c>
      <c r="AB235" s="270" t="n">
        <v>13621.3</v>
      </c>
      <c r="AD235" s="276" t="n">
        <v>0.011155401132593</v>
      </c>
      <c r="AE235" s="141" t="n">
        <v>0.00711956174194786</v>
      </c>
      <c r="AF235" s="270" t="n">
        <v>8.675987261146499</v>
      </c>
      <c r="AG235" s="277" t="n">
        <v>0.09678411811935569</v>
      </c>
      <c r="AH235" s="131" t="n">
        <v>0.47658839586641</v>
      </c>
      <c r="AI235" s="131" t="n">
        <v>0.343277346034929</v>
      </c>
      <c r="AJ235" s="270" t="n">
        <v>0.407129509233404</v>
      </c>
      <c r="AK235" s="130" t="n">
        <v>0.246967791443736</v>
      </c>
      <c r="AL235" s="130" t="n">
        <v>0.0374523053311449</v>
      </c>
      <c r="AM235" s="133" t="n">
        <v>0.309736462529931</v>
      </c>
    </row>
    <row customHeight="1" ht="13.2" outlineLevel="1" r="236" s="3">
      <c r="A236" s="117" t="n">
        <v>43577</v>
      </c>
      <c r="B236" s="289" t="inlineStr">
        <is>
          <t>iOS</t>
        </is>
      </c>
      <c r="C236" s="268" t="n">
        <v>41567</v>
      </c>
      <c r="D236" s="268" t="n">
        <v>149169</v>
      </c>
      <c r="E236" s="269" t="n">
        <v>3.58864002694445</v>
      </c>
      <c r="F236" s="270" t="n">
        <v>0.668381825231784</v>
      </c>
      <c r="G236" s="271" t="n">
        <v>13.28</v>
      </c>
      <c r="H236" s="271" t="n">
        <v>19</v>
      </c>
      <c r="I236" s="142" t="n">
        <v>0.296</v>
      </c>
      <c r="J236" s="142" t="n">
        <v>0.152</v>
      </c>
      <c r="K236" s="142" t="n">
        <v>0.08500000000000001</v>
      </c>
      <c r="L236" s="270" t="n">
        <v>9.39585302576273</v>
      </c>
      <c r="M236" s="272" t="n">
        <v>11.1989555470641</v>
      </c>
      <c r="N236" s="270" t="n">
        <v>17.8934982862039</v>
      </c>
      <c r="O236" s="273" t="n">
        <v>0.625867304868974</v>
      </c>
      <c r="P236" s="270" t="n">
        <v>2.42119751499572</v>
      </c>
      <c r="Q236" s="270" t="n">
        <v>3.70669451585261</v>
      </c>
      <c r="R236" s="270" t="n">
        <v>1.01320694087404</v>
      </c>
      <c r="S236" s="270" t="n">
        <v>5.84746143958869</v>
      </c>
      <c r="T236" s="270" t="n">
        <v>1.43763924592973</v>
      </c>
      <c r="U236" s="270" t="n">
        <v>0.480923307626393</v>
      </c>
      <c r="V236" s="270" t="n">
        <v>2.01943016281063</v>
      </c>
      <c r="W236" s="270" t="n">
        <v>0.9669451585261351</v>
      </c>
      <c r="X236" s="274" t="n">
        <v>0.0109070919561035</v>
      </c>
      <c r="Y236" s="269" t="n">
        <v>11.2098626390202</v>
      </c>
      <c r="Z236" s="275" t="n">
        <v>1550</v>
      </c>
      <c r="AA236" s="275" t="n">
        <v>1036</v>
      </c>
      <c r="AB236" s="270" t="n">
        <v>11468.5</v>
      </c>
      <c r="AD236" s="276" t="n">
        <v>0.0103908989133131</v>
      </c>
      <c r="AE236" s="141" t="n">
        <v>0.00694514275754346</v>
      </c>
      <c r="AF236" s="270" t="n">
        <v>7.39903225806451</v>
      </c>
      <c r="AG236" s="277" t="n">
        <v>0.07688259624989099</v>
      </c>
      <c r="AH236" s="131" t="n">
        <v>0.462241682103592</v>
      </c>
      <c r="AI236" s="131" t="n">
        <v>0.321120119325426</v>
      </c>
      <c r="AJ236" s="270" t="n">
        <v>0.418826968069773</v>
      </c>
      <c r="AK236" s="130" t="n">
        <v>0.246358157526028</v>
      </c>
      <c r="AL236" s="130" t="n">
        <v>0.0373401980304219</v>
      </c>
      <c r="AM236" s="133" t="n">
        <v>0.293345132031454</v>
      </c>
      <c r="AN236" s="39" t="n"/>
    </row>
    <row customHeight="1" ht="13.2" outlineLevel="1" r="237" s="3">
      <c r="A237" s="117" t="n">
        <v>43578</v>
      </c>
      <c r="B237" s="289" t="inlineStr">
        <is>
          <t>iOS</t>
        </is>
      </c>
      <c r="C237" s="268" t="n">
        <v>38710</v>
      </c>
      <c r="D237" s="268" t="n">
        <v>147447</v>
      </c>
      <c r="E237" s="269" t="n">
        <v>3.80901575820201</v>
      </c>
      <c r="F237" s="270" t="n">
        <v>0.623826629473641</v>
      </c>
      <c r="G237" s="271" t="n">
        <v>13.63</v>
      </c>
      <c r="H237" s="271" t="n">
        <v>18.59</v>
      </c>
      <c r="I237" s="142" t="n">
        <v>0.303</v>
      </c>
      <c r="J237" s="142" t="n">
        <v>0.156</v>
      </c>
      <c r="K237" s="142" t="n">
        <v>0.08400000000000001</v>
      </c>
      <c r="L237" s="270" t="n">
        <v>9.300575800118009</v>
      </c>
      <c r="M237" s="272" t="n">
        <v>10.5358806893324</v>
      </c>
      <c r="N237" s="270" t="n">
        <v>16.7264309401783</v>
      </c>
      <c r="O237" s="273" t="n">
        <v>0.629894131450623</v>
      </c>
      <c r="P237" s="270" t="n">
        <v>2.28379775184116</v>
      </c>
      <c r="Q237" s="270" t="n">
        <v>3.4592144364529</v>
      </c>
      <c r="R237" s="270" t="n">
        <v>0.965416253929971</v>
      </c>
      <c r="S237" s="270" t="n">
        <v>5.35526939144666</v>
      </c>
      <c r="T237" s="270" t="n">
        <v>1.33711615487316</v>
      </c>
      <c r="U237" s="270" t="n">
        <v>0.501012102157716</v>
      </c>
      <c r="V237" s="270" t="n">
        <v>1.9008247555881</v>
      </c>
      <c r="W237" s="270" t="n">
        <v>0.923780093888626</v>
      </c>
      <c r="X237" s="274" t="n">
        <v>0.0108852672485707</v>
      </c>
      <c r="Y237" s="269" t="n">
        <v>10.546765956581</v>
      </c>
      <c r="Z237" s="275" t="n">
        <v>1378</v>
      </c>
      <c r="AA237" s="275" t="n">
        <v>952</v>
      </c>
      <c r="AB237" s="270" t="n">
        <v>9570.219999999999</v>
      </c>
      <c r="AD237" s="276" t="n">
        <v>0.00934573100843015</v>
      </c>
      <c r="AE237" s="141" t="n">
        <v>0.00645655727142634</v>
      </c>
      <c r="AF237" s="270" t="n">
        <v>6.94500725689405</v>
      </c>
      <c r="AG237" s="277" t="n">
        <v>0.0649061696745271</v>
      </c>
      <c r="AH237" s="131" t="n">
        <v>0.46657194523379</v>
      </c>
      <c r="AI237" s="131" t="n">
        <v>0.334048049599587</v>
      </c>
      <c r="AJ237" s="270" t="n">
        <v>0.45057546101311</v>
      </c>
      <c r="AK237" s="130" t="n">
        <v>0.26501047834137</v>
      </c>
      <c r="AL237" s="130" t="n">
        <v>0.041994750656168</v>
      </c>
      <c r="AM237" s="133" t="n">
        <v>0.241503726762837</v>
      </c>
      <c r="AN237" s="39" t="n"/>
    </row>
    <row customFormat="1" customHeight="1" ht="13.2" outlineLevel="1" r="238" s="294">
      <c r="A238" s="121" t="n">
        <v>43579</v>
      </c>
      <c r="B238" s="295" t="inlineStr">
        <is>
          <t>iOS</t>
        </is>
      </c>
      <c r="C238" s="296" t="n">
        <v>38260</v>
      </c>
      <c r="D238" s="296" t="n">
        <v>145029</v>
      </c>
      <c r="E238" s="297" t="n">
        <v>3.79061683220073</v>
      </c>
      <c r="F238" s="294" t="n">
        <v>0.584633749498376</v>
      </c>
      <c r="G238" s="306" t="n">
        <v>14.96</v>
      </c>
      <c r="H238" s="306" t="n">
        <v>20.81</v>
      </c>
      <c r="I238" s="124" t="n">
        <v>0.294</v>
      </c>
      <c r="J238" s="124" t="n">
        <v>0.147</v>
      </c>
      <c r="K238" s="124" t="n">
        <v>0.077</v>
      </c>
      <c r="L238" s="294" t="n">
        <v>8.81736756097057</v>
      </c>
      <c r="M238" s="299" t="n">
        <v>9.41306221514318</v>
      </c>
      <c r="N238" s="294" t="n">
        <v>15.1397566845216</v>
      </c>
      <c r="O238" s="300" t="n">
        <v>0.621744616593923</v>
      </c>
      <c r="P238" s="294" t="n">
        <v>2.15237715008151</v>
      </c>
      <c r="Q238" s="294" t="n">
        <v>3.08949662308281</v>
      </c>
      <c r="R238" s="294" t="n">
        <v>0.86796198334276</v>
      </c>
      <c r="S238" s="294" t="n">
        <v>4.67259983808542</v>
      </c>
      <c r="T238" s="294" t="n">
        <v>1.24019917711903</v>
      </c>
      <c r="U238" s="294" t="n">
        <v>0.535105521730933</v>
      </c>
      <c r="V238" s="294" t="n">
        <v>1.7144314690976</v>
      </c>
      <c r="W238" s="294" t="n">
        <v>0.867584921981568</v>
      </c>
      <c r="X238" s="301" t="n">
        <v>0.0117286887450096</v>
      </c>
      <c r="Y238" s="297" t="n">
        <v>9.424790903888191</v>
      </c>
      <c r="Z238" s="293" t="n">
        <v>1144</v>
      </c>
      <c r="AA238" s="293" t="n">
        <v>826</v>
      </c>
      <c r="AB238" s="294" t="n">
        <v>7529.56</v>
      </c>
      <c r="AD238" s="303" t="n">
        <v>0.00788807755690241</v>
      </c>
      <c r="AE238" s="123" t="n">
        <v>0.00569541264160961</v>
      </c>
      <c r="AF238" s="294" t="n">
        <v>6.58178321678322</v>
      </c>
      <c r="AG238" s="304" t="n">
        <v>0.0519176164767047</v>
      </c>
      <c r="AH238" s="135" t="n">
        <v>0.456037637219028</v>
      </c>
      <c r="AI238" s="135" t="n">
        <v>0.328541557762676</v>
      </c>
      <c r="AJ238" s="294" t="n">
        <v>0.510049714195092</v>
      </c>
      <c r="AK238" s="136" t="n">
        <v>0.287590757710527</v>
      </c>
      <c r="AL238" s="136" t="n">
        <v>0.0447358804101249</v>
      </c>
      <c r="AM238" s="137" t="n">
        <v>0</v>
      </c>
      <c r="AN238" s="39" t="n"/>
    </row>
    <row customHeight="1" ht="13.2" outlineLevel="1" r="239" s="3">
      <c r="A239" s="117" t="n">
        <v>43580</v>
      </c>
      <c r="B239" s="267" t="inlineStr">
        <is>
          <t>iOS</t>
        </is>
      </c>
      <c r="C239" s="268" t="n">
        <v>34917</v>
      </c>
      <c r="D239" s="268" t="n">
        <v>141463</v>
      </c>
      <c r="E239" s="269" t="n">
        <v>4.05140762379357</v>
      </c>
      <c r="F239" s="270" t="n">
        <v>0.582064441224914</v>
      </c>
      <c r="G239" s="271" t="n">
        <v>15.21</v>
      </c>
      <c r="H239" s="271" t="n">
        <v>21.72</v>
      </c>
      <c r="I239" s="142" t="n">
        <v>0.303</v>
      </c>
      <c r="J239" s="142" t="n">
        <v>0.149</v>
      </c>
      <c r="K239" s="142" t="n">
        <v>0.079</v>
      </c>
      <c r="L239" s="270" t="n">
        <v>8.56245802789422</v>
      </c>
      <c r="M239" s="272" t="n">
        <v>9.32394336328227</v>
      </c>
      <c r="N239" s="270" t="n">
        <v>14.9084240389723</v>
      </c>
      <c r="O239" s="273" t="n">
        <v>0.625414419318126</v>
      </c>
      <c r="P239" s="270" t="n">
        <v>2.16863901981395</v>
      </c>
      <c r="Q239" s="270" t="n">
        <v>3.07058650661784</v>
      </c>
      <c r="R239" s="270" t="n">
        <v>0.837984469838256</v>
      </c>
      <c r="S239" s="270" t="n">
        <v>4.51695997649</v>
      </c>
      <c r="T239" s="270" t="n">
        <v>1.25646242356425</v>
      </c>
      <c r="U239" s="270" t="n">
        <v>0.526804787901394</v>
      </c>
      <c r="V239" s="270" t="n">
        <v>1.66956020480825</v>
      </c>
      <c r="W239" s="270" t="n">
        <v>0.861426649938399</v>
      </c>
      <c r="X239" s="274" t="n">
        <v>0.00984709782770053</v>
      </c>
      <c r="Y239" s="269" t="n">
        <v>9.33379046110997</v>
      </c>
      <c r="Z239" s="275" t="n">
        <v>1156</v>
      </c>
      <c r="AA239" s="275" t="n">
        <v>827</v>
      </c>
      <c r="AB239" s="270" t="n">
        <v>6985.44</v>
      </c>
      <c r="AD239" s="276" t="n">
        <v>0.008171748089606469</v>
      </c>
      <c r="AE239" s="141" t="n">
        <v>0.0058460516177375</v>
      </c>
      <c r="AF239" s="270" t="n">
        <v>6.04276816608996</v>
      </c>
      <c r="AG239" s="277" t="n">
        <v>0.0493799792171805</v>
      </c>
      <c r="AH239" s="131" t="n">
        <v>0.455480138614428</v>
      </c>
      <c r="AI239" s="131" t="n">
        <v>0.328521923418392</v>
      </c>
      <c r="AJ239" s="270" t="n">
        <v>0.497564734241462</v>
      </c>
      <c r="AK239" s="130" t="n">
        <v>0.293207411125171</v>
      </c>
      <c r="AL239" s="130" t="n">
        <v>0.0440821981719602</v>
      </c>
      <c r="AM239" s="133" t="n">
        <v>0</v>
      </c>
      <c r="AN239" s="39" t="n"/>
    </row>
    <row customHeight="1" ht="13.2" outlineLevel="1" r="240" s="3">
      <c r="A240" s="117" t="n">
        <v>43581</v>
      </c>
      <c r="B240" s="267" t="inlineStr">
        <is>
          <t>iOS</t>
        </is>
      </c>
      <c r="C240" s="268" t="n">
        <v>33605</v>
      </c>
      <c r="D240" s="268" t="n">
        <v>138973</v>
      </c>
      <c r="E240" s="269" t="n">
        <v>4.13548579080494</v>
      </c>
      <c r="F240" s="270" t="n">
        <v>0.5589695393709569</v>
      </c>
      <c r="G240" s="271" t="n">
        <v>14.37</v>
      </c>
      <c r="H240" s="271" t="n">
        <v>20.28</v>
      </c>
      <c r="I240" s="142" t="n">
        <v>0.294</v>
      </c>
      <c r="J240" s="142" t="n">
        <v>0.152</v>
      </c>
      <c r="K240" s="142" t="n">
        <v>0.082</v>
      </c>
      <c r="L240" s="270" t="n">
        <v>8.45912515380685</v>
      </c>
      <c r="M240" s="272" t="n">
        <v>9.25356004403733</v>
      </c>
      <c r="N240" s="270" t="n">
        <v>14.8475979356448</v>
      </c>
      <c r="O240" s="273" t="n">
        <v>0.623236168176552</v>
      </c>
      <c r="P240" s="270" t="n">
        <v>2.17805641185503</v>
      </c>
      <c r="Q240" s="270" t="n">
        <v>3.05691986191449</v>
      </c>
      <c r="R240" s="270" t="n">
        <v>0.822694052855807</v>
      </c>
      <c r="S240" s="270" t="n">
        <v>4.49258194497362</v>
      </c>
      <c r="T240" s="270" t="n">
        <v>1.24145336150462</v>
      </c>
      <c r="U240" s="270" t="n">
        <v>0.529169986029811</v>
      </c>
      <c r="V240" s="270" t="n">
        <v>1.66575456340272</v>
      </c>
      <c r="W240" s="270" t="n">
        <v>0.860967753108656</v>
      </c>
      <c r="X240" s="274" t="n">
        <v>0.0113763105063574</v>
      </c>
      <c r="Y240" s="269" t="n">
        <v>9.264936354543689</v>
      </c>
      <c r="Z240" s="275" t="n">
        <v>1221</v>
      </c>
      <c r="AA240" s="275" t="n">
        <v>850</v>
      </c>
      <c r="AB240" s="270" t="n">
        <v>7228.79</v>
      </c>
      <c r="AD240" s="276" t="n">
        <v>0.008785879271513169</v>
      </c>
      <c r="AE240" s="141" t="n">
        <v>0.00611629597115987</v>
      </c>
      <c r="AF240" s="270" t="n">
        <v>5.92038493038493</v>
      </c>
      <c r="AG240" s="277" t="n">
        <v>0.0520157872392479</v>
      </c>
      <c r="AH240" s="131" t="n">
        <v>0.462847790507365</v>
      </c>
      <c r="AI240" s="131" t="n">
        <v>0.340574319297724</v>
      </c>
      <c r="AJ240" s="270" t="n">
        <v>0.485518769832989</v>
      </c>
      <c r="AK240" s="130" t="n">
        <v>0.292970577018558</v>
      </c>
      <c r="AL240" s="130" t="n">
        <v>0.0431450713447936</v>
      </c>
      <c r="AM240" s="133" t="n">
        <v>0</v>
      </c>
      <c r="AN240" s="39" t="n"/>
    </row>
    <row customHeight="1" ht="13.2" outlineLevel="1" r="241" s="3">
      <c r="A241" s="117" t="n">
        <v>43582</v>
      </c>
      <c r="B241" s="289" t="inlineStr">
        <is>
          <t>iOS</t>
        </is>
      </c>
      <c r="C241" s="268" t="n">
        <v>28872</v>
      </c>
      <c r="D241" s="268" t="n">
        <v>132079</v>
      </c>
      <c r="E241" s="269" t="n">
        <v>4.57463978941535</v>
      </c>
      <c r="F241" s="270" t="n">
        <v>0.783642731448603</v>
      </c>
      <c r="G241" s="271" t="n">
        <v>13.39</v>
      </c>
      <c r="H241" s="271" t="n">
        <v>19.34</v>
      </c>
      <c r="I241" s="142" t="n">
        <v>0.296</v>
      </c>
      <c r="J241" s="142" t="n">
        <v>0.147</v>
      </c>
      <c r="K241" s="142" t="n">
        <v>0.082</v>
      </c>
      <c r="L241" s="270" t="n">
        <v>9.92374260859031</v>
      </c>
      <c r="M241" s="272" t="n">
        <v>11.9202977006186</v>
      </c>
      <c r="N241" s="270" t="n">
        <v>18.8582773365913</v>
      </c>
      <c r="O241" s="273" t="n">
        <v>0.632098971070344</v>
      </c>
      <c r="P241" s="270" t="n">
        <v>2.55623031130595</v>
      </c>
      <c r="Q241" s="270" t="n">
        <v>3.74752955549966</v>
      </c>
      <c r="R241" s="270" t="n">
        <v>1.12301316372609</v>
      </c>
      <c r="S241" s="270" t="n">
        <v>6.36521853701774</v>
      </c>
      <c r="T241" s="270" t="n">
        <v>1.50671362008456</v>
      </c>
      <c r="U241" s="270" t="n">
        <v>0.461580844921964</v>
      </c>
      <c r="V241" s="270" t="n">
        <v>2.13705127744439</v>
      </c>
      <c r="W241" s="270" t="n">
        <v>0.960940026590966</v>
      </c>
      <c r="X241" s="274" t="n">
        <v>0.0123940974719675</v>
      </c>
      <c r="Y241" s="269" t="n">
        <v>11.9326917980905</v>
      </c>
      <c r="Z241" s="275" t="n">
        <v>1704</v>
      </c>
      <c r="AA241" s="275" t="n">
        <v>1061</v>
      </c>
      <c r="AB241" s="270" t="n">
        <v>14689.96</v>
      </c>
      <c r="AD241" s="276" t="n">
        <v>0.0129013696348398</v>
      </c>
      <c r="AE241" s="141" t="n">
        <v>0.008033071116528741</v>
      </c>
      <c r="AF241" s="270" t="n">
        <v>8.62086854460094</v>
      </c>
      <c r="AG241" s="277" t="n">
        <v>0.11122101166726</v>
      </c>
      <c r="AH241" s="131" t="n">
        <v>0.474715987808257</v>
      </c>
      <c r="AI241" s="131" t="n">
        <v>0.358097811027986</v>
      </c>
      <c r="AJ241" s="270" t="n">
        <v>0.402736241188985</v>
      </c>
      <c r="AK241" s="130" t="n">
        <v>0.260404757758614</v>
      </c>
      <c r="AL241" s="130" t="n">
        <v>0.0377728480682016</v>
      </c>
      <c r="AM241" s="133" t="n">
        <v>0.329075780404152</v>
      </c>
      <c r="AN241" s="39" t="n"/>
    </row>
    <row customHeight="1" ht="13.2" outlineLevel="1" r="242" s="3">
      <c r="A242" s="117" t="n">
        <v>43583</v>
      </c>
      <c r="B242" s="289" t="inlineStr">
        <is>
          <t>iOS</t>
        </is>
      </c>
      <c r="C242" s="268" t="n">
        <v>31247</v>
      </c>
      <c r="D242" s="268" t="n">
        <v>133773</v>
      </c>
      <c r="E242" s="269" t="n">
        <v>4.28114699011105</v>
      </c>
      <c r="F242" s="270" t="n">
        <v>0.750727404251979</v>
      </c>
      <c r="G242" s="271" t="n">
        <v>13.63</v>
      </c>
      <c r="H242" s="271" t="n">
        <v>19.96</v>
      </c>
      <c r="I242" s="142" t="n">
        <v>0.288</v>
      </c>
      <c r="J242" s="142" t="n">
        <v>0.144</v>
      </c>
      <c r="K242" s="142" t="n">
        <v>0.08500000000000001</v>
      </c>
      <c r="L242" s="270" t="n">
        <v>9.328175341810381</v>
      </c>
      <c r="M242" s="272" t="n">
        <v>11.6946693278913</v>
      </c>
      <c r="N242" s="270" t="n">
        <v>18.5532785427118</v>
      </c>
      <c r="O242" s="273" t="n">
        <v>0.630328990154964</v>
      </c>
      <c r="P242" s="270" t="n">
        <v>2.46803287437293</v>
      </c>
      <c r="Q242" s="270" t="n">
        <v>3.75048920197816</v>
      </c>
      <c r="R242" s="270" t="n">
        <v>1.16254551060827</v>
      </c>
      <c r="S242" s="270" t="n">
        <v>6.19494550586449</v>
      </c>
      <c r="T242" s="270" t="n">
        <v>1.48437518530378</v>
      </c>
      <c r="U242" s="270" t="n">
        <v>0.464380166269375</v>
      </c>
      <c r="V242" s="270" t="n">
        <v>2.05616631681313</v>
      </c>
      <c r="W242" s="270" t="n">
        <v>0.972343781501643</v>
      </c>
      <c r="X242" s="274" t="n">
        <v>0.0127604225067839</v>
      </c>
      <c r="Y242" s="269" t="n">
        <v>11.7074297503981</v>
      </c>
      <c r="Z242" s="275" t="n">
        <v>1479</v>
      </c>
      <c r="AA242" s="275" t="n">
        <v>1007</v>
      </c>
      <c r="AB242" s="270" t="n">
        <v>13013.21</v>
      </c>
      <c r="AD242" s="276" t="n">
        <v>0.0110560426991994</v>
      </c>
      <c r="AE242" s="141" t="n">
        <v>0.00752767748349817</v>
      </c>
      <c r="AF242" s="270" t="n">
        <v>8.798654496281269</v>
      </c>
      <c r="AG242" s="277" t="n">
        <v>0.0972782998063884</v>
      </c>
      <c r="AH242" s="131" t="n">
        <v>0.456939866227158</v>
      </c>
      <c r="AI242" s="131" t="n">
        <v>0.333632028674753</v>
      </c>
      <c r="AJ242" s="270" t="n">
        <v>0.403115725893865</v>
      </c>
      <c r="AK242" s="130" t="n">
        <v>0.25351902102816</v>
      </c>
      <c r="AL242" s="130" t="n">
        <v>0.0368160989138316</v>
      </c>
      <c r="AM242" s="133" t="n">
        <v>0.317365985662279</v>
      </c>
      <c r="AN242" s="39" t="n"/>
    </row>
    <row customHeight="1" ht="13.2" outlineLevel="1" r="243" s="3">
      <c r="A243" s="117" t="n">
        <v>43584</v>
      </c>
      <c r="B243" s="289" t="inlineStr">
        <is>
          <t>iOS</t>
        </is>
      </c>
      <c r="C243" s="268" t="n">
        <v>31526</v>
      </c>
      <c r="D243" s="268" t="n">
        <v>136325</v>
      </c>
      <c r="E243" s="269" t="n">
        <v>4.32420858973546</v>
      </c>
      <c r="F243" s="270" t="n">
        <v>0.685699358620942</v>
      </c>
      <c r="G243" s="271" t="n">
        <v>13.36</v>
      </c>
      <c r="H243" s="271" t="n">
        <v>19.17</v>
      </c>
      <c r="I243" s="142" t="n">
        <v>0.287</v>
      </c>
      <c r="J243" s="142" t="n">
        <v>0.157</v>
      </c>
      <c r="K243" s="142" t="n">
        <v>0.091</v>
      </c>
      <c r="L243" s="270" t="n">
        <v>9.31187969924812</v>
      </c>
      <c r="M243" s="272" t="n">
        <v>11.3996185585916</v>
      </c>
      <c r="N243" s="270" t="n">
        <v>18.0523313895407</v>
      </c>
      <c r="O243" s="273" t="n">
        <v>0.631476251604621</v>
      </c>
      <c r="P243" s="270" t="n">
        <v>2.44038519619915</v>
      </c>
      <c r="Q243" s="270" t="n">
        <v>3.729630834282</v>
      </c>
      <c r="R243" s="270" t="n">
        <v>1.08554236461213</v>
      </c>
      <c r="S243" s="270" t="n">
        <v>5.93233510675371</v>
      </c>
      <c r="T243" s="270" t="n">
        <v>1.46493041841879</v>
      </c>
      <c r="U243" s="270" t="n">
        <v>0.465859721673675</v>
      </c>
      <c r="V243" s="270" t="n">
        <v>1.98931301256883</v>
      </c>
      <c r="W243" s="270" t="n">
        <v>0.9443347350324089</v>
      </c>
      <c r="X243" s="274" t="n">
        <v>0.0151329543370622</v>
      </c>
      <c r="Y243" s="269" t="n">
        <v>11.4147515129287</v>
      </c>
      <c r="Z243" s="275" t="n">
        <v>1456</v>
      </c>
      <c r="AA243" s="275" t="n">
        <v>987</v>
      </c>
      <c r="AB243" s="270" t="n">
        <v>10806.44</v>
      </c>
      <c r="AD243" s="276" t="n">
        <v>0.0106803594351733</v>
      </c>
      <c r="AE243" s="141" t="n">
        <v>0.0072400513478819</v>
      </c>
      <c r="AF243" s="270" t="n">
        <v>7.42200549450549</v>
      </c>
      <c r="AG243" s="277" t="n">
        <v>0.0792696864111498</v>
      </c>
      <c r="AH243" s="131" t="n">
        <v>0.446393453022902</v>
      </c>
      <c r="AI243" s="131" t="n">
        <v>0.327348854913405</v>
      </c>
      <c r="AJ243" s="270" t="n">
        <v>0.406125068769485</v>
      </c>
      <c r="AK243" s="130" t="n">
        <v>0.258125802310655</v>
      </c>
      <c r="AL243" s="130" t="n">
        <v>0.0379314139006052</v>
      </c>
      <c r="AM243" s="133" t="n">
        <v>0.307302402347332</v>
      </c>
      <c r="AN243" s="39" t="n"/>
    </row>
    <row customHeight="1" ht="13.2" outlineLevel="1" r="244" s="3">
      <c r="A244" s="117" t="n">
        <v>43585</v>
      </c>
      <c r="B244" s="289" t="inlineStr">
        <is>
          <t>iOS</t>
        </is>
      </c>
      <c r="C244" s="268" t="n">
        <v>27559</v>
      </c>
      <c r="D244" s="268" t="n">
        <v>130103</v>
      </c>
      <c r="E244" s="269" t="n">
        <v>4.72088972749374</v>
      </c>
      <c r="F244" s="270" t="n">
        <v>0.7132439298094591</v>
      </c>
      <c r="G244" s="271" t="n">
        <v>14.92</v>
      </c>
      <c r="H244" s="271" t="n">
        <v>21.56</v>
      </c>
      <c r="I244" s="142" t="n">
        <v>0.298</v>
      </c>
      <c r="J244" s="142" t="n">
        <v>0.163</v>
      </c>
      <c r="K244" s="142" t="n">
        <v>0.092</v>
      </c>
      <c r="L244" s="270" t="n">
        <v>9.23911823708907</v>
      </c>
      <c r="M244" s="272" t="n">
        <v>10.9538212032005</v>
      </c>
      <c r="N244" s="270" t="n">
        <v>17.13261282489</v>
      </c>
      <c r="O244" s="273" t="n">
        <v>0.6393549725986331</v>
      </c>
      <c r="P244" s="270" t="n">
        <v>2.34539924502897</v>
      </c>
      <c r="Q244" s="270" t="n">
        <v>3.51817700944916</v>
      </c>
      <c r="R244" s="270" t="n">
        <v>1.04954196821428</v>
      </c>
      <c r="S244" s="270" t="n">
        <v>5.48548964920295</v>
      </c>
      <c r="T244" s="270" t="n">
        <v>1.39589093794331</v>
      </c>
      <c r="U244" s="270" t="n">
        <v>0.495203289173138</v>
      </c>
      <c r="V244" s="270" t="n">
        <v>1.90969200067322</v>
      </c>
      <c r="W244" s="270" t="n">
        <v>0.933218725204972</v>
      </c>
      <c r="X244" s="274" t="n">
        <v>0.0155107876067424</v>
      </c>
      <c r="Y244" s="269" t="n">
        <v>10.9693319908073</v>
      </c>
      <c r="Z244" s="275" t="n">
        <v>1245</v>
      </c>
      <c r="AA244" s="275" t="n">
        <v>851</v>
      </c>
      <c r="AB244" s="270" t="n">
        <v>9795.549999999999</v>
      </c>
      <c r="AD244" s="276" t="n">
        <v>0.0095693412142687</v>
      </c>
      <c r="AE244" s="141" t="n">
        <v>0.00654097138421097</v>
      </c>
      <c r="AF244" s="270" t="n">
        <v>7.86791164658634</v>
      </c>
      <c r="AG244" s="277" t="n">
        <v>0.0752907311899034</v>
      </c>
      <c r="AH244" s="131" t="n">
        <v>0.459958634202983</v>
      </c>
      <c r="AI244" s="131" t="n">
        <v>0.338546391378497</v>
      </c>
      <c r="AJ244" s="270" t="n">
        <v>0.458267680222593</v>
      </c>
      <c r="AK244" s="130" t="n">
        <v>0.280124209280339</v>
      </c>
      <c r="AL244" s="130" t="n">
        <v>0.0450566089944121</v>
      </c>
      <c r="AM244" s="133" t="n">
        <v>0.256996379791396</v>
      </c>
      <c r="AN244" s="39" t="n"/>
    </row>
    <row customFormat="1" customHeight="1" ht="13.2" r="245" s="294">
      <c r="A245" s="121" t="n">
        <v>43586</v>
      </c>
      <c r="B245" s="295" t="inlineStr">
        <is>
          <t>iOS</t>
        </is>
      </c>
      <c r="C245" s="296" t="n">
        <v>28807</v>
      </c>
      <c r="D245" s="296" t="n">
        <v>127229</v>
      </c>
      <c r="E245" s="297" t="n">
        <v>4.41660013191238</v>
      </c>
      <c r="F245" s="294" t="n">
        <v>0.654071498604878</v>
      </c>
      <c r="G245" s="306" t="n">
        <v>16.92</v>
      </c>
      <c r="H245" s="306" t="n">
        <v>24.41</v>
      </c>
      <c r="I245" s="124" t="n">
        <v>0.305</v>
      </c>
      <c r="J245" s="124" t="n">
        <v>0.159</v>
      </c>
      <c r="K245" s="124" t="n">
        <v>0.08500000000000001</v>
      </c>
      <c r="L245" s="294" t="n">
        <v>8.29831249164892</v>
      </c>
      <c r="M245" s="299" t="n">
        <v>9.65727939384889</v>
      </c>
      <c r="N245" s="294" t="n">
        <v>15.402858217375</v>
      </c>
      <c r="O245" s="300" t="n">
        <v>0.626979698024821</v>
      </c>
      <c r="P245" s="294" t="n">
        <v>2.18127115456939</v>
      </c>
      <c r="Q245" s="294" t="n">
        <v>3.07919017174376</v>
      </c>
      <c r="R245" s="294" t="n">
        <v>0.889783126488655</v>
      </c>
      <c r="S245" s="294" t="n">
        <v>4.85045756550082</v>
      </c>
      <c r="T245" s="294" t="n">
        <v>1.27143036229159</v>
      </c>
      <c r="U245" s="294" t="n">
        <v>0.530700764698508</v>
      </c>
      <c r="V245" s="294" t="n">
        <v>1.72523505077097</v>
      </c>
      <c r="W245" s="294" t="n">
        <v>0.87479002131127</v>
      </c>
      <c r="X245" s="301" t="n">
        <v>0.0166157086827689</v>
      </c>
      <c r="Y245" s="297" t="n">
        <v>9.67389510253166</v>
      </c>
      <c r="Z245" s="293" t="n">
        <v>1048</v>
      </c>
      <c r="AA245" s="293" t="n">
        <v>765</v>
      </c>
      <c r="AB245" s="294" t="n">
        <v>6325.52</v>
      </c>
      <c r="AD245" s="303" t="n">
        <v>0.008237115751911909</v>
      </c>
      <c r="AE245" s="123" t="n">
        <v>0.0060127801051647</v>
      </c>
      <c r="AF245" s="294" t="n">
        <v>6.03580152671756</v>
      </c>
      <c r="AG245" s="304" t="n">
        <v>0.0497175958311391</v>
      </c>
      <c r="AH245" s="135" t="n">
        <v>0.451834623529003</v>
      </c>
      <c r="AI245" s="135" t="n">
        <v>0.325545874266671</v>
      </c>
      <c r="AJ245" s="294" t="n">
        <v>0.511062729409176</v>
      </c>
      <c r="AK245" s="136" t="n">
        <v>0.299963058736609</v>
      </c>
      <c r="AL245" s="136" t="n">
        <v>0.0473791352600429</v>
      </c>
      <c r="AM245" s="137" t="n">
        <v>0</v>
      </c>
      <c r="AN245" s="39" t="n"/>
    </row>
    <row customHeight="1" ht="13.2" r="246" s="3">
      <c r="A246" s="117" t="n">
        <v>43587</v>
      </c>
      <c r="B246" s="267" t="inlineStr">
        <is>
          <t>iOS</t>
        </is>
      </c>
      <c r="C246" s="268" t="n">
        <v>28249</v>
      </c>
      <c r="D246" s="268" t="n">
        <v>127057</v>
      </c>
      <c r="E246" s="269" t="n">
        <v>4.49775213281886</v>
      </c>
      <c r="F246" s="270" t="n">
        <v>0.638240326152829</v>
      </c>
      <c r="G246" s="271" t="n">
        <v>16.38</v>
      </c>
      <c r="H246" s="271" t="n">
        <v>23.32</v>
      </c>
      <c r="I246" s="142" t="n">
        <v>0.296</v>
      </c>
      <c r="J246" s="142" t="n">
        <v>0.154</v>
      </c>
      <c r="K246" s="142" t="n">
        <v>0.083</v>
      </c>
      <c r="L246" s="270" t="n">
        <v>8.467483098137061</v>
      </c>
      <c r="M246" s="272" t="n">
        <v>9.750977907553301</v>
      </c>
      <c r="N246" s="270" t="n">
        <v>15.5326404473252</v>
      </c>
      <c r="O246" s="273" t="n">
        <v>0.627773361562133</v>
      </c>
      <c r="P246" s="270" t="n">
        <v>2.18922307335481</v>
      </c>
      <c r="Q246" s="270" t="n">
        <v>3.16905081303361</v>
      </c>
      <c r="R246" s="270" t="n">
        <v>0.867820919473942</v>
      </c>
      <c r="S246" s="270" t="n">
        <v>4.87011521632837</v>
      </c>
      <c r="T246" s="270" t="n">
        <v>1.28450534709076</v>
      </c>
      <c r="U246" s="270" t="n">
        <v>0.527424996552286</v>
      </c>
      <c r="V246" s="270" t="n">
        <v>1.73833732432331</v>
      </c>
      <c r="W246" s="270" t="n">
        <v>0.886162757168111</v>
      </c>
      <c r="X246" s="274" t="n">
        <v>0.0177951628009476</v>
      </c>
      <c r="Y246" s="269" t="n">
        <v>9.76877307035425</v>
      </c>
      <c r="Z246" s="275" t="n">
        <v>981</v>
      </c>
      <c r="AA246" s="275" t="n">
        <v>707</v>
      </c>
      <c r="AB246" s="270" t="n">
        <v>6114.19</v>
      </c>
      <c r="AD246" s="276" t="n">
        <v>0.00772094414317983</v>
      </c>
      <c r="AE246" s="141" t="n">
        <v>0.00556443171175142</v>
      </c>
      <c r="AF246" s="270" t="n">
        <v>6.23260958205912</v>
      </c>
      <c r="AG246" s="277" t="n">
        <v>0.0481216304493259</v>
      </c>
      <c r="AH246" s="131" t="n">
        <v>0.454033771106942</v>
      </c>
      <c r="AI246" s="131" t="n">
        <v>0.339020850295586</v>
      </c>
      <c r="AJ246" s="270" t="n">
        <v>0.509094343483633</v>
      </c>
      <c r="AK246" s="130" t="n">
        <v>0.301927481366631</v>
      </c>
      <c r="AL246" s="130" t="n">
        <v>0.0468608577252729</v>
      </c>
      <c r="AM246" s="133" t="n">
        <v>0</v>
      </c>
      <c r="AN246" s="39" t="n"/>
    </row>
    <row customHeight="1" ht="13.2" r="247" s="3">
      <c r="A247" s="117" t="n">
        <v>43588</v>
      </c>
      <c r="B247" s="267" t="inlineStr">
        <is>
          <t>iOS</t>
        </is>
      </c>
      <c r="C247" s="268" t="n">
        <v>24965</v>
      </c>
      <c r="D247" s="268" t="n">
        <v>122884</v>
      </c>
      <c r="E247" s="269" t="n">
        <v>4.92225115161226</v>
      </c>
      <c r="F247" s="270" t="n">
        <v>0.624689134207871</v>
      </c>
      <c r="G247" s="271" t="n">
        <v>15.41</v>
      </c>
      <c r="H247" s="271" t="n">
        <v>21.75</v>
      </c>
      <c r="I247" s="142" t="n">
        <v>0.304</v>
      </c>
      <c r="J247" s="142" t="n">
        <v>0.156</v>
      </c>
      <c r="K247" s="142" t="n">
        <v>0.082</v>
      </c>
      <c r="L247" s="270" t="n">
        <v>8.465829562839749</v>
      </c>
      <c r="M247" s="272" t="n">
        <v>9.765534976074999</v>
      </c>
      <c r="N247" s="270" t="n">
        <v>15.4318634826331</v>
      </c>
      <c r="O247" s="273" t="n">
        <v>0.632816314573093</v>
      </c>
      <c r="P247" s="270" t="n">
        <v>2.19275233722979</v>
      </c>
      <c r="Q247" s="270" t="n">
        <v>3.17733369340175</v>
      </c>
      <c r="R247" s="270" t="n">
        <v>0.87662513020331</v>
      </c>
      <c r="S247" s="270" t="n">
        <v>4.77468719056621</v>
      </c>
      <c r="T247" s="270" t="n">
        <v>1.28800329205406</v>
      </c>
      <c r="U247" s="270" t="n">
        <v>0.523205123259134</v>
      </c>
      <c r="V247" s="270" t="n">
        <v>1.71657472062549</v>
      </c>
      <c r="W247" s="270" t="n">
        <v>0.882681995293392</v>
      </c>
      <c r="X247" s="274" t="n">
        <v>0.0152664301292276</v>
      </c>
      <c r="Y247" s="269" t="n">
        <v>9.780801406204221</v>
      </c>
      <c r="Z247" s="275" t="n">
        <v>1059</v>
      </c>
      <c r="AA247" s="275" t="n">
        <v>747</v>
      </c>
      <c r="AB247" s="270" t="n">
        <v>7396.41</v>
      </c>
      <c r="AD247" s="276" t="n">
        <v>0.008617883532437099</v>
      </c>
      <c r="AE247" s="141" t="n">
        <v>0.00607890368152078</v>
      </c>
      <c r="AF247" s="270" t="n">
        <v>6.9843342776204</v>
      </c>
      <c r="AG247" s="277" t="n">
        <v>0.0601901793561407</v>
      </c>
      <c r="AH247" s="131" t="n">
        <v>0.470578810334468</v>
      </c>
      <c r="AI247" s="131" t="n">
        <v>0.356218706188664</v>
      </c>
      <c r="AJ247" s="270" t="n">
        <v>0.515559389342795</v>
      </c>
      <c r="AK247" s="130" t="n">
        <v>0.310968067445721</v>
      </c>
      <c r="AL247" s="130" t="n">
        <v>0.0473373262589108</v>
      </c>
      <c r="AM247" s="133" t="n">
        <v>0</v>
      </c>
      <c r="AN247" s="39" t="n"/>
    </row>
    <row customHeight="1" ht="13.2" r="248" s="3">
      <c r="A248" s="117" t="n">
        <v>43589</v>
      </c>
      <c r="B248" s="289" t="inlineStr">
        <is>
          <t>iOS</t>
        </is>
      </c>
      <c r="C248" s="268" t="n">
        <v>22523</v>
      </c>
      <c r="D248" s="268" t="n">
        <v>119248</v>
      </c>
      <c r="E248" s="269" t="n">
        <v>5.29449895662212</v>
      </c>
      <c r="F248" s="270" t="n">
        <v>0.822157603523749</v>
      </c>
      <c r="G248" s="271" t="n">
        <v>13.62</v>
      </c>
      <c r="H248" s="271" t="n">
        <v>20.51</v>
      </c>
      <c r="I248" s="142" t="n">
        <v>0.292</v>
      </c>
      <c r="J248" s="142" t="n">
        <v>0.151</v>
      </c>
      <c r="K248" s="142" t="n">
        <v>0.083</v>
      </c>
      <c r="L248" s="270" t="n">
        <v>10.0857205152288</v>
      </c>
      <c r="M248" s="272" t="n">
        <v>12.8361481953576</v>
      </c>
      <c r="N248" s="270" t="n">
        <v>19.8568481955219</v>
      </c>
      <c r="O248" s="273" t="n">
        <v>0.646434321749631</v>
      </c>
      <c r="P248" s="270" t="n">
        <v>2.59586695379187</v>
      </c>
      <c r="Q248" s="270" t="n">
        <v>3.78834029525465</v>
      </c>
      <c r="R248" s="270" t="n">
        <v>1.1130555483486</v>
      </c>
      <c r="S248" s="270" t="n">
        <v>7.06911760890434</v>
      </c>
      <c r="T248" s="270" t="n">
        <v>1.57801676050126</v>
      </c>
      <c r="U248" s="270" t="n">
        <v>0.451067638741146</v>
      </c>
      <c r="V248" s="270" t="n">
        <v>2.2603845056171</v>
      </c>
      <c r="W248" s="270" t="n">
        <v>1.00099888436292</v>
      </c>
      <c r="X248" s="274" t="n">
        <v>0.0162853884341876</v>
      </c>
      <c r="Y248" s="269" t="n">
        <v>12.8524335837918</v>
      </c>
      <c r="Z248" s="275" t="n">
        <v>1705</v>
      </c>
      <c r="AA248" s="275" t="n">
        <v>1015</v>
      </c>
      <c r="AB248" s="270" t="n">
        <v>12680.95</v>
      </c>
      <c r="AD248" s="276" t="n">
        <v>0.0142979337179659</v>
      </c>
      <c r="AE248" s="141" t="n">
        <v>0.00851167315175097</v>
      </c>
      <c r="AF248" s="270" t="n">
        <v>7.4375073313783</v>
      </c>
      <c r="AG248" s="277" t="n">
        <v>0.106340986850933</v>
      </c>
      <c r="AH248" s="131" t="n">
        <v>0.478355458864272</v>
      </c>
      <c r="AI248" s="131" t="n">
        <v>0.366514229898326</v>
      </c>
      <c r="AJ248" s="270" t="n">
        <v>0.407595934523011</v>
      </c>
      <c r="AK248" s="130" t="n">
        <v>0.269321078760231</v>
      </c>
      <c r="AL248" s="130" t="n">
        <v>0.0399419696766403</v>
      </c>
      <c r="AM248" s="133" t="n">
        <v>0.343603247014625</v>
      </c>
      <c r="AN248" s="39" t="n"/>
    </row>
    <row customHeight="1" ht="13.2" r="249" s="3">
      <c r="A249" s="117" t="n">
        <v>43590</v>
      </c>
      <c r="B249" s="289" t="inlineStr">
        <is>
          <t>iOS</t>
        </is>
      </c>
      <c r="C249" s="268" t="n">
        <v>23262</v>
      </c>
      <c r="D249" s="268" t="n">
        <v>118735</v>
      </c>
      <c r="E249" s="269" t="n">
        <v>5.10424727022612</v>
      </c>
      <c r="F249" s="270" t="n">
        <v>0.818342117496947</v>
      </c>
      <c r="G249" s="271" t="n">
        <v>13.93</v>
      </c>
      <c r="H249" s="271" t="n">
        <v>20.66</v>
      </c>
      <c r="I249" s="142" t="n">
        <v>0.301</v>
      </c>
      <c r="J249" s="142" t="n">
        <v>0.149</v>
      </c>
      <c r="K249" s="142" t="n">
        <v>0.089</v>
      </c>
      <c r="L249" s="270" t="n">
        <v>9.46782330399629</v>
      </c>
      <c r="M249" s="272" t="n">
        <v>12.4976544405609</v>
      </c>
      <c r="N249" s="270" t="n">
        <v>19.3272682278778</v>
      </c>
      <c r="O249" s="273" t="n">
        <v>0.646633258937971</v>
      </c>
      <c r="P249" s="270" t="n">
        <v>2.54476542759645</v>
      </c>
      <c r="Q249" s="270" t="n">
        <v>3.87983536950689</v>
      </c>
      <c r="R249" s="270" t="n">
        <v>1.13824272578082</v>
      </c>
      <c r="S249" s="270" t="n">
        <v>6.57420094297846</v>
      </c>
      <c r="T249" s="270" t="n">
        <v>1.56040792935476</v>
      </c>
      <c r="U249" s="270" t="n">
        <v>0.453866993149079</v>
      </c>
      <c r="V249" s="270" t="n">
        <v>2.16371877360702</v>
      </c>
      <c r="W249" s="270" t="n">
        <v>1.0122300659043</v>
      </c>
      <c r="X249" s="274" t="n">
        <v>0.0179980629132101</v>
      </c>
      <c r="Y249" s="269" t="n">
        <v>12.5156525034741</v>
      </c>
      <c r="Z249" s="275" t="n">
        <v>1465</v>
      </c>
      <c r="AA249" s="275" t="n">
        <v>952</v>
      </c>
      <c r="AB249" s="270" t="n">
        <v>12533.35</v>
      </c>
      <c r="AD249" s="276" t="n">
        <v>0.0123384006400809</v>
      </c>
      <c r="AE249" s="141" t="n">
        <v>0.008017854886933091</v>
      </c>
      <c r="AF249" s="270" t="n">
        <v>8.55518771331058</v>
      </c>
      <c r="AG249" s="277" t="n">
        <v>0.105557333557923</v>
      </c>
      <c r="AH249" s="131" t="n">
        <v>0.480956065686527</v>
      </c>
      <c r="AI249" s="131" t="n">
        <v>0.344467371679133</v>
      </c>
      <c r="AJ249" s="270" t="n">
        <v>0.417214806080768</v>
      </c>
      <c r="AK249" s="130" t="n">
        <v>0.268337053101444</v>
      </c>
      <c r="AL249" s="130" t="n">
        <v>0.0414957678864699</v>
      </c>
      <c r="AM249" s="133" t="n">
        <v>0.329641638943867</v>
      </c>
      <c r="AN249" s="39" t="n"/>
    </row>
    <row customHeight="1" ht="13.2" r="250" s="3">
      <c r="A250" s="117" t="n">
        <v>43591</v>
      </c>
      <c r="B250" s="289" t="inlineStr">
        <is>
          <t>iOS</t>
        </is>
      </c>
      <c r="C250" s="268" t="n">
        <v>25806</v>
      </c>
      <c r="D250" s="268" t="n">
        <v>123524</v>
      </c>
      <c r="E250" s="269" t="n">
        <v>4.78663876617841</v>
      </c>
      <c r="F250" s="270" t="n">
        <v>0.730027699103008</v>
      </c>
      <c r="G250" s="271" t="n">
        <v>13.92</v>
      </c>
      <c r="H250" s="271" t="n">
        <v>20.34</v>
      </c>
      <c r="I250" s="142" t="n">
        <v>0.307</v>
      </c>
      <c r="J250" s="142" t="n">
        <v>0.157</v>
      </c>
      <c r="K250" s="142" t="n">
        <v>0.091</v>
      </c>
      <c r="L250" s="270" t="n">
        <v>9.34579514912082</v>
      </c>
      <c r="M250" s="272" t="n">
        <v>11.8973964573686</v>
      </c>
      <c r="N250" s="270" t="n">
        <v>18.5017688308091</v>
      </c>
      <c r="O250" s="273" t="n">
        <v>0.643041028464104</v>
      </c>
      <c r="P250" s="270" t="n">
        <v>2.49325829965631</v>
      </c>
      <c r="Q250" s="270" t="n">
        <v>3.77087031511626</v>
      </c>
      <c r="R250" s="270" t="n">
        <v>1.06686306353942</v>
      </c>
      <c r="S250" s="270" t="n">
        <v>6.11401090254435</v>
      </c>
      <c r="T250" s="270" t="n">
        <v>1.52446777706437</v>
      </c>
      <c r="U250" s="270" t="n">
        <v>0.453903387846055</v>
      </c>
      <c r="V250" s="270" t="n">
        <v>2.07952814392366</v>
      </c>
      <c r="W250" s="270" t="n">
        <v>0.998866941118707</v>
      </c>
      <c r="X250" s="274" t="n">
        <v>0.0153087659078398</v>
      </c>
      <c r="Y250" s="269" t="n">
        <v>11.9127052232764</v>
      </c>
      <c r="Z250" s="275" t="n">
        <v>1312</v>
      </c>
      <c r="AA250" s="275" t="n">
        <v>907</v>
      </c>
      <c r="AB250" s="270" t="n">
        <v>9812.879999999999</v>
      </c>
      <c r="AD250" s="276" t="n">
        <v>0.010621417700204</v>
      </c>
      <c r="AE250" s="141" t="n">
        <v>0.00734270263268677</v>
      </c>
      <c r="AF250" s="270" t="n">
        <v>7.47932926829268</v>
      </c>
      <c r="AG250" s="277" t="n">
        <v>0.0794410802758978</v>
      </c>
      <c r="AH250" s="131" t="n">
        <v>0.470626985972254</v>
      </c>
      <c r="AI250" s="131" t="n">
        <v>0.331512051460901</v>
      </c>
      <c r="AJ250" s="270" t="n">
        <v>0.421812765130663</v>
      </c>
      <c r="AK250" s="130" t="n">
        <v>0.2704089893462</v>
      </c>
      <c r="AL250" s="130" t="n">
        <v>0.0422266118325184</v>
      </c>
      <c r="AM250" s="133" t="n">
        <v>0.315558110164826</v>
      </c>
      <c r="AN250" s="39" t="n"/>
    </row>
    <row customHeight="1" ht="13.2" r="251" s="3">
      <c r="A251" s="117" t="n">
        <v>43592</v>
      </c>
      <c r="B251" s="289" t="inlineStr">
        <is>
          <t>iOS</t>
        </is>
      </c>
      <c r="C251" s="268" t="n">
        <v>27470</v>
      </c>
      <c r="D251" s="268" t="n">
        <v>122895</v>
      </c>
      <c r="E251" s="269" t="n">
        <v>4.47378958864216</v>
      </c>
      <c r="F251" s="270" t="n">
        <v>0.723556181301111</v>
      </c>
      <c r="G251" s="271" t="n">
        <v>15.13</v>
      </c>
      <c r="H251" s="271" t="n">
        <v>21.62</v>
      </c>
      <c r="I251" s="142" t="n">
        <v>0.306</v>
      </c>
      <c r="J251" s="142" t="n">
        <v>0.159</v>
      </c>
      <c r="K251" s="142" t="n">
        <v>0.08799999999999999</v>
      </c>
      <c r="L251" s="270" t="n">
        <v>9.256096667887221</v>
      </c>
      <c r="M251" s="272" t="n">
        <v>11.1515440009764</v>
      </c>
      <c r="N251" s="270" t="n">
        <v>17.4442040146125</v>
      </c>
      <c r="O251" s="273" t="n">
        <v>0.639269294926563</v>
      </c>
      <c r="P251" s="270" t="n">
        <v>2.39970469559462</v>
      </c>
      <c r="Q251" s="270" t="n">
        <v>3.52631645940201</v>
      </c>
      <c r="R251" s="270" t="n">
        <v>1.02172778534425</v>
      </c>
      <c r="S251" s="270" t="n">
        <v>5.5962985120222</v>
      </c>
      <c r="T251" s="270" t="n">
        <v>1.45299950358311</v>
      </c>
      <c r="U251" s="270" t="n">
        <v>0.497727938087904</v>
      </c>
      <c r="V251" s="270" t="n">
        <v>1.98326184081565</v>
      </c>
      <c r="W251" s="270" t="n">
        <v>0.966167279762738</v>
      </c>
      <c r="X251" s="274" t="n">
        <v>0.0200740469506489</v>
      </c>
      <c r="Y251" s="269" t="n">
        <v>11.1716180479271</v>
      </c>
      <c r="Z251" s="275" t="n">
        <v>1258</v>
      </c>
      <c r="AA251" s="275" t="n">
        <v>879</v>
      </c>
      <c r="AB251" s="270" t="n">
        <v>8872.42</v>
      </c>
      <c r="AD251" s="276" t="n">
        <v>0.0102363806501485</v>
      </c>
      <c r="AE251" s="141" t="n">
        <v>0.00715244721103381</v>
      </c>
      <c r="AF251" s="270" t="n">
        <v>7.05279809220986</v>
      </c>
      <c r="AG251" s="277" t="n">
        <v>0.0721951259205012</v>
      </c>
      <c r="AH251" s="131" t="n">
        <v>0.459628685839097</v>
      </c>
      <c r="AI251" s="131" t="n">
        <v>0.326319621405169</v>
      </c>
      <c r="AJ251" s="270" t="n">
        <v>0.461532202286505</v>
      </c>
      <c r="AK251" s="130" t="n">
        <v>0.282501322266976</v>
      </c>
      <c r="AL251" s="130" t="n">
        <v>0.0472598559746125</v>
      </c>
      <c r="AM251" s="133" t="n">
        <v>0.255095813499329</v>
      </c>
      <c r="AN251" s="39" t="n"/>
    </row>
    <row customFormat="1" customHeight="1" ht="13.2" r="252" s="294">
      <c r="A252" s="121" t="n">
        <v>43593</v>
      </c>
      <c r="B252" s="295" t="inlineStr">
        <is>
          <t>iOS</t>
        </is>
      </c>
      <c r="C252" s="296" t="n">
        <v>30252</v>
      </c>
      <c r="D252" s="296" t="n">
        <v>123753</v>
      </c>
      <c r="E252" s="297" t="n">
        <v>4.09073780245934</v>
      </c>
      <c r="F252" s="294" t="n">
        <v>0.615816804441104</v>
      </c>
      <c r="G252" s="306" t="n">
        <v>16</v>
      </c>
      <c r="H252" s="306" t="n">
        <v>22.88</v>
      </c>
      <c r="I252" s="124" t="n">
        <v>0.3</v>
      </c>
      <c r="J252" s="124" t="n">
        <v>0.151</v>
      </c>
      <c r="K252" s="124" t="n">
        <v>0.081</v>
      </c>
      <c r="L252" s="294" t="n">
        <v>8.418527227622761</v>
      </c>
      <c r="M252" s="299" t="n">
        <v>9.662553635063389</v>
      </c>
      <c r="N252" s="294" t="n">
        <v>15.5529108787264</v>
      </c>
      <c r="O252" s="300" t="n">
        <v>0.621269787399093</v>
      </c>
      <c r="P252" s="294" t="n">
        <v>2.22848707143229</v>
      </c>
      <c r="Q252" s="294" t="n">
        <v>3.11733260496332</v>
      </c>
      <c r="R252" s="294" t="n">
        <v>0.891108683211071</v>
      </c>
      <c r="S252" s="294" t="n">
        <v>4.86000988502159</v>
      </c>
      <c r="T252" s="294" t="n">
        <v>1.31028562509755</v>
      </c>
      <c r="U252" s="294" t="n">
        <v>0.529655064772905</v>
      </c>
      <c r="V252" s="294" t="n">
        <v>1.73652515477863</v>
      </c>
      <c r="W252" s="294" t="n">
        <v>0.87950678944904</v>
      </c>
      <c r="X252" s="301" t="n">
        <v>0.0172359457952534</v>
      </c>
      <c r="Y252" s="297" t="n">
        <v>9.67978958085865</v>
      </c>
      <c r="Z252" s="293" t="n">
        <v>990</v>
      </c>
      <c r="AA252" s="293" t="n">
        <v>704</v>
      </c>
      <c r="AB252" s="294" t="n">
        <v>5659.1</v>
      </c>
      <c r="AD252" s="303" t="n">
        <v>0.007999806065307509</v>
      </c>
      <c r="AE252" s="123" t="n">
        <v>0.00568875097977423</v>
      </c>
      <c r="AF252" s="294" t="n">
        <v>5.71626262626262</v>
      </c>
      <c r="AG252" s="304" t="n">
        <v>0.0457289924284664</v>
      </c>
      <c r="AH252" s="135" t="n">
        <v>0.436268676451144</v>
      </c>
      <c r="AI252" s="135" t="n">
        <v>0.298724051302393</v>
      </c>
      <c r="AJ252" s="294" t="n">
        <v>0.5032928494662759</v>
      </c>
      <c r="AK252" s="136" t="n">
        <v>0.296000905028565</v>
      </c>
      <c r="AL252" s="136" t="n">
        <v>0.0488796231202476</v>
      </c>
      <c r="AM252" s="137" t="n">
        <v>0</v>
      </c>
      <c r="AN252" s="307" t="n">
        <v>8.744999999999999</v>
      </c>
    </row>
    <row customHeight="1" ht="13.2" r="253" s="3">
      <c r="A253" s="117" t="n">
        <v>43594</v>
      </c>
      <c r="B253" s="267" t="inlineStr">
        <is>
          <t>iOS</t>
        </is>
      </c>
      <c r="C253" s="268" t="n">
        <v>25882</v>
      </c>
      <c r="D253" s="268" t="n">
        <v>119296</v>
      </c>
      <c r="E253" s="269" t="n">
        <v>4.60922648945213</v>
      </c>
      <c r="F253" s="270" t="n">
        <v>0.61613696657893</v>
      </c>
      <c r="G253" s="271" t="n">
        <v>15.55</v>
      </c>
      <c r="H253" s="271" t="n">
        <v>22.09</v>
      </c>
      <c r="I253" s="142" t="n">
        <v>0.298</v>
      </c>
      <c r="J253" s="142" t="n">
        <v>0.155</v>
      </c>
      <c r="K253" s="142" t="n">
        <v>0.083</v>
      </c>
      <c r="L253" s="270" t="n">
        <v>8.43366919259657</v>
      </c>
      <c r="M253" s="272" t="n">
        <v>9.735707819206009</v>
      </c>
      <c r="N253" s="270" t="n">
        <v>15.4480534163308</v>
      </c>
      <c r="O253" s="273" t="n">
        <v>0.6302223041845491</v>
      </c>
      <c r="P253" s="270" t="n">
        <v>2.21861325033585</v>
      </c>
      <c r="Q253" s="270" t="n">
        <v>3.1477195642632</v>
      </c>
      <c r="R253" s="270" t="n">
        <v>0.88248673237301</v>
      </c>
      <c r="S253" s="270" t="n">
        <v>4.75306917787266</v>
      </c>
      <c r="T253" s="270" t="n">
        <v>1.31346181982629</v>
      </c>
      <c r="U253" s="270" t="n">
        <v>0.528324222231089</v>
      </c>
      <c r="V253" s="270" t="n">
        <v>1.72557626059082</v>
      </c>
      <c r="W253" s="270" t="n">
        <v>0.878802388837902</v>
      </c>
      <c r="X253" s="274" t="n">
        <v>0.0170667918454936</v>
      </c>
      <c r="Y253" s="269" t="n">
        <v>9.7527746110515</v>
      </c>
      <c r="Z253" s="275" t="n">
        <v>1002</v>
      </c>
      <c r="AA253" s="275" t="n">
        <v>754</v>
      </c>
      <c r="AB253" s="270" t="n">
        <v>6018.98</v>
      </c>
      <c r="AD253" s="276" t="n">
        <v>0.00839927575107296</v>
      </c>
      <c r="AE253" s="141" t="n">
        <v>0.00632041309012876</v>
      </c>
      <c r="AF253" s="270" t="n">
        <v>6.00696606786427</v>
      </c>
      <c r="AG253" s="277" t="n">
        <v>0.0504541644313305</v>
      </c>
      <c r="AH253" s="131" t="n">
        <v>0.470867784560699</v>
      </c>
      <c r="AI253" s="131" t="n">
        <v>0.350088864848157</v>
      </c>
      <c r="AJ253" s="270" t="n">
        <v>0.509623122317597</v>
      </c>
      <c r="AK253" s="130" t="n">
        <v>0.304964122854077</v>
      </c>
      <c r="AL253" s="130" t="n">
        <v>0.0492472505364807</v>
      </c>
      <c r="AM253" s="133" t="n">
        <v>0</v>
      </c>
      <c r="AN253" s="307" t="n">
        <v>8.199999999999999</v>
      </c>
    </row>
    <row customHeight="1" ht="13.2" r="254" s="3">
      <c r="A254" s="117" t="n">
        <v>43595</v>
      </c>
      <c r="B254" s="267" t="inlineStr">
        <is>
          <t>iOS</t>
        </is>
      </c>
      <c r="C254" s="268" t="n">
        <v>22871</v>
      </c>
      <c r="D254" s="268" t="n">
        <v>115341</v>
      </c>
      <c r="E254" s="269" t="n">
        <v>5.04311136373574</v>
      </c>
      <c r="F254" s="270" t="n">
        <v>0.609989668894842</v>
      </c>
      <c r="G254" s="271" t="n">
        <v>15</v>
      </c>
      <c r="H254" s="271" t="n">
        <v>20.92</v>
      </c>
      <c r="I254" s="142" t="n">
        <v>0.289</v>
      </c>
      <c r="J254" s="142" t="n">
        <v>0.152</v>
      </c>
      <c r="K254" s="142" t="n">
        <v>0.08</v>
      </c>
      <c r="L254" s="270" t="n">
        <v>8.19040930805178</v>
      </c>
      <c r="M254" s="272" t="n">
        <v>9.534987558630499</v>
      </c>
      <c r="N254" s="270" t="n">
        <v>15.2167446107867</v>
      </c>
      <c r="O254" s="273" t="n">
        <v>0.6266115258234281</v>
      </c>
      <c r="P254" s="270" t="n">
        <v>2.21021390818275</v>
      </c>
      <c r="Q254" s="270" t="n">
        <v>3.09057198992722</v>
      </c>
      <c r="R254" s="270" t="n">
        <v>0.856836483382682</v>
      </c>
      <c r="S254" s="270" t="n">
        <v>4.65348534742784</v>
      </c>
      <c r="T254" s="270" t="n">
        <v>1.30745496305725</v>
      </c>
      <c r="U254" s="270" t="n">
        <v>0.518416027893848</v>
      </c>
      <c r="V254" s="270" t="n">
        <v>1.70026565569914</v>
      </c>
      <c r="W254" s="270" t="n">
        <v>0.879500235215984</v>
      </c>
      <c r="X254" s="274" t="n">
        <v>0.0177213653427662</v>
      </c>
      <c r="Y254" s="269" t="n">
        <v>9.55270892397326</v>
      </c>
      <c r="Z254" s="275" t="n">
        <v>1011</v>
      </c>
      <c r="AA254" s="275" t="n">
        <v>727</v>
      </c>
      <c r="AB254" s="270" t="n">
        <v>6890.89</v>
      </c>
      <c r="AD254" s="276" t="n">
        <v>0.00876531328842302</v>
      </c>
      <c r="AE254" s="141" t="n">
        <v>0.00630304921927155</v>
      </c>
      <c r="AF254" s="270" t="n">
        <v>6.81591493570722</v>
      </c>
      <c r="AG254" s="277" t="n">
        <v>0.0597436297587155</v>
      </c>
      <c r="AH254" s="131" t="n">
        <v>0.460364653928556</v>
      </c>
      <c r="AI254" s="131" t="n">
        <v>0.336627169778322</v>
      </c>
      <c r="AJ254" s="270" t="n">
        <v>0.494247492218725</v>
      </c>
      <c r="AK254" s="130" t="n">
        <v>0.308858081688211</v>
      </c>
      <c r="AL254" s="130" t="n">
        <v>0.0492712912147458</v>
      </c>
      <c r="AM254" s="133" t="n">
        <v>0</v>
      </c>
      <c r="AN254" s="307" t="n">
        <v>7.478</v>
      </c>
    </row>
    <row customHeight="1" ht="13.2" r="255" s="3">
      <c r="A255" s="117" t="n">
        <v>43596</v>
      </c>
      <c r="B255" s="289" t="inlineStr">
        <is>
          <t>iOS</t>
        </is>
      </c>
      <c r="C255" s="268" t="n">
        <v>19264</v>
      </c>
      <c r="D255" s="268" t="n">
        <v>109077</v>
      </c>
      <c r="E255" s="269" t="n">
        <v>5.66221968438538</v>
      </c>
      <c r="F255" s="270" t="n">
        <v>0.872237465276823</v>
      </c>
      <c r="G255" s="271" t="n">
        <v>15</v>
      </c>
      <c r="H255" s="271" t="n">
        <v>20.35</v>
      </c>
      <c r="I255" s="142" t="n">
        <v>0.289</v>
      </c>
      <c r="J255" s="142" t="n">
        <v>0.143</v>
      </c>
      <c r="K255" s="142" t="n">
        <v>0.081</v>
      </c>
      <c r="L255" s="270" t="n">
        <v>9.8474013770089</v>
      </c>
      <c r="M255" s="272" t="n">
        <v>12.7139360268434</v>
      </c>
      <c r="N255" s="270" t="n">
        <v>19.7628398791541</v>
      </c>
      <c r="O255" s="273" t="n">
        <v>0.643325357316391</v>
      </c>
      <c r="P255" s="270" t="n">
        <v>2.59613521062532</v>
      </c>
      <c r="Q255" s="270" t="n">
        <v>3.69741492333124</v>
      </c>
      <c r="R255" s="270" t="n">
        <v>1.1445448326968</v>
      </c>
      <c r="S255" s="270" t="n">
        <v>7.09798780140227</v>
      </c>
      <c r="T255" s="270" t="n">
        <v>1.59300005700279</v>
      </c>
      <c r="U255" s="270" t="n">
        <v>0.437482186627145</v>
      </c>
      <c r="V255" s="270" t="n">
        <v>2.21447300917745</v>
      </c>
      <c r="W255" s="270" t="n">
        <v>0.981801858291056</v>
      </c>
      <c r="X255" s="274" t="n">
        <v>0.0175655729438837</v>
      </c>
      <c r="Y255" s="269" t="n">
        <v>12.7315015997873</v>
      </c>
      <c r="Z255" s="275" t="n">
        <v>1450</v>
      </c>
      <c r="AA255" s="275" t="n">
        <v>928</v>
      </c>
      <c r="AB255" s="270" t="n">
        <v>11469.5</v>
      </c>
      <c r="AD255" s="276" t="n">
        <v>0.0132933615702669</v>
      </c>
      <c r="AE255" s="141" t="n">
        <v>0.008507751404970801</v>
      </c>
      <c r="AF255" s="270" t="n">
        <v>7.91</v>
      </c>
      <c r="AG255" s="277" t="n">
        <v>0.105150490020811</v>
      </c>
      <c r="AH255" s="131" t="n">
        <v>0.466310215946844</v>
      </c>
      <c r="AI255" s="131" t="n">
        <v>0.360672757475083</v>
      </c>
      <c r="AJ255" s="270" t="n">
        <v>0.402101267911659</v>
      </c>
      <c r="AK255" s="130" t="n">
        <v>0.270396142174794</v>
      </c>
      <c r="AL255" s="130" t="n">
        <v>0.0429971488031391</v>
      </c>
      <c r="AM255" s="133" t="n">
        <v>0.347589317637999</v>
      </c>
      <c r="AN255" s="307" t="n">
        <v>8.52</v>
      </c>
    </row>
    <row customHeight="1" ht="13.2" r="256" s="3">
      <c r="A256" s="117" t="n">
        <v>43597</v>
      </c>
      <c r="B256" s="289" t="inlineStr">
        <is>
          <t>iOS</t>
        </is>
      </c>
      <c r="C256" s="268" t="n">
        <v>21309</v>
      </c>
      <c r="D256" s="268" t="n">
        <v>110634</v>
      </c>
      <c r="E256" s="269" t="n">
        <v>5.19189075038716</v>
      </c>
      <c r="F256" s="270" t="n">
        <v>0.73689277908238</v>
      </c>
      <c r="G256" s="271" t="n">
        <v>13.29</v>
      </c>
      <c r="H256" s="271" t="n">
        <v>20.07</v>
      </c>
      <c r="I256" s="142" t="n">
        <v>0.295</v>
      </c>
      <c r="J256" s="142" t="n">
        <v>0.146</v>
      </c>
      <c r="K256" s="142" t="n">
        <v>0.08799999999999999</v>
      </c>
      <c r="L256" s="270" t="n">
        <v>9.379114919464181</v>
      </c>
      <c r="M256" s="272" t="n">
        <v>12.4821754614314</v>
      </c>
      <c r="N256" s="270" t="n">
        <v>19.5176668456907</v>
      </c>
      <c r="O256" s="273" t="n">
        <v>0.639532151056637</v>
      </c>
      <c r="P256" s="270" t="n">
        <v>2.56331797495548</v>
      </c>
      <c r="Q256" s="270" t="n">
        <v>3.8817169347316</v>
      </c>
      <c r="R256" s="270" t="n">
        <v>1.1469740226701</v>
      </c>
      <c r="S256" s="270" t="n">
        <v>6.71658139469147</v>
      </c>
      <c r="T256" s="270" t="n">
        <v>1.59145772677163</v>
      </c>
      <c r="U256" s="270" t="n">
        <v>0.452737654408231</v>
      </c>
      <c r="V256" s="270" t="n">
        <v>2.15478983520366</v>
      </c>
      <c r="W256" s="270" t="n">
        <v>1.01009130225853</v>
      </c>
      <c r="X256" s="274" t="n">
        <v>0.015908310284361</v>
      </c>
      <c r="Y256" s="269" t="n">
        <v>12.4980837717157</v>
      </c>
      <c r="Z256" s="275" t="n">
        <v>1200</v>
      </c>
      <c r="AA256" s="275" t="n">
        <v>816</v>
      </c>
      <c r="AB256" s="270" t="n">
        <v>9074</v>
      </c>
      <c r="AD256" s="276" t="n">
        <v>0.0108465751938825</v>
      </c>
      <c r="AE256" s="141" t="n">
        <v>0.00737567113184012</v>
      </c>
      <c r="AF256" s="270" t="n">
        <v>7.56166666666667</v>
      </c>
      <c r="AG256" s="277" t="n">
        <v>0.0820181860910751</v>
      </c>
      <c r="AH256" s="131" t="n">
        <v>0.478201698812708</v>
      </c>
      <c r="AI256" s="131" t="n">
        <v>0.345253179407762</v>
      </c>
      <c r="AJ256" s="270" t="n">
        <v>0.414420521720267</v>
      </c>
      <c r="AK256" s="130" t="n">
        <v>0.266518430139017</v>
      </c>
      <c r="AL256" s="130" t="n">
        <v>0.042907243704467</v>
      </c>
      <c r="AM256" s="133" t="n">
        <v>0.338593922302366</v>
      </c>
      <c r="AN256" s="307" t="n">
        <v>8.906000000000001</v>
      </c>
    </row>
    <row customHeight="1" ht="13.2" r="257" s="3">
      <c r="A257" s="117" t="n">
        <v>43598</v>
      </c>
      <c r="B257" s="289" t="inlineStr">
        <is>
          <t>iOS</t>
        </is>
      </c>
      <c r="C257" s="268" t="n">
        <v>22442</v>
      </c>
      <c r="D257" s="268" t="n">
        <v>114170</v>
      </c>
      <c r="E257" s="269" t="n">
        <v>5.08733624454148</v>
      </c>
      <c r="F257" s="270" t="n">
        <v>0.71170660510642</v>
      </c>
      <c r="G257" s="271" t="n">
        <v>13.33</v>
      </c>
      <c r="H257" s="271" t="n">
        <v>19.44</v>
      </c>
      <c r="I257" s="142" t="n">
        <v>0.315</v>
      </c>
      <c r="J257" s="142" t="n">
        <v>0.167</v>
      </c>
      <c r="K257" s="142" t="n">
        <v>0.1</v>
      </c>
      <c r="L257" s="270" t="n">
        <v>9.459104843654201</v>
      </c>
      <c r="M257" s="272" t="n">
        <v>12.1244197249715</v>
      </c>
      <c r="N257" s="270" t="n">
        <v>18.819950511203</v>
      </c>
      <c r="O257" s="273" t="n">
        <v>0.644232285188754</v>
      </c>
      <c r="P257" s="270" t="n">
        <v>2.53779638894931</v>
      </c>
      <c r="Q257" s="270" t="n">
        <v>3.85118011746791</v>
      </c>
      <c r="R257" s="270" t="n">
        <v>1.09468131390037</v>
      </c>
      <c r="S257" s="270" t="n">
        <v>6.22520121818577</v>
      </c>
      <c r="T257" s="270" t="n">
        <v>1.57447792038286</v>
      </c>
      <c r="U257" s="270" t="n">
        <v>0.456697302588645</v>
      </c>
      <c r="V257" s="270" t="n">
        <v>2.09088807918208</v>
      </c>
      <c r="W257" s="270" t="n">
        <v>0.989028170546008</v>
      </c>
      <c r="X257" s="274" t="n">
        <v>0.0149689060173426</v>
      </c>
      <c r="Y257" s="269" t="n">
        <v>12.1393886309889</v>
      </c>
      <c r="Z257" s="275" t="n">
        <v>1242</v>
      </c>
      <c r="AA257" s="275" t="n">
        <v>840</v>
      </c>
      <c r="AB257" s="270" t="n">
        <v>8815.58</v>
      </c>
      <c r="AD257" s="276" t="n">
        <v>0.0108785144959271</v>
      </c>
      <c r="AE257" s="141" t="n">
        <v>0.00735744941753525</v>
      </c>
      <c r="AF257" s="270" t="n">
        <v>7.09789049919485</v>
      </c>
      <c r="AG257" s="277" t="n">
        <v>0.0772145046859946</v>
      </c>
      <c r="AH257" s="131" t="n">
        <v>0.48854825773104</v>
      </c>
      <c r="AI257" s="131" t="n">
        <v>0.35014704571785</v>
      </c>
      <c r="AJ257" s="270" t="n">
        <v>0.433380047297889</v>
      </c>
      <c r="AK257" s="130" t="n">
        <v>0.273329245861435</v>
      </c>
      <c r="AL257" s="130" t="n">
        <v>0.0448541648419024</v>
      </c>
      <c r="AM257" s="133" t="n">
        <v>0.328737847070159</v>
      </c>
      <c r="AN257" s="307" t="n">
        <v>9.019</v>
      </c>
    </row>
    <row customHeight="1" ht="13.2" r="258" s="3">
      <c r="A258" s="117" t="n">
        <v>43599</v>
      </c>
      <c r="B258" s="289" t="inlineStr">
        <is>
          <t>iOS</t>
        </is>
      </c>
      <c r="C258" s="268" t="n">
        <v>20940</v>
      </c>
      <c r="D258" s="268" t="n">
        <v>110223</v>
      </c>
      <c r="E258" s="269" t="n">
        <v>5.26375358166189</v>
      </c>
      <c r="F258" s="270" t="n">
        <v>0.696564220053891</v>
      </c>
      <c r="G258" s="271" t="n">
        <v>14.09</v>
      </c>
      <c r="H258" s="271" t="n">
        <v>20.21</v>
      </c>
      <c r="I258" s="142" t="n">
        <v>0.318</v>
      </c>
      <c r="J258" s="142" t="n">
        <v>0.169</v>
      </c>
      <c r="K258" s="142" t="n">
        <v>0.093</v>
      </c>
      <c r="L258" s="270" t="n">
        <v>9.27360895638841</v>
      </c>
      <c r="M258" s="272" t="n">
        <v>11.4503415802509</v>
      </c>
      <c r="N258" s="270" t="n">
        <v>17.7864511401111</v>
      </c>
      <c r="O258" s="273" t="n">
        <v>0.643767634704191</v>
      </c>
      <c r="P258" s="270" t="n">
        <v>2.40147693001494</v>
      </c>
      <c r="Q258" s="270" t="n">
        <v>3.64719975196595</v>
      </c>
      <c r="R258" s="270" t="n">
        <v>1.03337185377265</v>
      </c>
      <c r="S258" s="270" t="n">
        <v>5.78354801431833</v>
      </c>
      <c r="T258" s="270" t="n">
        <v>1.47853659911497</v>
      </c>
      <c r="U258" s="270" t="n">
        <v>0.487880154457566</v>
      </c>
      <c r="V258" s="270" t="n">
        <v>1.99653316046112</v>
      </c>
      <c r="W258" s="270" t="n">
        <v>0.957904676005524</v>
      </c>
      <c r="X258" s="274" t="n">
        <v>0.013772080237337</v>
      </c>
      <c r="Y258" s="269" t="n">
        <v>11.4641136604883</v>
      </c>
      <c r="Z258" s="275" t="n">
        <v>1112</v>
      </c>
      <c r="AA258" s="275" t="n">
        <v>795</v>
      </c>
      <c r="AB258" s="270" t="n">
        <v>7832.88</v>
      </c>
      <c r="AD258" s="276" t="n">
        <v>0.01008863848743</v>
      </c>
      <c r="AE258" s="141" t="n">
        <v>0.00721265071718244</v>
      </c>
      <c r="AF258" s="270" t="n">
        <v>7.04395683453238</v>
      </c>
      <c r="AG258" s="277" t="n">
        <v>0.0710639340246591</v>
      </c>
      <c r="AH258" s="131" t="n">
        <v>0.472445081184336</v>
      </c>
      <c r="AI258" s="131" t="n">
        <v>0.353247373447946</v>
      </c>
      <c r="AJ258" s="270" t="n">
        <v>0.468586411184598</v>
      </c>
      <c r="AK258" s="130" t="n">
        <v>0.29031145949575</v>
      </c>
      <c r="AL258" s="130" t="n">
        <v>0.0516044745651996</v>
      </c>
      <c r="AM258" s="133" t="n">
        <v>0.273010170291137</v>
      </c>
      <c r="AN258" s="307" t="n">
        <v>7.791</v>
      </c>
    </row>
    <row customFormat="1" customHeight="1" ht="13.2" r="259" s="294">
      <c r="A259" s="121" t="n">
        <v>43600</v>
      </c>
      <c r="B259" s="295" t="inlineStr">
        <is>
          <t>iOS</t>
        </is>
      </c>
      <c r="C259" s="296" t="n">
        <v>21561</v>
      </c>
      <c r="D259" s="296" t="n">
        <v>108660</v>
      </c>
      <c r="E259" s="297" t="n">
        <v>5.03965493251704</v>
      </c>
      <c r="F259" s="294" t="n">
        <v>0.612304232026505</v>
      </c>
      <c r="G259" s="306" t="n">
        <v>15.28</v>
      </c>
      <c r="H259" s="306" t="n">
        <v>21.8</v>
      </c>
      <c r="I259" s="124" t="n">
        <v>0.305</v>
      </c>
      <c r="J259" s="124" t="n">
        <v>0.156</v>
      </c>
      <c r="K259" s="124" t="n">
        <v>0.08599999999999999</v>
      </c>
      <c r="L259" s="294" t="n">
        <v>8.44338302963372</v>
      </c>
      <c r="M259" s="299" t="n">
        <v>9.838238542241861</v>
      </c>
      <c r="N259" s="294" t="n">
        <v>15.7038370009108</v>
      </c>
      <c r="O259" s="300" t="n">
        <v>0.626486287502301</v>
      </c>
      <c r="P259" s="294" t="n">
        <v>2.25664717807092</v>
      </c>
      <c r="Q259" s="294" t="n">
        <v>3.12295443194171</v>
      </c>
      <c r="R259" s="294" t="n">
        <v>0.904119046919529</v>
      </c>
      <c r="S259" s="294" t="n">
        <v>4.91653200928401</v>
      </c>
      <c r="T259" s="294" t="n">
        <v>1.34613802626553</v>
      </c>
      <c r="U259" s="294" t="n">
        <v>0.519978258953492</v>
      </c>
      <c r="V259" s="294" t="n">
        <v>1.74501278020977</v>
      </c>
      <c r="W259" s="294" t="n">
        <v>0.892455269265799</v>
      </c>
      <c r="X259" s="301" t="n">
        <v>0.0136480765691147</v>
      </c>
      <c r="Y259" s="297" t="n">
        <v>9.851886618810971</v>
      </c>
      <c r="Z259" s="293" t="n">
        <v>909</v>
      </c>
      <c r="AA259" s="293" t="n">
        <v>629</v>
      </c>
      <c r="AB259" s="294" t="n">
        <v>5466.91</v>
      </c>
      <c r="AD259" s="303" t="n">
        <v>0.008365543898398669</v>
      </c>
      <c r="AE259" s="123" t="n">
        <v>0.00578869869317136</v>
      </c>
      <c r="AF259" s="294" t="n">
        <v>6.01420242024202</v>
      </c>
      <c r="AG259" s="304" t="n">
        <v>0.0503120743603902</v>
      </c>
      <c r="AH259" s="135" t="n">
        <v>0.459162376513149</v>
      </c>
      <c r="AI259" s="135" t="n">
        <v>0.332823152914985</v>
      </c>
      <c r="AJ259" s="294" t="n">
        <v>0.522381741211117</v>
      </c>
      <c r="AK259" s="136" t="n">
        <v>0.311908706055586</v>
      </c>
      <c r="AL259" s="136" t="n">
        <v>0.0543530277931161</v>
      </c>
      <c r="AM259" s="137" t="n">
        <v>0</v>
      </c>
      <c r="AN259" s="307" t="n">
        <v>8.481</v>
      </c>
    </row>
    <row customHeight="1" ht="13.2" r="260" s="3">
      <c r="A260" s="117" t="n">
        <v>43601</v>
      </c>
      <c r="B260" s="267" t="inlineStr">
        <is>
          <t>iOS</t>
        </is>
      </c>
      <c r="C260" s="268" t="n">
        <v>17554</v>
      </c>
      <c r="D260" s="268" t="n">
        <v>102267</v>
      </c>
      <c r="E260" s="269" t="n">
        <v>5.82585165774183</v>
      </c>
      <c r="F260" s="270" t="n">
        <v>0.622184644078735</v>
      </c>
      <c r="G260" s="271" t="n">
        <v>15.78</v>
      </c>
      <c r="H260" s="271" t="n">
        <v>22.55</v>
      </c>
      <c r="I260" s="142" t="n">
        <v>0.311</v>
      </c>
      <c r="J260" s="142" t="n">
        <v>0.157</v>
      </c>
      <c r="K260" s="142" t="n">
        <v>0.08599999999999999</v>
      </c>
      <c r="L260" s="270" t="n">
        <v>8.156873673814619</v>
      </c>
      <c r="M260" s="272" t="n">
        <v>9.68155905619604</v>
      </c>
      <c r="N260" s="270" t="n">
        <v>15.2565449866712</v>
      </c>
      <c r="O260" s="273" t="n">
        <v>0.634583981147389</v>
      </c>
      <c r="P260" s="270" t="n">
        <v>2.22540333143289</v>
      </c>
      <c r="Q260" s="270" t="n">
        <v>3.07678321031789</v>
      </c>
      <c r="R260" s="270" t="n">
        <v>0.879979043715426</v>
      </c>
      <c r="S260" s="270" t="n">
        <v>4.64557683714193</v>
      </c>
      <c r="T260" s="270" t="n">
        <v>1.34477710834091</v>
      </c>
      <c r="U260" s="270" t="n">
        <v>0.514430559193799</v>
      </c>
      <c r="V260" s="270" t="n">
        <v>1.69229702451577</v>
      </c>
      <c r="W260" s="270" t="n">
        <v>0.877297872012574</v>
      </c>
      <c r="X260" s="274" t="n">
        <v>0.0142959116821653</v>
      </c>
      <c r="Y260" s="269" t="n">
        <v>9.6958549678782</v>
      </c>
      <c r="Z260" s="275" t="n">
        <v>877</v>
      </c>
      <c r="AA260" s="275" t="n">
        <v>632</v>
      </c>
      <c r="AB260" s="270" t="n">
        <v>5225.23</v>
      </c>
      <c r="AD260" s="276" t="n">
        <v>0.008575591344226389</v>
      </c>
      <c r="AE260" s="141" t="n">
        <v>0.00617990163004684</v>
      </c>
      <c r="AF260" s="270" t="n">
        <v>5.95807297605473</v>
      </c>
      <c r="AG260" s="277" t="n">
        <v>0.0510939990417241</v>
      </c>
      <c r="AH260" s="131" t="n">
        <v>0.489973795146405</v>
      </c>
      <c r="AI260" s="131" t="n">
        <v>0.377235957616498</v>
      </c>
      <c r="AJ260" s="270" t="n">
        <v>0.512697155485152</v>
      </c>
      <c r="AK260" s="130" t="n">
        <v>0.322450057203203</v>
      </c>
      <c r="AL260" s="130" t="n">
        <v>0.0555897796943296</v>
      </c>
      <c r="AM260" s="133" t="n">
        <v>0</v>
      </c>
      <c r="AN260" s="307" t="n">
        <v>7.763</v>
      </c>
    </row>
    <row customHeight="1" ht="13.2" r="261" s="3">
      <c r="A261" s="117" t="n">
        <v>43602</v>
      </c>
      <c r="B261" s="267" t="inlineStr">
        <is>
          <t>iOS</t>
        </is>
      </c>
      <c r="C261" s="268" t="n">
        <v>16396</v>
      </c>
      <c r="D261" s="268" t="n">
        <v>99152</v>
      </c>
      <c r="E261" s="269" t="n">
        <v>6.04732861673579</v>
      </c>
      <c r="F261" s="270" t="n">
        <v>0.606530161439003</v>
      </c>
      <c r="G261" s="271" t="n">
        <v>14.83</v>
      </c>
      <c r="H261" s="271" t="n">
        <v>20.61</v>
      </c>
      <c r="I261" s="142" t="n">
        <v>0.302</v>
      </c>
      <c r="J261" s="142" t="n">
        <v>0.161</v>
      </c>
      <c r="K261" s="142" t="n">
        <v>0.08400000000000001</v>
      </c>
      <c r="L261" s="270" t="n">
        <v>7.96659674035824</v>
      </c>
      <c r="M261" s="272" t="n">
        <v>9.48395392932064</v>
      </c>
      <c r="N261" s="270" t="n">
        <v>15.1454870506378</v>
      </c>
      <c r="O261" s="273" t="n">
        <v>0.62619009197999</v>
      </c>
      <c r="P261" s="270" t="n">
        <v>2.22746746553279</v>
      </c>
      <c r="Q261" s="270" t="n">
        <v>3.05337585362711</v>
      </c>
      <c r="R261" s="270" t="n">
        <v>0.864901430228063</v>
      </c>
      <c r="S261" s="270" t="n">
        <v>4.579596701456</v>
      </c>
      <c r="T261" s="270" t="n">
        <v>1.33858394536786</v>
      </c>
      <c r="U261" s="270" t="n">
        <v>0.514801571962376</v>
      </c>
      <c r="V261" s="270" t="n">
        <v>1.69572220074733</v>
      </c>
      <c r="W261" s="270" t="n">
        <v>0.8710378817162741</v>
      </c>
      <c r="X261" s="274" t="n">
        <v>0.0180228336291754</v>
      </c>
      <c r="Y261" s="269" t="n">
        <v>9.501976762949811</v>
      </c>
      <c r="Z261" s="275" t="n">
        <v>899</v>
      </c>
      <c r="AA261" s="275" t="n">
        <v>632</v>
      </c>
      <c r="AB261" s="270" t="n">
        <v>6112.01</v>
      </c>
      <c r="AD261" s="276" t="n">
        <v>0.009066887203485559</v>
      </c>
      <c r="AE261" s="141" t="n">
        <v>0.00637405196062611</v>
      </c>
      <c r="AF261" s="270" t="n">
        <v>6.79867630700779</v>
      </c>
      <c r="AG261" s="277" t="n">
        <v>0.0616428312086493</v>
      </c>
      <c r="AH261" s="131" t="n">
        <v>0.467431080751403</v>
      </c>
      <c r="AI261" s="131" t="n">
        <v>0.343925347645767</v>
      </c>
      <c r="AJ261" s="270" t="n">
        <v>0.499304098757463</v>
      </c>
      <c r="AK261" s="130" t="n">
        <v>0.323079715991609</v>
      </c>
      <c r="AL261" s="130" t="n">
        <v>0.054703888978538</v>
      </c>
      <c r="AM261" s="133" t="n">
        <v>0</v>
      </c>
      <c r="AN261" s="307" t="n">
        <v>8.412000000000001</v>
      </c>
    </row>
    <row customHeight="1" ht="13.2" r="262" s="3">
      <c r="A262" s="117" t="n">
        <v>43603</v>
      </c>
      <c r="B262" s="289" t="inlineStr">
        <is>
          <t>iOS</t>
        </is>
      </c>
      <c r="C262" s="268" t="n">
        <v>20839</v>
      </c>
      <c r="D262" s="268" t="n">
        <v>101167</v>
      </c>
      <c r="E262" s="269" t="n">
        <v>4.85469552281779</v>
      </c>
      <c r="F262" s="270" t="n">
        <v>0.7404455692073501</v>
      </c>
      <c r="G262" s="271" t="n">
        <v>12.61</v>
      </c>
      <c r="H262" s="271" t="n">
        <v>18.23</v>
      </c>
      <c r="I262" s="142" t="n">
        <v>0.264</v>
      </c>
      <c r="J262" s="142" t="n">
        <v>0.128</v>
      </c>
      <c r="K262" s="142" t="n">
        <v>0.07199999999999999</v>
      </c>
      <c r="L262" s="270" t="n">
        <v>9.43096068876214</v>
      </c>
      <c r="M262" s="272" t="n">
        <v>12.2372413929443</v>
      </c>
      <c r="N262" s="270" t="n">
        <v>19.529665094414</v>
      </c>
      <c r="O262" s="273" t="n">
        <v>0.626597605938695</v>
      </c>
      <c r="P262" s="270" t="n">
        <v>2.66189206669716</v>
      </c>
      <c r="Q262" s="270" t="n">
        <v>3.61980407313341</v>
      </c>
      <c r="R262" s="270" t="n">
        <v>1.08963417519837</v>
      </c>
      <c r="S262" s="270" t="n">
        <v>6.91569781199224</v>
      </c>
      <c r="T262" s="270" t="n">
        <v>1.63392279661151</v>
      </c>
      <c r="U262" s="270" t="n">
        <v>0.436229117698096</v>
      </c>
      <c r="V262" s="270" t="n">
        <v>2.19343439920493</v>
      </c>
      <c r="W262" s="270" t="n">
        <v>0.979050653878311</v>
      </c>
      <c r="X262" s="274" t="n">
        <v>0.0171103225360048</v>
      </c>
      <c r="Y262" s="269" t="n">
        <v>12.2543517154803</v>
      </c>
      <c r="Z262" s="275" t="n">
        <v>1210</v>
      </c>
      <c r="AA262" s="275" t="n">
        <v>819</v>
      </c>
      <c r="AB262" s="270" t="n">
        <v>10143.9</v>
      </c>
      <c r="AD262" s="276" t="n">
        <v>0.0119604218766989</v>
      </c>
      <c r="AE262" s="141" t="n">
        <v>0.008095525220674729</v>
      </c>
      <c r="AF262" s="270" t="n">
        <v>8.38338842975207</v>
      </c>
      <c r="AG262" s="277" t="n">
        <v>0.100268862376071</v>
      </c>
      <c r="AH262" s="131" t="n">
        <v>0.41988579106483</v>
      </c>
      <c r="AI262" s="131" t="n">
        <v>0.284466625077979</v>
      </c>
      <c r="AJ262" s="270" t="n">
        <v>0.38137930352783</v>
      </c>
      <c r="AK262" s="130" t="n">
        <v>0.260312157126336</v>
      </c>
      <c r="AL262" s="130" t="n">
        <v>0.0453211027311277</v>
      </c>
      <c r="AM262" s="133" t="n">
        <v>0.327241096404954</v>
      </c>
      <c r="AN262" s="307" t="n">
        <v>8.827999999999999</v>
      </c>
    </row>
    <row customHeight="1" ht="13.2" r="263" s="3">
      <c r="A263" s="117" t="n">
        <v>43604</v>
      </c>
      <c r="B263" s="289" t="inlineStr">
        <is>
          <t>iOS</t>
        </is>
      </c>
      <c r="C263" s="268" t="n">
        <v>20349</v>
      </c>
      <c r="D263" s="268" t="n">
        <v>101220</v>
      </c>
      <c r="E263" s="269" t="n">
        <v>4.97420020639835</v>
      </c>
      <c r="F263" s="270" t="n">
        <v>0.6773513067575579</v>
      </c>
      <c r="G263" s="271" t="n">
        <v>12.34</v>
      </c>
      <c r="H263" s="271" t="n">
        <v>18.17</v>
      </c>
      <c r="I263" s="142" t="n">
        <v>0.276</v>
      </c>
      <c r="J263" s="142" t="n">
        <v>0.137</v>
      </c>
      <c r="K263" s="142" t="n">
        <v>0.078</v>
      </c>
      <c r="L263" s="270" t="n">
        <v>9.231495751827699</v>
      </c>
      <c r="M263" s="272" t="n">
        <v>12.2429855759731</v>
      </c>
      <c r="N263" s="270" t="n">
        <v>19.320481439329</v>
      </c>
      <c r="O263" s="273" t="n">
        <v>0.6336791147994471</v>
      </c>
      <c r="P263" s="270" t="n">
        <v>2.63076659235123</v>
      </c>
      <c r="Q263" s="270" t="n">
        <v>3.57747774434449</v>
      </c>
      <c r="R263" s="270" t="n">
        <v>1.0768930949003</v>
      </c>
      <c r="S263" s="270" t="n">
        <v>6.83483263435244</v>
      </c>
      <c r="T263" s="270" t="n">
        <v>1.61481735551363</v>
      </c>
      <c r="U263" s="270" t="n">
        <v>0.431128295474034</v>
      </c>
      <c r="V263" s="270" t="n">
        <v>2.16778659515754</v>
      </c>
      <c r="W263" s="270" t="n">
        <v>0.967602625465771</v>
      </c>
      <c r="X263" s="274" t="n">
        <v>0.0163604030823948</v>
      </c>
      <c r="Y263" s="269" t="n">
        <v>12.2593459790555</v>
      </c>
      <c r="Z263" s="275" t="n">
        <v>1264</v>
      </c>
      <c r="AA263" s="275" t="n">
        <v>789</v>
      </c>
      <c r="AB263" s="270" t="n">
        <v>7834.36</v>
      </c>
      <c r="AD263" s="276" t="n">
        <v>0.0124876506619245</v>
      </c>
      <c r="AE263" s="141" t="n">
        <v>0.00779490219324244</v>
      </c>
      <c r="AF263" s="270" t="n">
        <v>6.19806962025316</v>
      </c>
      <c r="AG263" s="277" t="n">
        <v>0.0773993281960087</v>
      </c>
      <c r="AH263" s="131" t="n">
        <v>0.441643323996265</v>
      </c>
      <c r="AI263" s="131" t="n">
        <v>0.315642046292201</v>
      </c>
      <c r="AJ263" s="270" t="n">
        <v>0.395475202529144</v>
      </c>
      <c r="AK263" s="130" t="n">
        <v>0.261875123493381</v>
      </c>
      <c r="AL263" s="130" t="n">
        <v>0.0458407429361786</v>
      </c>
      <c r="AM263" s="133" t="n">
        <v>0.325034578146611</v>
      </c>
      <c r="AN263" s="307" t="n">
        <v>8.464</v>
      </c>
    </row>
    <row customHeight="1" ht="13.2" r="264" s="3">
      <c r="A264" s="117" t="n">
        <v>43605</v>
      </c>
      <c r="B264" s="289" t="inlineStr">
        <is>
          <t>iOS</t>
        </is>
      </c>
      <c r="C264" s="268" t="n">
        <v>17547</v>
      </c>
      <c r="D264" s="268" t="n">
        <v>101400</v>
      </c>
      <c r="E264" s="269" t="n">
        <v>5.77876560095743</v>
      </c>
      <c r="F264" s="270" t="n">
        <v>0.638415706272189</v>
      </c>
      <c r="G264" s="271" t="n">
        <v>11.98</v>
      </c>
      <c r="H264" s="271" t="n">
        <v>17.16</v>
      </c>
      <c r="I264" s="142" t="n">
        <v>0.276</v>
      </c>
      <c r="J264" s="142" t="n">
        <v>0.139</v>
      </c>
      <c r="K264" s="142" t="n">
        <v>0.079</v>
      </c>
      <c r="L264" s="270" t="n">
        <v>9.196282051282051</v>
      </c>
      <c r="M264" s="272" t="n">
        <v>11.995798816568</v>
      </c>
      <c r="N264" s="270" t="n">
        <v>18.8409851301115</v>
      </c>
      <c r="O264" s="273" t="n">
        <v>0.6366863905325441</v>
      </c>
      <c r="P264" s="270" t="n">
        <v>2.54395910780669</v>
      </c>
      <c r="Q264" s="270" t="n">
        <v>3.80503407682776</v>
      </c>
      <c r="R264" s="270" t="n">
        <v>1.12854708798017</v>
      </c>
      <c r="S264" s="270" t="n">
        <v>6.19741325898389</v>
      </c>
      <c r="T264" s="270" t="n">
        <v>1.62433395291202</v>
      </c>
      <c r="U264" s="270" t="n">
        <v>0.441589219330855</v>
      </c>
      <c r="V264" s="270" t="n">
        <v>2.10336121437423</v>
      </c>
      <c r="W264" s="270" t="n">
        <v>0.996747211895911</v>
      </c>
      <c r="X264" s="274" t="n">
        <v>0.0156903353057199</v>
      </c>
      <c r="Y264" s="269" t="n">
        <v>12.0114891518738</v>
      </c>
      <c r="Z264" s="275" t="n">
        <v>1041</v>
      </c>
      <c r="AA264" s="275" t="n">
        <v>709</v>
      </c>
      <c r="AB264" s="270" t="n">
        <v>7206.59</v>
      </c>
      <c r="AD264" s="276" t="n">
        <v>0.0102662721893491</v>
      </c>
      <c r="AE264" s="141" t="n">
        <v>0.00699211045364892</v>
      </c>
      <c r="AF264" s="270" t="n">
        <v>6.92275696445725</v>
      </c>
      <c r="AG264" s="277" t="n">
        <v>0.0710709072978304</v>
      </c>
      <c r="AH264" s="131" t="n">
        <v>0.449706502536046</v>
      </c>
      <c r="AI264" s="131" t="n">
        <v>0.338120476434718</v>
      </c>
      <c r="AJ264" s="270" t="n">
        <v>0.411262327416174</v>
      </c>
      <c r="AK264" s="130" t="n">
        <v>0.277781065088757</v>
      </c>
      <c r="AL264" s="130" t="n">
        <v>0.0482741617357002</v>
      </c>
      <c r="AM264" s="133" t="n">
        <v>0.323658777120316</v>
      </c>
      <c r="AN264" s="307" t="n">
        <v>8.574999999999999</v>
      </c>
    </row>
    <row customHeight="1" ht="13.2" r="265" s="3">
      <c r="A265" s="117" t="n">
        <v>43606</v>
      </c>
      <c r="B265" s="289" t="inlineStr">
        <is>
          <t>iOS</t>
        </is>
      </c>
      <c r="C265" s="268" t="n">
        <v>17066</v>
      </c>
      <c r="D265" s="268" t="n">
        <v>97686</v>
      </c>
      <c r="E265" s="269" t="n">
        <v>5.7240126567444</v>
      </c>
      <c r="F265" s="270" t="n">
        <v>0.661946944597998</v>
      </c>
      <c r="G265" s="271" t="n">
        <v>13.07</v>
      </c>
      <c r="H265" s="271" t="n">
        <v>18.47</v>
      </c>
      <c r="I265" s="142" t="n">
        <v>0.277</v>
      </c>
      <c r="J265" s="142" t="n">
        <v>0.141</v>
      </c>
      <c r="K265" s="142" t="n">
        <v>0.081</v>
      </c>
      <c r="L265" s="270" t="n">
        <v>8.952183526810391</v>
      </c>
      <c r="M265" s="272" t="n">
        <v>11.1655201359458</v>
      </c>
      <c r="N265" s="270" t="n">
        <v>17.3730527858303</v>
      </c>
      <c r="O265" s="273" t="n">
        <v>0.6426918903425261</v>
      </c>
      <c r="P265" s="270" t="n">
        <v>2.4122200630754</v>
      </c>
      <c r="Q265" s="270" t="n">
        <v>3.48728935045077</v>
      </c>
      <c r="R265" s="270" t="n">
        <v>1.05409193717945</v>
      </c>
      <c r="S265" s="270" t="n">
        <v>5.56876174699755</v>
      </c>
      <c r="T265" s="270" t="n">
        <v>1.49184479627919</v>
      </c>
      <c r="U265" s="270" t="n">
        <v>0.467108406868211</v>
      </c>
      <c r="V265" s="270" t="n">
        <v>1.95347392564748</v>
      </c>
      <c r="W265" s="270" t="n">
        <v>0.938262559332293</v>
      </c>
      <c r="X265" s="274" t="n">
        <v>0.0143930552996335</v>
      </c>
      <c r="Y265" s="269" t="n">
        <v>11.1799131912454</v>
      </c>
      <c r="Z265" s="275" t="n">
        <v>1066</v>
      </c>
      <c r="AA265" s="275" t="n">
        <v>702</v>
      </c>
      <c r="AB265" s="270" t="n">
        <v>7518.34</v>
      </c>
      <c r="AD265" s="276" t="n">
        <v>0.0109125156112442</v>
      </c>
      <c r="AE265" s="141" t="n">
        <v>0.00718629076838032</v>
      </c>
      <c r="AF265" s="270" t="n">
        <v>7.05285178236398</v>
      </c>
      <c r="AG265" s="277" t="n">
        <v>0.0769643551788383</v>
      </c>
      <c r="AH265" s="131" t="n">
        <v>0.442517285831478</v>
      </c>
      <c r="AI265" s="131" t="n">
        <v>0.324563459510137</v>
      </c>
      <c r="AJ265" s="270" t="n">
        <v>0.449614069569846</v>
      </c>
      <c r="AK265" s="130" t="n">
        <v>0.296357717584915</v>
      </c>
      <c r="AL265" s="130" t="n">
        <v>0.0559445570501402</v>
      </c>
      <c r="AM265" s="133" t="n">
        <v>0.267755870851504</v>
      </c>
      <c r="AN265" s="307" t="n">
        <v>7.849</v>
      </c>
    </row>
    <row customFormat="1" customHeight="1" ht="13.2" r="266" s="294">
      <c r="A266" s="121" t="n">
        <v>43607</v>
      </c>
      <c r="B266" s="295" t="inlineStr">
        <is>
          <t>iOS</t>
        </is>
      </c>
      <c r="C266" s="296" t="n">
        <v>13180</v>
      </c>
      <c r="D266" s="296" t="n">
        <v>90590</v>
      </c>
      <c r="E266" s="297" t="n">
        <v>6.87329286798179</v>
      </c>
      <c r="F266" s="294" t="n">
        <v>0.569337250557457</v>
      </c>
      <c r="G266" s="306" t="n">
        <v>14.01</v>
      </c>
      <c r="H266" s="306" t="n">
        <v>19.41</v>
      </c>
      <c r="I266" s="124" t="n">
        <v>0.272</v>
      </c>
      <c r="J266" s="124" t="n">
        <v>0.131</v>
      </c>
      <c r="K266" s="124" t="n">
        <v>0.07099999999999999</v>
      </c>
      <c r="L266" s="294" t="n">
        <v>7.91747433491555</v>
      </c>
      <c r="M266" s="299" t="n">
        <v>9.717584722375539</v>
      </c>
      <c r="N266" s="294" t="n">
        <v>15.4027960037093</v>
      </c>
      <c r="O266" s="300" t="n">
        <v>0.630897450049674</v>
      </c>
      <c r="P266" s="294" t="n">
        <v>2.16870505485276</v>
      </c>
      <c r="Q266" s="294" t="n">
        <v>2.82128672160691</v>
      </c>
      <c r="R266" s="294" t="n">
        <v>0.8335695414064</v>
      </c>
      <c r="S266" s="294" t="n">
        <v>4.37924518397984</v>
      </c>
      <c r="T266" s="294" t="n">
        <v>1.33165363148041</v>
      </c>
      <c r="U266" s="294" t="n">
        <v>0.47211869893094</v>
      </c>
      <c r="V266" s="294" t="n">
        <v>1.61198887197522</v>
      </c>
      <c r="W266" s="294" t="n">
        <v>0.834006963763932</v>
      </c>
      <c r="X266" s="301" t="n">
        <v>0.0163814990617066</v>
      </c>
      <c r="Y266" s="297" t="n">
        <v>9.733966221437241</v>
      </c>
      <c r="Z266" s="293" t="n">
        <v>751</v>
      </c>
      <c r="AA266" s="293" t="n">
        <v>538</v>
      </c>
      <c r="AB266" s="294" t="n">
        <v>4708.49</v>
      </c>
      <c r="AD266" s="303" t="n">
        <v>0.008290098244839389</v>
      </c>
      <c r="AE266" s="123" t="n">
        <v>0.00593884534716856</v>
      </c>
      <c r="AF266" s="294" t="n">
        <v>6.26962716378162</v>
      </c>
      <c r="AG266" s="304" t="n">
        <v>0.0519758251462634</v>
      </c>
      <c r="AH266" s="135" t="n">
        <v>0.446282245827011</v>
      </c>
      <c r="AI266" s="135" t="n">
        <v>0.360849772382398</v>
      </c>
      <c r="AJ266" s="294" t="n">
        <v>0.479611436140854</v>
      </c>
      <c r="AK266" s="136" t="n">
        <v>0.330279280273761</v>
      </c>
      <c r="AL266" s="136" t="n">
        <v>0.0619604812893255</v>
      </c>
      <c r="AM266" s="137" t="n">
        <v>0</v>
      </c>
      <c r="AN266" s="307" t="n">
        <v>7.121</v>
      </c>
    </row>
    <row customHeight="1" ht="13.2" r="267" s="3">
      <c r="A267" s="117" t="n">
        <v>43608</v>
      </c>
      <c r="B267" s="267" t="inlineStr">
        <is>
          <t>iOS</t>
        </is>
      </c>
      <c r="C267" s="268" t="n">
        <v>13854</v>
      </c>
      <c r="D267" s="268" t="n">
        <v>87581</v>
      </c>
      <c r="E267" s="269" t="n">
        <v>6.32171214089794</v>
      </c>
      <c r="F267" s="270" t="n">
        <v>0.560459595939759</v>
      </c>
      <c r="G267" s="271" t="n">
        <v>14.23</v>
      </c>
      <c r="H267" s="271" t="n">
        <v>19.75</v>
      </c>
      <c r="I267" s="142" t="n">
        <v>0.286</v>
      </c>
      <c r="J267" s="142" t="n">
        <v>0.138</v>
      </c>
      <c r="K267" s="142" t="n">
        <v>0.07199999999999999</v>
      </c>
      <c r="L267" s="270" t="n">
        <v>7.87633162443909</v>
      </c>
      <c r="M267" s="272" t="n">
        <v>9.431360683253221</v>
      </c>
      <c r="N267" s="270" t="n">
        <v>15.0684641625773</v>
      </c>
      <c r="O267" s="273" t="n">
        <v>0.625900594877885</v>
      </c>
      <c r="P267" s="270" t="n">
        <v>2.26112337413576</v>
      </c>
      <c r="Q267" s="270" t="n">
        <v>2.94151449367897</v>
      </c>
      <c r="R267" s="270" t="n">
        <v>0.869091705127971</v>
      </c>
      <c r="S267" s="270" t="n">
        <v>4.56586460404619</v>
      </c>
      <c r="T267" s="270" t="n">
        <v>1.38840140832224</v>
      </c>
      <c r="U267" s="270" t="n">
        <v>0.492237809438678</v>
      </c>
      <c r="V267" s="270" t="n">
        <v>1.68068299979933</v>
      </c>
      <c r="W267" s="270" t="n">
        <v>0.869547768028166</v>
      </c>
      <c r="X267" s="274" t="n">
        <v>0.017789246526073</v>
      </c>
      <c r="Y267" s="269" t="n">
        <v>9.44914992977929</v>
      </c>
      <c r="Z267" s="275" t="n">
        <v>738</v>
      </c>
      <c r="AA267" s="275" t="n">
        <v>525</v>
      </c>
      <c r="AB267" s="270" t="n">
        <v>4457.62</v>
      </c>
      <c r="AD267" s="276" t="n">
        <v>0.0084264851965609</v>
      </c>
      <c r="AE267" s="141" t="n">
        <v>0.00599445085121202</v>
      </c>
      <c r="AF267" s="270" t="n">
        <v>6.04013550135501</v>
      </c>
      <c r="AG267" s="277" t="n">
        <v>0.0508971123873899</v>
      </c>
      <c r="AH267" s="131" t="n">
        <v>0.461599538039555</v>
      </c>
      <c r="AI267" s="131" t="n">
        <v>0.328785910206439</v>
      </c>
      <c r="AJ267" s="270" t="n">
        <v>0.531610737488725</v>
      </c>
      <c r="AK267" s="130" t="n">
        <v>0.327730900537788</v>
      </c>
      <c r="AL267" s="130" t="n">
        <v>0.0617828067731586</v>
      </c>
      <c r="AM267" s="133" t="n">
        <v>0</v>
      </c>
      <c r="AN267" s="307" t="n">
        <v>6.03</v>
      </c>
    </row>
    <row customHeight="1" ht="13.2" r="268" s="3">
      <c r="A268" s="117" t="n">
        <v>43609</v>
      </c>
      <c r="B268" s="267" t="inlineStr">
        <is>
          <t>iOS</t>
        </is>
      </c>
      <c r="C268" s="268" t="n">
        <v>15495</v>
      </c>
      <c r="D268" s="268" t="n">
        <v>87659</v>
      </c>
      <c r="E268" s="269" t="n">
        <v>5.65724427234592</v>
      </c>
      <c r="F268" s="270" t="n">
        <v>0.477347554272807</v>
      </c>
      <c r="G268" s="271" t="n">
        <v>11.8</v>
      </c>
      <c r="H268" s="271" t="n">
        <v>16.55</v>
      </c>
      <c r="I268" s="142" t="n">
        <v>0.28</v>
      </c>
      <c r="J268" s="142" t="n">
        <v>0.139</v>
      </c>
      <c r="K268" s="142" t="n">
        <v>0.06900000000000001</v>
      </c>
      <c r="L268" s="270" t="n">
        <v>7.73925096111067</v>
      </c>
      <c r="M268" s="272" t="n">
        <v>9.075497096704281</v>
      </c>
      <c r="N268" s="270" t="n">
        <v>14.691036342148</v>
      </c>
      <c r="O268" s="273" t="n">
        <v>0.617757446468703</v>
      </c>
      <c r="P268" s="270" t="n">
        <v>2.28889053035899</v>
      </c>
      <c r="Q268" s="270" t="n">
        <v>2.97763702171665</v>
      </c>
      <c r="R268" s="270" t="n">
        <v>0.879764366967056</v>
      </c>
      <c r="S268" s="270" t="n">
        <v>4.62193455458709</v>
      </c>
      <c r="T268" s="270" t="n">
        <v>1.40545132220417</v>
      </c>
      <c r="U268" s="270" t="n">
        <v>0.498282611907224</v>
      </c>
      <c r="V268" s="270" t="n">
        <v>1.70132220416605</v>
      </c>
      <c r="W268" s="270" t="n">
        <v>0.880226030432856</v>
      </c>
      <c r="X268" s="274" t="n">
        <v>0.016815158740118</v>
      </c>
      <c r="Y268" s="269" t="n">
        <v>9.092312255444391</v>
      </c>
      <c r="Z268" s="275" t="n">
        <v>748</v>
      </c>
      <c r="AA268" s="275" t="n">
        <v>549</v>
      </c>
      <c r="AB268" s="270" t="n">
        <v>4703.52</v>
      </c>
      <c r="AD268" s="276" t="n">
        <v>0.00853306562931359</v>
      </c>
      <c r="AE268" s="141" t="n">
        <v>0.00626290512098016</v>
      </c>
      <c r="AF268" s="270" t="n">
        <v>6.28812834224599</v>
      </c>
      <c r="AG268" s="277" t="n">
        <v>0.0536570118299319</v>
      </c>
      <c r="AH268" s="131" t="n">
        <v>0.44620845434011</v>
      </c>
      <c r="AI268" s="131" t="n">
        <v>0.318683446272991</v>
      </c>
      <c r="AJ268" s="270" t="n">
        <v>0.480521110211159</v>
      </c>
      <c r="AK268" s="130" t="n">
        <v>0.318050628001688</v>
      </c>
      <c r="AL268" s="130" t="n">
        <v>0.0585906752301532</v>
      </c>
      <c r="AM268" s="133" t="n">
        <v>0</v>
      </c>
      <c r="AN268" s="307" t="n">
        <v>6.506</v>
      </c>
    </row>
    <row customHeight="1" ht="13.2" r="269" s="3">
      <c r="A269" s="117" t="n">
        <v>43610</v>
      </c>
      <c r="B269" s="289" t="inlineStr">
        <is>
          <t>iOS</t>
        </is>
      </c>
      <c r="C269" s="268" t="n">
        <v>16665</v>
      </c>
      <c r="D269" s="268" t="n">
        <v>86958</v>
      </c>
      <c r="E269" s="269" t="n">
        <v>5.21800180018002</v>
      </c>
      <c r="F269" s="270" t="n">
        <v>0.710723845442627</v>
      </c>
      <c r="G269" s="271" t="n">
        <v>11.76</v>
      </c>
      <c r="H269" s="271" t="n">
        <v>16.5</v>
      </c>
      <c r="I269" s="142" t="n">
        <v>0.276</v>
      </c>
      <c r="J269" s="142" t="n">
        <v>0.132</v>
      </c>
      <c r="K269" s="142" t="n">
        <v>0.067</v>
      </c>
      <c r="L269" s="270" t="n">
        <v>9.67088709491939</v>
      </c>
      <c r="M269" s="272" t="n">
        <v>12.1095126382851</v>
      </c>
      <c r="N269" s="270" t="n">
        <v>19.3494974366513</v>
      </c>
      <c r="O269" s="273" t="n">
        <v>0.625830860875365</v>
      </c>
      <c r="P269" s="270" t="n">
        <v>2.66358574814869</v>
      </c>
      <c r="Q269" s="270" t="n">
        <v>3.56121717719263</v>
      </c>
      <c r="R269" s="270" t="n">
        <v>1.15319453887286</v>
      </c>
      <c r="S269" s="270" t="n">
        <v>6.74089046507782</v>
      </c>
      <c r="T269" s="270" t="n">
        <v>1.67371051616104</v>
      </c>
      <c r="U269" s="270" t="n">
        <v>0.435346649271421</v>
      </c>
      <c r="V269" s="270" t="n">
        <v>2.17063266018633</v>
      </c>
      <c r="W269" s="270" t="n">
        <v>0.950919681740505</v>
      </c>
      <c r="X269" s="274" t="n">
        <v>0.0165137192667725</v>
      </c>
      <c r="Y269" s="269" t="n">
        <v>12.1260263575519</v>
      </c>
      <c r="Z269" s="275" t="n">
        <v>1112</v>
      </c>
      <c r="AA269" s="275" t="n">
        <v>700</v>
      </c>
      <c r="AB269" s="270" t="n">
        <v>9063.879999999999</v>
      </c>
      <c r="AD269" s="276" t="n">
        <v>0.0127877826076957</v>
      </c>
      <c r="AE269" s="141" t="n">
        <v>0.008049863152326409</v>
      </c>
      <c r="AF269" s="270" t="n">
        <v>8.15097122302158</v>
      </c>
      <c r="AG269" s="277" t="n">
        <v>0.104232848041583</v>
      </c>
      <c r="AH269" s="131" t="n">
        <v>0.455025502550255</v>
      </c>
      <c r="AI269" s="131" t="n">
        <v>0.32043204320432</v>
      </c>
      <c r="AJ269" s="270">
        <f>34203/D269</f>
        <v/>
      </c>
      <c r="AK269" s="130" t="n">
        <v>0.26764645001035</v>
      </c>
      <c r="AL269" s="130" t="n">
        <v>0.0494951585823041</v>
      </c>
      <c r="AM269" s="133" t="n">
        <v>0.321396536258884</v>
      </c>
      <c r="AN269" s="307" t="n">
        <v>6.417</v>
      </c>
    </row>
    <row customHeight="1" ht="13.2" r="270" s="3">
      <c r="A270" s="117" t="n">
        <v>43611</v>
      </c>
      <c r="B270" s="289" t="inlineStr">
        <is>
          <t>iOS</t>
        </is>
      </c>
      <c r="C270" s="268" t="n">
        <v>16153</v>
      </c>
      <c r="D270" s="268" t="n">
        <v>86405</v>
      </c>
      <c r="E270" s="269" t="n">
        <v>5.34916114653625</v>
      </c>
      <c r="F270" s="270" t="n">
        <v>0.689022486950987</v>
      </c>
      <c r="G270" s="271" t="n">
        <v>11.91</v>
      </c>
      <c r="H270" s="271" t="n">
        <v>16.76</v>
      </c>
      <c r="I270" s="142" t="n">
        <v>0.285</v>
      </c>
      <c r="J270" s="142" t="n">
        <v>0.138</v>
      </c>
      <c r="K270" s="142" t="n">
        <v>0.07000000000000001</v>
      </c>
      <c r="L270" s="270" t="n">
        <v>9.370302644522891</v>
      </c>
      <c r="M270" s="272" t="n">
        <v>11.9471674092934</v>
      </c>
      <c r="N270" s="270" t="n">
        <v>19.0520089326911</v>
      </c>
      <c r="O270" s="273" t="n">
        <v>0.627081766101499</v>
      </c>
      <c r="P270" s="270" t="n">
        <v>2.57853939427496</v>
      </c>
      <c r="Q270" s="270" t="n">
        <v>3.74139490246018</v>
      </c>
      <c r="R270" s="270" t="n">
        <v>1.17664212022221</v>
      </c>
      <c r="S270" s="270" t="n">
        <v>6.32691065463337</v>
      </c>
      <c r="T270" s="270" t="n">
        <v>1.65524241920898</v>
      </c>
      <c r="U270" s="270" t="n">
        <v>0.441448424782681</v>
      </c>
      <c r="V270" s="270" t="n">
        <v>2.13519000424487</v>
      </c>
      <c r="W270" s="270" t="n">
        <v>0.996641012863813</v>
      </c>
      <c r="X270" s="274" t="n">
        <v>0.0176841617961923</v>
      </c>
      <c r="Y270" s="269" t="n">
        <v>11.9648515710896</v>
      </c>
      <c r="Z270" s="275" t="n">
        <v>1004</v>
      </c>
      <c r="AA270" s="275" t="n">
        <v>665</v>
      </c>
      <c r="AB270" s="270" t="n">
        <v>8208.959999999999</v>
      </c>
      <c r="AD270" s="276" t="n">
        <v>0.0116196979341473</v>
      </c>
      <c r="AE270" s="141" t="n">
        <v>0.00769631387072507</v>
      </c>
      <c r="AF270" s="270" t="n">
        <v>8.17625498007968</v>
      </c>
      <c r="AG270" s="277" t="n">
        <v>0.09500561310109371</v>
      </c>
      <c r="AH270" s="131" t="n">
        <v>0.476629728223859</v>
      </c>
      <c r="AI270" s="131" t="n">
        <v>0.337831981675231</v>
      </c>
      <c r="AJ270" s="270">
        <f>36762/D270</f>
        <v/>
      </c>
      <c r="AK270" s="130" t="n">
        <v>0.265065679069498</v>
      </c>
      <c r="AL270" s="130" t="n">
        <v>0.049684624732365</v>
      </c>
      <c r="AM270" s="133" t="n">
        <v>0.315051212314102</v>
      </c>
      <c r="AN270" s="307" t="n">
        <v>8.456</v>
      </c>
    </row>
    <row customHeight="1" ht="13.2" r="271" s="3">
      <c r="A271" s="117" t="n">
        <v>43612</v>
      </c>
      <c r="B271" s="289" t="inlineStr">
        <is>
          <t>iOS</t>
        </is>
      </c>
      <c r="C271" s="268" t="n">
        <v>16937</v>
      </c>
      <c r="D271" s="268" t="n">
        <v>89603</v>
      </c>
      <c r="E271" s="269" t="n">
        <v>5.29037019543012</v>
      </c>
      <c r="F271" s="270" t="n">
        <v>0.681288085175719</v>
      </c>
      <c r="G271" s="271" t="n">
        <v>12.64</v>
      </c>
      <c r="H271" s="271" t="n">
        <v>17.36</v>
      </c>
      <c r="I271" s="142" t="n">
        <v>0.294</v>
      </c>
      <c r="J271" s="142" t="n">
        <v>0.142</v>
      </c>
      <c r="K271" s="142" t="n">
        <v>0.079</v>
      </c>
      <c r="L271" s="270" t="n">
        <v>9.3225226833923</v>
      </c>
      <c r="M271" s="272" t="n">
        <v>11.6598551387788</v>
      </c>
      <c r="N271" s="270" t="n">
        <v>18.4394006247904</v>
      </c>
      <c r="O271" s="273" t="n">
        <v>0.632333738825709</v>
      </c>
      <c r="P271" s="270" t="n">
        <v>2.54346176247375</v>
      </c>
      <c r="Q271" s="270" t="n">
        <v>3.71531442489278</v>
      </c>
      <c r="R271" s="270" t="n">
        <v>1.11752766550769</v>
      </c>
      <c r="S271" s="270" t="n">
        <v>5.92221888843785</v>
      </c>
      <c r="T271" s="270" t="n">
        <v>1.63054413244145</v>
      </c>
      <c r="U271" s="270" t="n">
        <v>0.450819816798743</v>
      </c>
      <c r="V271" s="270" t="n">
        <v>2.07763991598863</v>
      </c>
      <c r="W271" s="270" t="n">
        <v>0.981874018249528</v>
      </c>
      <c r="X271" s="274" t="n">
        <v>0.0158142026494649</v>
      </c>
      <c r="Y271" s="269" t="n">
        <v>11.6756693414283</v>
      </c>
      <c r="Z271" s="275" t="n">
        <v>1074</v>
      </c>
      <c r="AA271" s="275" t="n">
        <v>694</v>
      </c>
      <c r="AB271" s="270" t="n">
        <v>7561.26</v>
      </c>
      <c r="AD271" s="276" t="n">
        <v>0.0119862058190016</v>
      </c>
      <c r="AE271" s="141" t="n">
        <v>0.0077452763858353</v>
      </c>
      <c r="AF271" s="270" t="n">
        <v>7.04027932960894</v>
      </c>
      <c r="AG271" s="277" t="n">
        <v>0.0843862370679553</v>
      </c>
      <c r="AH271" s="131" t="n">
        <v>0.657318297219106</v>
      </c>
      <c r="AI271" s="131" t="n">
        <v>0.415835153805278</v>
      </c>
      <c r="AJ271" s="270" t="n">
        <v>0.410276441636999</v>
      </c>
      <c r="AK271" s="130" t="n">
        <v>0.274577860116291</v>
      </c>
      <c r="AL271" s="130" t="n">
        <v>0.0512706047788579</v>
      </c>
      <c r="AM271" s="133" t="n">
        <v>0.310837806769863</v>
      </c>
      <c r="AN271" s="307" t="n">
        <v>7.914</v>
      </c>
    </row>
    <row customHeight="1" ht="13.2" r="272" s="3">
      <c r="A272" s="117" t="n">
        <v>43613</v>
      </c>
      <c r="B272" s="289" t="inlineStr">
        <is>
          <t>iOS</t>
        </is>
      </c>
      <c r="C272" s="268" t="n">
        <v>17281</v>
      </c>
      <c r="D272" s="268" t="n">
        <v>89866</v>
      </c>
      <c r="E272" s="269" t="n">
        <v>5.2002777617036</v>
      </c>
      <c r="F272" s="270" t="n">
        <v>0.64772787630472</v>
      </c>
      <c r="G272" s="271" t="n">
        <v>13.23</v>
      </c>
      <c r="H272" s="271" t="n">
        <v>17.86</v>
      </c>
      <c r="I272" s="142" t="n">
        <v>0.291</v>
      </c>
      <c r="J272" s="142" t="n">
        <v>0.142</v>
      </c>
      <c r="K272" s="142" t="n">
        <v>0.077</v>
      </c>
      <c r="L272" s="270" t="n">
        <v>9.0536465404046</v>
      </c>
      <c r="M272" s="272" t="n">
        <v>10.7732401575679</v>
      </c>
      <c r="N272" s="270" t="n">
        <v>17.064687841506</v>
      </c>
      <c r="O272" s="273" t="n">
        <v>0.631317739745844</v>
      </c>
      <c r="P272" s="270" t="n">
        <v>2.37021891634646</v>
      </c>
      <c r="Q272" s="270" t="n">
        <v>3.45057637395565</v>
      </c>
      <c r="R272" s="270" t="n">
        <v>1.02668593788557</v>
      </c>
      <c r="S272" s="270" t="n">
        <v>5.34938484859167</v>
      </c>
      <c r="T272" s="270" t="n">
        <v>1.50119857580992</v>
      </c>
      <c r="U272" s="270" t="n">
        <v>0.473296435999577</v>
      </c>
      <c r="V272" s="270" t="n">
        <v>1.94962456375366</v>
      </c>
      <c r="W272" s="270" t="n">
        <v>0.943702189163464</v>
      </c>
      <c r="X272" s="274" t="n">
        <v>0.015623261300158</v>
      </c>
      <c r="Y272" s="269" t="n">
        <v>10.7888634188681</v>
      </c>
      <c r="Z272" s="275" t="n">
        <v>942</v>
      </c>
      <c r="AA272" s="275" t="n">
        <v>662</v>
      </c>
      <c r="AB272" s="270" t="n">
        <v>6900.58</v>
      </c>
      <c r="AD272" s="276" t="n">
        <v>0.010482273607371</v>
      </c>
      <c r="AE272" s="141" t="n">
        <v>0.00736652349053035</v>
      </c>
      <c r="AF272" s="270" t="n">
        <v>7.32545647558386</v>
      </c>
      <c r="AG272" s="277" t="n">
        <v>0.0767874390759575</v>
      </c>
      <c r="AH272" s="131" t="n">
        <v>0.471500491869683</v>
      </c>
      <c r="AI272" s="131" t="n">
        <v>0.338869278398241</v>
      </c>
      <c r="AJ272" s="270" t="n">
        <v>0.444506264883271</v>
      </c>
      <c r="AK272" s="130" t="n">
        <v>0.288173502770792</v>
      </c>
      <c r="AL272" s="130" t="n">
        <v>0.0563171833618944</v>
      </c>
      <c r="AM272" s="133" t="n">
        <v>0.252765228228696</v>
      </c>
      <c r="AN272" s="307" t="n">
        <v>9.125</v>
      </c>
    </row>
    <row customFormat="1" customHeight="1" ht="13.2" r="273" s="294">
      <c r="A273" s="121" t="n">
        <v>43614</v>
      </c>
      <c r="B273" s="295" t="inlineStr">
        <is>
          <t>iOS</t>
        </is>
      </c>
      <c r="C273" s="296" t="n">
        <v>14964</v>
      </c>
      <c r="D273" s="296" t="n">
        <v>85021</v>
      </c>
      <c r="E273" s="297" t="n">
        <v>5.68170275327453</v>
      </c>
      <c r="F273" s="294" t="n">
        <v>0.557028534362099</v>
      </c>
      <c r="G273" s="306" t="n">
        <v>13.9</v>
      </c>
      <c r="H273" s="306" t="n">
        <v>18.2</v>
      </c>
      <c r="I273" s="124" t="n">
        <v>0.291</v>
      </c>
      <c r="J273" s="124" t="n">
        <v>0.139</v>
      </c>
      <c r="K273" s="124" t="n">
        <v>0.07000000000000001</v>
      </c>
      <c r="L273" s="294" t="n">
        <v>8.23520071511744</v>
      </c>
      <c r="M273" s="299" t="n">
        <v>9.77654932310841</v>
      </c>
      <c r="N273" s="294" t="n">
        <v>15.7001303288442</v>
      </c>
      <c r="O273" s="300" t="n">
        <v>0.622704978769951</v>
      </c>
      <c r="P273" s="294" t="n">
        <v>2.29399542904633</v>
      </c>
      <c r="Q273" s="294" t="n">
        <v>3.06969759930491</v>
      </c>
      <c r="R273" s="294" t="n">
        <v>0.912679674366772</v>
      </c>
      <c r="S273" s="294" t="n">
        <v>4.82524601930378</v>
      </c>
      <c r="T273" s="294" t="n">
        <v>1.42498536161532</v>
      </c>
      <c r="U273" s="294" t="n">
        <v>0.510265757512797</v>
      </c>
      <c r="V273" s="294" t="n">
        <v>1.7563795024838</v>
      </c>
      <c r="W273" s="294" t="n">
        <v>0.906880985210509</v>
      </c>
      <c r="X273" s="301" t="n">
        <v>0.015737288434622</v>
      </c>
      <c r="Y273" s="297" t="n">
        <v>9.79228661154303</v>
      </c>
      <c r="Z273" s="293" t="n">
        <v>736</v>
      </c>
      <c r="AA273" s="293" t="n">
        <v>542</v>
      </c>
      <c r="AB273" s="294" t="n">
        <v>4530.64</v>
      </c>
      <c r="AD273" s="303" t="n">
        <v>0.00865668481904471</v>
      </c>
      <c r="AE273" s="123" t="n">
        <v>0.00637489561402477</v>
      </c>
      <c r="AF273" s="294" t="n">
        <v>6.15576086956522</v>
      </c>
      <c r="AG273" s="304" t="n">
        <v>0.0532884816692347</v>
      </c>
      <c r="AH273" s="135" t="n">
        <v>0.468323977546111</v>
      </c>
      <c r="AI273" s="135" t="n">
        <v>0.356589147286822</v>
      </c>
      <c r="AJ273" s="294" t="n">
        <v>0.512438103527364</v>
      </c>
      <c r="AK273" s="136" t="n">
        <v>0.320156196704344</v>
      </c>
      <c r="AL273" s="136" t="n">
        <v>0.0632549605391609</v>
      </c>
      <c r="AM273" s="137" t="n">
        <v>0</v>
      </c>
      <c r="AN273" s="307" t="n">
        <v>8.253</v>
      </c>
    </row>
    <row customHeight="1" ht="13.2" r="274" s="3">
      <c r="A274" s="117" t="n">
        <v>43615</v>
      </c>
      <c r="B274" s="267" t="inlineStr">
        <is>
          <t>iOS</t>
        </is>
      </c>
      <c r="C274" s="268" t="n">
        <v>15029</v>
      </c>
      <c r="D274" s="268" t="n">
        <v>82834</v>
      </c>
      <c r="E274" s="269" t="n">
        <v>5.51161088562113</v>
      </c>
      <c r="F274" s="270" t="n">
        <v>0.560907225994157</v>
      </c>
      <c r="G274" s="271" t="n">
        <v>13.58</v>
      </c>
      <c r="H274" s="271" t="n">
        <v>18.87</v>
      </c>
      <c r="I274" s="142" t="n">
        <v>0.285</v>
      </c>
      <c r="J274" s="142" t="n">
        <v>0.136</v>
      </c>
      <c r="K274" s="142" t="n">
        <v>0.067</v>
      </c>
      <c r="L274" s="270" t="n">
        <v>8.01335200521525</v>
      </c>
      <c r="M274" s="272" t="n">
        <v>9.435702730762729</v>
      </c>
      <c r="N274" s="270" t="n">
        <v>15.2909517754084</v>
      </c>
      <c r="O274" s="273" t="n">
        <v>0.617077528551078</v>
      </c>
      <c r="P274" s="270" t="n">
        <v>2.29140174117187</v>
      </c>
      <c r="Q274" s="270" t="n">
        <v>2.99209625354593</v>
      </c>
      <c r="R274" s="270" t="n">
        <v>0.867827447911572</v>
      </c>
      <c r="S274" s="270" t="n">
        <v>4.62048322410251</v>
      </c>
      <c r="T274" s="270" t="n">
        <v>1.41316638951384</v>
      </c>
      <c r="U274" s="270" t="n">
        <v>0.502240046952949</v>
      </c>
      <c r="V274" s="270" t="n">
        <v>1.72286021715739</v>
      </c>
      <c r="W274" s="270" t="n">
        <v>0.880876455052333</v>
      </c>
      <c r="X274" s="274" t="n">
        <v>0.0159234130912427</v>
      </c>
      <c r="Y274" s="269" t="n">
        <v>9.45162614385397</v>
      </c>
      <c r="Z274" s="275" t="n">
        <v>748</v>
      </c>
      <c r="AA274" s="275" t="n">
        <v>503</v>
      </c>
      <c r="AB274" s="270" t="n">
        <v>4950.52</v>
      </c>
      <c r="AD274" s="276" t="n">
        <v>0.00903010840959026</v>
      </c>
      <c r="AE274" s="141" t="n">
        <v>0.00607238573532607</v>
      </c>
      <c r="AF274" s="270" t="n">
        <v>6.61834224598931</v>
      </c>
      <c r="AG274" s="277" t="n">
        <v>0.0597643479730545</v>
      </c>
      <c r="AH274" s="131" t="n">
        <v>0.454720872978907</v>
      </c>
      <c r="AI274" s="131" t="n">
        <v>0.340741233615011</v>
      </c>
      <c r="AJ274" s="270" t="n">
        <v>0.493094622980902</v>
      </c>
      <c r="AK274" s="130" t="n">
        <v>0.318516551174638</v>
      </c>
      <c r="AL274" s="130" t="n">
        <v>0.0620759591472101</v>
      </c>
      <c r="AM274" s="133" t="n">
        <v>0</v>
      </c>
      <c r="AN274" s="307" t="n">
        <v>7.277</v>
      </c>
    </row>
    <row customHeight="1" ht="13.2" r="275" s="3">
      <c r="A275" s="117" t="n">
        <v>43616</v>
      </c>
      <c r="B275" s="267" t="inlineStr">
        <is>
          <t>iOS</t>
        </is>
      </c>
      <c r="C275" s="268" t="n">
        <v>16075</v>
      </c>
      <c r="D275" s="268" t="n">
        <v>82392</v>
      </c>
      <c r="E275" s="269" t="n">
        <v>5.12547433903577</v>
      </c>
      <c r="F275" s="270" t="n">
        <v>0.505465780658316</v>
      </c>
      <c r="G275" s="271" t="n">
        <v>12.94</v>
      </c>
      <c r="H275" s="271" t="n">
        <v>18.09</v>
      </c>
      <c r="I275" s="142" t="n">
        <v>0.274</v>
      </c>
      <c r="J275" s="142" t="n">
        <v>0.132</v>
      </c>
      <c r="K275" s="142" t="n">
        <v>0.067</v>
      </c>
      <c r="L275" s="270" t="n">
        <v>7.76894601417613</v>
      </c>
      <c r="M275" s="272" t="n">
        <v>9.04748033789688</v>
      </c>
      <c r="N275" s="270" t="n">
        <v>14.8207646579319</v>
      </c>
      <c r="O275" s="273" t="n">
        <v>0.610459753374114</v>
      </c>
      <c r="P275" s="270" t="n">
        <v>2.26198381613217</v>
      </c>
      <c r="Q275" s="270" t="n">
        <v>2.93417102411675</v>
      </c>
      <c r="R275" s="270" t="n">
        <v>0.81772272700161</v>
      </c>
      <c r="S275" s="270" t="n">
        <v>4.43382309084041</v>
      </c>
      <c r="T275" s="270" t="n">
        <v>1.37187108575064</v>
      </c>
      <c r="U275" s="270" t="n">
        <v>0.493548322961608</v>
      </c>
      <c r="V275" s="270" t="n">
        <v>1.64997912400342</v>
      </c>
      <c r="W275" s="270" t="n">
        <v>0.857665467125276</v>
      </c>
      <c r="X275" s="274" t="n">
        <v>0.0153170210700068</v>
      </c>
      <c r="Y275" s="269" t="n">
        <v>9.06279735896689</v>
      </c>
      <c r="Z275" s="275" t="n">
        <v>694</v>
      </c>
      <c r="AA275" s="275" t="n">
        <v>498</v>
      </c>
      <c r="AB275" s="270" t="n">
        <v>4451.06</v>
      </c>
      <c r="AD275" s="276" t="n">
        <v>0.008423147878434799</v>
      </c>
      <c r="AE275" s="141" t="n">
        <v>0.00604427614331488</v>
      </c>
      <c r="AF275" s="270" t="n">
        <v>6.41363112391931</v>
      </c>
      <c r="AG275" s="277" t="n">
        <v>0.0540229633945043</v>
      </c>
      <c r="AH275" s="131" t="n">
        <v>0.436205287713841</v>
      </c>
      <c r="AI275" s="131" t="n">
        <v>0.296298600311042</v>
      </c>
      <c r="AJ275" s="270" t="n">
        <v>0.463977085153898</v>
      </c>
      <c r="AK275" s="130" t="n">
        <v>0.311158850373823</v>
      </c>
      <c r="AL275" s="130" t="n">
        <v>0.059945140304884</v>
      </c>
      <c r="AM275" s="133" t="n">
        <v>0</v>
      </c>
      <c r="AN275" s="307" t="n">
        <v>6.35</v>
      </c>
    </row>
    <row customHeight="1" ht="13.2" r="276" s="3">
      <c r="A276" s="117" t="n">
        <v>43617</v>
      </c>
      <c r="B276" s="289" t="inlineStr">
        <is>
          <t>iOS</t>
        </is>
      </c>
      <c r="C276" s="268" t="n">
        <v>17066</v>
      </c>
      <c r="D276" s="268" t="n">
        <v>81669</v>
      </c>
      <c r="E276" s="269" t="n">
        <v>4.78547990155865</v>
      </c>
      <c r="F276" s="270" t="n">
        <v>0.727975190353745</v>
      </c>
      <c r="G276" s="271" t="n">
        <v>11.22</v>
      </c>
      <c r="H276" s="271" t="n">
        <v>16.11</v>
      </c>
      <c r="I276" s="142" t="n">
        <v>0.268</v>
      </c>
      <c r="J276" s="142" t="n">
        <v>0.123</v>
      </c>
      <c r="K276" s="142" t="n">
        <v>0.066</v>
      </c>
      <c r="L276" s="270" t="n">
        <v>9.65933218234581</v>
      </c>
      <c r="M276" s="272" t="n">
        <v>12.0440681286657</v>
      </c>
      <c r="N276" s="270" t="n">
        <v>19.6670332306954</v>
      </c>
      <c r="O276" s="273" t="n">
        <v>0.6123988294212001</v>
      </c>
      <c r="P276" s="270" t="n">
        <v>2.6982244971408</v>
      </c>
      <c r="Q276" s="270" t="n">
        <v>3.60553045147359</v>
      </c>
      <c r="R276" s="270" t="n">
        <v>1.27310353101132</v>
      </c>
      <c r="S276" s="270" t="n">
        <v>6.80303515015796</v>
      </c>
      <c r="T276" s="270" t="n">
        <v>1.69874435158156</v>
      </c>
      <c r="U276" s="270" t="n">
        <v>0.435757987763426</v>
      </c>
      <c r="V276" s="270" t="n">
        <v>2.19264605910345</v>
      </c>
      <c r="W276" s="270" t="n">
        <v>0.95999120246331</v>
      </c>
      <c r="X276" s="274" t="n">
        <v>0.0140444966878497</v>
      </c>
      <c r="Y276" s="269" t="n">
        <v>12.0581126253536</v>
      </c>
      <c r="Z276" s="275" t="n">
        <v>1137</v>
      </c>
      <c r="AA276" s="275" t="n">
        <v>706</v>
      </c>
      <c r="AB276" s="270" t="n">
        <v>9844.629999999999</v>
      </c>
      <c r="AD276" s="276" t="n">
        <v>0.0139220512067002</v>
      </c>
      <c r="AE276" s="141" t="n">
        <v>0.00864465096915598</v>
      </c>
      <c r="AF276" s="270" t="n">
        <v>8.65842568161829</v>
      </c>
      <c r="AG276" s="277" t="n">
        <v>0.120543045708898</v>
      </c>
      <c r="AH276" s="131" t="n">
        <v>0.444743935309973</v>
      </c>
      <c r="AI276" s="131" t="n">
        <v>0.300246103363413</v>
      </c>
      <c r="AJ276" s="270" t="n">
        <v>0.374597460480721</v>
      </c>
      <c r="AK276" s="130" t="n">
        <v>0.258604856187782</v>
      </c>
      <c r="AL276" s="130" t="n">
        <v>0.0490639042966119</v>
      </c>
      <c r="AM276" s="133" t="n">
        <v>0.314942022064676</v>
      </c>
      <c r="AN276" s="307" t="n">
        <v>6.844</v>
      </c>
    </row>
    <row customHeight="1" ht="13.2" r="277" s="3">
      <c r="A277" s="117" t="n">
        <v>43618</v>
      </c>
      <c r="B277" s="289" t="inlineStr">
        <is>
          <t>iOS</t>
        </is>
      </c>
      <c r="C277" s="268" t="n">
        <v>17795</v>
      </c>
      <c r="D277" s="268" t="n">
        <v>82225</v>
      </c>
      <c r="E277" s="269" t="n">
        <v>4.62067996628266</v>
      </c>
      <c r="F277" s="270" t="n">
        <v>0.667275505685619</v>
      </c>
      <c r="G277" s="271" t="n">
        <v>11.4</v>
      </c>
      <c r="H277" s="271" t="n">
        <v>16.48</v>
      </c>
      <c r="I277" s="142" t="n">
        <v>0.283</v>
      </c>
      <c r="J277" s="142" t="n">
        <v>0.132</v>
      </c>
      <c r="K277" s="142" t="n">
        <v>0.07199999999999999</v>
      </c>
      <c r="L277" s="270" t="n">
        <v>9.237458193979929</v>
      </c>
      <c r="M277" s="272" t="n">
        <v>11.8006080875646</v>
      </c>
      <c r="N277" s="270" t="n">
        <v>19.165004246578</v>
      </c>
      <c r="O277" s="273" t="n">
        <v>0.615737306172089</v>
      </c>
      <c r="P277" s="270" t="n">
        <v>2.61310711252444</v>
      </c>
      <c r="Q277" s="270" t="n">
        <v>3.76855162061269</v>
      </c>
      <c r="R277" s="270" t="n">
        <v>1.22574018842956</v>
      </c>
      <c r="S277" s="270" t="n">
        <v>6.37591103912777</v>
      </c>
      <c r="T277" s="270" t="n">
        <v>1.66712753560213</v>
      </c>
      <c r="U277" s="270" t="n">
        <v>0.444745106559482</v>
      </c>
      <c r="V277" s="270" t="n">
        <v>2.09717750696241</v>
      </c>
      <c r="W277" s="270" t="n">
        <v>0.972644136759565</v>
      </c>
      <c r="X277" s="274" t="n">
        <v>0.0118212222560049</v>
      </c>
      <c r="Y277" s="269" t="n">
        <v>11.8124293098206</v>
      </c>
      <c r="Z277" s="275" t="n">
        <v>931</v>
      </c>
      <c r="AA277" s="275" t="n">
        <v>625</v>
      </c>
      <c r="AB277" s="270" t="n">
        <v>7852.69</v>
      </c>
      <c r="AD277" s="276" t="n">
        <v>0.0113225904530252</v>
      </c>
      <c r="AE277" s="141" t="n">
        <v>0.0076010945576163</v>
      </c>
      <c r="AF277" s="270" t="n">
        <v>8.43468313641246</v>
      </c>
      <c r="AG277" s="277" t="n">
        <v>0.0955024627546367</v>
      </c>
      <c r="AH277" s="131" t="n">
        <v>0.456307951671818</v>
      </c>
      <c r="AI277" s="131" t="n">
        <v>0.307839280696825</v>
      </c>
      <c r="AJ277" s="270" t="n">
        <v>0.376661599270295</v>
      </c>
      <c r="AK277" s="130" t="n">
        <v>0.253779264214047</v>
      </c>
      <c r="AL277" s="130" t="n">
        <v>0.0486834904226209</v>
      </c>
      <c r="AM277" s="133" t="n">
        <v>0.308835512313773</v>
      </c>
      <c r="AN277" s="307" t="n">
        <v>7.45</v>
      </c>
    </row>
    <row customHeight="1" ht="13.2" r="278" s="3">
      <c r="A278" s="117" t="n">
        <v>43619</v>
      </c>
      <c r="B278" s="289" t="inlineStr">
        <is>
          <t>iOS</t>
        </is>
      </c>
      <c r="C278" s="268" t="n">
        <v>19544</v>
      </c>
      <c r="D278" s="268" t="n">
        <v>87483</v>
      </c>
      <c r="E278" s="269" t="n">
        <v>4.47620753172329</v>
      </c>
      <c r="F278" s="270" t="n">
        <v>0.606827186721992</v>
      </c>
      <c r="G278" s="271" t="n">
        <v>10.95</v>
      </c>
      <c r="H278" s="271" t="n">
        <v>16.39</v>
      </c>
      <c r="I278" s="142" t="n">
        <v>0.294</v>
      </c>
      <c r="J278" s="142" t="n">
        <v>0.141</v>
      </c>
      <c r="K278" s="142" t="n">
        <v>0.081</v>
      </c>
      <c r="L278" s="270" t="n">
        <v>9.27022392922053</v>
      </c>
      <c r="M278" s="272" t="n">
        <v>11.4895008173016</v>
      </c>
      <c r="N278" s="270" t="n">
        <v>18.5840328365936</v>
      </c>
      <c r="O278" s="273" t="n">
        <v>0.61824583061852</v>
      </c>
      <c r="P278" s="270" t="n">
        <v>2.59503383500351</v>
      </c>
      <c r="Q278" s="270" t="n">
        <v>3.73174204045409</v>
      </c>
      <c r="R278" s="270" t="n">
        <v>1.16623525496432</v>
      </c>
      <c r="S278" s="270" t="n">
        <v>5.99689383574308</v>
      </c>
      <c r="T278" s="270" t="n">
        <v>1.64822689790334</v>
      </c>
      <c r="U278" s="270" t="n">
        <v>0.447324631142995</v>
      </c>
      <c r="V278" s="270" t="n">
        <v>2.0424509115113</v>
      </c>
      <c r="W278" s="270" t="n">
        <v>0.956125429870946</v>
      </c>
      <c r="X278" s="274" t="n">
        <v>0.0128596413017386</v>
      </c>
      <c r="Y278" s="269" t="n">
        <v>11.5023604586034</v>
      </c>
      <c r="Z278" s="275" t="n">
        <v>930</v>
      </c>
      <c r="AA278" s="275" t="n">
        <v>601</v>
      </c>
      <c r="AB278" s="270" t="n">
        <v>7157.7</v>
      </c>
      <c r="AD278" s="276" t="n">
        <v>0.0106306368094373</v>
      </c>
      <c r="AE278" s="141" t="n">
        <v>0.00686990615319548</v>
      </c>
      <c r="AF278" s="270" t="n">
        <v>7.69645161290322</v>
      </c>
      <c r="AG278" s="277" t="n">
        <v>0.0818181818181818</v>
      </c>
      <c r="AH278" s="131" t="n">
        <v>0.448014735980352</v>
      </c>
      <c r="AI278" s="131" t="n">
        <v>0.298659435120753</v>
      </c>
      <c r="AJ278" s="270" t="n">
        <v>0.388406890481579</v>
      </c>
      <c r="AK278" s="130" t="n">
        <v>0.254518020644011</v>
      </c>
      <c r="AL278" s="130" t="n">
        <v>0.0493467302218717</v>
      </c>
      <c r="AM278" s="133" t="n">
        <v>0.300652698238515</v>
      </c>
      <c r="AN278" s="307" t="n">
        <v>6.794</v>
      </c>
    </row>
    <row customHeight="1" ht="13.2" r="279" s="3">
      <c r="A279" s="117" t="n">
        <v>43620</v>
      </c>
      <c r="B279" s="289" t="inlineStr">
        <is>
          <t>iOS</t>
        </is>
      </c>
      <c r="C279" s="268" t="n">
        <v>19841</v>
      </c>
      <c r="D279" s="268" t="n">
        <v>86634</v>
      </c>
      <c r="E279" s="269" t="n">
        <v>4.36641298321657</v>
      </c>
      <c r="F279" s="270" t="n">
        <v>0.565211195996953</v>
      </c>
      <c r="G279" s="271" t="n">
        <v>12</v>
      </c>
      <c r="H279" s="271" t="n">
        <v>17.55</v>
      </c>
      <c r="I279" s="142" t="n">
        <v>0.289</v>
      </c>
      <c r="J279" s="142" t="n">
        <v>0.142</v>
      </c>
      <c r="K279" s="142" t="n">
        <v>0.075</v>
      </c>
      <c r="L279" s="270" t="n">
        <v>8.968522750883031</v>
      </c>
      <c r="M279" s="272" t="n">
        <v>10.5510769443867</v>
      </c>
      <c r="N279" s="270" t="n">
        <v>17.0435933770883</v>
      </c>
      <c r="O279" s="273" t="n">
        <v>0.6190641087794631</v>
      </c>
      <c r="P279" s="270" t="n">
        <v>2.41290647374702</v>
      </c>
      <c r="Q279" s="270" t="n">
        <v>3.44247837112172</v>
      </c>
      <c r="R279" s="270" t="n">
        <v>1.03436381264916</v>
      </c>
      <c r="S279" s="270" t="n">
        <v>5.36427878878282</v>
      </c>
      <c r="T279" s="270" t="n">
        <v>1.51021778042959</v>
      </c>
      <c r="U279" s="270" t="n">
        <v>0.479042362768496</v>
      </c>
      <c r="V279" s="270" t="n">
        <v>1.88497538782816</v>
      </c>
      <c r="W279" s="270" t="n">
        <v>0.915330399761336</v>
      </c>
      <c r="X279" s="274" t="n">
        <v>0.0124316088371771</v>
      </c>
      <c r="Y279" s="269" t="n">
        <v>10.5635085532239</v>
      </c>
      <c r="Z279" s="275" t="n">
        <v>888</v>
      </c>
      <c r="AA279" s="275" t="n">
        <v>626</v>
      </c>
      <c r="AB279" s="270" t="n">
        <v>5410.12</v>
      </c>
      <c r="AD279" s="276" t="n">
        <v>0.0102500173142184</v>
      </c>
      <c r="AE279" s="141" t="n">
        <v>0.00722580049403237</v>
      </c>
      <c r="AF279" s="270" t="n">
        <v>6.09247747747748</v>
      </c>
      <c r="AG279" s="277" t="n">
        <v>0.06244799963063</v>
      </c>
      <c r="AH279" s="131" t="n">
        <v>0.451438939569578</v>
      </c>
      <c r="AI279" s="131" t="n">
        <v>0.3159618970818</v>
      </c>
      <c r="AJ279" s="270" t="n">
        <v>0.417480434933167</v>
      </c>
      <c r="AK279" s="130" t="n">
        <v>0.265830967056814</v>
      </c>
      <c r="AL279" s="130" t="n">
        <v>0.0547244730706189</v>
      </c>
      <c r="AM279" s="133" t="n">
        <v>0.248666805180414</v>
      </c>
      <c r="AN279" s="307" t="n">
        <v>6.556</v>
      </c>
    </row>
    <row customFormat="1" customHeight="1" ht="13.2" r="280" s="294">
      <c r="A280" s="121" t="n">
        <v>43621</v>
      </c>
      <c r="B280" s="295" t="inlineStr">
        <is>
          <t>iOS</t>
        </is>
      </c>
      <c r="C280" s="296" t="n">
        <v>19093</v>
      </c>
      <c r="D280" s="296" t="n">
        <v>84097</v>
      </c>
      <c r="E280" s="297" t="n">
        <v>4.40459854396899</v>
      </c>
      <c r="F280" s="294" t="n">
        <v>0.478856169423404</v>
      </c>
      <c r="G280" s="306" t="n">
        <v>12.74</v>
      </c>
      <c r="H280" s="306" t="n">
        <v>18.63</v>
      </c>
      <c r="I280" s="124" t="n">
        <v>0.277</v>
      </c>
      <c r="J280" s="124" t="n">
        <v>0.136</v>
      </c>
      <c r="K280" s="124" t="n">
        <v>0.07099999999999999</v>
      </c>
      <c r="L280" s="294" t="n">
        <v>8.06605467495868</v>
      </c>
      <c r="M280" s="299" t="n">
        <v>8.90566845428493</v>
      </c>
      <c r="N280" s="294" t="n">
        <v>14.7403019150151</v>
      </c>
      <c r="O280" s="300" t="n">
        <v>0.604171373532944</v>
      </c>
      <c r="P280" s="294" t="n">
        <v>2.23041193489342</v>
      </c>
      <c r="Q280" s="294" t="n">
        <v>2.96827333740085</v>
      </c>
      <c r="R280" s="294" t="n">
        <v>0.838394772579661</v>
      </c>
      <c r="S280" s="294" t="n">
        <v>4.36080222007912</v>
      </c>
      <c r="T280" s="294" t="n">
        <v>1.34958373516503</v>
      </c>
      <c r="U280" s="294" t="n">
        <v>0.511366096557696</v>
      </c>
      <c r="V280" s="294" t="n">
        <v>1.6360880946289</v>
      </c>
      <c r="W280" s="294" t="n">
        <v>0.845381723710366</v>
      </c>
      <c r="X280" s="301" t="n">
        <v>0.0107019275360596</v>
      </c>
      <c r="Y280" s="297" t="n">
        <v>8.91637038182099</v>
      </c>
      <c r="Z280" s="293" t="n">
        <v>664</v>
      </c>
      <c r="AA280" s="293" t="n">
        <v>471</v>
      </c>
      <c r="AB280" s="294" t="n">
        <v>3695.36</v>
      </c>
      <c r="AD280" s="303" t="n">
        <v>0.00789564431549282</v>
      </c>
      <c r="AE280" s="123" t="n">
        <v>0.00560067541053783</v>
      </c>
      <c r="AF280" s="294" t="n">
        <v>5.56530120481928</v>
      </c>
      <c r="AG280" s="304" t="n">
        <v>0.0439416388218367</v>
      </c>
      <c r="AH280" s="135" t="n">
        <v>0.428481642486775</v>
      </c>
      <c r="AI280" s="135" t="n">
        <v>0.307809144712722</v>
      </c>
      <c r="AJ280" s="294" t="n">
        <v>0.473572184501231</v>
      </c>
      <c r="AK280" s="136" t="n">
        <v>0.290914063521885</v>
      </c>
      <c r="AL280" s="136" t="n">
        <v>0.0580163382760384</v>
      </c>
      <c r="AM280" s="137" t="n">
        <v>0</v>
      </c>
      <c r="AN280" s="307" t="n">
        <v>6.202</v>
      </c>
    </row>
    <row customHeight="1" ht="13.2" r="281" s="3">
      <c r="A281" s="117" t="n">
        <v>43622</v>
      </c>
      <c r="B281" s="267" t="inlineStr">
        <is>
          <t>iOS</t>
        </is>
      </c>
      <c r="C281" s="268" t="n">
        <v>20484</v>
      </c>
      <c r="D281" s="268" t="n">
        <v>84284</v>
      </c>
      <c r="E281" s="269" t="n">
        <v>4.11462604959969</v>
      </c>
      <c r="F281" s="270" t="n">
        <v>0.500265526576812</v>
      </c>
      <c r="G281" s="271" t="n">
        <v>13.37</v>
      </c>
      <c r="H281" s="271" t="n">
        <v>19.95</v>
      </c>
      <c r="I281" s="142" t="n">
        <v>0.314</v>
      </c>
      <c r="J281" s="142" t="n">
        <v>0.147</v>
      </c>
      <c r="K281" s="142" t="n">
        <v>0.073</v>
      </c>
      <c r="L281" s="270" t="n">
        <v>8.151914954202461</v>
      </c>
      <c r="M281" s="272" t="n">
        <v>8.89020454653315</v>
      </c>
      <c r="N281" s="270" t="n">
        <v>14.6350905291119</v>
      </c>
      <c r="O281" s="273" t="n">
        <v>0.607458117792226</v>
      </c>
      <c r="P281" s="270" t="n">
        <v>2.22094181526983</v>
      </c>
      <c r="Q281" s="270" t="n">
        <v>2.96019453504951</v>
      </c>
      <c r="R281" s="270" t="n">
        <v>0.8093908084142269</v>
      </c>
      <c r="S281" s="270" t="n">
        <v>4.31170530674427</v>
      </c>
      <c r="T281" s="270" t="n">
        <v>1.3430926385281</v>
      </c>
      <c r="U281" s="270" t="n">
        <v>0.510361530498643</v>
      </c>
      <c r="V281" s="270" t="n">
        <v>1.63358659348815</v>
      </c>
      <c r="W281" s="270" t="n">
        <v>0.845817301119162</v>
      </c>
      <c r="X281" s="274" t="n">
        <v>0.0097408760856153</v>
      </c>
      <c r="Y281" s="269" t="n">
        <v>8.899945422618771</v>
      </c>
      <c r="Z281" s="275" t="n">
        <v>669</v>
      </c>
      <c r="AA281" s="275" t="n">
        <v>494</v>
      </c>
      <c r="AB281" s="270" t="n">
        <v>3941.31</v>
      </c>
      <c r="AD281" s="276" t="n">
        <v>0.0079374495752456</v>
      </c>
      <c r="AE281" s="141" t="n">
        <v>0.00586113615870153</v>
      </c>
      <c r="AF281" s="270" t="n">
        <v>5.89134529147982</v>
      </c>
      <c r="AG281" s="277" t="n">
        <v>0.0467622561814817</v>
      </c>
      <c r="AH281" s="131" t="n">
        <v>0.476420620972466</v>
      </c>
      <c r="AI281" s="131" t="n">
        <v>0.317564928724858</v>
      </c>
      <c r="AJ281" s="270" t="n">
        <v>0.466494233781026</v>
      </c>
      <c r="AK281" s="130" t="n">
        <v>0.288477053770585</v>
      </c>
      <c r="AL281" s="130" t="n">
        <v>0.0552180722319776</v>
      </c>
      <c r="AM281" s="133" t="n">
        <v>0.00440178444307342</v>
      </c>
      <c r="AN281" s="307" t="n">
        <v>5.593</v>
      </c>
    </row>
    <row customHeight="1" ht="13.2" r="282" s="3">
      <c r="A282" s="117" t="n">
        <v>43623</v>
      </c>
      <c r="B282" s="267" t="inlineStr">
        <is>
          <t>iOS</t>
        </is>
      </c>
      <c r="C282" s="268" t="n">
        <v>24707</v>
      </c>
      <c r="D282" s="268" t="n">
        <v>88908</v>
      </c>
      <c r="E282" s="269" t="n">
        <v>3.59849435382685</v>
      </c>
      <c r="F282" s="270" t="n">
        <v>0.4972106637198</v>
      </c>
      <c r="G282" s="271" t="n">
        <v>13.8</v>
      </c>
      <c r="H282" s="271" t="n">
        <v>19.93</v>
      </c>
      <c r="I282" s="142" t="n">
        <v>0.29</v>
      </c>
      <c r="J282" s="142" t="n">
        <v>0.138</v>
      </c>
      <c r="K282" s="142" t="n">
        <v>0.07000000000000001</v>
      </c>
      <c r="L282" s="270" t="n">
        <v>8.158557160210551</v>
      </c>
      <c r="M282" s="272" t="n">
        <v>8.5619966707158</v>
      </c>
      <c r="N282" s="270" t="n">
        <v>14.4673774635574</v>
      </c>
      <c r="O282" s="273" t="n">
        <v>0.5918140099878531</v>
      </c>
      <c r="P282" s="270" t="n">
        <v>2.22190546781458</v>
      </c>
      <c r="Q282" s="270" t="n">
        <v>2.939449227436</v>
      </c>
      <c r="R282" s="270" t="n">
        <v>0.781496474523443</v>
      </c>
      <c r="S282" s="270" t="n">
        <v>4.23308056331604</v>
      </c>
      <c r="T282" s="270" t="n">
        <v>1.32605431704582</v>
      </c>
      <c r="U282" s="270" t="n">
        <v>0.523861109527339</v>
      </c>
      <c r="V282" s="270" t="n">
        <v>1.60417735712792</v>
      </c>
      <c r="W282" s="270" t="n">
        <v>0.837352946766254</v>
      </c>
      <c r="X282" s="274" t="n">
        <v>0.0134746029603635</v>
      </c>
      <c r="Y282" s="269" t="n">
        <v>8.575471273676159</v>
      </c>
      <c r="Z282" s="275" t="n">
        <v>694</v>
      </c>
      <c r="AA282" s="275" t="n">
        <v>505</v>
      </c>
      <c r="AB282" s="270" t="n">
        <v>4445.06</v>
      </c>
      <c r="AD282" s="276" t="n">
        <v>0.00780582174832411</v>
      </c>
      <c r="AE282" s="141" t="n">
        <v>0.00568002879380933</v>
      </c>
      <c r="AF282" s="270" t="n">
        <v>6.4049855907781</v>
      </c>
      <c r="AG282" s="277" t="n">
        <v>0.0499961758221982</v>
      </c>
      <c r="AH282" s="131" t="n">
        <v>0.443153762091715</v>
      </c>
      <c r="AI282" s="131" t="n">
        <v>0.294936657627393</v>
      </c>
      <c r="AJ282" s="270" t="n">
        <v>0.449565843343681</v>
      </c>
      <c r="AK282" s="130" t="n">
        <v>0.272697620011698</v>
      </c>
      <c r="AL282" s="130" t="n">
        <v>0.050557880055788</v>
      </c>
      <c r="AM282" s="133" t="n">
        <v>0.00239573491699285</v>
      </c>
      <c r="AN282" s="307" t="n">
        <v>5.564</v>
      </c>
    </row>
    <row customHeight="1" ht="13.2" r="283" s="3">
      <c r="A283" s="117" t="n">
        <v>43624</v>
      </c>
      <c r="B283" s="289" t="inlineStr">
        <is>
          <t>iOS</t>
        </is>
      </c>
      <c r="C283" s="268" t="n">
        <v>25562</v>
      </c>
      <c r="D283" s="268" t="n">
        <v>90946</v>
      </c>
      <c r="E283" s="269" t="n">
        <v>3.55785932243173</v>
      </c>
      <c r="F283" s="270" t="n">
        <v>0.674729438567941</v>
      </c>
      <c r="G283" s="271" t="n">
        <v>12.15</v>
      </c>
      <c r="H283" s="271" t="n">
        <v>17.98</v>
      </c>
      <c r="I283" s="142" t="n">
        <v>0.264</v>
      </c>
      <c r="J283" s="142" t="n">
        <v>0.128</v>
      </c>
      <c r="K283" s="142" t="n">
        <v>0.066</v>
      </c>
      <c r="L283" s="270" t="n">
        <v>9.749598662942841</v>
      </c>
      <c r="M283" s="272" t="n">
        <v>11.277791216766</v>
      </c>
      <c r="N283" s="270" t="n">
        <v>18.7470526950705</v>
      </c>
      <c r="O283" s="273" t="n">
        <v>0.601576759835507</v>
      </c>
      <c r="P283" s="270" t="n">
        <v>2.61861417265267</v>
      </c>
      <c r="Q283" s="270" t="n">
        <v>3.53989142951143</v>
      </c>
      <c r="R283" s="270" t="n">
        <v>1.06517884886038</v>
      </c>
      <c r="S283" s="270" t="n">
        <v>6.45111586335472</v>
      </c>
      <c r="T283" s="270" t="n">
        <v>1.60037286834457</v>
      </c>
      <c r="U283" s="270" t="n">
        <v>0.457275502184204</v>
      </c>
      <c r="V283" s="270" t="n">
        <v>2.08744128237466</v>
      </c>
      <c r="W283" s="270" t="n">
        <v>0.927162727787831</v>
      </c>
      <c r="X283" s="274" t="n">
        <v>0.0183185626635586</v>
      </c>
      <c r="Y283" s="269" t="n">
        <v>11.2961097794296</v>
      </c>
      <c r="Z283" s="275" t="n">
        <v>1079</v>
      </c>
      <c r="AA283" s="275" t="n">
        <v>687</v>
      </c>
      <c r="AB283" s="270" t="n">
        <v>8659.209999999999</v>
      </c>
      <c r="AD283" s="276" t="n">
        <v>0.0118641831416445</v>
      </c>
      <c r="AE283" s="141" t="n">
        <v>0.00755393310316012</v>
      </c>
      <c r="AF283" s="270" t="n">
        <v>8.02521779425394</v>
      </c>
      <c r="AG283" s="277" t="n">
        <v>0.095212653662613</v>
      </c>
      <c r="AH283" s="131" t="n">
        <v>0.443196932947344</v>
      </c>
      <c r="AI283" s="131" t="n">
        <v>0.297707534621704</v>
      </c>
      <c r="AJ283" s="270" t="n">
        <v>0.357937677303015</v>
      </c>
      <c r="AK283" s="130" t="n">
        <v>0.22897103775867</v>
      </c>
      <c r="AL283" s="130" t="n">
        <v>0.0407604512567897</v>
      </c>
      <c r="AM283" s="133" t="n">
        <v>0.299122556242166</v>
      </c>
      <c r="AN283" s="307" t="n">
        <v>6.485</v>
      </c>
    </row>
    <row customHeight="1" ht="13.2" r="284" s="3">
      <c r="A284" s="117" t="n">
        <v>43625</v>
      </c>
      <c r="B284" s="289" t="inlineStr">
        <is>
          <t>iOS</t>
        </is>
      </c>
      <c r="C284" s="268" t="n">
        <v>23259</v>
      </c>
      <c r="D284" s="268" t="n">
        <v>89333</v>
      </c>
      <c r="E284" s="269" t="n">
        <v>3.84079281138484</v>
      </c>
      <c r="F284" s="270" t="n">
        <v>0.681816698476487</v>
      </c>
      <c r="G284" s="271" t="n">
        <v>12.99</v>
      </c>
      <c r="H284" s="271" t="n">
        <v>19.08</v>
      </c>
      <c r="I284" s="142" t="n">
        <v>0.287</v>
      </c>
      <c r="J284" s="142" t="n">
        <v>0.134</v>
      </c>
      <c r="K284" s="142" t="n">
        <v>0.07199999999999999</v>
      </c>
      <c r="L284" s="270" t="n">
        <v>9.25562781950679</v>
      </c>
      <c r="M284" s="272" t="n">
        <v>11.149015481401</v>
      </c>
      <c r="N284" s="270" t="n">
        <v>18.3049990810513</v>
      </c>
      <c r="O284" s="273" t="n">
        <v>0.609069436826257</v>
      </c>
      <c r="P284" s="270" t="n">
        <v>2.55170005513692</v>
      </c>
      <c r="Q284" s="270" t="n">
        <v>3.64874104024995</v>
      </c>
      <c r="R284" s="270" t="n">
        <v>1.06476750597317</v>
      </c>
      <c r="S284" s="270" t="n">
        <v>5.98628928505789</v>
      </c>
      <c r="T284" s="270" t="n">
        <v>1.60273846719353</v>
      </c>
      <c r="U284" s="270" t="n">
        <v>0.463425840838081</v>
      </c>
      <c r="V284" s="270" t="n">
        <v>2.02957176989524</v>
      </c>
      <c r="W284" s="270" t="n">
        <v>0.957765116706488</v>
      </c>
      <c r="X284" s="274" t="n">
        <v>0.0176418568726003</v>
      </c>
      <c r="Y284" s="269" t="n">
        <v>11.1666573382736</v>
      </c>
      <c r="Z284" s="275" t="n">
        <v>986</v>
      </c>
      <c r="AA284" s="275" t="n">
        <v>670</v>
      </c>
      <c r="AB284" s="270" t="n">
        <v>7771.14</v>
      </c>
      <c r="AD284" s="276" t="n">
        <v>0.0110373546169948</v>
      </c>
      <c r="AE284" s="141" t="n">
        <v>0.00750002798517905</v>
      </c>
      <c r="AF284" s="270" t="n">
        <v>7.88148073022312</v>
      </c>
      <c r="AG284" s="277" t="n">
        <v>0.0869906977264841</v>
      </c>
      <c r="AH284" s="131" t="n">
        <v>0.458274216432349</v>
      </c>
      <c r="AI284" s="131" t="n">
        <v>0.322799776430629</v>
      </c>
      <c r="AJ284" s="270" t="n">
        <v>0.369941678886862</v>
      </c>
      <c r="AK284" s="130" t="n">
        <v>0.231739670670413</v>
      </c>
      <c r="AL284" s="130" t="n">
        <v>0.0417091108548912</v>
      </c>
      <c r="AM284" s="133" t="n">
        <v>0.299642909115333</v>
      </c>
      <c r="AN284" s="307" t="n">
        <v>7.499</v>
      </c>
    </row>
    <row customHeight="1" ht="13.2" r="285" s="3">
      <c r="A285" s="117" t="n">
        <v>43626</v>
      </c>
      <c r="B285" s="289" t="inlineStr">
        <is>
          <t>iOS</t>
        </is>
      </c>
      <c r="C285" s="268" t="n">
        <v>24388</v>
      </c>
      <c r="D285" s="268" t="n">
        <v>93583</v>
      </c>
      <c r="E285" s="269" t="n">
        <v>3.83725602755453</v>
      </c>
      <c r="F285" s="270" t="n">
        <v>0.677202532596732</v>
      </c>
      <c r="G285" s="271" t="n">
        <v>13.14</v>
      </c>
      <c r="H285" s="271" t="n">
        <v>18.52</v>
      </c>
      <c r="I285" s="142" t="n">
        <v>0.296</v>
      </c>
      <c r="J285" s="142" t="n">
        <v>0.147</v>
      </c>
      <c r="K285" s="142" t="n">
        <v>0.08400000000000001</v>
      </c>
      <c r="L285" s="270" t="n">
        <v>9.195227765726679</v>
      </c>
      <c r="M285" s="272" t="n">
        <v>10.9458128078818</v>
      </c>
      <c r="N285" s="270" t="n">
        <v>17.7581263110448</v>
      </c>
      <c r="O285" s="273" t="n">
        <v>0.616383317482876</v>
      </c>
      <c r="P285" s="270" t="n">
        <v>2.5084860357471</v>
      </c>
      <c r="Q285" s="270" t="n">
        <v>3.62748123363903</v>
      </c>
      <c r="R285" s="270" t="n">
        <v>1.01667735728031</v>
      </c>
      <c r="S285" s="270" t="n">
        <v>5.60319331518818</v>
      </c>
      <c r="T285" s="270" t="n">
        <v>1.57178024721322</v>
      </c>
      <c r="U285" s="270" t="n">
        <v>0.47398713659137</v>
      </c>
      <c r="V285" s="270" t="n">
        <v>2.00249640275298</v>
      </c>
      <c r="W285" s="270" t="n">
        <v>0.954024582632665</v>
      </c>
      <c r="X285" s="274" t="n">
        <v>0.0180374640693288</v>
      </c>
      <c r="Y285" s="269" t="n">
        <v>10.9638502719511</v>
      </c>
      <c r="Z285" s="275" t="n">
        <v>1032</v>
      </c>
      <c r="AA285" s="275" t="n">
        <v>691</v>
      </c>
      <c r="AB285" s="270" t="n">
        <v>8001.68</v>
      </c>
      <c r="AD285" s="276" t="n">
        <v>0.0110276439096845</v>
      </c>
      <c r="AE285" s="141" t="n">
        <v>0.00738381971084492</v>
      </c>
      <c r="AF285" s="270" t="n">
        <v>7.75356589147287</v>
      </c>
      <c r="AG285" s="277" t="n">
        <v>0.0855035636814379</v>
      </c>
      <c r="AH285" s="131" t="n">
        <v>0.462194521896014</v>
      </c>
      <c r="AI285" s="131" t="n">
        <v>0.326226012793177</v>
      </c>
      <c r="AJ285" s="270" t="n">
        <v>0.386031651047733</v>
      </c>
      <c r="AK285" s="130" t="n">
        <v>0.237756857548914</v>
      </c>
      <c r="AL285" s="130" t="n">
        <v>0.0433518908348739</v>
      </c>
      <c r="AM285" s="133" t="n">
        <v>0.292382163427118</v>
      </c>
      <c r="AN285" s="307" t="n">
        <v>7.704</v>
      </c>
    </row>
    <row customHeight="1" ht="13.2" r="286" s="3">
      <c r="A286" s="117" t="n">
        <v>43627</v>
      </c>
      <c r="B286" s="289" t="inlineStr">
        <is>
          <t>iOS</t>
        </is>
      </c>
      <c r="C286" s="268" t="n">
        <v>20657</v>
      </c>
      <c r="D286" s="268" t="n">
        <v>90394</v>
      </c>
      <c r="E286" s="269" t="n">
        <v>4.37595004114828</v>
      </c>
      <c r="F286" s="270" t="n">
        <v>0.630589992145496</v>
      </c>
      <c r="G286" s="271" t="n">
        <v>13.5</v>
      </c>
      <c r="H286" s="271" t="n">
        <v>19.67</v>
      </c>
      <c r="I286" s="142" t="n">
        <v>0.296</v>
      </c>
      <c r="J286" s="142" t="n">
        <v>0.156</v>
      </c>
      <c r="K286" s="142" t="n">
        <v>0.083</v>
      </c>
      <c r="L286" s="270" t="n">
        <v>9.0409982963471</v>
      </c>
      <c r="M286" s="272" t="n">
        <v>10.3124211783968</v>
      </c>
      <c r="N286" s="270" t="n">
        <v>16.6386613119143</v>
      </c>
      <c r="O286" s="273" t="n">
        <v>0.6197867115074009</v>
      </c>
      <c r="P286" s="270" t="n">
        <v>2.34923694779116</v>
      </c>
      <c r="Q286" s="270" t="n">
        <v>3.44230254350736</v>
      </c>
      <c r="R286" s="270" t="n">
        <v>0.970548862115127</v>
      </c>
      <c r="S286" s="270" t="n">
        <v>5.12894243641231</v>
      </c>
      <c r="T286" s="270" t="n">
        <v>1.46070504239179</v>
      </c>
      <c r="U286" s="270" t="n">
        <v>0.4891744756805</v>
      </c>
      <c r="V286" s="270" t="n">
        <v>1.88380187416332</v>
      </c>
      <c r="W286" s="270" t="n">
        <v>0.913949129852744</v>
      </c>
      <c r="X286" s="274" t="n">
        <v>0.0218487952740226</v>
      </c>
      <c r="Y286" s="269" t="n">
        <v>10.3342699736708</v>
      </c>
      <c r="Z286" s="275" t="n">
        <v>978</v>
      </c>
      <c r="AA286" s="275" t="n">
        <v>674</v>
      </c>
      <c r="AB286" s="270" t="n">
        <v>6698.22</v>
      </c>
      <c r="AD286" s="276" t="n">
        <v>0.010819302166073</v>
      </c>
      <c r="AE286" s="141" t="n">
        <v>0.0074562470960462</v>
      </c>
      <c r="AF286" s="270" t="n">
        <v>6.84889570552147</v>
      </c>
      <c r="AG286" s="277" t="n">
        <v>0.0741002721419563</v>
      </c>
      <c r="AH286" s="131" t="n">
        <v>0.469380839424892</v>
      </c>
      <c r="AI286" s="131" t="n">
        <v>0.348598538025851</v>
      </c>
      <c r="AJ286" s="270" t="n">
        <v>0.431964510918866</v>
      </c>
      <c r="AK286" s="130" t="n">
        <v>0.262970993650021</v>
      </c>
      <c r="AL286" s="130" t="n">
        <v>0.0496271876451977</v>
      </c>
      <c r="AM286" s="133" t="n">
        <v>0.246144655618736</v>
      </c>
      <c r="AN286" s="307" t="n">
        <v>7.362</v>
      </c>
    </row>
    <row customFormat="1" customHeight="1" ht="13.2" r="287" s="294">
      <c r="A287" s="121" t="n">
        <v>43628</v>
      </c>
      <c r="B287" s="295" t="inlineStr">
        <is>
          <t>iOS</t>
        </is>
      </c>
      <c r="C287" s="296" t="n">
        <v>15234</v>
      </c>
      <c r="D287" s="296" t="n">
        <v>81789</v>
      </c>
      <c r="E287" s="297" t="n">
        <v>5.36884600236314</v>
      </c>
      <c r="F287" s="294" t="n">
        <v>0.55945978656054</v>
      </c>
      <c r="G287" s="306" t="n">
        <v>14.08</v>
      </c>
      <c r="H287" s="306" t="n">
        <v>20.88</v>
      </c>
      <c r="I287" s="124" t="n">
        <v>0.287</v>
      </c>
      <c r="J287" s="124" t="n">
        <v>0.142</v>
      </c>
      <c r="K287" s="124" t="n">
        <v>0.074</v>
      </c>
      <c r="L287" s="294" t="n">
        <v>8.12255926836127</v>
      </c>
      <c r="M287" s="299" t="n">
        <v>9.156867060362639</v>
      </c>
      <c r="N287" s="294" t="n">
        <v>14.9424592486183</v>
      </c>
      <c r="O287" s="300" t="n">
        <v>0.612808568389392</v>
      </c>
      <c r="P287" s="294" t="n">
        <v>2.20841563416532</v>
      </c>
      <c r="Q287" s="294" t="n">
        <v>3.02244568145089</v>
      </c>
      <c r="R287" s="294" t="n">
        <v>0.855549570040502</v>
      </c>
      <c r="S287" s="294" t="n">
        <v>4.43686279204325</v>
      </c>
      <c r="T287" s="294" t="n">
        <v>1.36272221224636</v>
      </c>
      <c r="U287" s="294" t="n">
        <v>0.5185052173739551</v>
      </c>
      <c r="V287" s="294" t="n">
        <v>1.67077672033678</v>
      </c>
      <c r="W287" s="294" t="n">
        <v>0.867181420961274</v>
      </c>
      <c r="X287" s="301" t="n">
        <v>0.0232916406851777</v>
      </c>
      <c r="Y287" s="297" t="n">
        <v>9.180158701047819</v>
      </c>
      <c r="Z287" s="293" t="n">
        <v>779</v>
      </c>
      <c r="AA287" s="293" t="n">
        <v>520</v>
      </c>
      <c r="AB287" s="294" t="n">
        <v>4605.21</v>
      </c>
      <c r="AD287" s="303" t="n">
        <v>0.00952450818569734</v>
      </c>
      <c r="AE287" s="123" t="n">
        <v>0.00635782317915612</v>
      </c>
      <c r="AF287" s="294" t="n">
        <v>5.9116944801027</v>
      </c>
      <c r="AG287" s="304" t="n">
        <v>0.0563059824670799</v>
      </c>
      <c r="AH287" s="135" t="n">
        <v>0.480110279637653</v>
      </c>
      <c r="AI287" s="135" t="n">
        <v>0.381777602730734</v>
      </c>
      <c r="AJ287" s="294" t="n">
        <v>0.490493831688858</v>
      </c>
      <c r="AK287" s="136" t="n">
        <v>0.299612417317732</v>
      </c>
      <c r="AL287" s="136" t="n">
        <v>0.0559732971426475</v>
      </c>
      <c r="AM287" s="137" t="n">
        <v>0</v>
      </c>
      <c r="AN287" s="307" t="n">
        <v>6.352</v>
      </c>
    </row>
    <row customHeight="1" ht="13.2" r="288" s="3">
      <c r="A288" s="117" t="n">
        <v>43629</v>
      </c>
      <c r="B288" s="267" t="inlineStr">
        <is>
          <t>iOS</t>
        </is>
      </c>
      <c r="C288" s="268" t="n">
        <v>16704</v>
      </c>
      <c r="D288" s="268" t="n">
        <v>80772</v>
      </c>
      <c r="E288" s="269" t="n">
        <v>4.83548850574713</v>
      </c>
      <c r="F288" s="270" t="n">
        <v>0.535851805638092</v>
      </c>
      <c r="G288" s="271" t="n">
        <v>14.93</v>
      </c>
      <c r="H288" s="271" t="n">
        <v>22.46</v>
      </c>
      <c r="I288" s="142" t="n">
        <v>0.305</v>
      </c>
      <c r="J288" s="142" t="n">
        <v>0.14</v>
      </c>
      <c r="K288" s="142" t="n">
        <v>0.075</v>
      </c>
      <c r="L288" s="270" t="n">
        <v>7.74028128559402</v>
      </c>
      <c r="M288" s="272" t="n">
        <v>8.63013172881692</v>
      </c>
      <c r="N288" s="270" t="n">
        <v>14.2135065146912</v>
      </c>
      <c r="O288" s="273" t="n">
        <v>0.607178230079731</v>
      </c>
      <c r="P288" s="270" t="n">
        <v>2.17682441938707</v>
      </c>
      <c r="Q288" s="270" t="n">
        <v>2.8791468711131</v>
      </c>
      <c r="R288" s="270" t="n">
        <v>0.795016618069857</v>
      </c>
      <c r="S288" s="270" t="n">
        <v>4.11045409130763</v>
      </c>
      <c r="T288" s="270" t="n">
        <v>1.3274677323981</v>
      </c>
      <c r="U288" s="270" t="n">
        <v>0.503007564790082</v>
      </c>
      <c r="V288" s="270" t="n">
        <v>1.58768835511694</v>
      </c>
      <c r="W288" s="270" t="n">
        <v>0.833900862508411</v>
      </c>
      <c r="X288" s="274" t="n">
        <v>0.0212697469420096</v>
      </c>
      <c r="Y288" s="269" t="n">
        <v>8.651401475758931</v>
      </c>
      <c r="Z288" s="275" t="n">
        <v>635</v>
      </c>
      <c r="AA288" s="275" t="n">
        <v>449</v>
      </c>
      <c r="AB288" s="270" t="n">
        <v>3749.65</v>
      </c>
      <c r="AD288" s="276" t="n">
        <v>0.00786163522012579</v>
      </c>
      <c r="AE288" s="141" t="n">
        <v>0.00555885702966374</v>
      </c>
      <c r="AF288" s="270" t="n">
        <v>5.90496062992126</v>
      </c>
      <c r="AG288" s="277" t="n">
        <v>0.0464226464616451</v>
      </c>
      <c r="AH288" s="131" t="n">
        <v>0.440433429118774</v>
      </c>
      <c r="AI288" s="131" t="n">
        <v>0.306573275862069</v>
      </c>
      <c r="AJ288" s="270" t="n">
        <v>0.452186401228148</v>
      </c>
      <c r="AK288" s="130" t="n">
        <v>0.296018422225524</v>
      </c>
      <c r="AL288" s="130" t="n">
        <v>0.0546724112316149</v>
      </c>
      <c r="AM288" s="133" t="n">
        <v>0</v>
      </c>
      <c r="AN288" s="307" t="n">
        <v>6.307</v>
      </c>
    </row>
    <row customHeight="1" ht="15" r="289" s="3">
      <c r="A289" s="117" t="n">
        <v>43630</v>
      </c>
      <c r="B289" s="267" t="inlineStr">
        <is>
          <t>iOS</t>
        </is>
      </c>
      <c r="C289" s="268" t="n">
        <v>21493</v>
      </c>
      <c r="D289" s="268" t="n">
        <v>85426</v>
      </c>
      <c r="E289" s="269" t="n">
        <v>3.97459638021681</v>
      </c>
      <c r="F289" s="270" t="n">
        <v>0.499657619366469</v>
      </c>
      <c r="G289" s="271" t="n">
        <v>14.06</v>
      </c>
      <c r="H289" s="271" t="n">
        <v>21.77</v>
      </c>
      <c r="I289" s="142" t="n">
        <v>0.287</v>
      </c>
      <c r="J289" s="142" t="n">
        <v>0.135</v>
      </c>
      <c r="K289" s="142" t="n">
        <v>0.068</v>
      </c>
      <c r="L289" s="270" t="n">
        <v>7.80247231522019</v>
      </c>
      <c r="M289" s="272" t="n">
        <v>8.509493596797229</v>
      </c>
      <c r="N289" s="270" t="n">
        <v>14.3018021562918</v>
      </c>
      <c r="O289" s="273" t="n">
        <v>0.594994498162152</v>
      </c>
      <c r="P289" s="270" t="n">
        <v>2.22877154324388</v>
      </c>
      <c r="Q289" s="270" t="n">
        <v>2.88160069253168</v>
      </c>
      <c r="R289" s="270" t="n">
        <v>0.782521444872905</v>
      </c>
      <c r="S289" s="270" t="n">
        <v>4.12546234359015</v>
      </c>
      <c r="T289" s="270" t="n">
        <v>1.33967498229322</v>
      </c>
      <c r="U289" s="270" t="n">
        <v>0.506197371527505</v>
      </c>
      <c r="V289" s="270" t="n">
        <v>1.59541984732824</v>
      </c>
      <c r="W289" s="270" t="n">
        <v>0.842153930904226</v>
      </c>
      <c r="X289" s="274" t="n">
        <v>0.0214571676070517</v>
      </c>
      <c r="Y289" s="269" t="n">
        <v>8.530950764404279</v>
      </c>
      <c r="Z289" s="275" t="n">
        <v>690</v>
      </c>
      <c r="AA289" s="275" t="n">
        <v>498</v>
      </c>
      <c r="AB289" s="270" t="n">
        <v>4126.1</v>
      </c>
      <c r="AD289" s="276" t="n">
        <v>0.00807716620232716</v>
      </c>
      <c r="AE289" s="141" t="n">
        <v>0.00582960691124482</v>
      </c>
      <c r="AF289" s="270" t="n">
        <v>5.97985507246377</v>
      </c>
      <c r="AG289" s="277" t="n">
        <v>0.048300283286119</v>
      </c>
      <c r="AH289" s="131" t="n">
        <v>0.452752058809845</v>
      </c>
      <c r="AI289" s="131" t="n">
        <v>0.306053133578374</v>
      </c>
      <c r="AJ289" s="270" t="n">
        <v>0.444513380001405</v>
      </c>
      <c r="AK289" s="130" t="n">
        <v>0.281483389132114</v>
      </c>
      <c r="AL289" s="130" t="n">
        <v>0.0506520263151734</v>
      </c>
      <c r="AM289" s="133" t="n">
        <v>0</v>
      </c>
      <c r="AN289" s="307" t="n">
        <v>5.675</v>
      </c>
    </row>
    <row customHeight="1" ht="15" r="290" s="3">
      <c r="A290" s="117" t="n">
        <v>43631</v>
      </c>
      <c r="B290" s="289" t="inlineStr">
        <is>
          <t>iOS</t>
        </is>
      </c>
      <c r="C290" s="268" t="n">
        <v>19115</v>
      </c>
      <c r="D290" s="268" t="n">
        <v>81566</v>
      </c>
      <c r="E290" s="269" t="n">
        <v>4.26712006277792</v>
      </c>
      <c r="F290" s="270" t="n">
        <v>0.714189174337347</v>
      </c>
      <c r="G290" s="271" t="n">
        <v>12.45</v>
      </c>
      <c r="H290" s="271" t="n">
        <v>20.15</v>
      </c>
      <c r="I290" s="142" t="n">
        <v>0.262</v>
      </c>
      <c r="J290" s="142" t="n">
        <v>0.126</v>
      </c>
      <c r="K290" s="142" t="n">
        <v>0.064</v>
      </c>
      <c r="L290" s="270" t="n">
        <v>9.4876664296398</v>
      </c>
      <c r="M290" s="272" t="n">
        <v>11.61339283525</v>
      </c>
      <c r="N290" s="270" t="n">
        <v>19.0522335525654</v>
      </c>
      <c r="O290" s="273" t="n">
        <v>0.60955545202658</v>
      </c>
      <c r="P290" s="270" t="n">
        <v>2.60805728192441</v>
      </c>
      <c r="Q290" s="270" t="n">
        <v>3.59806110340111</v>
      </c>
      <c r="R290" s="270" t="n">
        <v>1.11748023894286</v>
      </c>
      <c r="S290" s="270" t="n">
        <v>6.5884068464772</v>
      </c>
      <c r="T290" s="270" t="n">
        <v>1.62346386693216</v>
      </c>
      <c r="U290" s="270" t="n">
        <v>0.443572879583258</v>
      </c>
      <c r="V290" s="270" t="n">
        <v>2.1251030793057</v>
      </c>
      <c r="W290" s="270" t="n">
        <v>0.948088255998713</v>
      </c>
      <c r="X290" s="274" t="n">
        <v>0.0226074589902656</v>
      </c>
      <c r="Y290" s="269" t="n">
        <v>11.6360002942402</v>
      </c>
      <c r="Z290" s="275" t="n">
        <v>951</v>
      </c>
      <c r="AA290" s="275" t="n">
        <v>624</v>
      </c>
      <c r="AB290" s="270" t="n">
        <v>8018.49</v>
      </c>
      <c r="AD290" s="276" t="n">
        <v>0.0116592697937866</v>
      </c>
      <c r="AE290" s="141" t="n">
        <v>0.007650246426207</v>
      </c>
      <c r="AF290" s="270" t="n">
        <v>8.4316403785489</v>
      </c>
      <c r="AG290" s="277" t="n">
        <v>0.09830676997768679</v>
      </c>
      <c r="AH290" s="131" t="n">
        <v>0.441904263667277</v>
      </c>
      <c r="AI290" s="131" t="n">
        <v>0.310959979074026</v>
      </c>
      <c r="AJ290" s="270" t="n">
        <v>0.364821126449746</v>
      </c>
      <c r="AK290" s="130" t="n">
        <v>0.240173601745825</v>
      </c>
      <c r="AL290" s="130" t="n">
        <v>0.0418311551381703</v>
      </c>
      <c r="AM290" s="133" t="n">
        <v>0.315584925091337</v>
      </c>
      <c r="AN290" s="307" t="n">
        <v>5.817</v>
      </c>
    </row>
    <row customHeight="1" ht="15" r="291" s="3">
      <c r="A291" s="117" t="n">
        <v>43632</v>
      </c>
      <c r="B291" s="289" t="inlineStr">
        <is>
          <t>iOS</t>
        </is>
      </c>
      <c r="C291" s="268" t="n">
        <v>21836</v>
      </c>
      <c r="D291" s="268" t="n">
        <v>84475</v>
      </c>
      <c r="E291" s="269" t="n">
        <v>3.8686114673017</v>
      </c>
      <c r="F291" s="270" t="n">
        <v>0.639989951240012</v>
      </c>
      <c r="G291" s="271" t="n">
        <v>12.29</v>
      </c>
      <c r="H291" s="271" t="n">
        <v>19.72</v>
      </c>
      <c r="I291" s="142" t="n">
        <v>0.259</v>
      </c>
      <c r="J291" s="142" t="n">
        <v>0.121</v>
      </c>
      <c r="K291" s="142" t="n">
        <v>0.062</v>
      </c>
      <c r="L291" s="270" t="n">
        <v>8.97527079017461</v>
      </c>
      <c r="M291" s="272" t="n">
        <v>10.9563894643386</v>
      </c>
      <c r="N291" s="270" t="n">
        <v>18.0713253670728</v>
      </c>
      <c r="O291" s="273" t="n">
        <v>0.606285883397455</v>
      </c>
      <c r="P291" s="270" t="n">
        <v>2.53750781005936</v>
      </c>
      <c r="Q291" s="270" t="n">
        <v>3.6034247110278</v>
      </c>
      <c r="R291" s="270" t="n">
        <v>1.05769681349578</v>
      </c>
      <c r="S291" s="270" t="n">
        <v>5.92592158700406</v>
      </c>
      <c r="T291" s="270" t="n">
        <v>1.5805412371134</v>
      </c>
      <c r="U291" s="270" t="n">
        <v>0.444529053420806</v>
      </c>
      <c r="V291" s="270" t="n">
        <v>1.98346219931271</v>
      </c>
      <c r="W291" s="270" t="n">
        <v>0.938241955638863</v>
      </c>
      <c r="X291" s="274" t="n">
        <v>0.013317549570879</v>
      </c>
      <c r="Y291" s="269" t="n">
        <v>10.9697070139094</v>
      </c>
      <c r="Z291" s="275" t="n">
        <v>845</v>
      </c>
      <c r="AA291" s="275" t="n">
        <v>558</v>
      </c>
      <c r="AB291" s="270" t="n">
        <v>7180.55</v>
      </c>
      <c r="AD291" s="276" t="n">
        <v>0.0100029594554602</v>
      </c>
      <c r="AE291" s="141" t="n">
        <v>0.00660550458715596</v>
      </c>
      <c r="AF291" s="270" t="n">
        <v>8.49769230769231</v>
      </c>
      <c r="AG291" s="277" t="n">
        <v>0.0850020716188221</v>
      </c>
      <c r="AH291" s="131" t="n">
        <v>0.432725773951273</v>
      </c>
      <c r="AI291" s="131" t="n">
        <v>0.289063931122916</v>
      </c>
      <c r="AJ291" s="270" t="n">
        <v>0.350719147676827</v>
      </c>
      <c r="AK291" s="130" t="n">
        <v>0.233548387096774</v>
      </c>
      <c r="AL291" s="130" t="n">
        <v>0.0413258360461675</v>
      </c>
      <c r="AM291" s="133" t="n">
        <v>0.308493637170761</v>
      </c>
      <c r="AN291" s="307" t="n">
        <v>6.842</v>
      </c>
    </row>
    <row customHeight="1" ht="15" r="292" s="3">
      <c r="A292" s="117" t="n">
        <v>43633</v>
      </c>
      <c r="B292" s="289" t="inlineStr">
        <is>
          <t>iOS</t>
        </is>
      </c>
      <c r="C292" s="268" t="n">
        <v>19036</v>
      </c>
      <c r="D292" s="268" t="n">
        <v>84683</v>
      </c>
      <c r="E292" s="269" t="n">
        <v>4.44857112838832</v>
      </c>
      <c r="F292" s="270" t="n">
        <v>0.588303074891064</v>
      </c>
      <c r="G292" s="271" t="n">
        <v>12.29</v>
      </c>
      <c r="H292" s="271" t="n">
        <v>18.98</v>
      </c>
      <c r="I292" s="142" t="n">
        <v>0.274</v>
      </c>
      <c r="J292" s="142" t="n">
        <v>0.132</v>
      </c>
      <c r="K292" s="142" t="n">
        <v>0.07099999999999999</v>
      </c>
      <c r="L292" s="270" t="n">
        <v>8.99238335911576</v>
      </c>
      <c r="M292" s="272" t="n">
        <v>10.9829717889069</v>
      </c>
      <c r="N292" s="270" t="n">
        <v>17.8430887290168</v>
      </c>
      <c r="O292" s="273" t="n">
        <v>0.615530862156513</v>
      </c>
      <c r="P292" s="270" t="n">
        <v>2.50467146282974</v>
      </c>
      <c r="Q292" s="270" t="n">
        <v>3.62574580335731</v>
      </c>
      <c r="R292" s="270" t="n">
        <v>1.01910791366906</v>
      </c>
      <c r="S292" s="270" t="n">
        <v>5.70799040767386</v>
      </c>
      <c r="T292" s="270" t="n">
        <v>1.59395683453237</v>
      </c>
      <c r="U292" s="270" t="n">
        <v>0.455942446043166</v>
      </c>
      <c r="V292" s="270" t="n">
        <v>1.99081055155875</v>
      </c>
      <c r="W292" s="270" t="n">
        <v>0.9448633093525181</v>
      </c>
      <c r="X292" s="274" t="n">
        <v>0.0121630079236683</v>
      </c>
      <c r="Y292" s="269" t="n">
        <v>10.9951347968305</v>
      </c>
      <c r="Z292" s="275" t="n">
        <v>790</v>
      </c>
      <c r="AA292" s="275" t="n">
        <v>575</v>
      </c>
      <c r="AB292" s="270" t="n">
        <v>5131.1</v>
      </c>
      <c r="AD292" s="276" t="n">
        <v>0.00932890898999799</v>
      </c>
      <c r="AE292" s="141" t="n">
        <v>0.0067900286952517</v>
      </c>
      <c r="AF292" s="270" t="n">
        <v>6.49506329113924</v>
      </c>
      <c r="AG292" s="277" t="n">
        <v>0.0605918543273148</v>
      </c>
      <c r="AH292" s="131" t="n">
        <v>0.448571128388317</v>
      </c>
      <c r="AI292" s="131" t="n">
        <v>0.325330951880647</v>
      </c>
      <c r="AJ292" s="270" t="n">
        <v>0.387031635629347</v>
      </c>
      <c r="AK292" s="130" t="n">
        <v>0.245220410235821</v>
      </c>
      <c r="AL292" s="130" t="n">
        <v>0.043715976051864</v>
      </c>
      <c r="AM292" s="133" t="n">
        <v>0.30903487122563</v>
      </c>
      <c r="AN292" s="307" t="n">
        <v>6.211</v>
      </c>
    </row>
    <row customHeight="1" ht="13.95" r="293" s="3">
      <c r="A293" s="117" t="n">
        <v>43634</v>
      </c>
      <c r="B293" s="289" t="inlineStr">
        <is>
          <t>iOS</t>
        </is>
      </c>
      <c r="C293" s="268" t="n">
        <v>18499</v>
      </c>
      <c r="D293" s="268" t="n">
        <v>82750</v>
      </c>
      <c r="E293" s="269" t="n">
        <v>4.47321476836586</v>
      </c>
      <c r="F293" s="270" t="n">
        <v>0.5904183239637461</v>
      </c>
      <c r="G293" s="271" t="n">
        <v>12.73</v>
      </c>
      <c r="H293" s="271" t="n">
        <v>19.22</v>
      </c>
      <c r="I293" s="142" t="n">
        <v>0.286</v>
      </c>
      <c r="J293" s="142" t="n">
        <v>0.14</v>
      </c>
      <c r="K293" s="142" t="n">
        <v>0.073</v>
      </c>
      <c r="L293" s="270" t="n">
        <v>8.749788519637461</v>
      </c>
      <c r="M293" s="272" t="n">
        <v>10.2865740181269</v>
      </c>
      <c r="N293" s="270" t="n">
        <v>16.7469504997246</v>
      </c>
      <c r="O293" s="273" t="n">
        <v>0.614235649546828</v>
      </c>
      <c r="P293" s="270" t="n">
        <v>2.38368615723617</v>
      </c>
      <c r="Q293" s="270" t="n">
        <v>3.43165184543952</v>
      </c>
      <c r="R293" s="270" t="n">
        <v>0.960356496419296</v>
      </c>
      <c r="S293" s="270" t="n">
        <v>5.19908318249784</v>
      </c>
      <c r="T293" s="270" t="n">
        <v>1.49765877075628</v>
      </c>
      <c r="U293" s="270" t="n">
        <v>0.481545604784764</v>
      </c>
      <c r="V293" s="270" t="n">
        <v>1.87249154009601</v>
      </c>
      <c r="W293" s="270" t="n">
        <v>0.9204769024946881</v>
      </c>
      <c r="X293" s="274" t="n">
        <v>0.0121450151057402</v>
      </c>
      <c r="Y293" s="269" t="n">
        <v>10.2987190332326</v>
      </c>
      <c r="Z293" s="275" t="n">
        <v>743</v>
      </c>
      <c r="AA293" s="275" t="n">
        <v>518</v>
      </c>
      <c r="AB293" s="270" t="n">
        <v>5536.57</v>
      </c>
      <c r="AD293" s="276" t="n">
        <v>0.008978851963746219</v>
      </c>
      <c r="AE293" s="141" t="n">
        <v>0.00625981873111782</v>
      </c>
      <c r="AF293" s="270" t="n">
        <v>7.45164199192463</v>
      </c>
      <c r="AG293" s="277" t="n">
        <v>0.0669071903323263</v>
      </c>
      <c r="AH293" s="131" t="n">
        <v>0.451105465160279</v>
      </c>
      <c r="AI293" s="131" t="n">
        <v>0.308881561165468</v>
      </c>
      <c r="AJ293" s="270" t="n">
        <v>0.411347432024169</v>
      </c>
      <c r="AK293" s="130" t="n">
        <v>0.263371601208459</v>
      </c>
      <c r="AL293" s="130" t="n">
        <v>0.0510936555891239</v>
      </c>
      <c r="AM293" s="133" t="n">
        <v>0.253570996978852</v>
      </c>
      <c r="AN293" s="307" t="n">
        <v>6.319</v>
      </c>
    </row>
    <row customFormat="1" customHeight="1" ht="13.95" r="294" s="294">
      <c r="A294" s="121" t="n">
        <v>43635</v>
      </c>
      <c r="B294" s="295" t="inlineStr">
        <is>
          <t>iOS</t>
        </is>
      </c>
      <c r="C294" s="296" t="n">
        <v>16383</v>
      </c>
      <c r="D294" s="296" t="n">
        <v>77837</v>
      </c>
      <c r="E294" s="297" t="n">
        <v>4.75108344015138</v>
      </c>
      <c r="F294" s="294" t="n">
        <v>0.501538915849789</v>
      </c>
      <c r="G294" s="306" t="n">
        <v>13.09</v>
      </c>
      <c r="H294" s="306" t="n">
        <v>19.61</v>
      </c>
      <c r="I294" s="124" t="n">
        <v>0.294</v>
      </c>
      <c r="J294" s="124" t="n">
        <v>0.144</v>
      </c>
      <c r="K294" s="124" t="n">
        <v>0.08</v>
      </c>
      <c r="L294" s="294" t="n">
        <v>8.18784125801354</v>
      </c>
      <c r="M294" s="299" t="n">
        <v>9.167349718000439</v>
      </c>
      <c r="N294" s="294" t="n">
        <v>15.0565285280216</v>
      </c>
      <c r="O294" s="300" t="n">
        <v>0.608862109279649</v>
      </c>
      <c r="P294" s="294" t="n">
        <v>2.23812035786631</v>
      </c>
      <c r="Q294" s="294" t="n">
        <v>2.97611411208643</v>
      </c>
      <c r="R294" s="294" t="n">
        <v>0.858984638757596</v>
      </c>
      <c r="S294" s="294" t="n">
        <v>4.54441677920324</v>
      </c>
      <c r="T294" s="294" t="n">
        <v>1.36550472653612</v>
      </c>
      <c r="U294" s="294" t="n">
        <v>0.518568534773801</v>
      </c>
      <c r="V294" s="294" t="n">
        <v>1.68608625928427</v>
      </c>
      <c r="W294" s="294" t="n">
        <v>0.868733119513842</v>
      </c>
      <c r="X294" s="301" t="n">
        <v>0.0131043077199789</v>
      </c>
      <c r="Y294" s="297" t="n">
        <v>9.180454025720421</v>
      </c>
      <c r="Z294" s="293" t="n">
        <v>580</v>
      </c>
      <c r="AA294" s="293" t="n">
        <v>417</v>
      </c>
      <c r="AB294" s="294" t="n">
        <v>3454.2</v>
      </c>
      <c r="AD294" s="303" t="n">
        <v>0.00745146909567429</v>
      </c>
      <c r="AE294" s="123" t="n">
        <v>0.00535734933257962</v>
      </c>
      <c r="AF294" s="294" t="n">
        <v>5.95551724137931</v>
      </c>
      <c r="AG294" s="304" t="n">
        <v>0.0443773526728933</v>
      </c>
      <c r="AH294" s="135" t="n">
        <v>0.476103277787951</v>
      </c>
      <c r="AI294" s="135" t="n">
        <v>0.354696941952023</v>
      </c>
      <c r="AJ294" s="294" t="n">
        <v>0.485848632398474</v>
      </c>
      <c r="AK294" s="136" t="n">
        <v>0.293870524300782</v>
      </c>
      <c r="AL294" s="136" t="n">
        <v>0.0553464290761463</v>
      </c>
      <c r="AM294" s="137" t="n">
        <v>0</v>
      </c>
      <c r="AN294" s="307" t="n">
        <v>5.548</v>
      </c>
    </row>
    <row customHeight="1" ht="13.95" r="295" s="3">
      <c r="A295" s="117" t="n">
        <v>43636</v>
      </c>
      <c r="B295" s="267" t="inlineStr">
        <is>
          <t>iOS</t>
        </is>
      </c>
      <c r="C295" s="268" t="n">
        <v>14740</v>
      </c>
      <c r="D295" s="268" t="n">
        <v>75041</v>
      </c>
      <c r="E295" s="269" t="n">
        <v>5.09097693351425</v>
      </c>
      <c r="F295" s="270" t="n">
        <v>0.580541987766688</v>
      </c>
      <c r="G295" s="271" t="n">
        <v>14.65</v>
      </c>
      <c r="H295" s="271" t="n">
        <v>21.72</v>
      </c>
      <c r="I295" s="142" t="n">
        <v>0.301</v>
      </c>
      <c r="J295" s="142" t="n">
        <v>0.143</v>
      </c>
      <c r="K295" s="142" t="n">
        <v>0.079</v>
      </c>
      <c r="L295" s="270" t="n">
        <v>7.96357990964939</v>
      </c>
      <c r="M295" s="272" t="n">
        <v>9.001639103956499</v>
      </c>
      <c r="N295" s="270" t="n">
        <v>14.8322866804269</v>
      </c>
      <c r="O295" s="273" t="n">
        <v>0.606894897456057</v>
      </c>
      <c r="P295" s="270" t="n">
        <v>2.2176013350314</v>
      </c>
      <c r="Q295" s="270" t="n">
        <v>3.01113258091432</v>
      </c>
      <c r="R295" s="270" t="n">
        <v>0.83843485134601</v>
      </c>
      <c r="S295" s="270" t="n">
        <v>4.35990953405648</v>
      </c>
      <c r="T295" s="270" t="n">
        <v>1.36788019849809</v>
      </c>
      <c r="U295" s="270" t="n">
        <v>0.513020947696632</v>
      </c>
      <c r="V295" s="270" t="n">
        <v>1.6605331342497</v>
      </c>
      <c r="W295" s="270" t="n">
        <v>0.863774098634228</v>
      </c>
      <c r="X295" s="274" t="n">
        <v>0.0156447808531336</v>
      </c>
      <c r="Y295" s="269" t="n">
        <v>9.01728388480964</v>
      </c>
      <c r="Z295" s="275" t="n">
        <v>561</v>
      </c>
      <c r="AA295" s="275" t="n">
        <v>407</v>
      </c>
      <c r="AB295" s="270" t="n">
        <v>4490.39</v>
      </c>
      <c r="AD295" s="276" t="n">
        <v>0.00747591316746845</v>
      </c>
      <c r="AE295" s="141" t="n">
        <v>0.00542370170973201</v>
      </c>
      <c r="AF295" s="270" t="n">
        <v>8.00426024955437</v>
      </c>
      <c r="AG295" s="277" t="n">
        <v>0.0598391545954878</v>
      </c>
      <c r="AH295" s="131" t="n">
        <v>0.479850746268657</v>
      </c>
      <c r="AI295" s="131" t="n">
        <v>0.348032564450475</v>
      </c>
      <c r="AJ295" s="270" t="n">
        <v>0.472568329313309</v>
      </c>
      <c r="AK295" s="130" t="n">
        <v>0.299942697991764</v>
      </c>
      <c r="AL295" s="130" t="n">
        <v>0.0546634506469797</v>
      </c>
      <c r="AM295" s="133" t="n">
        <v>0</v>
      </c>
      <c r="AN295" s="307" t="n">
        <v>6.042</v>
      </c>
    </row>
    <row customHeight="1" ht="16.5" r="296" s="3">
      <c r="A296" s="117" t="n">
        <v>43637</v>
      </c>
      <c r="B296" s="267" t="inlineStr">
        <is>
          <t>iOS</t>
        </is>
      </c>
      <c r="C296" s="268" t="n">
        <v>14855</v>
      </c>
      <c r="D296" s="268" t="n">
        <v>74296</v>
      </c>
      <c r="E296" s="269" t="n">
        <v>5.00141366543251</v>
      </c>
      <c r="F296" s="270" t="n">
        <v>0.579090704290944</v>
      </c>
      <c r="G296" s="271" t="n">
        <v>15.45</v>
      </c>
      <c r="H296" s="271" t="n">
        <v>23.61</v>
      </c>
      <c r="I296" s="142" t="n">
        <v>0.303</v>
      </c>
      <c r="J296" s="142" t="n">
        <v>0.15</v>
      </c>
      <c r="K296" s="142" t="n">
        <v>0.074</v>
      </c>
      <c r="L296" s="270" t="n">
        <v>7.78609884785184</v>
      </c>
      <c r="M296" s="272" t="n">
        <v>8.963847313448911</v>
      </c>
      <c r="N296" s="270" t="n">
        <v>14.8978368342169</v>
      </c>
      <c r="O296" s="273" t="n">
        <v>0.601687843221708</v>
      </c>
      <c r="P296" s="270" t="n">
        <v>2.21873252354428</v>
      </c>
      <c r="Q296" s="270" t="n">
        <v>3.15513500212514</v>
      </c>
      <c r="R296" s="270" t="n">
        <v>0.8207279153524371</v>
      </c>
      <c r="S296" s="270" t="n">
        <v>4.34342214169071</v>
      </c>
      <c r="T296" s="270" t="n">
        <v>1.3481869225779</v>
      </c>
      <c r="U296" s="270" t="n">
        <v>0.508109075453549</v>
      </c>
      <c r="V296" s="270" t="n">
        <v>1.65382636512091</v>
      </c>
      <c r="W296" s="270" t="n">
        <v>0.849696888352012</v>
      </c>
      <c r="X296" s="274" t="n">
        <v>0.013540432863142</v>
      </c>
      <c r="Y296" s="269" t="n">
        <v>8.977387746312051</v>
      </c>
      <c r="Z296" s="275" t="n">
        <v>612</v>
      </c>
      <c r="AA296" s="275" t="n">
        <v>433</v>
      </c>
      <c r="AB296" s="270" t="n">
        <v>3792.88</v>
      </c>
      <c r="AD296" s="276" t="n">
        <v>0.008237320986324971</v>
      </c>
      <c r="AE296" s="141" t="n">
        <v>0.00582803919457306</v>
      </c>
      <c r="AF296" s="270" t="n">
        <v>6.19751633986928</v>
      </c>
      <c r="AG296" s="277" t="n">
        <v>0.0510509314094971</v>
      </c>
      <c r="AH296" s="131" t="n">
        <v>0.459777852574891</v>
      </c>
      <c r="AI296" s="131" t="n">
        <v>0.338471894984854</v>
      </c>
      <c r="AJ296" s="270" t="n">
        <v>0.457951975880263</v>
      </c>
      <c r="AK296" s="130" t="n">
        <v>0.298724022827608</v>
      </c>
      <c r="AL296" s="130" t="n">
        <v>0.0543770862495962</v>
      </c>
      <c r="AM296" s="133" t="n">
        <v>0.00339183805319264</v>
      </c>
      <c r="AN296" s="307" t="n">
        <v>6.871</v>
      </c>
    </row>
    <row customHeight="1" ht="13.95" r="297" s="3">
      <c r="A297" s="117" t="n">
        <v>43638</v>
      </c>
      <c r="B297" s="289" t="inlineStr">
        <is>
          <t>iOS</t>
        </is>
      </c>
      <c r="C297" s="268" t="n">
        <v>17239</v>
      </c>
      <c r="D297" s="268" t="n">
        <v>75102</v>
      </c>
      <c r="E297" s="269" t="n">
        <v>4.35651719937351</v>
      </c>
      <c r="F297" s="270" t="n">
        <v>0.590493842054805</v>
      </c>
      <c r="G297" s="271" t="n">
        <v>16.08</v>
      </c>
      <c r="H297" s="271" t="n">
        <v>25.3</v>
      </c>
      <c r="I297" s="142" t="n">
        <v>0.291</v>
      </c>
      <c r="J297" s="142" t="n">
        <v>0.145</v>
      </c>
      <c r="K297" s="142" t="n">
        <v>0.07199999999999999</v>
      </c>
      <c r="L297" s="270" t="n">
        <v>7.86073606561743</v>
      </c>
      <c r="M297" s="272" t="n">
        <v>8.780684935154859</v>
      </c>
      <c r="N297" s="270" t="n">
        <v>14.8276970814408</v>
      </c>
      <c r="O297" s="273" t="n">
        <v>0.592181300098533</v>
      </c>
      <c r="P297" s="270" t="n">
        <v>2.22046589018303</v>
      </c>
      <c r="Q297" s="270" t="n">
        <v>3.09014255520079</v>
      </c>
      <c r="R297" s="270" t="n">
        <v>0.806965867697981</v>
      </c>
      <c r="S297" s="270" t="n">
        <v>4.37320681746638</v>
      </c>
      <c r="T297" s="270" t="n">
        <v>1.34224490713675</v>
      </c>
      <c r="U297" s="270" t="n">
        <v>0.5152673472141031</v>
      </c>
      <c r="V297" s="270" t="n">
        <v>1.63482034447093</v>
      </c>
      <c r="W297" s="270" t="n">
        <v>0.844583352070873</v>
      </c>
      <c r="X297" s="274" t="n">
        <v>0.0140875076562542</v>
      </c>
      <c r="Y297" s="269" t="n">
        <v>8.79477244281111</v>
      </c>
      <c r="Z297" s="275" t="n">
        <v>606</v>
      </c>
      <c r="AA297" s="275" t="n">
        <v>452</v>
      </c>
      <c r="AB297" s="270" t="n">
        <v>3879.94</v>
      </c>
      <c r="AD297" s="276" t="n">
        <v>0.00806902612447072</v>
      </c>
      <c r="AE297" s="141" t="n">
        <v>0.00601848153178344</v>
      </c>
      <c r="AF297" s="270" t="n">
        <v>6.40254125412541</v>
      </c>
      <c r="AG297" s="277" t="n">
        <v>0.0516622726425395</v>
      </c>
      <c r="AH297" s="131" t="n">
        <v>0.471953129531875</v>
      </c>
      <c r="AI297" s="131" t="n">
        <v>0.330181565055978</v>
      </c>
      <c r="AJ297" s="270" t="n">
        <v>0.454488562222045</v>
      </c>
      <c r="AK297" s="130" t="n">
        <v>0.282842001544566</v>
      </c>
      <c r="AL297" s="130" t="n">
        <v>0.0507576362813241</v>
      </c>
      <c r="AM297" s="133" t="n">
        <v>0.00227690341136055</v>
      </c>
      <c r="AN297" s="307" t="n">
        <v>7.845</v>
      </c>
    </row>
    <row customHeight="1" ht="13.05" r="298" s="3">
      <c r="A298" s="117" t="n">
        <v>43639</v>
      </c>
      <c r="B298" s="289" t="inlineStr">
        <is>
          <t>iOS</t>
        </is>
      </c>
      <c r="C298" s="268" t="n">
        <v>17608</v>
      </c>
      <c r="D298" s="268" t="n">
        <v>74923</v>
      </c>
      <c r="E298" s="269" t="n">
        <v>4.25505452067242</v>
      </c>
      <c r="F298" s="270" t="n">
        <v>0.554993762596265</v>
      </c>
      <c r="G298" s="271" t="n">
        <v>15.12</v>
      </c>
      <c r="H298" s="271" t="n">
        <v>23.43</v>
      </c>
      <c r="I298" s="142" t="n">
        <v>0.303</v>
      </c>
      <c r="J298" s="142" t="n">
        <v>0.146</v>
      </c>
      <c r="K298" s="142" t="n">
        <v>0.076</v>
      </c>
      <c r="L298" s="270" t="n">
        <v>7.7688960666284</v>
      </c>
      <c r="M298" s="272" t="n">
        <v>8.89258305193332</v>
      </c>
      <c r="N298" s="270" t="n">
        <v>15.0041436775138</v>
      </c>
      <c r="O298" s="273" t="n">
        <v>0.592675146483723</v>
      </c>
      <c r="P298" s="270" t="n">
        <v>2.21141763314942</v>
      </c>
      <c r="Q298" s="270" t="n">
        <v>3.16858461884923</v>
      </c>
      <c r="R298" s="270" t="n">
        <v>0.80033779979732</v>
      </c>
      <c r="S298" s="270" t="n">
        <v>4.43803625717825</v>
      </c>
      <c r="T298" s="270" t="n">
        <v>1.34559171264497</v>
      </c>
      <c r="U298" s="270" t="n">
        <v>0.52199076680554</v>
      </c>
      <c r="V298" s="270" t="n">
        <v>1.66008332395001</v>
      </c>
      <c r="W298" s="270" t="n">
        <v>0.858101565139061</v>
      </c>
      <c r="X298" s="274" t="n">
        <v>0.011932250443789</v>
      </c>
      <c r="Y298" s="269" t="n">
        <v>8.90451530237711</v>
      </c>
      <c r="Z298" s="275" t="n">
        <v>615</v>
      </c>
      <c r="AA298" s="275" t="n">
        <v>443</v>
      </c>
      <c r="AB298" s="270" t="n">
        <v>3485.85</v>
      </c>
      <c r="AD298" s="276" t="n">
        <v>0.008208427318713881</v>
      </c>
      <c r="AE298" s="141" t="n">
        <v>0.00591273707673211</v>
      </c>
      <c r="AF298" s="270" t="n">
        <v>5.6680487804878</v>
      </c>
      <c r="AG298" s="277" t="n">
        <v>0.046525766453559</v>
      </c>
      <c r="AH298" s="131" t="n">
        <v>0.486369831894593</v>
      </c>
      <c r="AI298" s="131" t="n">
        <v>0.331724216265334</v>
      </c>
      <c r="AJ298" s="270" t="n">
        <v>0.457002522589859</v>
      </c>
      <c r="AK298" s="130" t="n">
        <v>0.282943822324253</v>
      </c>
      <c r="AL298" s="130" t="n">
        <v>0.0484230476622666</v>
      </c>
      <c r="AM298" s="133" t="n">
        <v>0.00185523804439224</v>
      </c>
      <c r="AN298" s="307" t="n">
        <v>7.391</v>
      </c>
    </row>
    <row customHeight="1" ht="13.05" r="299" s="3">
      <c r="A299" s="117" t="n">
        <v>43640</v>
      </c>
      <c r="B299" s="289" t="inlineStr">
        <is>
          <t>iOS</t>
        </is>
      </c>
      <c r="C299" s="268" t="n">
        <v>15688</v>
      </c>
      <c r="D299" s="268" t="n">
        <v>75142</v>
      </c>
      <c r="E299" s="269" t="n">
        <v>4.78977562468129</v>
      </c>
      <c r="F299" s="270" t="n">
        <v>0.924552381757206</v>
      </c>
      <c r="G299" s="271" t="n">
        <v>13.22</v>
      </c>
      <c r="H299" s="271" t="n">
        <v>18.56</v>
      </c>
      <c r="I299" s="142" t="n">
        <v>0.301</v>
      </c>
      <c r="J299" s="142" t="n">
        <v>0.147</v>
      </c>
      <c r="K299" s="142" t="n">
        <v>0.08500000000000001</v>
      </c>
      <c r="L299" s="270" t="n">
        <v>9.805514891804849</v>
      </c>
      <c r="M299" s="272" t="n">
        <v>12.6692129568018</v>
      </c>
      <c r="N299" s="270" t="n">
        <v>20.4355479231512</v>
      </c>
      <c r="O299" s="273" t="n">
        <v>0.619959543264752</v>
      </c>
      <c r="P299" s="270" t="n">
        <v>2.72300096597617</v>
      </c>
      <c r="Q299" s="270" t="n">
        <v>4.09204679617903</v>
      </c>
      <c r="R299" s="270" t="n">
        <v>1.09846517119244</v>
      </c>
      <c r="S299" s="270" t="n">
        <v>7.05164752602769</v>
      </c>
      <c r="T299" s="270" t="n">
        <v>1.69867983256413</v>
      </c>
      <c r="U299" s="270" t="n">
        <v>0.447912418160352</v>
      </c>
      <c r="V299" s="270" t="n">
        <v>2.30404636685628</v>
      </c>
      <c r="W299" s="270" t="n">
        <v>1.01974884619513</v>
      </c>
      <c r="X299" s="274" t="n">
        <v>0.012935508770062</v>
      </c>
      <c r="Y299" s="269" t="n">
        <v>12.6821484655718</v>
      </c>
      <c r="Z299" s="275" t="n">
        <v>858</v>
      </c>
      <c r="AA299" s="275" t="n">
        <v>586</v>
      </c>
      <c r="AB299" s="270" t="n">
        <v>6125.42</v>
      </c>
      <c r="AD299" s="276" t="n">
        <v>0.0114183811982646</v>
      </c>
      <c r="AE299" s="141" t="n">
        <v>0.00779856804450241</v>
      </c>
      <c r="AF299" s="270" t="n">
        <v>7.13918414918415</v>
      </c>
      <c r="AG299" s="277" t="n">
        <v>0.0815179260599931</v>
      </c>
      <c r="AH299" s="131" t="n">
        <v>0.489291177970423</v>
      </c>
      <c r="AI299" s="131" t="n">
        <v>0.363972463029067</v>
      </c>
      <c r="AJ299" s="270" t="n">
        <v>0.389915094088526</v>
      </c>
      <c r="AK299" s="130" t="n">
        <v>0.25639455963376</v>
      </c>
      <c r="AL299" s="130" t="n">
        <v>0.0428521998349791</v>
      </c>
      <c r="AM299" s="133" t="n">
        <v>0.345545766681749</v>
      </c>
      <c r="AN299" s="307" t="n">
        <v>6.76</v>
      </c>
    </row>
    <row customHeight="1" ht="13.05" r="300" s="3">
      <c r="A300" s="117" t="n">
        <v>43641</v>
      </c>
      <c r="B300" s="289" t="inlineStr">
        <is>
          <t>iOS</t>
        </is>
      </c>
      <c r="C300" s="268" t="n">
        <v>12889</v>
      </c>
      <c r="D300" s="268" t="n">
        <v>72375</v>
      </c>
      <c r="E300" s="269" t="n">
        <v>5.61525331678175</v>
      </c>
      <c r="F300" s="270" t="n">
        <v>0.744453720373057</v>
      </c>
      <c r="G300" s="271" t="n">
        <v>13.52</v>
      </c>
      <c r="H300" s="271" t="n">
        <v>20.49</v>
      </c>
      <c r="I300" s="142" t="n">
        <v>0.294</v>
      </c>
      <c r="J300" s="142" t="n">
        <v>0.145</v>
      </c>
      <c r="K300" s="142" t="n">
        <v>0.08</v>
      </c>
      <c r="L300" s="270" t="n">
        <v>9.60758549222798</v>
      </c>
      <c r="M300" s="272" t="n">
        <v>12.3846079447323</v>
      </c>
      <c r="N300" s="270" t="n">
        <v>19.6233552991659</v>
      </c>
      <c r="O300" s="273" t="n">
        <v>0.631115716753022</v>
      </c>
      <c r="P300" s="270" t="n">
        <v>2.64796286971561</v>
      </c>
      <c r="Q300" s="270" t="n">
        <v>4.11653567440944</v>
      </c>
      <c r="R300" s="270" t="n">
        <v>1.15600849442827</v>
      </c>
      <c r="S300" s="270" t="n">
        <v>6.32898395253629</v>
      </c>
      <c r="T300" s="270" t="n">
        <v>1.71922411717057</v>
      </c>
      <c r="U300" s="270" t="n">
        <v>0.45775773365151</v>
      </c>
      <c r="V300" s="270" t="n">
        <v>2.17558070801497</v>
      </c>
      <c r="W300" s="270" t="n">
        <v>1.02130174923922</v>
      </c>
      <c r="X300" s="274" t="n">
        <v>0.0145354058721934</v>
      </c>
      <c r="Y300" s="269" t="n">
        <v>12.3991433506045</v>
      </c>
      <c r="Z300" s="275" t="n">
        <v>807</v>
      </c>
      <c r="AA300" s="275" t="n">
        <v>543</v>
      </c>
      <c r="AB300" s="270" t="n">
        <v>6050.93</v>
      </c>
      <c r="AD300" s="276" t="n">
        <v>0.0111502590673575</v>
      </c>
      <c r="AE300" s="141" t="n">
        <v>0.00750259067357513</v>
      </c>
      <c r="AF300" s="270" t="n">
        <v>7.49805452292441</v>
      </c>
      <c r="AG300" s="277" t="n">
        <v>0.0836052504317789</v>
      </c>
      <c r="AH300" s="131" t="n">
        <v>0.490573357126232</v>
      </c>
      <c r="AI300" s="131" t="n">
        <v>0.380246722011017</v>
      </c>
      <c r="AJ300" s="270" t="n">
        <v>0.401519861830743</v>
      </c>
      <c r="AK300" s="130" t="n">
        <v>0.271184801381693</v>
      </c>
      <c r="AL300" s="130" t="n">
        <v>0.0482901554404145</v>
      </c>
      <c r="AM300" s="133" t="n">
        <v>0.33740932642487</v>
      </c>
      <c r="AN300" s="307" t="n">
        <v>6.446</v>
      </c>
    </row>
    <row customFormat="1" customHeight="1" ht="13.95" r="301" s="294">
      <c r="A301" s="121" t="n">
        <v>43642</v>
      </c>
      <c r="B301" s="295" t="inlineStr">
        <is>
          <t>iOS</t>
        </is>
      </c>
      <c r="C301" s="296" t="n">
        <v>11107</v>
      </c>
      <c r="D301" s="296" t="n">
        <v>68497</v>
      </c>
      <c r="E301" s="297" t="n">
        <v>6.16701179436391</v>
      </c>
      <c r="F301" s="294" t="n">
        <v>0.757763096193994</v>
      </c>
      <c r="G301" s="306" t="n">
        <v>13.97</v>
      </c>
      <c r="H301" s="306" t="n">
        <v>20.59</v>
      </c>
      <c r="I301" s="124" t="n">
        <v>0.286</v>
      </c>
      <c r="J301" s="124" t="n">
        <v>0.138</v>
      </c>
      <c r="K301" s="124" t="n">
        <v>0.076</v>
      </c>
      <c r="L301" s="294" t="n">
        <v>9.20122049140838</v>
      </c>
      <c r="M301" s="299" t="n">
        <v>11.8523146999139</v>
      </c>
      <c r="N301" s="294" t="n">
        <v>18.8678999721112</v>
      </c>
      <c r="O301" s="300" t="n">
        <v>0.628173496649488</v>
      </c>
      <c r="P301" s="294" t="n">
        <v>2.56442316631031</v>
      </c>
      <c r="Q301" s="294" t="n">
        <v>3.97280840383006</v>
      </c>
      <c r="R301" s="294" t="n">
        <v>1.12680115273775</v>
      </c>
      <c r="S301" s="294" t="n">
        <v>5.99749000650739</v>
      </c>
      <c r="T301" s="294" t="n">
        <v>1.68401970809705</v>
      </c>
      <c r="U301" s="294" t="n">
        <v>0.449009947011248</v>
      </c>
      <c r="V301" s="294" t="n">
        <v>2.08745468067305</v>
      </c>
      <c r="W301" s="294" t="n">
        <v>0.985892906944315</v>
      </c>
      <c r="X301" s="301" t="n">
        <v>0.0153437376819423</v>
      </c>
      <c r="Y301" s="297" t="n">
        <v>11.8676584375958</v>
      </c>
      <c r="Z301" s="293" t="n">
        <v>848</v>
      </c>
      <c r="AA301" s="293" t="n">
        <v>531</v>
      </c>
      <c r="AB301" s="294" t="n">
        <v>6232.52</v>
      </c>
      <c r="AD301" s="303" t="n">
        <v>0.0123801042381418</v>
      </c>
      <c r="AE301" s="123" t="n">
        <v>0.00775216432836475</v>
      </c>
      <c r="AF301" s="294" t="n">
        <v>7.34966981132076</v>
      </c>
      <c r="AG301" s="304" t="n">
        <v>0.090989678380075</v>
      </c>
      <c r="AH301" s="135" t="n">
        <v>0.478256955073377</v>
      </c>
      <c r="AI301" s="135" t="n">
        <v>0.370036913658053</v>
      </c>
      <c r="AJ301" s="294" t="n">
        <v>0.392192358789436</v>
      </c>
      <c r="AK301" s="136" t="n">
        <v>0.278201965049564</v>
      </c>
      <c r="AL301" s="136" t="n">
        <v>0.0510533308028089</v>
      </c>
      <c r="AM301" s="137" t="n">
        <v>0.323590814196242</v>
      </c>
      <c r="AN301" s="307" t="n">
        <v>5.91</v>
      </c>
    </row>
    <row customHeight="1" ht="13.95" r="302" s="3">
      <c r="A302" s="117" t="n">
        <v>43643</v>
      </c>
      <c r="B302" s="267" t="inlineStr">
        <is>
          <t>iOS</t>
        </is>
      </c>
      <c r="C302" s="268" t="n">
        <v>11255</v>
      </c>
      <c r="D302" s="268" t="n">
        <v>66641</v>
      </c>
      <c r="E302" s="269" t="n">
        <v>5.92101288316304</v>
      </c>
      <c r="F302" s="270" t="n">
        <v>0.561276466919764</v>
      </c>
      <c r="G302" s="271" t="n">
        <v>15.45</v>
      </c>
      <c r="H302" s="271" t="n">
        <v>22.91</v>
      </c>
      <c r="I302" s="142" t="n">
        <v>0.299</v>
      </c>
      <c r="J302" s="142" t="n">
        <v>0.151</v>
      </c>
      <c r="K302" s="142" t="n">
        <v>0.082</v>
      </c>
      <c r="L302" s="270" t="n">
        <v>7.77714920244294</v>
      </c>
      <c r="M302" s="272" t="n">
        <v>8.982698338860461</v>
      </c>
      <c r="N302" s="270" t="n">
        <v>14.8705999254751</v>
      </c>
      <c r="O302" s="273" t="n">
        <v>0.604057562161432</v>
      </c>
      <c r="P302" s="270" t="n">
        <v>2.23882747484785</v>
      </c>
      <c r="Q302" s="270" t="n">
        <v>3.03761023475345</v>
      </c>
      <c r="R302" s="270" t="n">
        <v>0.860961371258229</v>
      </c>
      <c r="S302" s="270" t="n">
        <v>4.3609986337101</v>
      </c>
      <c r="T302" s="270" t="n">
        <v>1.39535461433362</v>
      </c>
      <c r="U302" s="270" t="n">
        <v>0.500633461681779</v>
      </c>
      <c r="V302" s="270" t="n">
        <v>1.63552353744876</v>
      </c>
      <c r="W302" s="270" t="n">
        <v>0.840690597441312</v>
      </c>
      <c r="X302" s="274" t="n">
        <v>0.0156060083132006</v>
      </c>
      <c r="Y302" s="269" t="n">
        <v>8.99830434717366</v>
      </c>
      <c r="Z302" s="275" t="n">
        <v>454</v>
      </c>
      <c r="AA302" s="275" t="n">
        <v>344</v>
      </c>
      <c r="AB302" s="270" t="n">
        <v>2988.46</v>
      </c>
      <c r="AD302" s="276" t="n">
        <v>0.00681262285980102</v>
      </c>
      <c r="AE302" s="141" t="n">
        <v>0.00516198736513558</v>
      </c>
      <c r="AF302" s="270" t="n">
        <v>6.58251101321586</v>
      </c>
      <c r="AG302" s="277" t="n">
        <v>0.0448441650035264</v>
      </c>
      <c r="AH302" s="131" t="n">
        <v>0.465659706796979</v>
      </c>
      <c r="AI302" s="131" t="n">
        <v>0.337361172812083</v>
      </c>
      <c r="AJ302" s="270" t="n">
        <v>0.478789333893549</v>
      </c>
      <c r="AK302" s="130" t="n">
        <v>0.310289461442655</v>
      </c>
      <c r="AL302" s="130" t="n">
        <v>0.0595579298029741</v>
      </c>
      <c r="AM302" s="133" t="n">
        <v>0.0377695412733903</v>
      </c>
      <c r="AN302" s="307" t="n">
        <v>6.502</v>
      </c>
    </row>
    <row customHeight="1" ht="13.95" r="303" s="3">
      <c r="A303" s="117" t="n">
        <v>43644</v>
      </c>
      <c r="B303" s="267" t="inlineStr">
        <is>
          <t>iOS</t>
        </is>
      </c>
      <c r="C303" s="268" t="n">
        <v>12353</v>
      </c>
      <c r="D303" s="268" t="n">
        <v>65713</v>
      </c>
      <c r="E303" s="269" t="n">
        <v>5.31959847810249</v>
      </c>
      <c r="F303" s="270" t="n">
        <v>0.557179456424147</v>
      </c>
      <c r="G303" s="271" t="n">
        <v>14.7</v>
      </c>
      <c r="H303" s="271" t="n">
        <v>20.86</v>
      </c>
      <c r="I303" s="142" t="n">
        <v>0.298</v>
      </c>
      <c r="J303" s="142" t="n">
        <v>0.147</v>
      </c>
      <c r="K303" s="142" t="n">
        <v>0.077</v>
      </c>
      <c r="L303" s="270" t="n">
        <v>7.53461263372544</v>
      </c>
      <c r="M303" s="272" t="n">
        <v>8.86156468278727</v>
      </c>
      <c r="N303" s="270" t="n">
        <v>14.8463911480509</v>
      </c>
      <c r="O303" s="273" t="n">
        <v>0.596883417284251</v>
      </c>
      <c r="P303" s="270" t="n">
        <v>2.21372663998164</v>
      </c>
      <c r="Q303" s="270" t="n">
        <v>3.08008056497463</v>
      </c>
      <c r="R303" s="270" t="n">
        <v>0.822221655661219</v>
      </c>
      <c r="S303" s="270" t="n">
        <v>4.37659026591541</v>
      </c>
      <c r="T303" s="270" t="n">
        <v>1.38327002014124</v>
      </c>
      <c r="U303" s="270" t="n">
        <v>0.504321444050685</v>
      </c>
      <c r="V303" s="270" t="n">
        <v>1.62942661193687</v>
      </c>
      <c r="W303" s="270" t="n">
        <v>0.836753945389185</v>
      </c>
      <c r="X303" s="274" t="n">
        <v>0.0124176342580616</v>
      </c>
      <c r="Y303" s="269" t="n">
        <v>8.87398231704533</v>
      </c>
      <c r="Z303" s="275" t="n">
        <v>601</v>
      </c>
      <c r="AA303" s="275" t="n">
        <v>408</v>
      </c>
      <c r="AB303" s="270" t="n">
        <v>3895.99</v>
      </c>
      <c r="AD303" s="276" t="n">
        <v>0.009145831114087011</v>
      </c>
      <c r="AE303" s="141" t="n">
        <v>0.00620881712903079</v>
      </c>
      <c r="AF303" s="270" t="n">
        <v>6.48251247920133</v>
      </c>
      <c r="AG303" s="277" t="n">
        <v>0.0592879643297369</v>
      </c>
      <c r="AH303" s="131" t="n">
        <v>0.461831134137456</v>
      </c>
      <c r="AI303" s="131" t="n">
        <v>0.321379422002752</v>
      </c>
      <c r="AJ303" s="270" t="n">
        <v>0.461324243300412</v>
      </c>
      <c r="AK303" s="130" t="n">
        <v>0.304734223060886</v>
      </c>
      <c r="AL303" s="130" t="n">
        <v>0.0573098169312008</v>
      </c>
      <c r="AM303" s="133" t="n">
        <v>0</v>
      </c>
      <c r="AN303" s="307" t="n">
        <v>6.666</v>
      </c>
    </row>
    <row customHeight="1" ht="13.95" r="304" s="3">
      <c r="A304" s="117" t="n">
        <v>43645</v>
      </c>
      <c r="B304" s="289" t="inlineStr">
        <is>
          <t>iOS</t>
        </is>
      </c>
      <c r="C304" s="268" t="n">
        <v>10948</v>
      </c>
      <c r="D304" s="268" t="n">
        <v>62837</v>
      </c>
      <c r="E304" s="269" t="n">
        <v>5.73958713920351</v>
      </c>
      <c r="F304" s="270" t="n">
        <v>0.791027272785143</v>
      </c>
      <c r="G304" s="271" t="n">
        <v>13.26</v>
      </c>
      <c r="H304" s="271" t="n">
        <v>19.89</v>
      </c>
      <c r="I304" s="142" t="n">
        <v>0.285</v>
      </c>
      <c r="J304" s="142" t="n">
        <v>0.145</v>
      </c>
      <c r="K304" s="142" t="n">
        <v>0.07199999999999999</v>
      </c>
      <c r="L304" s="270" t="n">
        <v>9.468275060871781</v>
      </c>
      <c r="M304" s="272" t="n">
        <v>12.0636885911167</v>
      </c>
      <c r="N304" s="270" t="n">
        <v>19.7943910591184</v>
      </c>
      <c r="O304" s="273" t="n">
        <v>0.60944984642806</v>
      </c>
      <c r="P304" s="270" t="n">
        <v>2.68101107165239</v>
      </c>
      <c r="Q304" s="270" t="n">
        <v>3.75496135366618</v>
      </c>
      <c r="R304" s="270" t="n">
        <v>1.30749947775225</v>
      </c>
      <c r="S304" s="270" t="n">
        <v>6.78337163150198</v>
      </c>
      <c r="T304" s="270" t="n">
        <v>1.71513996239816</v>
      </c>
      <c r="U304" s="270" t="n">
        <v>0.430436599122624</v>
      </c>
      <c r="V304" s="270" t="n">
        <v>2.18529350323794</v>
      </c>
      <c r="W304" s="270" t="n">
        <v>0.936677459786923</v>
      </c>
      <c r="X304" s="274" t="n">
        <v>0.0126836099750147</v>
      </c>
      <c r="Y304" s="269" t="n">
        <v>12.0763722010917</v>
      </c>
      <c r="Z304" s="275" t="n">
        <v>822</v>
      </c>
      <c r="AA304" s="275" t="n">
        <v>565</v>
      </c>
      <c r="AB304" s="270" t="n">
        <v>7114.78</v>
      </c>
      <c r="AD304" s="276" t="n">
        <v>0.0130814647421105</v>
      </c>
      <c r="AE304" s="141" t="n">
        <v>0.00899151773636552</v>
      </c>
      <c r="AF304" s="270" t="n">
        <v>8.6554501216545</v>
      </c>
      <c r="AG304" s="277" t="n">
        <v>0.11322596559352</v>
      </c>
      <c r="AH304" s="131" t="n">
        <v>0.489769820971867</v>
      </c>
      <c r="AI304" s="131" t="n">
        <v>0.354493971501644</v>
      </c>
      <c r="AJ304" s="270" t="n">
        <v>0.376466094816748</v>
      </c>
      <c r="AK304" s="130" t="n">
        <v>0.260674443401181</v>
      </c>
      <c r="AL304" s="130" t="n">
        <v>0.0475516017632923</v>
      </c>
      <c r="AM304" s="133" t="n">
        <v>0.316962935849897</v>
      </c>
      <c r="AN304" s="307" t="n">
        <v>6.217</v>
      </c>
    </row>
    <row customHeight="1" ht="13.95" r="305" s="3">
      <c r="A305" s="117" t="n">
        <v>43646</v>
      </c>
      <c r="B305" s="289" t="inlineStr">
        <is>
          <t>iOS</t>
        </is>
      </c>
      <c r="C305" s="268" t="n">
        <v>10021</v>
      </c>
      <c r="D305" s="268" t="n">
        <v>61847</v>
      </c>
      <c r="E305" s="269" t="n">
        <v>6.17173934737052</v>
      </c>
      <c r="F305" s="270" t="n">
        <v>0.701183025692434</v>
      </c>
      <c r="G305" s="271" t="n">
        <v>12.78</v>
      </c>
      <c r="H305" s="271" t="n">
        <v>19.16</v>
      </c>
      <c r="I305" s="142" t="n">
        <v>0.304</v>
      </c>
      <c r="J305" s="142" t="n">
        <v>0.143</v>
      </c>
      <c r="K305" s="142" t="n">
        <v>0.075</v>
      </c>
      <c r="L305" s="270" t="n">
        <v>8.909631833395309</v>
      </c>
      <c r="M305" s="272" t="n">
        <v>11.7517422025321</v>
      </c>
      <c r="N305" s="270" t="n">
        <v>19.1346356360573</v>
      </c>
      <c r="O305" s="273" t="n">
        <v>0.614160751532006</v>
      </c>
      <c r="P305" s="270" t="n">
        <v>2.56850252737995</v>
      </c>
      <c r="Q305" s="270" t="n">
        <v>3.85478096040438</v>
      </c>
      <c r="R305" s="270" t="n">
        <v>1.26611204717776</v>
      </c>
      <c r="S305" s="270" t="n">
        <v>6.33408803706824</v>
      </c>
      <c r="T305" s="270" t="n">
        <v>1.68678917438922</v>
      </c>
      <c r="U305" s="270" t="n">
        <v>0.436104675652906</v>
      </c>
      <c r="V305" s="270" t="n">
        <v>2.04686183656276</v>
      </c>
      <c r="W305" s="270" t="n">
        <v>0.9413963774220721</v>
      </c>
      <c r="X305" s="274" t="n">
        <v>0.0123368958882403</v>
      </c>
      <c r="Y305" s="269" t="n">
        <v>11.7640790984203</v>
      </c>
      <c r="Z305" s="275" t="n">
        <v>686</v>
      </c>
      <c r="AA305" s="275" t="n">
        <v>497</v>
      </c>
      <c r="AB305" s="270" t="n">
        <v>5244.14</v>
      </c>
      <c r="AD305" s="276" t="n">
        <v>0.0110918880463078</v>
      </c>
      <c r="AE305" s="141" t="n">
        <v>0.00803595970701893</v>
      </c>
      <c r="AF305" s="270" t="n">
        <v>7.64451895043732</v>
      </c>
      <c r="AG305" s="277" t="n">
        <v>0.08479214836612931</v>
      </c>
      <c r="AH305" s="131" t="n">
        <v>0.50094800918072</v>
      </c>
      <c r="AI305" s="131" t="n">
        <v>0.35724977547151</v>
      </c>
      <c r="AJ305" s="270" t="n">
        <v>0.366937765776836</v>
      </c>
      <c r="AK305" s="130" t="n">
        <v>0.259818584571604</v>
      </c>
      <c r="AL305" s="130" t="n">
        <v>0.0489433602276586</v>
      </c>
      <c r="AM305" s="133" t="n">
        <v>0.321470726146782</v>
      </c>
      <c r="AN305" s="307" t="n">
        <v>7.517</v>
      </c>
    </row>
    <row customHeight="1" ht="13.95" r="306" s="3">
      <c r="A306" s="117" t="n">
        <v>43647</v>
      </c>
      <c r="B306" s="289" t="inlineStr">
        <is>
          <t>iOS</t>
        </is>
      </c>
      <c r="C306" s="268" t="n">
        <v>14978</v>
      </c>
      <c r="D306" s="268" t="n">
        <v>68175</v>
      </c>
      <c r="E306" s="269" t="n">
        <v>4.55167579116037</v>
      </c>
      <c r="F306" s="270" t="n">
        <v>0.649018205060506</v>
      </c>
      <c r="G306" s="271" t="n">
        <v>12.52</v>
      </c>
      <c r="H306" s="271" t="n">
        <v>18.71</v>
      </c>
      <c r="I306" s="142" t="n">
        <v>0.3</v>
      </c>
      <c r="J306" s="142" t="n">
        <v>0.147</v>
      </c>
      <c r="K306" s="142" t="n">
        <v>0.077</v>
      </c>
      <c r="L306" s="270" t="n">
        <v>8.73415474880821</v>
      </c>
      <c r="M306" s="272" t="n">
        <v>11.1887788778878</v>
      </c>
      <c r="N306" s="270" t="n">
        <v>18.5000727590221</v>
      </c>
      <c r="O306" s="273" t="n">
        <v>0.604796479647965</v>
      </c>
      <c r="P306" s="270" t="n">
        <v>2.57268626309662</v>
      </c>
      <c r="Q306" s="270" t="n">
        <v>3.77335564610012</v>
      </c>
      <c r="R306" s="270" t="n">
        <v>1.16649689561506</v>
      </c>
      <c r="S306" s="270" t="n">
        <v>5.92571303841676</v>
      </c>
      <c r="T306" s="270" t="n">
        <v>1.66867966627862</v>
      </c>
      <c r="U306" s="270" t="n">
        <v>0.451081684128832</v>
      </c>
      <c r="V306" s="270" t="n">
        <v>2.00385622817229</v>
      </c>
      <c r="W306" s="270" t="n">
        <v>0.938203337213814</v>
      </c>
      <c r="X306" s="274" t="n">
        <v>0.0112504583791712</v>
      </c>
      <c r="Y306" s="269" t="n">
        <v>11.200029336267</v>
      </c>
      <c r="Z306" s="275" t="n">
        <v>705</v>
      </c>
      <c r="AA306" s="275" t="n">
        <v>489</v>
      </c>
      <c r="AB306" s="270" t="n">
        <v>5445.95</v>
      </c>
      <c r="AD306" s="276" t="n">
        <v>0.0103410341034103</v>
      </c>
      <c r="AE306" s="141" t="n">
        <v>0.00717271727172717</v>
      </c>
      <c r="AF306" s="270" t="n">
        <v>7.72475177304965</v>
      </c>
      <c r="AG306" s="277" t="n">
        <v>0.0798819215254859</v>
      </c>
      <c r="AH306" s="131" t="n">
        <v>0.452597142475631</v>
      </c>
      <c r="AI306" s="131" t="n">
        <v>0.303511817332087</v>
      </c>
      <c r="AJ306" s="270" t="n">
        <v>0.372277227722772</v>
      </c>
      <c r="AK306" s="130" t="n">
        <v>0.249167583425009</v>
      </c>
      <c r="AL306" s="130" t="n">
        <v>0.0486101943527686</v>
      </c>
      <c r="AM306" s="133" t="n">
        <v>0.301151448478181</v>
      </c>
      <c r="AN306" s="307" t="n">
        <v>6.431</v>
      </c>
    </row>
    <row customHeight="1" ht="13.95" r="307" s="3">
      <c r="A307" s="117" t="n">
        <v>43648</v>
      </c>
      <c r="B307" s="289" t="inlineStr">
        <is>
          <t>iOS</t>
        </is>
      </c>
      <c r="C307" s="268" t="n">
        <v>17357</v>
      </c>
      <c r="D307" s="268" t="n">
        <v>70784</v>
      </c>
      <c r="E307" s="269" t="n">
        <v>4.07812409978683</v>
      </c>
      <c r="F307" s="270" t="n">
        <v>0.564736975870253</v>
      </c>
      <c r="G307" s="271" t="n">
        <v>13.27</v>
      </c>
      <c r="H307" s="271" t="n">
        <v>19.75</v>
      </c>
      <c r="I307" s="142" t="n">
        <v>0.298</v>
      </c>
      <c r="J307" s="142" t="n">
        <v>0.138</v>
      </c>
      <c r="K307" s="142" t="n">
        <v>0.075</v>
      </c>
      <c r="L307" s="270" t="n">
        <v>8.71195467902351</v>
      </c>
      <c r="M307" s="272" t="n">
        <v>10.4274977396022</v>
      </c>
      <c r="N307" s="270" t="n">
        <v>17.2800486959779</v>
      </c>
      <c r="O307" s="273" t="n">
        <v>0.603441455696203</v>
      </c>
      <c r="P307" s="270" t="n">
        <v>2.46523388116308</v>
      </c>
      <c r="Q307" s="270" t="n">
        <v>3.58594371868708</v>
      </c>
      <c r="R307" s="270" t="n">
        <v>1.04998361193051</v>
      </c>
      <c r="S307" s="270" t="n">
        <v>5.34363440558131</v>
      </c>
      <c r="T307" s="270" t="n">
        <v>1.55262911457602</v>
      </c>
      <c r="U307" s="270" t="n">
        <v>0.486772486772487</v>
      </c>
      <c r="V307" s="270" t="n">
        <v>1.89141733389521</v>
      </c>
      <c r="W307" s="270" t="n">
        <v>0.904434143372196</v>
      </c>
      <c r="X307" s="274" t="n">
        <v>0.0122061482820976</v>
      </c>
      <c r="Y307" s="269" t="n">
        <v>10.4397038878843</v>
      </c>
      <c r="Z307" s="275" t="n">
        <v>684</v>
      </c>
      <c r="AA307" s="275" t="n">
        <v>494</v>
      </c>
      <c r="AB307" s="270" t="n">
        <v>4388.16</v>
      </c>
      <c r="AD307" s="276" t="n">
        <v>0.00966320072332731</v>
      </c>
      <c r="AE307" s="141" t="n">
        <v>0.00697897830018083</v>
      </c>
      <c r="AF307" s="270" t="n">
        <v>6.41543859649123</v>
      </c>
      <c r="AG307" s="277" t="n">
        <v>0.0619936708860759</v>
      </c>
      <c r="AH307" s="131" t="n">
        <v>0.454514028922049</v>
      </c>
      <c r="AI307" s="131" t="n">
        <v>0.306101284784237</v>
      </c>
      <c r="AJ307" s="270" t="n">
        <v>0.425703548824593</v>
      </c>
      <c r="AK307" s="130" t="n">
        <v>0.258490619349005</v>
      </c>
      <c r="AL307" s="130" t="n">
        <v>0.0509013336347197</v>
      </c>
      <c r="AM307" s="133" t="n">
        <v>0.2421875</v>
      </c>
      <c r="AN307" s="307" t="n">
        <v>6.03</v>
      </c>
    </row>
    <row customFormat="1" customHeight="1" ht="13.95" r="308" s="294">
      <c r="A308" s="121" t="n">
        <v>43649</v>
      </c>
      <c r="B308" s="295" t="inlineStr">
        <is>
          <t>iOS</t>
        </is>
      </c>
      <c r="C308" s="296" t="n">
        <v>17689</v>
      </c>
      <c r="D308" s="296" t="n">
        <v>70559</v>
      </c>
      <c r="E308" s="297" t="n">
        <v>3.98886313528181</v>
      </c>
      <c r="F308" s="294" t="n">
        <v>0.519298852832381</v>
      </c>
      <c r="G308" s="306" t="n">
        <v>13.8</v>
      </c>
      <c r="H308" s="306" t="n">
        <v>21.36</v>
      </c>
      <c r="I308" s="124" t="n">
        <v>0.289</v>
      </c>
      <c r="J308" s="124" t="n">
        <v>0.138</v>
      </c>
      <c r="K308" s="124" t="n">
        <v>0.07199999999999999</v>
      </c>
      <c r="L308" s="294" t="n">
        <v>7.76681925764254</v>
      </c>
      <c r="M308" s="299" t="n">
        <v>8.818874984055901</v>
      </c>
      <c r="N308" s="294" t="n">
        <v>14.9565186039804</v>
      </c>
      <c r="O308" s="300" t="n">
        <v>0.589634206833997</v>
      </c>
      <c r="P308" s="294" t="n">
        <v>2.23488126141717</v>
      </c>
      <c r="Q308" s="294" t="n">
        <v>3.12171906547447</v>
      </c>
      <c r="R308" s="294" t="n">
        <v>0.8376838765503321</v>
      </c>
      <c r="S308" s="294" t="n">
        <v>4.37323334294779</v>
      </c>
      <c r="T308" s="294" t="n">
        <v>1.35941255648495</v>
      </c>
      <c r="U308" s="294" t="n">
        <v>0.5301894048649169</v>
      </c>
      <c r="V308" s="294" t="n">
        <v>1.65046630131718</v>
      </c>
      <c r="W308" s="294" t="n">
        <v>0.848932794923565</v>
      </c>
      <c r="X308" s="301" t="n">
        <v>0.0109695432191499</v>
      </c>
      <c r="Y308" s="297" t="n">
        <v>8.82984452727505</v>
      </c>
      <c r="Z308" s="293" t="n">
        <v>535</v>
      </c>
      <c r="AA308" s="293" t="n">
        <v>383</v>
      </c>
      <c r="AB308" s="294" t="n">
        <v>3603.65</v>
      </c>
      <c r="AD308" s="303" t="n">
        <v>0.00758230700548477</v>
      </c>
      <c r="AE308" s="123" t="n">
        <v>0.00542808146373957</v>
      </c>
      <c r="AF308" s="294" t="n">
        <v>6.73579439252336</v>
      </c>
      <c r="AG308" s="304" t="n">
        <v>0.0510728610099349</v>
      </c>
      <c r="AH308" s="135" t="n">
        <v>0.455537339589575</v>
      </c>
      <c r="AI308" s="135" t="n">
        <v>0.309740516705297</v>
      </c>
      <c r="AJ308" s="294" t="n">
        <v>0.471520287985941</v>
      </c>
      <c r="AK308" s="136" t="n">
        <v>0.276024320072563</v>
      </c>
      <c r="AL308" s="136" t="n">
        <v>0.0544650576113607</v>
      </c>
      <c r="AM308" s="137" t="n">
        <v>0.0115931348233393</v>
      </c>
      <c r="AN308" s="307" t="n">
        <v>5.9</v>
      </c>
    </row>
    <row customHeight="1" ht="13.8" r="309" s="3">
      <c r="A309" s="117" t="n">
        <v>43650</v>
      </c>
      <c r="B309" s="267" t="inlineStr">
        <is>
          <t>iOS</t>
        </is>
      </c>
      <c r="C309" s="268" t="n">
        <v>20352</v>
      </c>
      <c r="D309" s="268" t="n">
        <v>73845</v>
      </c>
      <c r="E309" s="269" t="n">
        <v>3.62839033018868</v>
      </c>
      <c r="F309" s="270" t="n">
        <v>0.480993986674792</v>
      </c>
      <c r="G309" s="271" t="n">
        <v>13.58</v>
      </c>
      <c r="H309" s="271" t="n">
        <v>21.57</v>
      </c>
      <c r="I309" s="142" t="n">
        <v>0.284</v>
      </c>
      <c r="J309" s="142" t="n">
        <v>0.134</v>
      </c>
      <c r="K309" s="142" t="n">
        <v>0.067</v>
      </c>
      <c r="L309" s="270" t="n">
        <v>7.76160877513711</v>
      </c>
      <c r="M309" s="272" t="n">
        <v>8.481088767011981</v>
      </c>
      <c r="N309" s="270" t="n">
        <v>14.6089573128062</v>
      </c>
      <c r="O309" s="273" t="n">
        <v>0.580540320942515</v>
      </c>
      <c r="P309" s="270" t="n">
        <v>2.20485187777</v>
      </c>
      <c r="Q309" s="270" t="n">
        <v>3.09533473291346</v>
      </c>
      <c r="R309" s="270" t="n">
        <v>0.79542803825519</v>
      </c>
      <c r="S309" s="270" t="n">
        <v>4.2345229764404</v>
      </c>
      <c r="T309" s="270" t="n">
        <v>1.32206671331934</v>
      </c>
      <c r="U309" s="270" t="n">
        <v>0.520433869839048</v>
      </c>
      <c r="V309" s="270" t="n">
        <v>1.60405878236529</v>
      </c>
      <c r="W309" s="270" t="n">
        <v>0.832260321903429</v>
      </c>
      <c r="X309" s="274" t="n">
        <v>0.0104678718938317</v>
      </c>
      <c r="Y309" s="269" t="n">
        <v>8.49155663890582</v>
      </c>
      <c r="Z309" s="275" t="n">
        <v>528</v>
      </c>
      <c r="AA309" s="275" t="n">
        <v>403</v>
      </c>
      <c r="AB309" s="270" t="n">
        <v>3145.72</v>
      </c>
      <c r="AD309" s="276" t="n">
        <v>0.00715011172049563</v>
      </c>
      <c r="AE309" s="141" t="n">
        <v>0.00545737693818133</v>
      </c>
      <c r="AF309" s="270" t="n">
        <v>5.95780303030303</v>
      </c>
      <c r="AG309" s="277" t="n">
        <v>0.0425989572753741</v>
      </c>
      <c r="AH309" s="131" t="n">
        <v>0.435190644654088</v>
      </c>
      <c r="AI309" s="131" t="n">
        <v>0.284836871069182</v>
      </c>
      <c r="AJ309" s="270" t="n">
        <v>0.452312275712641</v>
      </c>
      <c r="AK309" s="130" t="n">
        <v>0.269903175570452</v>
      </c>
      <c r="AL309" s="130" t="n">
        <v>0.0489674317827883</v>
      </c>
      <c r="AM309" s="133" t="n">
        <v>0.00426569165143205</v>
      </c>
      <c r="AN309" s="307" t="n">
        <v>6.002</v>
      </c>
    </row>
    <row customHeight="1" ht="13.8" r="310" s="3">
      <c r="A310" s="117" t="n">
        <v>43651</v>
      </c>
      <c r="B310" s="267" t="inlineStr">
        <is>
          <t>iOS</t>
        </is>
      </c>
      <c r="C310" s="268" t="n">
        <v>23634</v>
      </c>
      <c r="D310" s="268" t="n">
        <v>74981</v>
      </c>
      <c r="E310" s="269" t="n">
        <v>3.17259033595667</v>
      </c>
      <c r="F310" s="270" t="n">
        <v>0.442405638575106</v>
      </c>
      <c r="G310" s="271" t="n">
        <v>12.29</v>
      </c>
      <c r="H310" s="271" t="n">
        <v>19.59</v>
      </c>
      <c r="I310" s="142" t="n">
        <v>0.274</v>
      </c>
      <c r="J310" s="142" t="n">
        <v>0.129</v>
      </c>
      <c r="K310" s="142" t="n">
        <v>0.065</v>
      </c>
      <c r="L310" s="270" t="n">
        <v>7.49417852522639</v>
      </c>
      <c r="M310" s="272" t="n">
        <v>8.10217255037943</v>
      </c>
      <c r="N310" s="270" t="n">
        <v>14.2936567690932</v>
      </c>
      <c r="O310" s="273" t="n">
        <v>0.566836932022779</v>
      </c>
      <c r="P310" s="270" t="n">
        <v>2.22925979953885</v>
      </c>
      <c r="Q310" s="270" t="n">
        <v>3.08091383934874</v>
      </c>
      <c r="R310" s="270" t="n">
        <v>0.739188744059103</v>
      </c>
      <c r="S310" s="270" t="n">
        <v>4.043903816291</v>
      </c>
      <c r="T310" s="270" t="n">
        <v>1.30591501576396</v>
      </c>
      <c r="U310" s="270" t="n">
        <v>0.520516681567926</v>
      </c>
      <c r="V310" s="270" t="n">
        <v>1.55432685520681</v>
      </c>
      <c r="W310" s="270" t="n">
        <v>0.819632017316832</v>
      </c>
      <c r="X310" s="274" t="n">
        <v>0.0100692175351089</v>
      </c>
      <c r="Y310" s="269" t="n">
        <v>8.11224176791454</v>
      </c>
      <c r="Z310" s="275" t="n">
        <v>605</v>
      </c>
      <c r="AA310" s="275" t="n">
        <v>387</v>
      </c>
      <c r="AB310" s="270" t="n">
        <v>3615.95</v>
      </c>
      <c r="AD310" s="276" t="n">
        <v>0.00806871074005415</v>
      </c>
      <c r="AE310" s="141" t="n">
        <v>0.00516130753124125</v>
      </c>
      <c r="AF310" s="270" t="n">
        <v>5.97677685950413</v>
      </c>
      <c r="AG310" s="277" t="n">
        <v>0.0482248836371881</v>
      </c>
      <c r="AH310" s="131" t="n">
        <v>0.411695015655412</v>
      </c>
      <c r="AI310" s="131" t="n">
        <v>0.257721926038758</v>
      </c>
      <c r="AJ310" s="270" t="n">
        <v>0.416038729811552</v>
      </c>
      <c r="AK310" s="130" t="n">
        <v>0.252810712047052</v>
      </c>
      <c r="AL310" s="130" t="n">
        <v>0.0444112508502154</v>
      </c>
      <c r="AM310" s="133" t="n">
        <v>0</v>
      </c>
      <c r="AN310" s="307" t="n">
        <v>6.838</v>
      </c>
    </row>
    <row customHeight="1" ht="13.8" r="311" s="3">
      <c r="A311" s="117" t="n">
        <v>43652</v>
      </c>
      <c r="B311" s="289" t="inlineStr">
        <is>
          <t>iOS</t>
        </is>
      </c>
      <c r="C311" s="268" t="n">
        <v>22767</v>
      </c>
      <c r="D311" s="268" t="n">
        <v>76490</v>
      </c>
      <c r="E311" s="269" t="n">
        <v>3.35968726665788</v>
      </c>
      <c r="F311" s="270" t="n">
        <v>0.66201346594326</v>
      </c>
      <c r="G311" s="271" t="n">
        <v>11.53</v>
      </c>
      <c r="H311" s="271" t="n">
        <v>17.98</v>
      </c>
      <c r="I311" s="142" t="n">
        <v>0.267</v>
      </c>
      <c r="J311" s="142" t="n">
        <v>0.125</v>
      </c>
      <c r="K311" s="142" t="n">
        <v>0.065</v>
      </c>
      <c r="L311" s="270" t="n">
        <v>9.33481500849784</v>
      </c>
      <c r="M311" s="272" t="n">
        <v>11.2588573669761</v>
      </c>
      <c r="N311" s="270" t="n">
        <v>19.0638420330278</v>
      </c>
      <c r="O311" s="273" t="n">
        <v>0.590587004837234</v>
      </c>
      <c r="P311" s="270" t="n">
        <v>2.63952716164165</v>
      </c>
      <c r="Q311" s="270" t="n">
        <v>3.75744897507416</v>
      </c>
      <c r="R311" s="270" t="n">
        <v>1.0736264222783</v>
      </c>
      <c r="S311" s="270" t="n">
        <v>6.4868508434055</v>
      </c>
      <c r="T311" s="270" t="n">
        <v>1.63213352813565</v>
      </c>
      <c r="U311" s="270" t="n">
        <v>0.460331163943862</v>
      </c>
      <c r="V311" s="270" t="n">
        <v>2.08476114579183</v>
      </c>
      <c r="W311" s="270" t="n">
        <v>0.929162792756895</v>
      </c>
      <c r="X311" s="274" t="n">
        <v>0.009491436789122761</v>
      </c>
      <c r="Y311" s="269" t="n">
        <v>11.2683488037652</v>
      </c>
      <c r="Z311" s="275" t="n">
        <v>910</v>
      </c>
      <c r="AA311" s="275" t="n">
        <v>575</v>
      </c>
      <c r="AB311" s="270" t="n">
        <v>7612.9</v>
      </c>
      <c r="AD311" s="276" t="n">
        <v>0.0118969799973853</v>
      </c>
      <c r="AE311" s="141" t="n">
        <v>0.00751732252582037</v>
      </c>
      <c r="AF311" s="270" t="n">
        <v>8.365824175824169</v>
      </c>
      <c r="AG311" s="277" t="n">
        <v>0.0995280428814224</v>
      </c>
      <c r="AH311" s="131" t="n">
        <v>0.432160583300391</v>
      </c>
      <c r="AI311" s="131" t="n">
        <v>0.303114156454518</v>
      </c>
      <c r="AJ311" s="270" t="n">
        <v>0.343221336122369</v>
      </c>
      <c r="AK311" s="130" t="n">
        <v>0.215531442018565</v>
      </c>
      <c r="AL311" s="130" t="n">
        <v>0.0378088639037783</v>
      </c>
      <c r="AM311" s="133" t="n">
        <v>0.291789776441365</v>
      </c>
      <c r="AN311" s="307" t="n">
        <v>7.264</v>
      </c>
    </row>
    <row customHeight="1" ht="13.8" r="312" s="3">
      <c r="A312" s="117" t="n">
        <v>43653</v>
      </c>
      <c r="B312" s="289" t="inlineStr">
        <is>
          <t>iOS</t>
        </is>
      </c>
      <c r="C312" s="268" t="n">
        <v>23809</v>
      </c>
      <c r="D312" s="268" t="n">
        <v>78556</v>
      </c>
      <c r="E312" s="269" t="n">
        <v>3.29942458734092</v>
      </c>
      <c r="F312" s="270" t="n">
        <v>0.614466259229085</v>
      </c>
      <c r="G312" s="271" t="n">
        <v>11.3</v>
      </c>
      <c r="H312" s="271" t="n">
        <v>17.86</v>
      </c>
      <c r="I312" s="142" t="n">
        <v>0.275</v>
      </c>
      <c r="J312" s="142" t="n">
        <v>0.127</v>
      </c>
      <c r="K312" s="142" t="n">
        <v>0.067</v>
      </c>
      <c r="L312" s="270" t="n">
        <v>8.921533682977749</v>
      </c>
      <c r="M312" s="272" t="n">
        <v>10.9125337338968</v>
      </c>
      <c r="N312" s="270" t="n">
        <v>18.4306200550396</v>
      </c>
      <c r="O312" s="273" t="n">
        <v>0.592087173481338</v>
      </c>
      <c r="P312" s="270" t="n">
        <v>2.54476264189886</v>
      </c>
      <c r="Q312" s="270" t="n">
        <v>3.85326367389061</v>
      </c>
      <c r="R312" s="270" t="n">
        <v>1.05291107671139</v>
      </c>
      <c r="S312" s="270" t="n">
        <v>5.95614035087719</v>
      </c>
      <c r="T312" s="270" t="n">
        <v>1.60601565187478</v>
      </c>
      <c r="U312" s="270" t="n">
        <v>0.46656776745786</v>
      </c>
      <c r="V312" s="270" t="n">
        <v>2.00660044719642</v>
      </c>
      <c r="W312" s="270" t="n">
        <v>0.9443584451324391</v>
      </c>
      <c r="X312" s="274" t="n">
        <v>0.009152706349610471</v>
      </c>
      <c r="Y312" s="269" t="n">
        <v>10.9216864402464</v>
      </c>
      <c r="Z312" s="275" t="n">
        <v>768</v>
      </c>
      <c r="AA312" s="275" t="n">
        <v>516</v>
      </c>
      <c r="AB312" s="270" t="n">
        <v>6739.32</v>
      </c>
      <c r="AD312" s="276" t="n">
        <v>0.009776465196802279</v>
      </c>
      <c r="AE312" s="141" t="n">
        <v>0.00656856255410153</v>
      </c>
      <c r="AF312" s="270" t="n">
        <v>8.77515625</v>
      </c>
      <c r="AG312" s="277" t="n">
        <v>0.08579000967462699</v>
      </c>
      <c r="AH312" s="131" t="n">
        <v>0.43353353773783</v>
      </c>
      <c r="AI312" s="131" t="n">
        <v>0.287202318451006</v>
      </c>
      <c r="AJ312" s="270" t="n">
        <v>0.354142267936249</v>
      </c>
      <c r="AK312" s="130" t="n">
        <v>0.212307143948266</v>
      </c>
      <c r="AL312" s="130" t="n">
        <v>0.036954529253017</v>
      </c>
      <c r="AM312" s="133" t="n">
        <v>0.286228932226692</v>
      </c>
      <c r="AN312" s="307" t="n">
        <v>7.299</v>
      </c>
    </row>
    <row customHeight="1" ht="13.8" r="313" s="3">
      <c r="A313" s="117" t="n">
        <v>43654</v>
      </c>
      <c r="B313" s="289" t="inlineStr">
        <is>
          <t>iOS</t>
        </is>
      </c>
      <c r="C313" s="268" t="n">
        <v>22056</v>
      </c>
      <c r="D313" s="268" t="n">
        <v>79859</v>
      </c>
      <c r="E313" s="269" t="n">
        <v>3.62073812114617</v>
      </c>
      <c r="F313" s="270" t="n">
        <v>0.574902020360886</v>
      </c>
      <c r="G313" s="271" t="n">
        <v>11.5</v>
      </c>
      <c r="H313" s="271" t="n">
        <v>17.95</v>
      </c>
      <c r="I313" s="142" t="n">
        <v>0.272</v>
      </c>
      <c r="J313" s="142" t="n">
        <v>0.131</v>
      </c>
      <c r="K313" s="142" t="n">
        <v>0.07199999999999999</v>
      </c>
      <c r="L313" s="270" t="n">
        <v>8.816013223306079</v>
      </c>
      <c r="M313" s="272" t="n">
        <v>10.8232760239923</v>
      </c>
      <c r="N313" s="270" t="n">
        <v>17.8914510453322</v>
      </c>
      <c r="O313" s="273" t="n">
        <v>0.6049412088806519</v>
      </c>
      <c r="P313" s="270" t="n">
        <v>2.51248188780791</v>
      </c>
      <c r="Q313" s="270" t="n">
        <v>3.82206582488098</v>
      </c>
      <c r="R313" s="270" t="n">
        <v>1.00977023390602</v>
      </c>
      <c r="S313" s="270" t="n">
        <v>5.57168288139102</v>
      </c>
      <c r="T313" s="270" t="n">
        <v>1.58758021113641</v>
      </c>
      <c r="U313" s="270" t="n">
        <v>0.474435934589112</v>
      </c>
      <c r="V313" s="270" t="n">
        <v>1.97677499482509</v>
      </c>
      <c r="W313" s="270" t="n">
        <v>0.936659076795694</v>
      </c>
      <c r="X313" s="274" t="n">
        <v>0.009228765699545449</v>
      </c>
      <c r="Y313" s="269" t="n">
        <v>10.8325047896918</v>
      </c>
      <c r="Z313" s="275" t="n">
        <v>739</v>
      </c>
      <c r="AA313" s="275" t="n">
        <v>494</v>
      </c>
      <c r="AB313" s="270" t="n">
        <v>5514.61</v>
      </c>
      <c r="AD313" s="276" t="n">
        <v>0.00925380983984272</v>
      </c>
      <c r="AE313" s="141" t="n">
        <v>0.00618590265342666</v>
      </c>
      <c r="AF313" s="270" t="n">
        <v>7.4622598105548</v>
      </c>
      <c r="AG313" s="277" t="n">
        <v>0.0690543332623749</v>
      </c>
      <c r="AH313" s="131" t="n">
        <v>0.451260428001451</v>
      </c>
      <c r="AI313" s="131" t="n">
        <v>0.317419296336598</v>
      </c>
      <c r="AJ313" s="270" t="n">
        <v>0.37060318811906</v>
      </c>
      <c r="AK313" s="130" t="n">
        <v>0.226862344882856</v>
      </c>
      <c r="AL313" s="130" t="n">
        <v>0.0403711541592056</v>
      </c>
      <c r="AM313" s="133" t="n">
        <v>0.288596150715636</v>
      </c>
      <c r="AN313" s="307" t="n">
        <v>6.349</v>
      </c>
    </row>
    <row customHeight="1" ht="13.8" r="314" s="3">
      <c r="A314" s="117" t="n">
        <v>43655</v>
      </c>
      <c r="B314" s="289" t="inlineStr">
        <is>
          <t>iOS</t>
        </is>
      </c>
      <c r="C314" s="268" t="n">
        <v>12055</v>
      </c>
      <c r="D314" s="268" t="n">
        <v>68682</v>
      </c>
      <c r="E314" s="269" t="n">
        <v>5.69738697635836</v>
      </c>
      <c r="F314" s="270" t="n">
        <v>0.6031458412684541</v>
      </c>
      <c r="G314" s="271" t="n">
        <v>12.81</v>
      </c>
      <c r="H314" s="271" t="n">
        <v>20.4</v>
      </c>
      <c r="I314" s="142" t="n">
        <v>0.3</v>
      </c>
      <c r="J314" s="142" t="n">
        <v>0.148</v>
      </c>
      <c r="K314" s="142" t="n">
        <v>0.081</v>
      </c>
      <c r="L314" s="270" t="n">
        <v>8.743062228822691</v>
      </c>
      <c r="M314" s="272" t="n">
        <v>10.7540549197752</v>
      </c>
      <c r="N314" s="270" t="n">
        <v>17.1805726780024</v>
      </c>
      <c r="O314" s="273" t="n">
        <v>0.625942750647914</v>
      </c>
      <c r="P314" s="270" t="n">
        <v>2.38656928194273</v>
      </c>
      <c r="Q314" s="270" t="n">
        <v>3.71591728501314</v>
      </c>
      <c r="R314" s="270" t="n">
        <v>0.991858761136052</v>
      </c>
      <c r="S314" s="270" t="n">
        <v>5.1769440115373</v>
      </c>
      <c r="T314" s="270" t="n">
        <v>1.55583726826545</v>
      </c>
      <c r="U314" s="270" t="n">
        <v>0.491312135098044</v>
      </c>
      <c r="V314" s="270" t="n">
        <v>1.92461212811984</v>
      </c>
      <c r="W314" s="270" t="n">
        <v>0.937521806889814</v>
      </c>
      <c r="X314" s="274" t="n">
        <v>0.009653184240412329</v>
      </c>
      <c r="Y314" s="269" t="n">
        <v>10.7637081040156</v>
      </c>
      <c r="Z314" s="275" t="n">
        <v>693</v>
      </c>
      <c r="AA314" s="275" t="n">
        <v>458</v>
      </c>
      <c r="AB314" s="270" t="n">
        <v>4543.07</v>
      </c>
      <c r="AD314" s="276" t="n">
        <v>0.0100899799073993</v>
      </c>
      <c r="AE314" s="141" t="n">
        <v>0.00666841384933461</v>
      </c>
      <c r="AF314" s="270" t="n">
        <v>6.55565656565657</v>
      </c>
      <c r="AG314" s="277" t="n">
        <v>0.0661464430272852</v>
      </c>
      <c r="AH314" s="131" t="n">
        <v>0.500788054749067</v>
      </c>
      <c r="AI314" s="131" t="n">
        <v>0.428121111571962</v>
      </c>
      <c r="AJ314" s="270" t="n">
        <v>0.444381351736991</v>
      </c>
      <c r="AK314" s="130" t="n">
        <v>0.272240179377421</v>
      </c>
      <c r="AL314" s="130" t="n">
        <v>0.0514836492821991</v>
      </c>
      <c r="AM314" s="133" t="n">
        <v>0.264057540549198</v>
      </c>
      <c r="AN314" s="307" t="n">
        <v>5.833</v>
      </c>
    </row>
    <row customFormat="1" customHeight="1" ht="13.95" r="315" s="294">
      <c r="A315" s="121" t="n">
        <v>43656</v>
      </c>
      <c r="B315" s="295" t="inlineStr">
        <is>
          <t>iOS</t>
        </is>
      </c>
      <c r="C315" s="296" t="n">
        <v>13037</v>
      </c>
      <c r="D315" s="296" t="n">
        <v>66521</v>
      </c>
      <c r="E315" s="297" t="n">
        <v>5.10247756385672</v>
      </c>
      <c r="F315" s="294" t="n">
        <v>0.51789002751011</v>
      </c>
      <c r="G315" s="306" t="n">
        <v>14.11</v>
      </c>
      <c r="H315" s="306" t="n">
        <v>21.19</v>
      </c>
      <c r="I315" s="124" t="n">
        <v>0.31</v>
      </c>
      <c r="J315" s="124" t="n">
        <v>0.142</v>
      </c>
      <c r="K315" s="124" t="n">
        <v>0.078</v>
      </c>
      <c r="L315" s="294" t="n">
        <v>7.56149185971347</v>
      </c>
      <c r="M315" s="299" t="n">
        <v>8.847912689225961</v>
      </c>
      <c r="N315" s="294" t="n">
        <v>14.6845637583893</v>
      </c>
      <c r="O315" s="300" t="n">
        <v>0.6025315313961001</v>
      </c>
      <c r="P315" s="294" t="n">
        <v>2.21466530276191</v>
      </c>
      <c r="Q315" s="294" t="n">
        <v>3.083555799506</v>
      </c>
      <c r="R315" s="294" t="n">
        <v>0.821935580449589</v>
      </c>
      <c r="S315" s="294" t="n">
        <v>4.2096255083456</v>
      </c>
      <c r="T315" s="294" t="n">
        <v>1.36710660911654</v>
      </c>
      <c r="U315" s="294" t="n">
        <v>0.513235697712133</v>
      </c>
      <c r="V315" s="294" t="n">
        <v>1.6321199570869</v>
      </c>
      <c r="W315" s="294" t="n">
        <v>0.842294353933285</v>
      </c>
      <c r="X315" s="301" t="n">
        <v>0.0116053577065889</v>
      </c>
      <c r="Y315" s="297" t="n">
        <v>8.85951804693255</v>
      </c>
      <c r="Z315" s="293" t="n">
        <v>494</v>
      </c>
      <c r="AA315" s="293" t="n">
        <v>359</v>
      </c>
      <c r="AB315" s="294" t="n">
        <v>2974.06</v>
      </c>
      <c r="AD315" s="303" t="n">
        <v>0.00742622630447528</v>
      </c>
      <c r="AE315" s="123" t="n">
        <v>0.00539679199049924</v>
      </c>
      <c r="AF315" s="294" t="n">
        <v>6.02036437246963</v>
      </c>
      <c r="AG315" s="304" t="n">
        <v>0.0447085882653598</v>
      </c>
      <c r="AH315" s="135" t="n">
        <v>0.459921761141367</v>
      </c>
      <c r="AI315" s="135" t="n">
        <v>0.331824806320473</v>
      </c>
      <c r="AJ315" s="294" t="n">
        <v>0.46925031193157</v>
      </c>
      <c r="AK315" s="136" t="n">
        <v>0.295124847792426</v>
      </c>
      <c r="AL315" s="136" t="n">
        <v>0.0551555147998376</v>
      </c>
      <c r="AM315" s="137" t="n">
        <v>0.017693660648517</v>
      </c>
      <c r="AN315" s="307" t="n">
        <v>5.805</v>
      </c>
    </row>
    <row customHeight="1" ht="13.8" r="316" s="3">
      <c r="A316" s="117" t="n">
        <v>43657</v>
      </c>
      <c r="B316" s="267" t="inlineStr">
        <is>
          <t>iOS</t>
        </is>
      </c>
      <c r="C316" s="268" t="n">
        <v>11472</v>
      </c>
      <c r="D316" s="268" t="n">
        <v>63107</v>
      </c>
      <c r="E316" s="269" t="n">
        <v>5.50095885634589</v>
      </c>
      <c r="F316" s="270" t="n">
        <v>0.561098699843124</v>
      </c>
      <c r="G316" s="271" t="n">
        <v>15.1</v>
      </c>
      <c r="H316" s="271" t="n">
        <v>22.29</v>
      </c>
      <c r="I316" s="142" t="n">
        <v>0.3</v>
      </c>
      <c r="J316" s="142" t="n">
        <v>0.149</v>
      </c>
      <c r="K316" s="142" t="n">
        <v>0.077</v>
      </c>
      <c r="L316" s="270" t="n">
        <v>7.65222558511734</v>
      </c>
      <c r="M316" s="272" t="n">
        <v>9.007035669577069</v>
      </c>
      <c r="N316" s="270" t="n">
        <v>14.9797601792067</v>
      </c>
      <c r="O316" s="273" t="n">
        <v>0.601280365094205</v>
      </c>
      <c r="P316" s="270" t="n">
        <v>2.24814863618395</v>
      </c>
      <c r="Q316" s="270" t="n">
        <v>3.21834233759389</v>
      </c>
      <c r="R316" s="270" t="n">
        <v>0.81431018579523</v>
      </c>
      <c r="S316" s="270" t="n">
        <v>4.30641718276453</v>
      </c>
      <c r="T316" s="270" t="n">
        <v>1.38872051653709</v>
      </c>
      <c r="U316" s="270" t="n">
        <v>0.515693767294769</v>
      </c>
      <c r="V316" s="270" t="n">
        <v>1.64693635525102</v>
      </c>
      <c r="W316" s="270" t="n">
        <v>0.841164843852945</v>
      </c>
      <c r="X316" s="274" t="n">
        <v>0.0144516456177603</v>
      </c>
      <c r="Y316" s="269" t="n">
        <v>9.021487315194831</v>
      </c>
      <c r="Z316" s="275" t="n">
        <v>499</v>
      </c>
      <c r="AA316" s="275" t="n">
        <v>352</v>
      </c>
      <c r="AB316" s="270" t="n">
        <v>2978.01</v>
      </c>
      <c r="AD316" s="276" t="n">
        <v>0.00790720522287543</v>
      </c>
      <c r="AE316" s="141" t="n">
        <v>0.00557782813317065</v>
      </c>
      <c r="AF316" s="270" t="n">
        <v>5.96795591182365</v>
      </c>
      <c r="AG316" s="277" t="n">
        <v>0.0471898521558623</v>
      </c>
      <c r="AH316" s="131" t="n">
        <v>0.475941422594142</v>
      </c>
      <c r="AI316" s="131" t="n">
        <v>0.35407949790795</v>
      </c>
      <c r="AJ316" s="270" t="n">
        <v>0.471263092842315</v>
      </c>
      <c r="AK316" s="130" t="n">
        <v>0.30202671652907</v>
      </c>
      <c r="AL316" s="130" t="n">
        <v>0.0546373619408307</v>
      </c>
      <c r="AM316" s="133" t="n">
        <v>0.00572044305703012</v>
      </c>
      <c r="AN316" s="307" t="n">
        <v>5.247</v>
      </c>
    </row>
    <row customHeight="1" ht="13.5" r="317" s="3">
      <c r="A317" s="117" t="n">
        <v>43658</v>
      </c>
      <c r="B317" s="267" t="inlineStr">
        <is>
          <t>iOS</t>
        </is>
      </c>
      <c r="C317" s="268" t="n">
        <v>10317</v>
      </c>
      <c r="D317" s="268" t="n">
        <v>60689</v>
      </c>
      <c r="E317" s="269" t="n">
        <v>5.88242706213046</v>
      </c>
      <c r="F317" s="270" t="n">
        <v>0.575862834813558</v>
      </c>
      <c r="G317" s="271" t="n">
        <v>14.92</v>
      </c>
      <c r="H317" s="271" t="n">
        <v>21.57</v>
      </c>
      <c r="I317" s="142" t="n">
        <v>0.285</v>
      </c>
      <c r="J317" s="142" t="n">
        <v>0.152</v>
      </c>
      <c r="K317" s="142" t="n">
        <v>0.078</v>
      </c>
      <c r="L317" s="270" t="n">
        <v>7.53937286822983</v>
      </c>
      <c r="M317" s="272" t="n">
        <v>8.962975168481931</v>
      </c>
      <c r="N317" s="270" t="n">
        <v>14.8661929488931</v>
      </c>
      <c r="O317" s="273" t="n">
        <v>0.602909917777521</v>
      </c>
      <c r="P317" s="270" t="n">
        <v>2.24555889587319</v>
      </c>
      <c r="Q317" s="270" t="n">
        <v>3.21883028149768</v>
      </c>
      <c r="R317" s="270" t="n">
        <v>0.793577480185843</v>
      </c>
      <c r="S317" s="270" t="n">
        <v>4.24260726974583</v>
      </c>
      <c r="T317" s="270" t="n">
        <v>1.3894779994534</v>
      </c>
      <c r="U317" s="270" t="n">
        <v>0.513938234490298</v>
      </c>
      <c r="V317" s="270" t="n">
        <v>1.62347635966111</v>
      </c>
      <c r="W317" s="270" t="n">
        <v>0.838726427985788</v>
      </c>
      <c r="X317" s="274" t="n">
        <v>0.0163621084545799</v>
      </c>
      <c r="Y317" s="269" t="n">
        <v>8.97933727693651</v>
      </c>
      <c r="Z317" s="275" t="n">
        <v>469</v>
      </c>
      <c r="AA317" s="275" t="n">
        <v>337</v>
      </c>
      <c r="AB317" s="270" t="n">
        <v>3465.31</v>
      </c>
      <c r="AD317" s="276" t="n">
        <v>0.0077279243355468</v>
      </c>
      <c r="AE317" s="141" t="n">
        <v>0.00555290085517969</v>
      </c>
      <c r="AF317" s="270" t="n">
        <v>7.38872068230277</v>
      </c>
      <c r="AG317" s="277" t="n">
        <v>0.0570994743693256</v>
      </c>
      <c r="AH317" s="131" t="n">
        <v>0.481535330037802</v>
      </c>
      <c r="AI317" s="131" t="n">
        <v>0.374042841911408</v>
      </c>
      <c r="AJ317" s="270" t="n">
        <v>0.475275585361433</v>
      </c>
      <c r="AK317" s="130" t="n">
        <v>0.30672774308359</v>
      </c>
      <c r="AL317" s="130" t="n">
        <v>0.055825602662756</v>
      </c>
      <c r="AM317" s="133" t="n">
        <v>0.00324605776994183</v>
      </c>
      <c r="AN317" s="307" t="n">
        <v>5.182</v>
      </c>
    </row>
    <row customHeight="1" ht="13.5" r="318" s="3">
      <c r="A318" s="117" t="n">
        <v>43659</v>
      </c>
      <c r="B318" s="289" t="inlineStr">
        <is>
          <t>iOS</t>
        </is>
      </c>
      <c r="C318" s="268" t="n">
        <v>9649</v>
      </c>
      <c r="D318" s="268" t="n">
        <v>58458</v>
      </c>
      <c r="E318" s="269" t="n">
        <v>6.05845165302104</v>
      </c>
      <c r="F318" s="270" t="n">
        <v>0.820169190187827</v>
      </c>
      <c r="G318" s="271" t="n">
        <v>13.39</v>
      </c>
      <c r="H318" s="271" t="n">
        <v>20.29</v>
      </c>
      <c r="I318" s="142" t="n">
        <v>0.293</v>
      </c>
      <c r="J318" s="142" t="n">
        <v>0.151</v>
      </c>
      <c r="K318" s="142" t="n">
        <v>0.078</v>
      </c>
      <c r="L318" s="270" t="n">
        <v>9.56389202504362</v>
      </c>
      <c r="M318" s="272" t="n">
        <v>12.5346744671388</v>
      </c>
      <c r="N318" s="270" t="n">
        <v>20.2804240126207</v>
      </c>
      <c r="O318" s="273" t="n">
        <v>0.618067672517021</v>
      </c>
      <c r="P318" s="270" t="n">
        <v>2.70056184439955</v>
      </c>
      <c r="Q318" s="270" t="n">
        <v>3.8576291826963</v>
      </c>
      <c r="R318" s="270" t="n">
        <v>1.22673050842767</v>
      </c>
      <c r="S318" s="270" t="n">
        <v>7.14735268882677</v>
      </c>
      <c r="T318" s="270" t="n">
        <v>1.76109158340483</v>
      </c>
      <c r="U318" s="270" t="n">
        <v>0.430212283081011</v>
      </c>
      <c r="V318" s="270" t="n">
        <v>2.21970053416734</v>
      </c>
      <c r="W318" s="270" t="n">
        <v>0.937117710553264</v>
      </c>
      <c r="X318" s="274" t="n">
        <v>0.0184234835266345</v>
      </c>
      <c r="Y318" s="269" t="n">
        <v>12.5530979506654</v>
      </c>
      <c r="Z318" s="275" t="n">
        <v>770</v>
      </c>
      <c r="AA318" s="275" t="n">
        <v>498</v>
      </c>
      <c r="AB318" s="270" t="n">
        <v>6676.3</v>
      </c>
      <c r="AD318" s="276" t="n">
        <v>0.013171849875124</v>
      </c>
      <c r="AE318" s="141" t="n">
        <v>0.00851893667248281</v>
      </c>
      <c r="AF318" s="270" t="n">
        <v>8.670519480519481</v>
      </c>
      <c r="AG318" s="277" t="n">
        <v>0.114206780936741</v>
      </c>
      <c r="AH318" s="131" t="n">
        <v>0.468027774898953</v>
      </c>
      <c r="AI318" s="131" t="n">
        <v>0.352160845683491</v>
      </c>
      <c r="AJ318" s="270" t="n">
        <v>0.370556638954463</v>
      </c>
      <c r="AK318" s="130" t="n">
        <v>0.263984399055732</v>
      </c>
      <c r="AL318" s="130" t="n">
        <v>0.048889801224811</v>
      </c>
      <c r="AM318" s="133" t="n">
        <v>0.334804475007698</v>
      </c>
      <c r="AN318" s="307" t="n">
        <v>6.409</v>
      </c>
    </row>
    <row customHeight="1" ht="13.5" r="319" s="3">
      <c r="A319" s="117" t="n">
        <v>43660</v>
      </c>
      <c r="B319" s="289" t="inlineStr">
        <is>
          <t>iOS</t>
        </is>
      </c>
      <c r="C319" s="268" t="n">
        <v>10841</v>
      </c>
      <c r="D319" s="268" t="n">
        <v>59265</v>
      </c>
      <c r="E319" s="269" t="n">
        <v>5.46674661009132</v>
      </c>
      <c r="F319" s="270" t="n">
        <v>0.740032706960263</v>
      </c>
      <c r="G319" s="271" t="n">
        <v>13.22</v>
      </c>
      <c r="H319" s="271" t="n">
        <v>19.69</v>
      </c>
      <c r="I319" s="142" t="n">
        <v>0.305</v>
      </c>
      <c r="J319" s="142" t="n">
        <v>0.149</v>
      </c>
      <c r="K319" s="142" t="n">
        <v>0.077</v>
      </c>
      <c r="L319" s="270" t="n">
        <v>8.9505779127647</v>
      </c>
      <c r="M319" s="272" t="n">
        <v>11.9250991310217</v>
      </c>
      <c r="N319" s="270" t="n">
        <v>19.2703749147921</v>
      </c>
      <c r="O319" s="273" t="n">
        <v>0.618830675778284</v>
      </c>
      <c r="P319" s="270" t="n">
        <v>2.65412406271302</v>
      </c>
      <c r="Q319" s="270" t="n">
        <v>3.93597818677573</v>
      </c>
      <c r="R319" s="270" t="n">
        <v>1.14753919563736</v>
      </c>
      <c r="S319" s="270" t="n">
        <v>6.31702794819359</v>
      </c>
      <c r="T319" s="270" t="n">
        <v>1.73311520109066</v>
      </c>
      <c r="U319" s="270" t="n">
        <v>0.440381731424676</v>
      </c>
      <c r="V319" s="270" t="n">
        <v>2.09605998636673</v>
      </c>
      <c r="W319" s="270" t="n">
        <v>0.946148602590321</v>
      </c>
      <c r="X319" s="274" t="n">
        <v>0.0158440901037712</v>
      </c>
      <c r="Y319" s="269" t="n">
        <v>11.9409432211255</v>
      </c>
      <c r="Z319" s="275" t="n">
        <v>653</v>
      </c>
      <c r="AA319" s="275" t="n">
        <v>433</v>
      </c>
      <c r="AB319" s="270" t="n">
        <v>5598.47</v>
      </c>
      <c r="AD319" s="276" t="n">
        <v>0.0110183076014511</v>
      </c>
      <c r="AE319" s="141" t="n">
        <v>0.00730616721505104</v>
      </c>
      <c r="AF319" s="270" t="n">
        <v>8.57346094946401</v>
      </c>
      <c r="AG319" s="277" t="n">
        <v>0.0944650299502235</v>
      </c>
      <c r="AH319" s="131" t="n">
        <v>0.483903698920764</v>
      </c>
      <c r="AI319" s="131" t="n">
        <v>0.333548565630477</v>
      </c>
      <c r="AJ319" s="270" t="n">
        <v>0.372918248544672</v>
      </c>
      <c r="AK319" s="130" t="n">
        <v>0.256947608200456</v>
      </c>
      <c r="AL319" s="130" t="n">
        <v>0.04800472454231</v>
      </c>
      <c r="AM319" s="133" t="n">
        <v>0.329975533620181</v>
      </c>
      <c r="AN319" s="307" t="n">
        <v>6.985</v>
      </c>
    </row>
    <row customHeight="1" ht="13.5" r="320" s="3">
      <c r="A320" s="117" t="n">
        <v>43661</v>
      </c>
      <c r="B320" s="289" t="inlineStr">
        <is>
          <t>iOS</t>
        </is>
      </c>
      <c r="C320" s="268" t="n">
        <v>10711</v>
      </c>
      <c r="D320" s="268" t="n">
        <v>60829</v>
      </c>
      <c r="E320" s="269" t="n">
        <v>5.6791149285781</v>
      </c>
      <c r="F320" s="270" t="n">
        <v>0.65485970410495</v>
      </c>
      <c r="G320" s="271" t="n">
        <v>12.4</v>
      </c>
      <c r="H320" s="271" t="n">
        <v>18.61</v>
      </c>
      <c r="I320" s="142" t="n">
        <v>0.299</v>
      </c>
      <c r="J320" s="142" t="n">
        <v>0.144</v>
      </c>
      <c r="K320" s="142" t="n">
        <v>0.08</v>
      </c>
      <c r="L320" s="270" t="n">
        <v>8.902562922290359</v>
      </c>
      <c r="M320" s="272" t="n">
        <v>11.8345032796857</v>
      </c>
      <c r="N320" s="270" t="n">
        <v>19.0782869106618</v>
      </c>
      <c r="O320" s="273" t="n">
        <v>0.620312679807329</v>
      </c>
      <c r="P320" s="270" t="n">
        <v>2.64847746004823</v>
      </c>
      <c r="Q320" s="270" t="n">
        <v>4.04669652558768</v>
      </c>
      <c r="R320" s="270" t="n">
        <v>1.08517743089603</v>
      </c>
      <c r="S320" s="270" t="n">
        <v>6.06500940821032</v>
      </c>
      <c r="T320" s="270" t="n">
        <v>1.75779821376514</v>
      </c>
      <c r="U320" s="270" t="n">
        <v>0.440277740969443</v>
      </c>
      <c r="V320" s="270" t="n">
        <v>2.07632576259508</v>
      </c>
      <c r="W320" s="270" t="n">
        <v>0.958524368589829</v>
      </c>
      <c r="X320" s="274" t="n">
        <v>0.0144339048808956</v>
      </c>
      <c r="Y320" s="269" t="n">
        <v>11.8489371845666</v>
      </c>
      <c r="Z320" s="275" t="n">
        <v>629</v>
      </c>
      <c r="AA320" s="275" t="n">
        <v>458</v>
      </c>
      <c r="AB320" s="270" t="n">
        <v>4728.71</v>
      </c>
      <c r="AD320" s="276" t="n">
        <v>0.0103404626082954</v>
      </c>
      <c r="AE320" s="141" t="n">
        <v>0.00752930345723257</v>
      </c>
      <c r="AF320" s="270" t="n">
        <v>7.51782193958664</v>
      </c>
      <c r="AG320" s="277" t="n">
        <v>0.07773775666211841</v>
      </c>
      <c r="AH320" s="131" t="n">
        <v>0.480067220614322</v>
      </c>
      <c r="AI320" s="131" t="n">
        <v>0.36728596769676</v>
      </c>
      <c r="AJ320" s="270" t="n">
        <v>0.393611599730392</v>
      </c>
      <c r="AK320" s="130" t="n">
        <v>0.267323151786155</v>
      </c>
      <c r="AL320" s="130" t="n">
        <v>0.0516201154054809</v>
      </c>
      <c r="AM320" s="133" t="n">
        <v>0.325765670979303</v>
      </c>
      <c r="AN320" s="307" t="n">
        <v>5.592</v>
      </c>
    </row>
    <row customHeight="1" ht="13.5" r="321" s="3">
      <c r="A321" s="117" t="n">
        <v>43662</v>
      </c>
      <c r="B321" s="289" t="inlineStr">
        <is>
          <t>iOS</t>
        </is>
      </c>
      <c r="C321" s="268" t="n">
        <v>11714</v>
      </c>
      <c r="D321" s="268" t="n">
        <v>60315</v>
      </c>
      <c r="E321" s="269" t="n">
        <v>5.14896704797678</v>
      </c>
      <c r="F321" s="270" t="n">
        <v>0.677804914598359</v>
      </c>
      <c r="G321" s="271" t="n">
        <v>14.1</v>
      </c>
      <c r="H321" s="271" t="n">
        <v>20.77</v>
      </c>
      <c r="I321" s="142" t="n">
        <v>0.302</v>
      </c>
      <c r="J321" s="142" t="n">
        <v>0.147</v>
      </c>
      <c r="K321" s="142" t="n">
        <v>0.076</v>
      </c>
      <c r="L321" s="270" t="n">
        <v>8.54905081654646</v>
      </c>
      <c r="M321" s="272" t="n">
        <v>10.771383569593</v>
      </c>
      <c r="N321" s="270" t="n">
        <v>17.6011487090569</v>
      </c>
      <c r="O321" s="273" t="n">
        <v>0.611970488269916</v>
      </c>
      <c r="P321" s="270" t="n">
        <v>2.46330362222644</v>
      </c>
      <c r="Q321" s="270" t="n">
        <v>3.80891875050798</v>
      </c>
      <c r="R321" s="270" t="n">
        <v>1.0065834033215</v>
      </c>
      <c r="S321" s="270" t="n">
        <v>5.38319200238411</v>
      </c>
      <c r="T321" s="270" t="n">
        <v>1.61355693424724</v>
      </c>
      <c r="U321" s="270" t="n">
        <v>0.470049578716372</v>
      </c>
      <c r="V321" s="270" t="n">
        <v>1.9397198667064</v>
      </c>
      <c r="W321" s="270" t="n">
        <v>0.915824550946872</v>
      </c>
      <c r="X321" s="274" t="n">
        <v>0.0143579540744425</v>
      </c>
      <c r="Y321" s="269" t="n">
        <v>10.7857415236674</v>
      </c>
      <c r="Z321" s="275" t="n">
        <v>564</v>
      </c>
      <c r="AA321" s="275" t="n">
        <v>385</v>
      </c>
      <c r="AB321" s="270" t="n">
        <v>4444.36</v>
      </c>
      <c r="AD321" s="276" t="n">
        <v>0.009350907734394429</v>
      </c>
      <c r="AE321" s="141" t="n">
        <v>0.00638315510237918</v>
      </c>
      <c r="AF321" s="270" t="n">
        <v>7.88007092198582</v>
      </c>
      <c r="AG321" s="277" t="n">
        <v>0.07368581613197379</v>
      </c>
      <c r="AH321" s="131" t="n">
        <v>0.467816288202151</v>
      </c>
      <c r="AI321" s="131" t="n">
        <v>0.326617722383473</v>
      </c>
      <c r="AJ321" s="270" t="n">
        <v>0.434170604327282</v>
      </c>
      <c r="AK321" s="130" t="n">
        <v>0.278670314183868</v>
      </c>
      <c r="AL321" s="130" t="n">
        <v>0.0558401724280859</v>
      </c>
      <c r="AM321" s="133" t="n">
        <v>0.266600348172096</v>
      </c>
      <c r="AN321" s="307" t="n">
        <v>5.469</v>
      </c>
    </row>
    <row customFormat="1" customHeight="1" ht="13.95" r="322" s="294">
      <c r="A322" s="121" t="n">
        <v>43663</v>
      </c>
      <c r="B322" s="295" t="inlineStr">
        <is>
          <t>iOS</t>
        </is>
      </c>
      <c r="C322" s="296" t="n">
        <v>12383</v>
      </c>
      <c r="D322" s="296" t="n">
        <v>59913</v>
      </c>
      <c r="E322" s="297" t="n">
        <v>4.83832673827021</v>
      </c>
      <c r="F322" s="294" t="n">
        <v>0.547302376545992</v>
      </c>
      <c r="G322" s="306" t="n">
        <v>14.7</v>
      </c>
      <c r="H322" s="306" t="n">
        <v>21.99</v>
      </c>
      <c r="I322" s="124" t="n">
        <v>0.295</v>
      </c>
      <c r="J322" s="124" t="n">
        <v>0.141</v>
      </c>
      <c r="K322" s="124" t="n">
        <v>0.076</v>
      </c>
      <c r="L322" s="294" t="n">
        <v>7.73129370921169</v>
      </c>
      <c r="M322" s="299" t="n">
        <v>9.197486355215061</v>
      </c>
      <c r="N322" s="294" t="n">
        <v>15.4446312957202</v>
      </c>
      <c r="O322" s="300" t="n">
        <v>0.595513494567122</v>
      </c>
      <c r="P322" s="294" t="n">
        <v>2.27265338154096</v>
      </c>
      <c r="Q322" s="294" t="n">
        <v>3.34521707446958</v>
      </c>
      <c r="R322" s="294" t="n">
        <v>0.838644580845876</v>
      </c>
      <c r="S322" s="294" t="n">
        <v>4.51094481347571</v>
      </c>
      <c r="T322" s="294" t="n">
        <v>1.41466969365733</v>
      </c>
      <c r="U322" s="294" t="n">
        <v>0.517475265562376</v>
      </c>
      <c r="V322" s="294" t="n">
        <v>1.68810785055635</v>
      </c>
      <c r="W322" s="294" t="n">
        <v>0.856918635611985</v>
      </c>
      <c r="X322" s="301" t="n">
        <v>0.014988399846444</v>
      </c>
      <c r="Y322" s="297" t="n">
        <v>9.21247475506151</v>
      </c>
      <c r="Z322" s="293" t="n">
        <v>453</v>
      </c>
      <c r="AA322" s="293" t="n">
        <v>326</v>
      </c>
      <c r="AB322" s="294" t="n">
        <v>2717.47</v>
      </c>
      <c r="AD322" s="303" t="n">
        <v>0.00756096339692554</v>
      </c>
      <c r="AE322" s="123" t="n">
        <v>0.00544122310683825</v>
      </c>
      <c r="AF322" s="294" t="n">
        <v>5.99883002207505</v>
      </c>
      <c r="AG322" s="304" t="n">
        <v>0.0453569342212875</v>
      </c>
      <c r="AH322" s="135" t="n">
        <v>0.465153839941856</v>
      </c>
      <c r="AI322" s="135" t="n">
        <v>0.329887749333764</v>
      </c>
      <c r="AJ322" s="294" t="n">
        <v>0.482065661876387</v>
      </c>
      <c r="AK322" s="136" t="n">
        <v>0.300669303823878</v>
      </c>
      <c r="AL322" s="136" t="n">
        <v>0.0584180394905947</v>
      </c>
      <c r="AM322" s="137" t="n">
        <v>0</v>
      </c>
      <c r="AN322" s="307" t="n">
        <v>6.518</v>
      </c>
    </row>
    <row customHeight="1" ht="13.5" r="323" s="3">
      <c r="A323" s="117" t="n">
        <v>43664</v>
      </c>
      <c r="B323" s="267" t="inlineStr">
        <is>
          <t>iOS</t>
        </is>
      </c>
      <c r="C323" s="268" t="n">
        <v>9869</v>
      </c>
      <c r="D323" s="268" t="n">
        <v>56709</v>
      </c>
      <c r="E323" s="269" t="n">
        <v>5.74617489107306</v>
      </c>
      <c r="F323" s="270" t="n">
        <v>0.548936560757552</v>
      </c>
      <c r="G323" s="271" t="n">
        <v>13.96</v>
      </c>
      <c r="H323" s="271" t="n">
        <v>20.53</v>
      </c>
      <c r="I323" s="142" t="n">
        <v>0.3</v>
      </c>
      <c r="J323" s="142" t="n">
        <v>0.147</v>
      </c>
      <c r="K323" s="142" t="n">
        <v>0.073</v>
      </c>
      <c r="L323" s="270" t="n">
        <v>7.69451057151422</v>
      </c>
      <c r="M323" s="272" t="n">
        <v>9.26276252446702</v>
      </c>
      <c r="N323" s="270" t="n">
        <v>15.2671627041795</v>
      </c>
      <c r="O323" s="273" t="n">
        <v>0.6067114567352631</v>
      </c>
      <c r="P323" s="270" t="n">
        <v>2.24684648026507</v>
      </c>
      <c r="Q323" s="270" t="n">
        <v>3.37237691100389</v>
      </c>
      <c r="R323" s="270" t="n">
        <v>0.832093239551241</v>
      </c>
      <c r="S323" s="270" t="n">
        <v>4.39565773411614</v>
      </c>
      <c r="T323" s="270" t="n">
        <v>1.41431727024356</v>
      </c>
      <c r="U323" s="270" t="n">
        <v>0.509475091553799</v>
      </c>
      <c r="V323" s="270" t="n">
        <v>1.65139801197466</v>
      </c>
      <c r="W323" s="270" t="n">
        <v>0.844997965471139</v>
      </c>
      <c r="X323" s="274" t="n">
        <v>0.0140542065633321</v>
      </c>
      <c r="Y323" s="269" t="n">
        <v>9.276816731030349</v>
      </c>
      <c r="Z323" s="275" t="n">
        <v>462</v>
      </c>
      <c r="AA323" s="275" t="n">
        <v>331</v>
      </c>
      <c r="AB323" s="270" t="n">
        <v>2940.38</v>
      </c>
      <c r="AD323" s="276" t="n">
        <v>0.008146854996561389</v>
      </c>
      <c r="AE323" s="141" t="n">
        <v>0.00583681602567494</v>
      </c>
      <c r="AF323" s="270" t="n">
        <v>6.36445887445888</v>
      </c>
      <c r="AG323" s="277" t="n">
        <v>0.0518503235817948</v>
      </c>
      <c r="AH323" s="131" t="n">
        <v>0.493565710811632</v>
      </c>
      <c r="AI323" s="131" t="n">
        <v>0.377343195865843</v>
      </c>
      <c r="AJ323" s="270" t="n">
        <v>0.481546139060819</v>
      </c>
      <c r="AK323" s="130" t="n">
        <v>0.311608386675836</v>
      </c>
      <c r="AL323" s="130" t="n">
        <v>0.0589148107002416</v>
      </c>
      <c r="AM323" s="133" t="n">
        <v>0</v>
      </c>
      <c r="AN323" s="307" t="n">
        <v>5.557</v>
      </c>
    </row>
    <row customHeight="1" ht="13.5" r="324" s="3">
      <c r="A324" s="117" t="n">
        <v>43665</v>
      </c>
      <c r="B324" s="267" t="inlineStr">
        <is>
          <t>iOS</t>
        </is>
      </c>
      <c r="C324" s="268" t="n">
        <v>9921</v>
      </c>
      <c r="D324" s="268" t="n">
        <v>54560</v>
      </c>
      <c r="E324" s="269" t="n">
        <v>5.49944562040117</v>
      </c>
      <c r="F324" s="270" t="n">
        <v>0.465940653629032</v>
      </c>
      <c r="G324" s="271" t="n">
        <v>12.5</v>
      </c>
      <c r="H324" s="271" t="n">
        <v>18.18</v>
      </c>
      <c r="I324" s="142" t="n">
        <v>0.289</v>
      </c>
      <c r="J324" s="142" t="n">
        <v>0.143</v>
      </c>
      <c r="K324" s="142" t="n">
        <v>0.078</v>
      </c>
      <c r="L324" s="270" t="n">
        <v>7.54730571847507</v>
      </c>
      <c r="M324" s="272" t="n">
        <v>9.15274926686217</v>
      </c>
      <c r="N324" s="270" t="n">
        <v>15.3233913283623</v>
      </c>
      <c r="O324" s="273" t="n">
        <v>0.597305718475075</v>
      </c>
      <c r="P324" s="270" t="n">
        <v>2.26564178096904</v>
      </c>
      <c r="Q324" s="270" t="n">
        <v>3.47749240541287</v>
      </c>
      <c r="R324" s="270" t="n">
        <v>0.832796342324097</v>
      </c>
      <c r="S324" s="270" t="n">
        <v>4.29997852035963</v>
      </c>
      <c r="T324" s="270" t="n">
        <v>1.42600263892725</v>
      </c>
      <c r="U324" s="270" t="n">
        <v>0.512688330418239</v>
      </c>
      <c r="V324" s="270" t="n">
        <v>1.66123538617325</v>
      </c>
      <c r="W324" s="270" t="n">
        <v>0.847555923777962</v>
      </c>
      <c r="X324" s="274" t="n">
        <v>0.0131598240469208</v>
      </c>
      <c r="Y324" s="269" t="n">
        <v>9.165909090909089</v>
      </c>
      <c r="Z324" s="275" t="n">
        <v>440</v>
      </c>
      <c r="AA324" s="275" t="n">
        <v>313</v>
      </c>
      <c r="AB324" s="270" t="n">
        <v>2722.6</v>
      </c>
      <c r="AD324" s="276" t="n">
        <v>0.00806451612903226</v>
      </c>
      <c r="AE324" s="141" t="n">
        <v>0.00573680351906158</v>
      </c>
      <c r="AF324" s="270" t="n">
        <v>6.18772727272727</v>
      </c>
      <c r="AG324" s="277" t="n">
        <v>0.0499010263929619</v>
      </c>
      <c r="AH324" s="131" t="n">
        <v>0.445116419715754</v>
      </c>
      <c r="AI324" s="131" t="n">
        <v>0.320129019252092</v>
      </c>
      <c r="AJ324" s="270" t="n">
        <v>0.479673753665689</v>
      </c>
      <c r="AK324" s="130" t="n">
        <v>0.31083211143695</v>
      </c>
      <c r="AL324" s="130" t="n">
        <v>0.0599706744868035</v>
      </c>
      <c r="AM324" s="133" t="n">
        <v>0</v>
      </c>
      <c r="AN324" s="307" t="n">
        <v>5.097</v>
      </c>
    </row>
    <row customHeight="1" ht="13.5" r="325" s="3">
      <c r="A325" s="117" t="n">
        <v>43666</v>
      </c>
      <c r="B325" s="289" t="inlineStr">
        <is>
          <t>iOS</t>
        </is>
      </c>
      <c r="C325" s="268" t="n">
        <v>6947</v>
      </c>
      <c r="D325" s="268" t="n">
        <v>50635</v>
      </c>
      <c r="E325" s="269" t="n">
        <v>7.28875773715273</v>
      </c>
      <c r="F325" s="270" t="n">
        <v>0.729091778374642</v>
      </c>
      <c r="G325" s="271" t="n">
        <v>11.46</v>
      </c>
      <c r="H325" s="271" t="n">
        <v>16.54</v>
      </c>
      <c r="I325" s="142" t="n">
        <v>0.282</v>
      </c>
      <c r="J325" s="142" t="n">
        <v>0.147</v>
      </c>
      <c r="K325" s="142" t="n">
        <v>0.07099999999999999</v>
      </c>
      <c r="L325" s="270" t="n">
        <v>10.0229090550015</v>
      </c>
      <c r="M325" s="272" t="n">
        <v>13.3574207563938</v>
      </c>
      <c r="N325" s="270" t="n">
        <v>21.3663876164903</v>
      </c>
      <c r="O325" s="273" t="n">
        <v>0.625160462130937</v>
      </c>
      <c r="P325" s="270" t="n">
        <v>2.75492023377034</v>
      </c>
      <c r="Q325" s="270" t="n">
        <v>4.33179592481441</v>
      </c>
      <c r="R325" s="270" t="n">
        <v>1.28652661506871</v>
      </c>
      <c r="S325" s="270" t="n">
        <v>7.49196019586163</v>
      </c>
      <c r="T325" s="270" t="n">
        <v>1.82969515084505</v>
      </c>
      <c r="U325" s="270" t="n">
        <v>0.426694045174538</v>
      </c>
      <c r="V325" s="270" t="n">
        <v>2.29110725003949</v>
      </c>
      <c r="W325" s="270" t="n">
        <v>0.953688200916127</v>
      </c>
      <c r="X325" s="274" t="n">
        <v>0.0130937098844673</v>
      </c>
      <c r="Y325" s="269" t="n">
        <v>13.3705144662783</v>
      </c>
      <c r="Z325" s="275" t="n">
        <v>710</v>
      </c>
      <c r="AA325" s="275" t="n">
        <v>459</v>
      </c>
      <c r="AB325" s="270" t="n">
        <v>5333.9</v>
      </c>
      <c r="AD325" s="276" t="n">
        <v>0.0140219215957342</v>
      </c>
      <c r="AE325" s="141" t="n">
        <v>0.009064876073861951</v>
      </c>
      <c r="AF325" s="270" t="n">
        <v>7.5125352112676</v>
      </c>
      <c r="AG325" s="277" t="n">
        <v>0.105340179717587</v>
      </c>
      <c r="AH325" s="131" t="n">
        <v>0.5046782783935509</v>
      </c>
      <c r="AI325" s="131" t="n">
        <v>0.401900100762919</v>
      </c>
      <c r="AJ325" s="270" t="n">
        <v>0.392811296534018</v>
      </c>
      <c r="AK325" s="130" t="n">
        <v>0.271906783845166</v>
      </c>
      <c r="AL325" s="130" t="n">
        <v>0.0532240545077516</v>
      </c>
      <c r="AM325" s="133" t="n">
        <v>0</v>
      </c>
      <c r="AN325" s="307" t="n">
        <v>6.153</v>
      </c>
    </row>
    <row customHeight="1" ht="13.5" r="326" s="3">
      <c r="A326" s="117" t="n">
        <v>43667</v>
      </c>
      <c r="B326" s="289" t="inlineStr">
        <is>
          <t>iOS</t>
        </is>
      </c>
      <c r="C326" s="268" t="n">
        <v>6578</v>
      </c>
      <c r="D326" s="268" t="n">
        <v>49341</v>
      </c>
      <c r="E326" s="269" t="n">
        <v>7.50091213134691</v>
      </c>
      <c r="F326" s="270" t="n">
        <v>0.706700376603636</v>
      </c>
      <c r="G326" s="271" t="n">
        <v>11.54</v>
      </c>
      <c r="H326" s="271" t="n">
        <v>17.29</v>
      </c>
      <c r="I326" s="142" t="n">
        <v>0.31</v>
      </c>
      <c r="J326" s="142" t="n">
        <v>0.15</v>
      </c>
      <c r="K326" s="142" t="n">
        <v>0.08400000000000001</v>
      </c>
      <c r="L326" s="270" t="n">
        <v>9.35848483006019</v>
      </c>
      <c r="M326" s="272" t="n">
        <v>12.8567114570033</v>
      </c>
      <c r="N326" s="270" t="n">
        <v>20.5594879274024</v>
      </c>
      <c r="O326" s="273" t="n">
        <v>0.625342007660972</v>
      </c>
      <c r="P326" s="270" t="n">
        <v>2.70384054448226</v>
      </c>
      <c r="Q326" s="270" t="n">
        <v>4.43979906011992</v>
      </c>
      <c r="R326" s="270" t="n">
        <v>1.25739750445633</v>
      </c>
      <c r="S326" s="270" t="n">
        <v>6.74931129476584</v>
      </c>
      <c r="T326" s="270" t="n">
        <v>1.81763085399449</v>
      </c>
      <c r="U326" s="270" t="n">
        <v>0.428358450818344</v>
      </c>
      <c r="V326" s="270" t="n">
        <v>2.18110516934046</v>
      </c>
      <c r="W326" s="270" t="n">
        <v>0.982045049424729</v>
      </c>
      <c r="X326" s="274" t="n">
        <v>0.0144099227822703</v>
      </c>
      <c r="Y326" s="269" t="n">
        <v>12.8711213797856</v>
      </c>
      <c r="Z326" s="275" t="n">
        <v>624</v>
      </c>
      <c r="AA326" s="275" t="n">
        <v>405</v>
      </c>
      <c r="AB326" s="270" t="n">
        <v>4600.76</v>
      </c>
      <c r="AD326" s="276" t="n">
        <v>0.0126466832857056</v>
      </c>
      <c r="AE326" s="141" t="n">
        <v>0.008208183863318541</v>
      </c>
      <c r="AF326" s="270" t="n">
        <v>7.37301282051282</v>
      </c>
      <c r="AG326" s="277" t="n">
        <v>0.0932441580024726</v>
      </c>
      <c r="AH326" s="131" t="n">
        <v>0.518394648829431</v>
      </c>
      <c r="AI326" s="131" t="n">
        <v>0.396017026451809</v>
      </c>
      <c r="AJ326" s="270" t="n">
        <v>0.392047181856874</v>
      </c>
      <c r="AK326" s="130" t="n">
        <v>0.276261121582457</v>
      </c>
      <c r="AL326" s="130" t="n">
        <v>0.0544780203076549</v>
      </c>
      <c r="AM326" s="133" t="n">
        <v>0.343872236071421</v>
      </c>
      <c r="AN326" s="307" t="n">
        <v>5.842</v>
      </c>
    </row>
    <row customHeight="1" ht="13.5" r="327" s="3">
      <c r="A327" s="117" t="n">
        <v>43668</v>
      </c>
      <c r="B327" s="289" t="inlineStr">
        <is>
          <t>iOS</t>
        </is>
      </c>
      <c r="C327" s="268" t="n">
        <v>7074</v>
      </c>
      <c r="D327" s="268" t="n">
        <v>50978</v>
      </c>
      <c r="E327" s="269" t="n">
        <v>7.20638959570257</v>
      </c>
      <c r="F327" s="270" t="n">
        <v>0.693639601730158</v>
      </c>
      <c r="G327" s="271" t="n">
        <v>12.16</v>
      </c>
      <c r="H327" s="271" t="n">
        <v>17.88</v>
      </c>
      <c r="I327" s="142" t="n">
        <v>0.314</v>
      </c>
      <c r="J327" s="142" t="n">
        <v>0.156</v>
      </c>
      <c r="K327" s="142" t="n">
        <v>0.081</v>
      </c>
      <c r="L327" s="270" t="n">
        <v>8.947192906744091</v>
      </c>
      <c r="M327" s="272" t="n">
        <v>11.9574914669073</v>
      </c>
      <c r="N327" s="270" t="n">
        <v>19.1051526358679</v>
      </c>
      <c r="O327" s="273" t="n">
        <v>0.625877829652007</v>
      </c>
      <c r="P327" s="270" t="n">
        <v>2.54842349401367</v>
      </c>
      <c r="Q327" s="270" t="n">
        <v>4.19378800225663</v>
      </c>
      <c r="R327" s="270" t="n">
        <v>1.16592490440669</v>
      </c>
      <c r="S327" s="270" t="n">
        <v>6.03877013727826</v>
      </c>
      <c r="T327" s="270" t="n">
        <v>1.70397417413653</v>
      </c>
      <c r="U327" s="270" t="n">
        <v>0.459286654547734</v>
      </c>
      <c r="V327" s="270" t="n">
        <v>2.04836080987902</v>
      </c>
      <c r="W327" s="270" t="n">
        <v>0.946624459349339</v>
      </c>
      <c r="X327" s="274" t="n">
        <v>0.0135352505002158</v>
      </c>
      <c r="Y327" s="269" t="n">
        <v>11.9710267174075</v>
      </c>
      <c r="Z327" s="275" t="n">
        <v>611</v>
      </c>
      <c r="AA327" s="275" t="n">
        <v>411</v>
      </c>
      <c r="AB327" s="270" t="n">
        <v>4674.89</v>
      </c>
      <c r="AD327" s="276" t="n">
        <v>0.0119855623994664</v>
      </c>
      <c r="AE327" s="141" t="n">
        <v>0.00806230138491114</v>
      </c>
      <c r="AF327" s="270" t="n">
        <v>7.65121112929624</v>
      </c>
      <c r="AG327" s="277" t="n">
        <v>0.0917040684216721</v>
      </c>
      <c r="AH327" s="131" t="n">
        <v>0.500424088210348</v>
      </c>
      <c r="AI327" s="131" t="n">
        <v>0.376731693525587</v>
      </c>
      <c r="AJ327" s="270" t="n">
        <v>0.455215975518851</v>
      </c>
      <c r="AK327" s="130" t="n">
        <v>0.302169563341049</v>
      </c>
      <c r="AL327" s="130" t="n">
        <v>0.0626937110125937</v>
      </c>
      <c r="AM327" s="133" t="n">
        <v>0.281847071285653</v>
      </c>
      <c r="AN327" s="307" t="n">
        <v>5.61</v>
      </c>
    </row>
    <row customHeight="1" ht="13.5" r="328" s="3">
      <c r="A328" s="117" t="n">
        <v>43669</v>
      </c>
      <c r="B328" s="289" t="inlineStr">
        <is>
          <t>iOS</t>
        </is>
      </c>
      <c r="C328" s="268" t="n">
        <v>8286</v>
      </c>
      <c r="D328" s="268" t="n">
        <v>49974</v>
      </c>
      <c r="E328" s="269" t="n">
        <v>6.03113685734975</v>
      </c>
      <c r="F328" s="270" t="n">
        <v>0.569189365289951</v>
      </c>
      <c r="G328" s="271" t="n">
        <v>13.98</v>
      </c>
      <c r="H328" s="271" t="n">
        <v>20.48</v>
      </c>
      <c r="I328" s="142" t="n">
        <v>0.311</v>
      </c>
      <c r="J328" s="142" t="n">
        <v>0.151</v>
      </c>
      <c r="K328" s="142" t="n">
        <v>0.081</v>
      </c>
      <c r="L328" s="270" t="n">
        <v>7.7183535438428</v>
      </c>
      <c r="M328" s="272" t="n">
        <v>9.51148597270581</v>
      </c>
      <c r="N328" s="270" t="n">
        <v>15.8273508257858</v>
      </c>
      <c r="O328" s="273" t="n">
        <v>0.600952495297555</v>
      </c>
      <c r="P328" s="270" t="n">
        <v>2.31572988811934</v>
      </c>
      <c r="Q328" s="270" t="n">
        <v>3.49467234949387</v>
      </c>
      <c r="R328" s="270" t="n">
        <v>0.890849760255727</v>
      </c>
      <c r="S328" s="270" t="n">
        <v>4.58384389984017</v>
      </c>
      <c r="T328" s="270" t="n">
        <v>1.47549280767182</v>
      </c>
      <c r="U328" s="270" t="n">
        <v>0.510488811933937</v>
      </c>
      <c r="V328" s="270" t="n">
        <v>1.69728955780501</v>
      </c>
      <c r="W328" s="270" t="n">
        <v>0.858983750665956</v>
      </c>
      <c r="X328" s="274" t="n">
        <v>0.0130868051386721</v>
      </c>
      <c r="Y328" s="269" t="n">
        <v>9.52457277784448</v>
      </c>
      <c r="Z328" s="275" t="n">
        <v>414</v>
      </c>
      <c r="AA328" s="275" t="n">
        <v>328</v>
      </c>
      <c r="AB328" s="270" t="n">
        <v>2460.86</v>
      </c>
      <c r="AD328" s="276" t="n">
        <v>0.008284307840076841</v>
      </c>
      <c r="AE328" s="141" t="n">
        <v>0.00656341297474687</v>
      </c>
      <c r="AF328" s="270" t="n">
        <v>5.94410628019323</v>
      </c>
      <c r="AG328" s="277" t="n">
        <v>0.0492428062592548</v>
      </c>
      <c r="AH328" s="131" t="n">
        <v>0.481535119478639</v>
      </c>
      <c r="AI328" s="131" t="n">
        <v>0.325368090755491</v>
      </c>
      <c r="AJ328" s="270" t="n">
        <v>0.498599271621243</v>
      </c>
      <c r="AK328" s="130" t="n">
        <v>0.318645695761796</v>
      </c>
      <c r="AL328" s="130" t="n">
        <v>0.0656541401528795</v>
      </c>
      <c r="AM328" s="133" t="n">
        <v>0.0168687717613159</v>
      </c>
      <c r="AN328" s="308" t="n">
        <v>4.988</v>
      </c>
    </row>
    <row customFormat="1" customHeight="1" ht="13.95" r="329" s="294">
      <c r="A329" s="121" t="n">
        <v>43670</v>
      </c>
      <c r="B329" s="295" t="inlineStr">
        <is>
          <t>iOS</t>
        </is>
      </c>
      <c r="C329" s="296" t="n">
        <v>9844</v>
      </c>
      <c r="D329" s="296" t="n">
        <v>50279</v>
      </c>
      <c r="E329" s="297" t="n">
        <v>5.10757822023568</v>
      </c>
      <c r="F329" s="294" t="n">
        <v>0.554260973249269</v>
      </c>
      <c r="G329" s="306" t="n">
        <v>14.2</v>
      </c>
      <c r="H329" s="306" t="n">
        <v>20.95</v>
      </c>
      <c r="I329" s="124" t="n">
        <v>0.32</v>
      </c>
      <c r="J329" s="124" t="n">
        <v>0.154</v>
      </c>
      <c r="K329" s="124" t="n">
        <v>0.083</v>
      </c>
      <c r="L329" s="294" t="n">
        <v>7.89194295829273</v>
      </c>
      <c r="M329" s="299" t="n">
        <v>9.246047057419601</v>
      </c>
      <c r="N329" s="294" t="n">
        <v>15.4430455436335</v>
      </c>
      <c r="O329" s="300" t="n">
        <v>0.598719147158854</v>
      </c>
      <c r="P329" s="294" t="n">
        <v>2.34528120120918</v>
      </c>
      <c r="Q329" s="294" t="n">
        <v>3.43128591834701</v>
      </c>
      <c r="R329" s="294" t="n">
        <v>0.850181045078564</v>
      </c>
      <c r="S329" s="294" t="n">
        <v>4.31986845164934</v>
      </c>
      <c r="T329" s="294" t="n">
        <v>1.46716274125502</v>
      </c>
      <c r="U329" s="294" t="n">
        <v>0.515363917217553</v>
      </c>
      <c r="V329" s="294" t="n">
        <v>1.66807294953991</v>
      </c>
      <c r="W329" s="294" t="n">
        <v>0.8458293193369431</v>
      </c>
      <c r="X329" s="301" t="n">
        <v>0.0166272201117763</v>
      </c>
      <c r="Y329" s="297" t="n">
        <v>9.262674277531371</v>
      </c>
      <c r="Z329" s="293" t="n">
        <v>430</v>
      </c>
      <c r="AA329" s="293" t="n">
        <v>305</v>
      </c>
      <c r="AB329" s="294" t="n">
        <v>2573.7</v>
      </c>
      <c r="AD329" s="303" t="n">
        <v>0.00855227828715766</v>
      </c>
      <c r="AE329" s="123" t="n">
        <v>0.0060661508781002</v>
      </c>
      <c r="AF329" s="294" t="n">
        <v>5.9853488372093</v>
      </c>
      <c r="AG329" s="304" t="n">
        <v>0.0511883689015295</v>
      </c>
      <c r="AH329" s="135" t="n">
        <v>0.489943112555872</v>
      </c>
      <c r="AI329" s="135" t="n">
        <v>0.329134498171475</v>
      </c>
      <c r="AJ329" s="294" t="n">
        <v>0.487817975695618</v>
      </c>
      <c r="AK329" s="136" t="n">
        <v>0.309274249686748</v>
      </c>
      <c r="AL329" s="136" t="n">
        <v>0.0635056385369637</v>
      </c>
      <c r="AM329" s="137" t="n">
        <v>0</v>
      </c>
      <c r="AN329" s="307" t="n">
        <v>5.91</v>
      </c>
    </row>
    <row customHeight="1" ht="13.5" r="330" s="3">
      <c r="A330" s="117" t="n">
        <v>43671</v>
      </c>
      <c r="B330" s="267" t="inlineStr">
        <is>
          <t>iOS</t>
        </is>
      </c>
      <c r="C330" s="268" t="n">
        <v>8334</v>
      </c>
      <c r="D330" s="268" t="n">
        <v>49049</v>
      </c>
      <c r="E330" s="269" t="n">
        <v>5.88540916726662</v>
      </c>
      <c r="F330" s="270" t="n">
        <v>0.587426720789415</v>
      </c>
      <c r="G330" s="271" t="n">
        <v>14.63</v>
      </c>
      <c r="H330" s="271" t="n">
        <v>21.61</v>
      </c>
      <c r="I330" s="142" t="n">
        <v>0.329</v>
      </c>
      <c r="J330" s="142" t="n">
        <v>0.164</v>
      </c>
      <c r="K330" s="142" t="n">
        <v>0.08500000000000001</v>
      </c>
      <c r="L330" s="270" t="n">
        <v>7.78172847560603</v>
      </c>
      <c r="M330" s="272" t="n">
        <v>9.36402373137067</v>
      </c>
      <c r="N330" s="270" t="n">
        <v>15.5136121056543</v>
      </c>
      <c r="O330" s="273" t="n">
        <v>0.603600481151502</v>
      </c>
      <c r="P330" s="270" t="n">
        <v>2.31733432412349</v>
      </c>
      <c r="Q330" s="270" t="n">
        <v>3.48689454840235</v>
      </c>
      <c r="R330" s="270" t="n">
        <v>0.837026278457069</v>
      </c>
      <c r="S330" s="270" t="n">
        <v>4.36141322704857</v>
      </c>
      <c r="T330" s="270" t="n">
        <v>1.45744105924475</v>
      </c>
      <c r="U330" s="270" t="n">
        <v>0.518273322975073</v>
      </c>
      <c r="V330" s="270" t="n">
        <v>1.6775653583733</v>
      </c>
      <c r="W330" s="270" t="n">
        <v>0.857663987029656</v>
      </c>
      <c r="X330" s="274" t="n">
        <v>0.0171461191869355</v>
      </c>
      <c r="Y330" s="269" t="n">
        <v>9.38116985055761</v>
      </c>
      <c r="Z330" s="275" t="n">
        <v>475</v>
      </c>
      <c r="AA330" s="275" t="n">
        <v>327</v>
      </c>
      <c r="AB330" s="270" t="n">
        <v>2821.25</v>
      </c>
      <c r="AD330" s="276" t="n">
        <v>0.009684193357662751</v>
      </c>
      <c r="AE330" s="141" t="n">
        <v>0.00666680258516993</v>
      </c>
      <c r="AF330" s="270" t="n">
        <v>5.93947368421053</v>
      </c>
      <c r="AG330" s="277" t="n">
        <v>0.0575190116006442</v>
      </c>
      <c r="AH330" s="131" t="n">
        <v>0.523158147348212</v>
      </c>
      <c r="AI330" s="131" t="n">
        <v>0.379049676025918</v>
      </c>
      <c r="AJ330" s="270" t="n">
        <v>0.488796917368346</v>
      </c>
      <c r="AK330" s="130" t="n">
        <v>0.319782258557769</v>
      </c>
      <c r="AL330" s="130" t="n">
        <v>0.0633448184468593</v>
      </c>
      <c r="AM330" s="133" t="n">
        <v>0</v>
      </c>
      <c r="AN330" s="308" t="n">
        <v>5.378</v>
      </c>
    </row>
    <row customHeight="1" ht="13.5" r="331" s="3">
      <c r="A331" s="117" t="n">
        <v>43672</v>
      </c>
      <c r="B331" s="267" t="inlineStr">
        <is>
          <t>iOS</t>
        </is>
      </c>
      <c r="C331" s="268" t="n">
        <v>6783</v>
      </c>
      <c r="D331" s="268" t="n">
        <v>46851</v>
      </c>
      <c r="E331" s="269" t="n">
        <v>6.90712074303406</v>
      </c>
      <c r="F331" s="270" t="n">
        <v>0.571353925209707</v>
      </c>
      <c r="G331" s="271" t="n">
        <v>13.34</v>
      </c>
      <c r="H331" s="271" t="n">
        <v>19.84</v>
      </c>
      <c r="I331" s="142" t="n">
        <v>0.315</v>
      </c>
      <c r="J331" s="142" t="n">
        <v>0.163</v>
      </c>
      <c r="K331" s="142" t="n">
        <v>0.083</v>
      </c>
      <c r="L331" s="270" t="n">
        <v>7.76785981088984</v>
      </c>
      <c r="M331" s="272" t="n">
        <v>9.356683955518561</v>
      </c>
      <c r="N331" s="270" t="n">
        <v>15.3992342010047</v>
      </c>
      <c r="O331" s="273" t="n">
        <v>0.607607094832553</v>
      </c>
      <c r="P331" s="270" t="n">
        <v>2.3016123932975</v>
      </c>
      <c r="Q331" s="270" t="n">
        <v>3.51266378613834</v>
      </c>
      <c r="R331" s="270" t="n">
        <v>0.848912776197</v>
      </c>
      <c r="S331" s="270" t="n">
        <v>4.26824041873046</v>
      </c>
      <c r="T331" s="270" t="n">
        <v>1.46183299961359</v>
      </c>
      <c r="U331" s="270" t="n">
        <v>0.507780939333263</v>
      </c>
      <c r="V331" s="270" t="n">
        <v>1.65064811887449</v>
      </c>
      <c r="W331" s="270" t="n">
        <v>0.847542768820037</v>
      </c>
      <c r="X331" s="274" t="n">
        <v>0.0143433437920215</v>
      </c>
      <c r="Y331" s="269" t="n">
        <v>9.37102729931058</v>
      </c>
      <c r="Z331" s="275" t="n">
        <v>487</v>
      </c>
      <c r="AA331" s="275" t="n">
        <v>329</v>
      </c>
      <c r="AB331" s="270" t="n">
        <v>3165.13</v>
      </c>
      <c r="AD331" s="276" t="n">
        <v>0.0103946553968965</v>
      </c>
      <c r="AE331" s="141" t="n">
        <v>0.00702226206484387</v>
      </c>
      <c r="AF331" s="270" t="n">
        <v>6.49924024640657</v>
      </c>
      <c r="AG331" s="277" t="n">
        <v>0.0675573627030373</v>
      </c>
      <c r="AH331" s="131" t="n">
        <v>0.526905499041722</v>
      </c>
      <c r="AI331" s="131" t="n">
        <v>0.405277900633938</v>
      </c>
      <c r="AJ331" s="270" t="n">
        <v>0.494546541162408</v>
      </c>
      <c r="AK331" s="130" t="n">
        <v>0.321828776333483</v>
      </c>
      <c r="AL331" s="130" t="n">
        <v>0.0662525879917184</v>
      </c>
      <c r="AM331" s="133" t="n">
        <v>0</v>
      </c>
      <c r="AN331" s="308" t="n">
        <v>5.427</v>
      </c>
    </row>
    <row customHeight="1" ht="13.5" r="332" s="3">
      <c r="A332" s="117" t="n">
        <v>43673</v>
      </c>
      <c r="B332" s="289" t="inlineStr">
        <is>
          <t>iOS</t>
        </is>
      </c>
      <c r="C332" s="268" t="n">
        <v>5479</v>
      </c>
      <c r="D332" s="268" t="n">
        <v>44321</v>
      </c>
      <c r="E332" s="269" t="n">
        <v>8.089249863113711</v>
      </c>
      <c r="F332" s="270" t="n">
        <v>0.833399094537578</v>
      </c>
      <c r="G332" s="271" t="n">
        <v>11.86</v>
      </c>
      <c r="H332" s="271" t="n">
        <v>17.46</v>
      </c>
      <c r="I332" s="142" t="n">
        <v>0.316</v>
      </c>
      <c r="J332" s="142" t="n">
        <v>0.159</v>
      </c>
      <c r="K332" s="142" t="n">
        <v>0.08400000000000001</v>
      </c>
      <c r="L332" s="270" t="n">
        <v>10.2343584305408</v>
      </c>
      <c r="M332" s="272" t="n">
        <v>13.5835608402337</v>
      </c>
      <c r="N332" s="270" t="n">
        <v>21.7051952265926</v>
      </c>
      <c r="O332" s="273" t="n">
        <v>0.625820717041583</v>
      </c>
      <c r="P332" s="270" t="n">
        <v>2.85463460359808</v>
      </c>
      <c r="Q332" s="270" t="n">
        <v>4.4918700652558</v>
      </c>
      <c r="R332" s="270" t="n">
        <v>1.44655153765728</v>
      </c>
      <c r="S332" s="270" t="n">
        <v>7.3214839384216</v>
      </c>
      <c r="T332" s="270" t="n">
        <v>1.88686591916934</v>
      </c>
      <c r="U332" s="270" t="n">
        <v>0.439377005443992</v>
      </c>
      <c r="V332" s="270" t="n">
        <v>2.30890146735408</v>
      </c>
      <c r="W332" s="270" t="n">
        <v>0.955510689692469</v>
      </c>
      <c r="X332" s="274" t="n">
        <v>0.0169896888608109</v>
      </c>
      <c r="Y332" s="269" t="n">
        <v>13.6005505290946</v>
      </c>
      <c r="Z332" s="275" t="n">
        <v>695</v>
      </c>
      <c r="AA332" s="275" t="n">
        <v>420</v>
      </c>
      <c r="AB332" s="270" t="n">
        <v>5764.05</v>
      </c>
      <c r="AD332" s="276" t="n">
        <v>0.0156810541278401</v>
      </c>
      <c r="AE332" s="141" t="n">
        <v>0.00947632048013357</v>
      </c>
      <c r="AF332" s="270" t="n">
        <v>8.29359712230216</v>
      </c>
      <c r="AG332" s="277" t="n">
        <v>0.130052345389319</v>
      </c>
      <c r="AH332" s="131" t="n">
        <v>0.53787187442964</v>
      </c>
      <c r="AI332" s="131" t="n">
        <v>0.42799780981931</v>
      </c>
      <c r="AJ332" s="270" t="n">
        <v>0.401863676361093</v>
      </c>
      <c r="AK332" s="130" t="n">
        <v>0.283996299722479</v>
      </c>
      <c r="AL332" s="130" t="n">
        <v>0.0582342456172018</v>
      </c>
      <c r="AM332" s="133" t="n">
        <v>0.349811601723788</v>
      </c>
      <c r="AN332" s="308" t="n">
        <v>5.403</v>
      </c>
    </row>
    <row customHeight="1" ht="13.5" r="333" s="3">
      <c r="A333" s="117" t="n">
        <v>43674</v>
      </c>
      <c r="B333" s="289" t="inlineStr">
        <is>
          <t>iOS</t>
        </is>
      </c>
      <c r="C333" s="268" t="n">
        <v>6367</v>
      </c>
      <c r="D333" s="268" t="n">
        <v>45228</v>
      </c>
      <c r="E333" s="269" t="n">
        <v>7.10350243442752</v>
      </c>
      <c r="F333" s="270" t="n">
        <v>0.793596164499867</v>
      </c>
      <c r="G333" s="271" t="n">
        <v>12.32</v>
      </c>
      <c r="H333" s="271" t="n">
        <v>18.42</v>
      </c>
      <c r="I333" s="142" t="n">
        <v>0.329</v>
      </c>
      <c r="J333" s="142" t="n">
        <v>0.161</v>
      </c>
      <c r="K333" s="142" t="n">
        <v>0.08799999999999999</v>
      </c>
      <c r="L333" s="270" t="n">
        <v>9.58351021491112</v>
      </c>
      <c r="M333" s="272" t="n">
        <v>13.1703369594057</v>
      </c>
      <c r="N333" s="270" t="n">
        <v>21.1845792730635</v>
      </c>
      <c r="O333" s="273" t="n">
        <v>0.621694525515168</v>
      </c>
      <c r="P333" s="270" t="n">
        <v>2.76104274841738</v>
      </c>
      <c r="Q333" s="270" t="n">
        <v>4.49797282879294</v>
      </c>
      <c r="R333" s="270" t="n">
        <v>1.41290276691088</v>
      </c>
      <c r="S333" s="270" t="n">
        <v>6.98161320150793</v>
      </c>
      <c r="T333" s="270" t="n">
        <v>1.86201010029163</v>
      </c>
      <c r="U333" s="270" t="n">
        <v>0.440714133295398</v>
      </c>
      <c r="V333" s="270" t="n">
        <v>2.23749911088982</v>
      </c>
      <c r="W333" s="270" t="n">
        <v>0.9908243829575361</v>
      </c>
      <c r="X333" s="274" t="n">
        <v>0.010303351905899</v>
      </c>
      <c r="Y333" s="269" t="n">
        <v>13.1806403113116</v>
      </c>
      <c r="Z333" s="275" t="n">
        <v>631</v>
      </c>
      <c r="AA333" s="275" t="n">
        <v>425</v>
      </c>
      <c r="AB333" s="270" t="n">
        <v>5011.69</v>
      </c>
      <c r="AD333" s="276" t="n">
        <v>0.0139515344476873</v>
      </c>
      <c r="AE333" s="141" t="n">
        <v>0.00939683381975767</v>
      </c>
      <c r="AF333" s="270" t="n">
        <v>7.94245641838352</v>
      </c>
      <c r="AG333" s="277" t="n">
        <v>0.110809454320333</v>
      </c>
      <c r="AH333" s="131" t="n">
        <v>0.541856447306424</v>
      </c>
      <c r="AI333" s="131" t="n">
        <v>0.409612062195697</v>
      </c>
      <c r="AJ333" s="270" t="n">
        <v>0.400128239143893</v>
      </c>
      <c r="AK333" s="130" t="n">
        <v>0.275802600159193</v>
      </c>
      <c r="AL333" s="130" t="n">
        <v>0.0565799946935527</v>
      </c>
      <c r="AM333" s="133" t="n">
        <v>0.345692933580968</v>
      </c>
      <c r="AN333" s="308" t="n">
        <v>6.307</v>
      </c>
    </row>
    <row customHeight="1" ht="13.5" r="334" s="3">
      <c r="A334" s="117" t="n">
        <v>43675</v>
      </c>
      <c r="B334" s="289" t="inlineStr">
        <is>
          <t>iOS</t>
        </is>
      </c>
      <c r="C334" s="268" t="n">
        <v>6895</v>
      </c>
      <c r="D334" s="268" t="n">
        <v>46825</v>
      </c>
      <c r="E334" s="269" t="n">
        <v>6.79115300942712</v>
      </c>
      <c r="F334" s="270" t="n">
        <v>0.772615648478377</v>
      </c>
      <c r="G334" s="271" t="n">
        <v>12.46</v>
      </c>
      <c r="H334" s="271" t="n">
        <v>18.19</v>
      </c>
      <c r="I334" s="142" t="n">
        <v>0.34</v>
      </c>
      <c r="J334" s="142" t="n">
        <v>0.169</v>
      </c>
      <c r="K334" s="142" t="n">
        <v>0.098</v>
      </c>
      <c r="L334" s="270" t="n">
        <v>9.29324079017619</v>
      </c>
      <c r="M334" s="272" t="n">
        <v>12.741761879338</v>
      </c>
      <c r="N334" s="270" t="n">
        <v>20.3074540503744</v>
      </c>
      <c r="O334" s="273" t="n">
        <v>0.627442605445809</v>
      </c>
      <c r="P334" s="270" t="n">
        <v>2.71780122532335</v>
      </c>
      <c r="Q334" s="270" t="n">
        <v>4.48056501021103</v>
      </c>
      <c r="R334" s="270" t="n">
        <v>1.29840027229408</v>
      </c>
      <c r="S334" s="270" t="n">
        <v>6.41501021102791</v>
      </c>
      <c r="T334" s="270" t="n">
        <v>1.81715452688904</v>
      </c>
      <c r="U334" s="270" t="n">
        <v>0.445166780122532</v>
      </c>
      <c r="V334" s="270" t="n">
        <v>2.17511912865895</v>
      </c>
      <c r="W334" s="270" t="n">
        <v>0.958236895847515</v>
      </c>
      <c r="X334" s="274" t="n">
        <v>0.0131553657234383</v>
      </c>
      <c r="Y334" s="269" t="n">
        <v>12.7549172450614</v>
      </c>
      <c r="Z334" s="275" t="n">
        <v>604</v>
      </c>
      <c r="AA334" s="275" t="n">
        <v>410</v>
      </c>
      <c r="AB334" s="270" t="n">
        <v>4921.96</v>
      </c>
      <c r="AD334" s="276" t="n">
        <v>0.0128990923651895</v>
      </c>
      <c r="AE334" s="141" t="n">
        <v>0.008756006406833961</v>
      </c>
      <c r="AF334" s="270" t="n">
        <v>8.148940397350991</v>
      </c>
      <c r="AG334" s="277" t="n">
        <v>0.105113934863855</v>
      </c>
      <c r="AH334" s="131" t="n">
        <v>0.546192893401015</v>
      </c>
      <c r="AI334" s="131" t="n">
        <v>0.397679477882524</v>
      </c>
      <c r="AJ334" s="270" t="n">
        <v>0.417426588360918</v>
      </c>
      <c r="AK334" s="130" t="n">
        <v>0.275600640683396</v>
      </c>
      <c r="AL334" s="130" t="n">
        <v>0.0572770955686065</v>
      </c>
      <c r="AM334" s="133" t="n">
        <v>0.334906567004805</v>
      </c>
      <c r="AN334" s="308" t="n">
        <v>6.626</v>
      </c>
    </row>
    <row customHeight="1" ht="13.5" r="335" s="3">
      <c r="A335" s="117" t="n">
        <v>43676</v>
      </c>
      <c r="B335" s="289" t="inlineStr">
        <is>
          <t>iOS</t>
        </is>
      </c>
      <c r="C335" s="268" t="n">
        <v>8423</v>
      </c>
      <c r="D335" s="268" t="n">
        <v>48000</v>
      </c>
      <c r="E335" s="269" t="n">
        <v>5.69868217974593</v>
      </c>
      <c r="F335" s="270" t="n">
        <v>0.747913321375</v>
      </c>
      <c r="G335" s="271" t="n">
        <v>13.75</v>
      </c>
      <c r="H335" s="271" t="n">
        <v>19.21</v>
      </c>
      <c r="I335" s="142" t="n">
        <v>0.34</v>
      </c>
      <c r="J335" s="142" t="n">
        <v>0.17</v>
      </c>
      <c r="K335" s="142" t="n">
        <v>0.091</v>
      </c>
      <c r="L335" s="270" t="n">
        <v>9.087624999999999</v>
      </c>
      <c r="M335" s="272" t="n">
        <v>11.6499583333333</v>
      </c>
      <c r="N335" s="270" t="n">
        <v>18.8016273283572</v>
      </c>
      <c r="O335" s="273" t="n">
        <v>0.619625</v>
      </c>
      <c r="P335" s="270" t="n">
        <v>2.54586107188488</v>
      </c>
      <c r="Q335" s="270" t="n">
        <v>4.19870889650999</v>
      </c>
      <c r="R335" s="270" t="n">
        <v>1.1669020240737</v>
      </c>
      <c r="S335" s="270" t="n">
        <v>5.73771098110416</v>
      </c>
      <c r="T335" s="270" t="n">
        <v>1.68932822271535</v>
      </c>
      <c r="U335" s="270" t="n">
        <v>0.487526057427207</v>
      </c>
      <c r="V335" s="270" t="n">
        <v>2.04024611660278</v>
      </c>
      <c r="W335" s="270" t="n">
        <v>0.9353439580391369</v>
      </c>
      <c r="X335" s="274" t="n">
        <v>0.0126875</v>
      </c>
      <c r="Y335" s="269" t="n">
        <v>11.6626458333333</v>
      </c>
      <c r="Z335" s="275" t="n">
        <v>603</v>
      </c>
      <c r="AA335" s="275" t="n">
        <v>403</v>
      </c>
      <c r="AB335" s="270" t="n">
        <v>4444.97</v>
      </c>
      <c r="AD335" s="276" t="n">
        <v>0.0125625</v>
      </c>
      <c r="AE335" s="141" t="n">
        <v>0.00839583333333333</v>
      </c>
      <c r="AF335" s="270" t="n">
        <v>7.37142620232173</v>
      </c>
      <c r="AG335" s="277" t="n">
        <v>0.09260354166666671</v>
      </c>
      <c r="AH335" s="131" t="n">
        <v>0.521429419446753</v>
      </c>
      <c r="AI335" s="131" t="n">
        <v>0.362222486050101</v>
      </c>
      <c r="AJ335" s="270" t="n">
        <v>0.4638125</v>
      </c>
      <c r="AK335" s="130" t="n">
        <v>0.2881875</v>
      </c>
      <c r="AL335" s="130" t="n">
        <v>0.0625833333333333</v>
      </c>
      <c r="AM335" s="133" t="n">
        <v>0.273625</v>
      </c>
      <c r="AN335" s="308" t="n">
        <v>6.24</v>
      </c>
    </row>
    <row customFormat="1" customHeight="1" ht="13.95" r="336" s="294">
      <c r="A336" s="121" t="n">
        <v>43677</v>
      </c>
      <c r="B336" s="295" t="inlineStr">
        <is>
          <t>iOS</t>
        </is>
      </c>
      <c r="C336" s="296" t="n">
        <v>9451</v>
      </c>
      <c r="D336" s="296" t="n">
        <v>47957</v>
      </c>
      <c r="E336" s="297" t="n">
        <v>5.07427785419532</v>
      </c>
      <c r="F336" s="294" t="n">
        <v>0.591092368809559</v>
      </c>
      <c r="G336" s="306" t="n">
        <v>14.75</v>
      </c>
      <c r="H336" s="306" t="n">
        <v>21.08</v>
      </c>
      <c r="I336" s="124" t="n">
        <v>0.336</v>
      </c>
      <c r="J336" s="124" t="n">
        <v>0.162</v>
      </c>
      <c r="K336" s="124" t="n">
        <v>0.08599999999999999</v>
      </c>
      <c r="L336" s="294" t="n">
        <v>7.82044331380195</v>
      </c>
      <c r="M336" s="299" t="n">
        <v>9.513334862480971</v>
      </c>
      <c r="N336" s="294" t="n">
        <v>15.9365306692748</v>
      </c>
      <c r="O336" s="300" t="n">
        <v>0.596951435661113</v>
      </c>
      <c r="P336" s="294" t="n">
        <v>2.33715243817242</v>
      </c>
      <c r="Q336" s="294" t="n">
        <v>3.64911974290904</v>
      </c>
      <c r="R336" s="294" t="n">
        <v>0.872886684364957</v>
      </c>
      <c r="S336" s="294" t="n">
        <v>4.49332821014392</v>
      </c>
      <c r="T336" s="294" t="n">
        <v>1.4628335894928</v>
      </c>
      <c r="U336" s="294" t="n">
        <v>0.529551488053654</v>
      </c>
      <c r="V336" s="294" t="n">
        <v>1.7250593824228</v>
      </c>
      <c r="W336" s="294" t="n">
        <v>0.866599133715244</v>
      </c>
      <c r="X336" s="301" t="n">
        <v>0.0102800425381071</v>
      </c>
      <c r="Y336" s="297" t="n">
        <v>9.52361490501908</v>
      </c>
      <c r="Z336" s="293" t="n">
        <v>439</v>
      </c>
      <c r="AA336" s="293" t="n">
        <v>314</v>
      </c>
      <c r="AB336" s="294" t="n">
        <v>2514.61</v>
      </c>
      <c r="AD336" s="303" t="n">
        <v>0.00915403382196551</v>
      </c>
      <c r="AE336" s="123" t="n">
        <v>0.00654753216423046</v>
      </c>
      <c r="AF336" s="294" t="n">
        <v>5.7280410022779</v>
      </c>
      <c r="AG336" s="304" t="n">
        <v>0.0524346810684571</v>
      </c>
      <c r="AH336" s="135" t="n">
        <v>0.506718865728494</v>
      </c>
      <c r="AI336" s="135" t="n">
        <v>0.349063591154375</v>
      </c>
      <c r="AJ336" s="294" t="n">
        <v>0.506078361865838</v>
      </c>
      <c r="AK336" s="136" t="n">
        <v>0.302958900681861</v>
      </c>
      <c r="AL336" s="136" t="n">
        <v>0.0644327209792105</v>
      </c>
      <c r="AM336" s="137" t="n">
        <v>0</v>
      </c>
      <c r="AN336" s="307" t="n">
        <v>6.08</v>
      </c>
    </row>
    <row customHeight="1" ht="13.5" r="337" s="3">
      <c r="A337" s="117" t="n">
        <v>43678</v>
      </c>
      <c r="B337" s="267" t="inlineStr">
        <is>
          <t>iOS</t>
        </is>
      </c>
      <c r="C337" s="268" t="n">
        <v>11817</v>
      </c>
      <c r="D337" s="268" t="n">
        <v>50375</v>
      </c>
      <c r="E337" s="269" t="n">
        <v>4.30010557803977</v>
      </c>
      <c r="F337" s="270" t="n">
        <v>0.621975619519181</v>
      </c>
      <c r="G337" s="271" t="n">
        <v>14.68</v>
      </c>
      <c r="H337" s="271" t="n">
        <v>21.31</v>
      </c>
      <c r="I337" s="142" t="n">
        <v>0.326</v>
      </c>
      <c r="J337" s="142" t="n">
        <v>0.155</v>
      </c>
      <c r="K337" s="142" t="n">
        <v>0.08</v>
      </c>
      <c r="L337" s="270" t="n">
        <v>8.163273657289</v>
      </c>
      <c r="M337" s="272" t="n">
        <v>9.52274168797954</v>
      </c>
      <c r="N337" s="270" t="n">
        <v>15.5151676778452</v>
      </c>
      <c r="O337" s="273" t="n">
        <v>0.6137698209718671</v>
      </c>
      <c r="P337" s="270" t="n">
        <v>2.31702113474232</v>
      </c>
      <c r="Q337" s="270" t="n">
        <v>3.56437095806387</v>
      </c>
      <c r="R337" s="270" t="n">
        <v>0.8355223681578769</v>
      </c>
      <c r="S337" s="270" t="n">
        <v>4.32518834588973</v>
      </c>
      <c r="T337" s="270" t="n">
        <v>1.42952863524235</v>
      </c>
      <c r="U337" s="270" t="n">
        <v>0.527601840122675</v>
      </c>
      <c r="V337" s="270" t="n">
        <v>1.67217814520968</v>
      </c>
      <c r="W337" s="270" t="n">
        <v>0.843756250416694</v>
      </c>
      <c r="X337" s="274" t="n">
        <v>0.009964194373401529</v>
      </c>
      <c r="Y337" s="269" t="n">
        <v>9.532705882352939</v>
      </c>
      <c r="Z337" s="275" t="n">
        <v>517</v>
      </c>
      <c r="AA337" s="275" t="n">
        <v>378</v>
      </c>
      <c r="AB337" s="270" t="n">
        <v>3272.83</v>
      </c>
      <c r="AD337" s="276" t="n">
        <v>0.0105780051150895</v>
      </c>
      <c r="AE337" s="141" t="n">
        <v>0.00773401534526854</v>
      </c>
      <c r="AF337" s="270" t="n">
        <v>6.33042553191489</v>
      </c>
      <c r="AG337" s="277" t="n">
        <v>0.066963273657289</v>
      </c>
      <c r="AH337" s="131" t="n">
        <v>0.508798169980644</v>
      </c>
      <c r="AI337" s="131" t="n">
        <v>0.338201654055956</v>
      </c>
      <c r="AJ337" s="270" t="n">
        <v>0.507826086956522</v>
      </c>
      <c r="AK337" s="130" t="n">
        <v>0.302506393861893</v>
      </c>
      <c r="AL337" s="130" t="n">
        <v>0.0615038363171356</v>
      </c>
      <c r="AM337" s="133" t="n">
        <v>0</v>
      </c>
      <c r="AN337" s="308" t="n">
        <v>5.477</v>
      </c>
    </row>
    <row customHeight="1" ht="13.5" r="338" s="3">
      <c r="A338" s="117" t="n">
        <v>43679</v>
      </c>
      <c r="B338" s="267" t="inlineStr">
        <is>
          <t>iOS</t>
        </is>
      </c>
      <c r="C338" s="268" t="n">
        <v>13504</v>
      </c>
      <c r="D338" s="268" t="n">
        <v>52279</v>
      </c>
      <c r="E338" s="269" t="n">
        <v>3.87137144549763</v>
      </c>
      <c r="F338" s="270" t="n">
        <v>0.539746283058207</v>
      </c>
      <c r="G338" s="271" t="n">
        <v>13.76</v>
      </c>
      <c r="H338" s="271" t="n">
        <v>20.05</v>
      </c>
      <c r="I338" s="142" t="n">
        <v>0.309</v>
      </c>
      <c r="J338" s="142" t="n">
        <v>0.155</v>
      </c>
      <c r="K338" s="142" t="n">
        <v>0.078</v>
      </c>
      <c r="L338" s="270" t="n">
        <v>7.99143059354617</v>
      </c>
      <c r="M338" s="272" t="n">
        <v>9.170967310009759</v>
      </c>
      <c r="N338" s="270" t="n">
        <v>15.5246899588771</v>
      </c>
      <c r="O338" s="273" t="n">
        <v>0.59073432927179</v>
      </c>
      <c r="P338" s="270" t="n">
        <v>2.29954991419227</v>
      </c>
      <c r="Q338" s="270" t="n">
        <v>3.63442670724994</v>
      </c>
      <c r="R338" s="270" t="n">
        <v>0.831816857170612</v>
      </c>
      <c r="S338" s="270" t="n">
        <v>4.26801152737752</v>
      </c>
      <c r="T338" s="270" t="n">
        <v>1.43787844445164</v>
      </c>
      <c r="U338" s="270" t="n">
        <v>0.537480167082214</v>
      </c>
      <c r="V338" s="270" t="n">
        <v>1.67104879707282</v>
      </c>
      <c r="W338" s="270" t="n">
        <v>0.844477544280025</v>
      </c>
      <c r="X338" s="274" t="n">
        <v>0.00987011993343407</v>
      </c>
      <c r="Y338" s="269" t="n">
        <v>9.180837429943191</v>
      </c>
      <c r="Z338" s="275" t="n">
        <v>426</v>
      </c>
      <c r="AA338" s="275" t="n">
        <v>340</v>
      </c>
      <c r="AB338" s="270" t="n">
        <v>2653.74</v>
      </c>
      <c r="AD338" s="276" t="n">
        <v>0.00814858738690487</v>
      </c>
      <c r="AE338" s="141" t="n">
        <v>0.0065035673979992</v>
      </c>
      <c r="AF338" s="270" t="n">
        <v>6.22943661971831</v>
      </c>
      <c r="AG338" s="277" t="n">
        <v>0.05076110866696</v>
      </c>
      <c r="AH338" s="131" t="n">
        <v>0.490447274881517</v>
      </c>
      <c r="AI338" s="131" t="n">
        <v>0.338196090047393</v>
      </c>
      <c r="AJ338" s="270" t="n">
        <v>0.486868532297863</v>
      </c>
      <c r="AK338" s="130" t="n">
        <v>0.282216568794353</v>
      </c>
      <c r="AL338" s="130" t="n">
        <v>0.0545725817249756</v>
      </c>
      <c r="AM338" s="133" t="n">
        <v>0</v>
      </c>
      <c r="AN338" s="308" t="n">
        <v>5.755</v>
      </c>
    </row>
    <row customHeight="1" ht="13.5" r="339" s="3">
      <c r="A339" s="117" t="n">
        <v>43680</v>
      </c>
      <c r="B339" s="289" t="inlineStr">
        <is>
          <t>iOS</t>
        </is>
      </c>
      <c r="C339" s="268" t="n">
        <v>10929</v>
      </c>
      <c r="D339" s="268" t="n">
        <v>50578</v>
      </c>
      <c r="E339" s="269" t="n">
        <v>4.62787080245219</v>
      </c>
      <c r="F339" s="270" t="n">
        <v>0.821097367986081</v>
      </c>
      <c r="G339" s="271" t="n">
        <v>12.79</v>
      </c>
      <c r="H339" s="271" t="n">
        <v>19.43</v>
      </c>
      <c r="I339" s="142" t="n">
        <v>0.304</v>
      </c>
      <c r="J339" s="142" t="n">
        <v>0.146</v>
      </c>
      <c r="K339" s="142" t="n">
        <v>0.083</v>
      </c>
      <c r="L339" s="270" t="n">
        <v>10.0776029103563</v>
      </c>
      <c r="M339" s="272" t="n">
        <v>13.0506939776187</v>
      </c>
      <c r="N339" s="270" t="n">
        <v>21.0941454684903</v>
      </c>
      <c r="O339" s="273" t="n">
        <v>0.61868796710032</v>
      </c>
      <c r="P339" s="270" t="n">
        <v>2.78170139332737</v>
      </c>
      <c r="Q339" s="270" t="n">
        <v>4.46181132557842</v>
      </c>
      <c r="R339" s="270" t="n">
        <v>1.24527035664067</v>
      </c>
      <c r="S339" s="270" t="n">
        <v>7.10871788316503</v>
      </c>
      <c r="T339" s="270" t="n">
        <v>1.80582896586987</v>
      </c>
      <c r="U339" s="270" t="n">
        <v>0.467947079125655</v>
      </c>
      <c r="V339" s="270" t="n">
        <v>2.2681516042439</v>
      </c>
      <c r="W339" s="270" t="n">
        <v>0.9547168605394351</v>
      </c>
      <c r="X339" s="274" t="n">
        <v>0.0101822926964293</v>
      </c>
      <c r="Y339" s="269" t="n">
        <v>13.0608762703152</v>
      </c>
      <c r="Z339" s="275" t="n">
        <v>718</v>
      </c>
      <c r="AA339" s="275" t="n">
        <v>459</v>
      </c>
      <c r="AB339" s="270" t="n">
        <v>5747.82</v>
      </c>
      <c r="AD339" s="276" t="n">
        <v>0.014195895448614</v>
      </c>
      <c r="AE339" s="141" t="n">
        <v>0.0090750919372059</v>
      </c>
      <c r="AF339" s="270" t="n">
        <v>8.005320334261841</v>
      </c>
      <c r="AG339" s="277" t="n">
        <v>0.113642690497845</v>
      </c>
      <c r="AH339" s="131" t="n">
        <v>0.5151431969988109</v>
      </c>
      <c r="AI339" s="131" t="n">
        <v>0.374050690822582</v>
      </c>
      <c r="AJ339" s="270" t="n">
        <v>0.393352841156234</v>
      </c>
      <c r="AK339" s="130" t="n">
        <v>0.249495828225711</v>
      </c>
      <c r="AL339" s="130" t="n">
        <v>0.0477084898572502</v>
      </c>
      <c r="AM339" s="133" t="n">
        <v>0.329589940290245</v>
      </c>
      <c r="AN339" s="308" t="n">
        <v>6.139</v>
      </c>
    </row>
    <row customHeight="1" ht="13.5" r="340" s="3">
      <c r="A340" s="117" t="n">
        <v>43681</v>
      </c>
      <c r="B340" s="289" t="inlineStr">
        <is>
          <t>iOS</t>
        </is>
      </c>
      <c r="C340" s="268" t="n">
        <v>14462</v>
      </c>
      <c r="D340" s="268" t="n">
        <v>54228</v>
      </c>
      <c r="E340" s="269" t="n">
        <v>3.74968883971788</v>
      </c>
      <c r="F340" s="270" t="n">
        <v>0.804684326620934</v>
      </c>
      <c r="G340" s="271" t="n">
        <v>13.55</v>
      </c>
      <c r="H340" s="271" t="n">
        <v>20.12</v>
      </c>
      <c r="I340" s="142" t="n">
        <v>0.324</v>
      </c>
      <c r="J340" s="142" t="n">
        <v>0.158</v>
      </c>
      <c r="K340" s="142" t="n">
        <v>0.083</v>
      </c>
      <c r="L340" s="270" t="n">
        <v>9.41277568783654</v>
      </c>
      <c r="M340" s="272" t="n">
        <v>12.0904698679649</v>
      </c>
      <c r="N340" s="270" t="n">
        <v>19.8727570320078</v>
      </c>
      <c r="O340" s="273" t="n">
        <v>0.6083941875046101</v>
      </c>
      <c r="P340" s="270" t="n">
        <v>2.66237269641125</v>
      </c>
      <c r="Q340" s="270" t="n">
        <v>4.41213021338506</v>
      </c>
      <c r="R340" s="270" t="n">
        <v>1.17913433559651</v>
      </c>
      <c r="S340" s="270" t="n">
        <v>6.31010548011639</v>
      </c>
      <c r="T340" s="270" t="n">
        <v>1.73702715809893</v>
      </c>
      <c r="U340" s="270" t="n">
        <v>0.478449321047527</v>
      </c>
      <c r="V340" s="270" t="n">
        <v>2.13745756547042</v>
      </c>
      <c r="W340" s="270" t="n">
        <v>0.9560802618816679</v>
      </c>
      <c r="X340" s="274" t="n">
        <v>0.008372058715054949</v>
      </c>
      <c r="Y340" s="269" t="n">
        <v>12.0988419266799</v>
      </c>
      <c r="Z340" s="275" t="n">
        <v>709</v>
      </c>
      <c r="AA340" s="275" t="n">
        <v>449</v>
      </c>
      <c r="AB340" s="270" t="n">
        <v>6020.91</v>
      </c>
      <c r="AD340" s="276" t="n">
        <v>0.0130744264955374</v>
      </c>
      <c r="AE340" s="141" t="n">
        <v>0.00827985542524157</v>
      </c>
      <c r="AF340" s="270" t="n">
        <v>8.49211565585331</v>
      </c>
      <c r="AG340" s="277" t="n">
        <v>0.111029541934056</v>
      </c>
      <c r="AH340" s="131" t="n">
        <v>0.49080348499516</v>
      </c>
      <c r="AI340" s="131" t="n">
        <v>0.31703775411423</v>
      </c>
      <c r="AJ340" s="270" t="n">
        <v>0.393412996975732</v>
      </c>
      <c r="AK340" s="130" t="n">
        <v>0.23325588256989</v>
      </c>
      <c r="AL340" s="130" t="n">
        <v>0.0438703252932065</v>
      </c>
      <c r="AM340" s="133" t="n">
        <v>0.311573356937376</v>
      </c>
      <c r="AN340" s="308" t="n">
        <v>6.505</v>
      </c>
    </row>
    <row customHeight="1" ht="13.5" r="341" s="3">
      <c r="A341" s="117" t="n">
        <v>43682</v>
      </c>
      <c r="B341" s="289" t="inlineStr">
        <is>
          <t>iOS</t>
        </is>
      </c>
      <c r="C341" s="268" t="n">
        <v>20929</v>
      </c>
      <c r="D341" s="268" t="n">
        <v>63696</v>
      </c>
      <c r="E341" s="269" t="n">
        <v>3.04343255769506</v>
      </c>
      <c r="F341" s="270" t="n">
        <v>0.714453010079126</v>
      </c>
      <c r="G341" s="271" t="n">
        <v>13.74</v>
      </c>
      <c r="H341" s="271" t="n">
        <v>20.64</v>
      </c>
      <c r="I341" s="142" t="n">
        <v>0.327</v>
      </c>
      <c r="J341" s="142" t="n">
        <v>0.165</v>
      </c>
      <c r="K341" s="142" t="n">
        <v>0.08699999999999999</v>
      </c>
      <c r="L341" s="270" t="n">
        <v>9.37889349409696</v>
      </c>
      <c r="M341" s="272" t="n">
        <v>11.1791164280332</v>
      </c>
      <c r="N341" s="270" t="n">
        <v>18.5728631419703</v>
      </c>
      <c r="O341" s="273" t="n">
        <v>0.601905928158754</v>
      </c>
      <c r="P341" s="270" t="n">
        <v>2.57708860429328</v>
      </c>
      <c r="Q341" s="270" t="n">
        <v>4.2496152742638</v>
      </c>
      <c r="R341" s="270" t="n">
        <v>1.04546284462297</v>
      </c>
      <c r="S341" s="270" t="n">
        <v>5.58723493048854</v>
      </c>
      <c r="T341" s="270" t="n">
        <v>1.64704348052897</v>
      </c>
      <c r="U341" s="270" t="n">
        <v>0.495135501708443</v>
      </c>
      <c r="V341" s="270" t="n">
        <v>2.03273429145257</v>
      </c>
      <c r="W341" s="270" t="n">
        <v>0.938548214611753</v>
      </c>
      <c r="X341" s="274" t="n">
        <v>0.007991082642552119</v>
      </c>
      <c r="Y341" s="269" t="n">
        <v>11.1871075106757</v>
      </c>
      <c r="Z341" s="275" t="n">
        <v>692</v>
      </c>
      <c r="AA341" s="275" t="n">
        <v>479</v>
      </c>
      <c r="AB341" s="270" t="n">
        <v>5520.08</v>
      </c>
      <c r="AD341" s="276" t="n">
        <v>0.0108641044963577</v>
      </c>
      <c r="AE341" s="141" t="n">
        <v>0.00752009545340367</v>
      </c>
      <c r="AF341" s="270" t="n">
        <v>7.97699421965318</v>
      </c>
      <c r="AG341" s="277" t="n">
        <v>0.08666289876915351</v>
      </c>
      <c r="AH341" s="131" t="n">
        <v>0.479526016532085</v>
      </c>
      <c r="AI341" s="131" t="n">
        <v>0.312102823832959</v>
      </c>
      <c r="AJ341" s="270" t="n">
        <v>0.390416980658126</v>
      </c>
      <c r="AK341" s="130" t="n">
        <v>0.215555136900276</v>
      </c>
      <c r="AL341" s="130" t="n">
        <v>0.0403793016829942</v>
      </c>
      <c r="AM341" s="133" t="n">
        <v>0.287145189650842</v>
      </c>
      <c r="AN341" s="308" t="n">
        <v>6.286</v>
      </c>
    </row>
    <row customHeight="1" ht="13.5" r="342" s="3">
      <c r="A342" s="117" t="n">
        <v>43683</v>
      </c>
      <c r="B342" s="289" t="inlineStr">
        <is>
          <t>iOS</t>
        </is>
      </c>
      <c r="C342" s="268" t="n">
        <v>24240</v>
      </c>
      <c r="D342" s="268" t="n">
        <v>69565</v>
      </c>
      <c r="E342" s="269" t="n">
        <v>2.86984323432343</v>
      </c>
      <c r="F342" s="270" t="n">
        <v>0.685459036296988</v>
      </c>
      <c r="G342" s="271" t="n">
        <v>15.35</v>
      </c>
      <c r="H342" s="271" t="n">
        <v>22.4</v>
      </c>
      <c r="I342" s="142" t="n">
        <v>0.333</v>
      </c>
      <c r="J342" s="142" t="n">
        <v>0.166</v>
      </c>
      <c r="K342" s="142" t="n">
        <v>0.089</v>
      </c>
      <c r="L342" s="270" t="n">
        <v>9.206741896068429</v>
      </c>
      <c r="M342" s="272" t="n">
        <v>10.1506504707827</v>
      </c>
      <c r="N342" s="270" t="n">
        <v>16.8571701401323</v>
      </c>
      <c r="O342" s="273" t="n">
        <v>0.602156256738302</v>
      </c>
      <c r="P342" s="270" t="n">
        <v>2.3858053426914</v>
      </c>
      <c r="Q342" s="270" t="n">
        <v>3.93814605266299</v>
      </c>
      <c r="R342" s="270" t="n">
        <v>0.914058583398983</v>
      </c>
      <c r="S342" s="270" t="n">
        <v>4.82498985413832</v>
      </c>
      <c r="T342" s="270" t="n">
        <v>1.4786220726205</v>
      </c>
      <c r="U342" s="270" t="n">
        <v>0.539950822411612</v>
      </c>
      <c r="V342" s="270" t="n">
        <v>1.87653083148321</v>
      </c>
      <c r="W342" s="270" t="n">
        <v>0.89906658072525</v>
      </c>
      <c r="X342" s="274" t="n">
        <v>0.00951627973837418</v>
      </c>
      <c r="Y342" s="269" t="n">
        <v>10.1601667505211</v>
      </c>
      <c r="Z342" s="275" t="n">
        <v>668</v>
      </c>
      <c r="AA342" s="275" t="n">
        <v>441</v>
      </c>
      <c r="AB342" s="270" t="n">
        <v>4966.32</v>
      </c>
      <c r="AD342" s="276" t="n">
        <v>0.009602530007906269</v>
      </c>
      <c r="AE342" s="141" t="n">
        <v>0.00633939481060878</v>
      </c>
      <c r="AF342" s="270" t="n">
        <v>7.43461077844311</v>
      </c>
      <c r="AG342" s="277" t="n">
        <v>0.07139107309710339</v>
      </c>
      <c r="AH342" s="131" t="n">
        <v>0.500660066006601</v>
      </c>
      <c r="AI342" s="131" t="n">
        <v>0.328300330033003</v>
      </c>
      <c r="AJ342" s="270" t="n">
        <v>0.427341335441673</v>
      </c>
      <c r="AK342" s="130" t="n">
        <v>0.219938187306835</v>
      </c>
      <c r="AL342" s="130" t="n">
        <v>0.0406957521742255</v>
      </c>
      <c r="AM342" s="133" t="n">
        <v>0.224293825918206</v>
      </c>
      <c r="AN342" s="308" t="n">
        <v>5.9</v>
      </c>
    </row>
    <row customFormat="1" customHeight="1" ht="13.95" r="343" s="294">
      <c r="A343" s="121" t="n">
        <v>43684</v>
      </c>
      <c r="B343" s="295" t="inlineStr">
        <is>
          <t>iOS</t>
        </is>
      </c>
      <c r="C343" s="296" t="n">
        <v>19565</v>
      </c>
      <c r="D343" s="296" t="n">
        <v>67040</v>
      </c>
      <c r="E343" s="297" t="n">
        <v>3.42652696141068</v>
      </c>
      <c r="F343" s="294" t="n">
        <v>0.621141184233293</v>
      </c>
      <c r="G343" s="306" t="n">
        <v>15.91</v>
      </c>
      <c r="H343" s="306" t="n">
        <v>24.53</v>
      </c>
      <c r="I343" s="124" t="n">
        <v>0.322</v>
      </c>
      <c r="J343" s="124" t="n">
        <v>0.161</v>
      </c>
      <c r="K343" s="124" t="n">
        <v>0.08400000000000001</v>
      </c>
      <c r="L343" s="294" t="n">
        <v>8.72144988066826</v>
      </c>
      <c r="M343" s="299" t="n">
        <v>9.518988663484491</v>
      </c>
      <c r="N343" s="294" t="n">
        <v>15.6948598130841</v>
      </c>
      <c r="O343" s="300" t="n">
        <v>0.606503579952267</v>
      </c>
      <c r="P343" s="294" t="n">
        <v>2.21859321200197</v>
      </c>
      <c r="Q343" s="294" t="n">
        <v>3.77171667486473</v>
      </c>
      <c r="R343" s="294" t="n">
        <v>0.832193802262666</v>
      </c>
      <c r="S343" s="294" t="n">
        <v>4.34203148057059</v>
      </c>
      <c r="T343" s="294" t="n">
        <v>1.36392031480571</v>
      </c>
      <c r="U343" s="294" t="n">
        <v>0.566379734382686</v>
      </c>
      <c r="V343" s="294" t="n">
        <v>1.73593212001968</v>
      </c>
      <c r="W343" s="294" t="n">
        <v>0.864092474176094</v>
      </c>
      <c r="X343" s="301" t="n">
        <v>0.0111426014319809</v>
      </c>
      <c r="Y343" s="297" t="n">
        <v>9.53013126491647</v>
      </c>
      <c r="Z343" s="293" t="n">
        <v>604</v>
      </c>
      <c r="AA343" s="293" t="n">
        <v>421</v>
      </c>
      <c r="AB343" s="294" t="n">
        <v>3813.96</v>
      </c>
      <c r="AD343" s="303" t="n">
        <v>0.009009546539379481</v>
      </c>
      <c r="AE343" s="123" t="n">
        <v>0.00627983293556086</v>
      </c>
      <c r="AF343" s="294" t="n">
        <v>6.31450331125828</v>
      </c>
      <c r="AG343" s="304" t="n">
        <v>0.0568908114558472</v>
      </c>
      <c r="AH343" s="135" t="n">
        <v>0.521952466138513</v>
      </c>
      <c r="AI343" s="135" t="n">
        <v>0.389982110912343</v>
      </c>
      <c r="AJ343" s="294" t="n">
        <v>0.501998806682578</v>
      </c>
      <c r="AK343" s="136" t="n">
        <v>0.258815632458234</v>
      </c>
      <c r="AL343" s="136" t="n">
        <v>0.0436605011933174</v>
      </c>
      <c r="AM343" s="137" t="n">
        <v>0</v>
      </c>
      <c r="AN343" s="307" t="n">
        <v>5.474</v>
      </c>
    </row>
    <row customHeight="1" ht="13.5" r="344" s="3">
      <c r="A344" s="117" t="n">
        <v>43685</v>
      </c>
      <c r="B344" s="267" t="inlineStr">
        <is>
          <t>iOS</t>
        </is>
      </c>
      <c r="C344" s="268" t="n">
        <v>24138</v>
      </c>
      <c r="D344" s="268" t="n">
        <v>71749</v>
      </c>
      <c r="E344" s="269" t="n">
        <v>2.97245007871406</v>
      </c>
      <c r="F344" s="270" t="n">
        <v>0.574849609109535</v>
      </c>
      <c r="G344" s="271" t="n">
        <v>15.75</v>
      </c>
      <c r="H344" s="271" t="n">
        <v>25.29</v>
      </c>
      <c r="I344" s="142" t="n">
        <v>0.314</v>
      </c>
      <c r="J344" s="142" t="n">
        <v>0.153</v>
      </c>
      <c r="K344" s="142" t="n">
        <v>0.075</v>
      </c>
      <c r="L344" s="270" t="n">
        <v>8.411183431127959</v>
      </c>
      <c r="M344" s="272" t="n">
        <v>8.7736832569095</v>
      </c>
      <c r="N344" s="270" t="n">
        <v>14.8945438197994</v>
      </c>
      <c r="O344" s="273" t="n">
        <v>0.589053505972209</v>
      </c>
      <c r="P344" s="270" t="n">
        <v>2.18486182093507</v>
      </c>
      <c r="Q344" s="270" t="n">
        <v>3.44333238690138</v>
      </c>
      <c r="R344" s="270" t="n">
        <v>0.791737649063032</v>
      </c>
      <c r="S344" s="270" t="n">
        <v>4.09883115653984</v>
      </c>
      <c r="T344" s="270" t="n">
        <v>1.32805697520348</v>
      </c>
      <c r="U344" s="270" t="n">
        <v>0.558560477001704</v>
      </c>
      <c r="V344" s="270" t="n">
        <v>1.64882642438009</v>
      </c>
      <c r="W344" s="270" t="n">
        <v>0.8403369297747491</v>
      </c>
      <c r="X344" s="274" t="n">
        <v>0.009212671953616081</v>
      </c>
      <c r="Y344" s="269" t="n">
        <v>8.78289592886312</v>
      </c>
      <c r="Z344" s="275" t="n">
        <v>574</v>
      </c>
      <c r="AA344" s="275" t="n">
        <v>405</v>
      </c>
      <c r="AB344" s="270" t="n">
        <v>3502.26</v>
      </c>
      <c r="AD344" s="276" t="n">
        <v>0.00800011149981184</v>
      </c>
      <c r="AE344" s="141" t="n">
        <v>0.00564467797460592</v>
      </c>
      <c r="AF344" s="270" t="n">
        <v>6.10149825783972</v>
      </c>
      <c r="AG344" s="277" t="n">
        <v>0.0488126663786255</v>
      </c>
      <c r="AH344" s="131" t="n">
        <v>0.479078631203911</v>
      </c>
      <c r="AI344" s="131" t="n">
        <v>0.317507664263816</v>
      </c>
      <c r="AJ344" s="270" t="n">
        <v>0.4659995261258</v>
      </c>
      <c r="AK344" s="130" t="n">
        <v>0.249216016947971</v>
      </c>
      <c r="AL344" s="130" t="n">
        <v>0.0388855593806185</v>
      </c>
      <c r="AM344" s="133" t="n">
        <v>0</v>
      </c>
      <c r="AN344" s="308" t="n">
        <v>5.215</v>
      </c>
    </row>
    <row customHeight="1" ht="13.5" r="345" s="3">
      <c r="A345" s="117" t="n">
        <v>43686</v>
      </c>
      <c r="B345" s="267" t="inlineStr">
        <is>
          <t>iOS</t>
        </is>
      </c>
      <c r="C345" s="268" t="n">
        <v>21075</v>
      </c>
      <c r="D345" s="268" t="n">
        <v>70728</v>
      </c>
      <c r="E345" s="269" t="n">
        <v>3.35601423487544</v>
      </c>
      <c r="F345" s="270" t="n">
        <v>0.532193131319986</v>
      </c>
      <c r="G345" s="271" t="n">
        <v>14.48</v>
      </c>
      <c r="H345" s="271" t="n">
        <v>22.57</v>
      </c>
      <c r="I345" s="142" t="n">
        <v>0.283</v>
      </c>
      <c r="J345" s="142" t="n">
        <v>0.139</v>
      </c>
      <c r="K345" s="142" t="n">
        <v>0.067</v>
      </c>
      <c r="L345" s="270" t="n">
        <v>8.19676789955887</v>
      </c>
      <c r="M345" s="272" t="n">
        <v>8.683166497002601</v>
      </c>
      <c r="N345" s="270" t="n">
        <v>14.6391828756674</v>
      </c>
      <c r="O345" s="273" t="n">
        <v>0.5931455717678999</v>
      </c>
      <c r="P345" s="270" t="n">
        <v>2.14011250953471</v>
      </c>
      <c r="Q345" s="270" t="n">
        <v>3.41783466819222</v>
      </c>
      <c r="R345" s="270" t="n">
        <v>0.7748617467582</v>
      </c>
      <c r="S345" s="270" t="n">
        <v>4.00338482074752</v>
      </c>
      <c r="T345" s="270" t="n">
        <v>1.2976496948894</v>
      </c>
      <c r="U345" s="270" t="n">
        <v>0.543835812356979</v>
      </c>
      <c r="V345" s="270" t="n">
        <v>1.62573893974066</v>
      </c>
      <c r="W345" s="270" t="n">
        <v>0.83576468344775</v>
      </c>
      <c r="X345" s="274" t="n">
        <v>0.008921502092523469</v>
      </c>
      <c r="Y345" s="269" t="n">
        <v>8.69208799909512</v>
      </c>
      <c r="Z345" s="275" t="n">
        <v>567</v>
      </c>
      <c r="AA345" s="275" t="n">
        <v>396</v>
      </c>
      <c r="AB345" s="270" t="n">
        <v>3415.33</v>
      </c>
      <c r="AD345" s="276" t="n">
        <v>0.008016627078384801</v>
      </c>
      <c r="AE345" s="141" t="n">
        <v>0.00559891414998303</v>
      </c>
      <c r="AF345" s="270" t="n">
        <v>6.02350970017637</v>
      </c>
      <c r="AG345" s="277" t="n">
        <v>0.0482882309693474</v>
      </c>
      <c r="AH345" s="131" t="n">
        <v>0.480569395017794</v>
      </c>
      <c r="AI345" s="131" t="n">
        <v>0.349608540925267</v>
      </c>
      <c r="AJ345" s="270" t="n">
        <v>0.459238208347472</v>
      </c>
      <c r="AK345" s="130" t="n">
        <v>0.256348263771067</v>
      </c>
      <c r="AL345" s="130" t="n">
        <v>0.0390085963126343</v>
      </c>
      <c r="AM345" s="133" t="n">
        <v>0</v>
      </c>
      <c r="AN345" s="308" t="n">
        <v>6.269</v>
      </c>
    </row>
    <row customHeight="1" ht="13.5" r="346" s="3">
      <c r="A346" s="117" t="n">
        <v>43687</v>
      </c>
      <c r="B346" s="289" t="inlineStr">
        <is>
          <t>iOS</t>
        </is>
      </c>
      <c r="C346" s="268" t="n">
        <v>14107</v>
      </c>
      <c r="D346" s="268" t="n">
        <v>63295</v>
      </c>
      <c r="E346" s="269" t="n">
        <v>4.48677961295811</v>
      </c>
      <c r="F346" s="270" t="n">
        <v>0.772452367232799</v>
      </c>
      <c r="G346" s="271" t="n">
        <v>13.17</v>
      </c>
      <c r="H346" s="271" t="n">
        <v>20.22</v>
      </c>
      <c r="I346" s="142" t="n">
        <v>0.294</v>
      </c>
      <c r="J346" s="142" t="n">
        <v>0.145</v>
      </c>
      <c r="K346" s="142" t="n">
        <v>0.074</v>
      </c>
      <c r="L346" s="270" t="n">
        <v>9.92117860810491</v>
      </c>
      <c r="M346" s="272" t="n">
        <v>12.2228138083577</v>
      </c>
      <c r="N346" s="270" t="n">
        <v>19.4514620471174</v>
      </c>
      <c r="O346" s="273" t="n">
        <v>0.628375069120784</v>
      </c>
      <c r="P346" s="309" t="inlineStr">
        <is>
          <t xml:space="preserve">2.58 </t>
        </is>
      </c>
      <c r="Q346" s="309" t="inlineStr">
        <is>
          <t xml:space="preserve">4.12 </t>
        </is>
      </c>
      <c r="R346" s="309" t="inlineStr">
        <is>
          <t xml:space="preserve">1.10 </t>
        </is>
      </c>
      <c r="S346" s="309" t="inlineStr">
        <is>
          <t xml:space="preserve">6.48 </t>
        </is>
      </c>
      <c r="T346" s="309" t="inlineStr">
        <is>
          <t xml:space="preserve">1.60 </t>
        </is>
      </c>
      <c r="U346" s="309" t="inlineStr">
        <is>
          <t xml:space="preserve">0.47 </t>
        </is>
      </c>
      <c r="V346" s="309" t="inlineStr">
        <is>
          <t xml:space="preserve">2.16 </t>
        </is>
      </c>
      <c r="W346" s="309" t="inlineStr">
        <is>
          <t xml:space="preserve">0.95 </t>
        </is>
      </c>
      <c r="X346" s="274" t="n">
        <v>0.0148510940832609</v>
      </c>
      <c r="Y346" s="269" t="n">
        <v>12.237664902441</v>
      </c>
      <c r="Z346" s="275" t="n">
        <v>800</v>
      </c>
      <c r="AA346" s="275" t="n">
        <v>526</v>
      </c>
      <c r="AB346" s="270" t="n">
        <v>6400</v>
      </c>
      <c r="AD346" s="276" t="n">
        <v>0.0126392290070306</v>
      </c>
      <c r="AE346" s="141" t="n">
        <v>0.008310293072122599</v>
      </c>
      <c r="AF346" s="270" t="n">
        <v>8</v>
      </c>
      <c r="AG346" s="277" t="n">
        <v>0.101113832056245</v>
      </c>
      <c r="AH346" s="131" t="n">
        <v>0.5233571985539091</v>
      </c>
      <c r="AI346" s="131" t="n">
        <v>0.411497837952789</v>
      </c>
      <c r="AJ346" s="270" t="n">
        <v>0.386949996050241</v>
      </c>
      <c r="AK346" s="130" t="n">
        <v>0.242925981515128</v>
      </c>
      <c r="AL346" s="130" t="n">
        <v>0.0384074571451141</v>
      </c>
      <c r="AM346" s="133" t="n">
        <v>0.339663480527688</v>
      </c>
      <c r="AN346" s="308" t="n">
        <v>6.82</v>
      </c>
    </row>
    <row customHeight="1" ht="13.5" r="347" s="3">
      <c r="A347" s="117" t="n">
        <v>43688</v>
      </c>
      <c r="B347" s="289" t="inlineStr">
        <is>
          <t>iOS</t>
        </is>
      </c>
      <c r="C347" s="268" t="n">
        <v>15975</v>
      </c>
      <c r="D347" s="268" t="n">
        <v>64207</v>
      </c>
      <c r="E347" s="269" t="n">
        <v>4.01921752738654</v>
      </c>
      <c r="F347" s="270" t="n">
        <v>0.760910448518074</v>
      </c>
      <c r="G347" s="271" t="n">
        <v>13.58</v>
      </c>
      <c r="H347" s="271" t="n">
        <v>20.55</v>
      </c>
      <c r="I347" s="142" t="n">
        <v>0.317</v>
      </c>
      <c r="J347" s="142" t="n">
        <v>0.153</v>
      </c>
      <c r="K347" s="142" t="n">
        <v>0.081</v>
      </c>
      <c r="L347" s="270" t="n">
        <v>9.16932733191085</v>
      </c>
      <c r="M347" s="272" t="n">
        <v>11.2394910212282</v>
      </c>
      <c r="N347" s="270" t="n">
        <v>18.2268077690501</v>
      </c>
      <c r="O347" s="273" t="n">
        <v>0.616646160076004</v>
      </c>
      <c r="P347" s="270" t="n">
        <v>2.45886899199353</v>
      </c>
      <c r="Q347" s="270" t="n">
        <v>4.02682292324401</v>
      </c>
      <c r="R347" s="270" t="n">
        <v>1.04192660318743</v>
      </c>
      <c r="S347" s="270" t="n">
        <v>5.73257899123582</v>
      </c>
      <c r="T347" s="270" t="n">
        <v>1.55408784381077</v>
      </c>
      <c r="U347" s="270" t="n">
        <v>0.471573257899124</v>
      </c>
      <c r="V347" s="270" t="n">
        <v>2.00156593337206</v>
      </c>
      <c r="W347" s="270" t="n">
        <v>0.939383224307327</v>
      </c>
      <c r="X347" s="274" t="n">
        <v>0.0146557228962574</v>
      </c>
      <c r="Y347" s="269" t="n">
        <v>11.2541467441245</v>
      </c>
      <c r="Z347" s="275" t="n">
        <v>735</v>
      </c>
      <c r="AA347" s="275" t="n">
        <v>487</v>
      </c>
      <c r="AB347" s="270" t="n">
        <v>6984.65</v>
      </c>
      <c r="AD347" s="276" t="n">
        <v>0.0114473499774168</v>
      </c>
      <c r="AE347" s="141" t="n">
        <v>0.00758484277415235</v>
      </c>
      <c r="AF347" s="270" t="n">
        <v>9.50292517006803</v>
      </c>
      <c r="AG347" s="277" t="n">
        <v>0.108783310230972</v>
      </c>
      <c r="AH347" s="131" t="n">
        <v>0.50510172143975</v>
      </c>
      <c r="AI347" s="131" t="n">
        <v>0.354992175273865</v>
      </c>
      <c r="AJ347" s="270" t="n">
        <v>0.380986496799414</v>
      </c>
      <c r="AK347" s="130" t="n">
        <v>0.232498014235208</v>
      </c>
      <c r="AL347" s="130" t="n">
        <v>0.0368807139408476</v>
      </c>
      <c r="AM347" s="133" t="n">
        <v>0.323625149905774</v>
      </c>
      <c r="AN347" s="308" t="n">
        <v>6.555</v>
      </c>
    </row>
    <row customHeight="1" ht="13.5" r="348" s="3">
      <c r="A348" s="117" t="n">
        <v>43689</v>
      </c>
      <c r="B348" s="289" t="inlineStr">
        <is>
          <t>iOS</t>
        </is>
      </c>
      <c r="C348" s="268" t="n">
        <v>27500</v>
      </c>
      <c r="D348" s="268" t="n">
        <v>77644</v>
      </c>
      <c r="E348" s="269" t="n">
        <v>2.82341818181818</v>
      </c>
      <c r="F348" s="270" t="n">
        <v>0.6484239868502391</v>
      </c>
      <c r="G348" s="271" t="n">
        <v>13.8</v>
      </c>
      <c r="H348" s="271" t="n">
        <v>20.83</v>
      </c>
      <c r="I348" s="142" t="n">
        <v>0.277</v>
      </c>
      <c r="J348" s="142" t="n">
        <v>0.127</v>
      </c>
      <c r="K348" s="142" t="n">
        <v>0.068</v>
      </c>
      <c r="L348" s="270" t="n">
        <v>8.792656225851321</v>
      </c>
      <c r="M348" s="272" t="n">
        <v>10.1630647570965</v>
      </c>
      <c r="N348" s="270" t="n">
        <v>17.2108661039499</v>
      </c>
      <c r="O348" s="273" t="n">
        <v>0.590502807686363</v>
      </c>
      <c r="P348" s="270" t="n">
        <v>2.4541647582281</v>
      </c>
      <c r="Q348" s="270" t="n">
        <v>3.88961591310606</v>
      </c>
      <c r="R348" s="270" t="n">
        <v>0.942157953281424</v>
      </c>
      <c r="S348" s="270" t="n">
        <v>5.11740714083186</v>
      </c>
      <c r="T348" s="270" t="n">
        <v>1.51093807934742</v>
      </c>
      <c r="U348" s="270" t="n">
        <v>0.495059870444284</v>
      </c>
      <c r="V348" s="270" t="n">
        <v>1.8977949355493</v>
      </c>
      <c r="W348" s="270" t="n">
        <v>0.903727453161465</v>
      </c>
      <c r="X348" s="274" t="n">
        <v>0.0137550873216218</v>
      </c>
      <c r="Y348" s="269" t="n">
        <v>10.1768198444181</v>
      </c>
      <c r="Z348" s="275" t="n">
        <v>675</v>
      </c>
      <c r="AA348" s="275" t="n">
        <v>472</v>
      </c>
      <c r="AB348" s="270" t="n">
        <v>6069.25</v>
      </c>
      <c r="AD348" s="276" t="n">
        <v>0.00869352429035083</v>
      </c>
      <c r="AE348" s="141" t="n">
        <v>0.0060790273556231</v>
      </c>
      <c r="AF348" s="270" t="n">
        <v>8.991481481481481</v>
      </c>
      <c r="AG348" s="277" t="n">
        <v>0.0781676626654989</v>
      </c>
      <c r="AH348" s="131" t="n">
        <v>0.439636363636364</v>
      </c>
      <c r="AI348" s="131" t="n">
        <v>0.281272727272727</v>
      </c>
      <c r="AJ348" s="270" t="n">
        <v>0.366531863376436</v>
      </c>
      <c r="AK348" s="130" t="n">
        <v>0.205051259595075</v>
      </c>
      <c r="AL348" s="130" t="n">
        <v>0.0325202204935346</v>
      </c>
      <c r="AM348" s="133" t="n">
        <v>0.281180773788058</v>
      </c>
      <c r="AN348" s="308" t="n">
        <v>5.886</v>
      </c>
    </row>
    <row customHeight="1" ht="13.5" r="349" s="3">
      <c r="A349" s="117" t="n">
        <v>43690</v>
      </c>
      <c r="B349" s="289" t="inlineStr">
        <is>
          <t>iOS</t>
        </is>
      </c>
      <c r="C349" s="268" t="n">
        <v>25084</v>
      </c>
      <c r="D349" s="268" t="n">
        <v>77015</v>
      </c>
      <c r="E349" s="269" t="n">
        <v>3.07028384627651</v>
      </c>
      <c r="F349" s="270" t="n">
        <v>0.639491403038369</v>
      </c>
      <c r="G349" s="271" t="n">
        <v>14.17</v>
      </c>
      <c r="H349" s="271" t="n">
        <v>22.11</v>
      </c>
      <c r="I349" s="142" t="n">
        <v>0.28</v>
      </c>
      <c r="J349" s="142" t="n">
        <v>0.131</v>
      </c>
      <c r="K349" s="142" t="n">
        <v>0.068</v>
      </c>
      <c r="L349" s="270" t="n">
        <v>8.96607154450432</v>
      </c>
      <c r="M349" s="272" t="n">
        <v>9.99409205998831</v>
      </c>
      <c r="N349" s="270" t="n">
        <v>16.6514148494289</v>
      </c>
      <c r="O349" s="273" t="n">
        <v>0.600194767253132</v>
      </c>
      <c r="P349" s="270" t="n">
        <v>2.34302526825891</v>
      </c>
      <c r="Q349" s="270" t="n">
        <v>3.79720491519557</v>
      </c>
      <c r="R349" s="270" t="n">
        <v>0.892501730702665</v>
      </c>
      <c r="S349" s="270" t="n">
        <v>4.90303738317757</v>
      </c>
      <c r="T349" s="270" t="n">
        <v>1.4346659743856</v>
      </c>
      <c r="U349" s="270" t="n">
        <v>0.520270854967117</v>
      </c>
      <c r="V349" s="270" t="n">
        <v>1.84847698165455</v>
      </c>
      <c r="W349" s="270" t="n">
        <v>0.912231741086881</v>
      </c>
      <c r="X349" s="274" t="n">
        <v>0.0128806076738298</v>
      </c>
      <c r="Y349" s="269" t="n">
        <v>10.0069726676621</v>
      </c>
      <c r="Z349" s="275" t="n">
        <v>718</v>
      </c>
      <c r="AA349" s="275" t="n">
        <v>501</v>
      </c>
      <c r="AB349" s="270" t="n">
        <v>5453.82</v>
      </c>
      <c r="AD349" s="276" t="n">
        <v>0.009322859183275989</v>
      </c>
      <c r="AE349" s="141" t="n">
        <v>0.00650522625462572</v>
      </c>
      <c r="AF349" s="270" t="n">
        <v>7.5958495821727</v>
      </c>
      <c r="AG349" s="277" t="n">
        <v>0.07081503603194179</v>
      </c>
      <c r="AH349" s="131" t="n">
        <v>0.454791899218625</v>
      </c>
      <c r="AI349" s="131" t="n">
        <v>0.320363578376654</v>
      </c>
      <c r="AJ349" s="270" t="n">
        <v>0.419204051158865</v>
      </c>
      <c r="AK349" s="130" t="n">
        <v>0.223501915211322</v>
      </c>
      <c r="AL349" s="130" t="n">
        <v>0.0364344608193209</v>
      </c>
      <c r="AM349" s="133" t="n">
        <v>0.234227098617152</v>
      </c>
      <c r="AN349" s="308" t="n">
        <v>5.419</v>
      </c>
    </row>
    <row customFormat="1" customHeight="1" ht="13.95" r="350" s="294">
      <c r="A350" s="121" t="n">
        <v>43691</v>
      </c>
      <c r="B350" s="295" t="inlineStr">
        <is>
          <t>iOS</t>
        </is>
      </c>
      <c r="C350" s="296" t="n">
        <v>20472</v>
      </c>
      <c r="D350" s="296" t="n">
        <v>71965</v>
      </c>
      <c r="E350" s="297" t="n">
        <v>3.51528917545916</v>
      </c>
      <c r="F350" s="294" t="n">
        <v>0.543563284235392</v>
      </c>
      <c r="G350" s="306" t="n">
        <v>14.32</v>
      </c>
      <c r="H350" s="306" t="n">
        <v>23.64</v>
      </c>
      <c r="I350" s="124" t="n">
        <v>0.304</v>
      </c>
      <c r="J350" s="124" t="n">
        <v>0.154</v>
      </c>
      <c r="K350" s="124" t="n">
        <v>0.078</v>
      </c>
      <c r="L350" s="294" t="n">
        <v>8.529688042798581</v>
      </c>
      <c r="M350" s="299" t="n">
        <v>9.16452442159383</v>
      </c>
      <c r="N350" s="294" t="n">
        <v>15.3022041763341</v>
      </c>
      <c r="O350" s="300" t="n">
        <v>0.59890224414646</v>
      </c>
      <c r="P350" s="294" t="n">
        <v>2.20447795823666</v>
      </c>
      <c r="Q350" s="294" t="n">
        <v>3.52060324825986</v>
      </c>
      <c r="R350" s="294" t="n">
        <v>0.824361948955916</v>
      </c>
      <c r="S350" s="294" t="n">
        <v>4.34139211136891</v>
      </c>
      <c r="T350" s="294" t="n">
        <v>1.31348027842227</v>
      </c>
      <c r="U350" s="294" t="n">
        <v>0.552389791183295</v>
      </c>
      <c r="V350" s="294" t="n">
        <v>1.68064965197216</v>
      </c>
      <c r="W350" s="294" t="n">
        <v>0.864849187935035</v>
      </c>
      <c r="X350" s="301" t="n">
        <v>0.0137011047036754</v>
      </c>
      <c r="Y350" s="297" t="n">
        <v>9.17822552629751</v>
      </c>
      <c r="Z350" s="293" t="n">
        <v>528</v>
      </c>
      <c r="AA350" s="293" t="n">
        <v>368</v>
      </c>
      <c r="AB350" s="294" t="n">
        <v>3234.72</v>
      </c>
      <c r="AD350" s="303" t="n">
        <v>0.00733689988188703</v>
      </c>
      <c r="AE350" s="123" t="n">
        <v>0.00511359688737581</v>
      </c>
      <c r="AF350" s="294" t="n">
        <v>6.12636363636364</v>
      </c>
      <c r="AG350" s="304" t="n">
        <v>0.0449485166400333</v>
      </c>
      <c r="AH350" s="135" t="n">
        <v>0.490474794841735</v>
      </c>
      <c r="AI350" s="135" t="n">
        <v>0.362934740132864</v>
      </c>
      <c r="AJ350" s="294" t="n">
        <v>0.489376780379351</v>
      </c>
      <c r="AK350" s="136" t="n">
        <v>0.266115472799277</v>
      </c>
      <c r="AL350" s="136" t="n">
        <v>0.0404641145001042</v>
      </c>
      <c r="AM350" s="137" t="n">
        <v>0</v>
      </c>
      <c r="AN350" s="307" t="n">
        <v>5.813</v>
      </c>
    </row>
    <row customHeight="1" ht="13.5" r="351" s="3">
      <c r="A351" s="117" t="n">
        <v>43692</v>
      </c>
      <c r="B351" s="267" t="inlineStr">
        <is>
          <t>iOS</t>
        </is>
      </c>
      <c r="C351" s="268" t="n">
        <v>15466</v>
      </c>
      <c r="D351" s="268" t="n">
        <v>65915</v>
      </c>
      <c r="E351" s="269" t="n">
        <v>4.26192939350834</v>
      </c>
      <c r="F351" s="270" t="n">
        <v>0.551291843571266</v>
      </c>
      <c r="G351" s="271" t="n">
        <v>14.09</v>
      </c>
      <c r="H351" s="271" t="n">
        <v>23.17</v>
      </c>
      <c r="I351" s="142" t="n">
        <v>0.298</v>
      </c>
      <c r="J351" s="142" t="n">
        <v>0.148</v>
      </c>
      <c r="K351" s="142" t="n">
        <v>0.074</v>
      </c>
      <c r="L351" s="270" t="n">
        <v>8.327588561025561</v>
      </c>
      <c r="M351" s="272" t="n">
        <v>9.260729727679591</v>
      </c>
      <c r="N351" s="270" t="n">
        <v>15.2685409840166</v>
      </c>
      <c r="O351" s="273" t="n">
        <v>0.60652355306076</v>
      </c>
      <c r="P351" s="270" t="n">
        <v>2.16356086945646</v>
      </c>
      <c r="Q351" s="270" t="n">
        <v>3.63703444308262</v>
      </c>
      <c r="R351" s="270" t="n">
        <v>0.822856999924961</v>
      </c>
      <c r="S351" s="270" t="n">
        <v>4.29332899772381</v>
      </c>
      <c r="T351" s="270" t="n">
        <v>1.30298406663498</v>
      </c>
      <c r="U351" s="270" t="n">
        <v>0.53185422346732</v>
      </c>
      <c r="V351" s="270" t="n">
        <v>1.65809550013757</v>
      </c>
      <c r="W351" s="270" t="n">
        <v>0.858825883588884</v>
      </c>
      <c r="X351" s="274" t="n">
        <v>0.0164909352954563</v>
      </c>
      <c r="Y351" s="269" t="n">
        <v>9.27722066297504</v>
      </c>
      <c r="Z351" s="275" t="n">
        <v>528</v>
      </c>
      <c r="AA351" s="275" t="n">
        <v>382</v>
      </c>
      <c r="AB351" s="270" t="n">
        <v>3234.72</v>
      </c>
      <c r="AD351" s="276" t="n">
        <v>0.00801031631646818</v>
      </c>
      <c r="AE351" s="141" t="n">
        <v>0.00579534248653569</v>
      </c>
      <c r="AF351" s="270" t="n">
        <v>6.12636363636364</v>
      </c>
      <c r="AG351" s="277" t="n">
        <v>0.049074110596981</v>
      </c>
      <c r="AH351" s="131">
        <f>7562/C351</f>
        <v/>
      </c>
      <c r="AI351" s="131">
        <f>5789/C351</f>
        <v/>
      </c>
      <c r="AJ351" s="270" t="n">
        <v>0.475369794432223</v>
      </c>
      <c r="AK351" s="130" t="n">
        <v>0.284563452931806</v>
      </c>
      <c r="AL351" s="130" t="n">
        <v>0.0416597132670864</v>
      </c>
      <c r="AM351" s="133" t="n">
        <v>0</v>
      </c>
      <c r="AN351" s="308" t="n">
        <v>5.605</v>
      </c>
    </row>
    <row customHeight="1" ht="13.5" r="352" s="3">
      <c r="A352" s="117" t="n">
        <v>43693</v>
      </c>
      <c r="B352" s="267" t="inlineStr">
        <is>
          <t>iOS</t>
        </is>
      </c>
      <c r="C352" s="268" t="n">
        <v>11217</v>
      </c>
      <c r="D352" s="268" t="n">
        <v>59922</v>
      </c>
      <c r="E352" s="269" t="n">
        <v>5.34207007221182</v>
      </c>
      <c r="F352" s="270" t="n">
        <v>0.529333544858316</v>
      </c>
      <c r="G352" s="271" t="n">
        <v>13.34</v>
      </c>
      <c r="H352" s="271" t="n">
        <v>21.13</v>
      </c>
      <c r="I352" s="142" t="n">
        <v>0.304</v>
      </c>
      <c r="J352" s="142" t="n">
        <v>0.158</v>
      </c>
      <c r="K352" s="142" t="n">
        <v>0.081</v>
      </c>
      <c r="L352" s="270" t="n">
        <v>8.211157838523411</v>
      </c>
      <c r="M352" s="272" t="n">
        <v>9.32670805380328</v>
      </c>
      <c r="N352" s="270" t="n">
        <v>15.2186640525012</v>
      </c>
      <c r="O352" s="273" t="n">
        <v>0.612846700710924</v>
      </c>
      <c r="P352" s="270" t="n">
        <v>2.18040465103614</v>
      </c>
      <c r="Q352" s="270" t="n">
        <v>3.6055333169948</v>
      </c>
      <c r="R352" s="270" t="n">
        <v>0.814475941508047</v>
      </c>
      <c r="S352" s="270" t="n">
        <v>4.2656918007788</v>
      </c>
      <c r="T352" s="270" t="n">
        <v>1.33191732701577</v>
      </c>
      <c r="U352" s="270" t="n">
        <v>0.524739264221333</v>
      </c>
      <c r="V352" s="270" t="n">
        <v>1.64610734417123</v>
      </c>
      <c r="W352" s="270" t="n">
        <v>0.849794406775045</v>
      </c>
      <c r="X352" s="274" t="n">
        <v>0.0120990621140816</v>
      </c>
      <c r="Y352" s="269" t="n">
        <v>9.33880711591736</v>
      </c>
      <c r="Z352" s="275" t="n">
        <v>527</v>
      </c>
      <c r="AA352" s="275" t="n">
        <v>375</v>
      </c>
      <c r="AB352" s="270" t="n">
        <v>2960.73</v>
      </c>
      <c r="AD352" s="276" t="n">
        <v>0.0087947665298221</v>
      </c>
      <c r="AE352" s="141" t="n">
        <v>0.00625813557624912</v>
      </c>
      <c r="AF352" s="270" t="n">
        <v>5.6180834914611</v>
      </c>
      <c r="AG352" s="277" t="n">
        <v>0.0494097326524482</v>
      </c>
      <c r="AH352" s="131" t="n">
        <v>0.510207720424356</v>
      </c>
      <c r="AI352" s="131" t="n">
        <v>0.416421503075689</v>
      </c>
      <c r="AJ352" s="270" t="n">
        <v>0.494309268715997</v>
      </c>
      <c r="AK352" s="130" t="n">
        <v>0.300557391275325</v>
      </c>
      <c r="AL352" s="130" t="n">
        <v>0.0433229865491806</v>
      </c>
      <c r="AM352" s="133" t="n">
        <v>0</v>
      </c>
      <c r="AN352" s="308" t="n">
        <v>6.301</v>
      </c>
    </row>
    <row customHeight="1" ht="13.5" r="353" s="3">
      <c r="A353" s="117" t="n">
        <v>43694</v>
      </c>
      <c r="B353" s="289" t="inlineStr">
        <is>
          <t>iOS</t>
        </is>
      </c>
      <c r="C353" s="268" t="n">
        <v>10628</v>
      </c>
      <c r="D353" s="268" t="n">
        <v>57324</v>
      </c>
      <c r="E353" s="269" t="n">
        <v>5.39367707941287</v>
      </c>
      <c r="F353" s="270" t="n">
        <v>0.737489685367385</v>
      </c>
      <c r="G353" s="271" t="n">
        <v>12.02</v>
      </c>
      <c r="H353" s="271" t="n">
        <v>18.49</v>
      </c>
      <c r="I353" s="142" t="n">
        <v>0.291</v>
      </c>
      <c r="J353" s="142" t="n">
        <v>0.145</v>
      </c>
      <c r="K353" s="142" t="n">
        <v>0.074</v>
      </c>
      <c r="L353" s="270" t="n">
        <v>10.1983462424116</v>
      </c>
      <c r="M353" s="272" t="n">
        <v>12.7543088409741</v>
      </c>
      <c r="N353" s="270" t="n">
        <v>20.3537763425294</v>
      </c>
      <c r="O353" s="273" t="n">
        <v>0.626631079478055</v>
      </c>
      <c r="P353" s="270" t="n">
        <v>2.68436290749144</v>
      </c>
      <c r="Q353" s="270" t="n">
        <v>4.24389632805323</v>
      </c>
      <c r="R353" s="270" t="n">
        <v>1.18888672364355</v>
      </c>
      <c r="S353" s="270" t="n">
        <v>6.88332730157846</v>
      </c>
      <c r="T353" s="270" t="n">
        <v>1.71534756827483</v>
      </c>
      <c r="U353" s="270" t="n">
        <v>0.451796998969962</v>
      </c>
      <c r="V353" s="270" t="n">
        <v>2.22967066618413</v>
      </c>
      <c r="W353" s="270" t="n">
        <v>0.956487848333844</v>
      </c>
      <c r="X353" s="274" t="n">
        <v>0.0135894215337381</v>
      </c>
      <c r="Y353" s="269" t="n">
        <v>12.7678982625078</v>
      </c>
      <c r="Z353" s="275" t="n">
        <v>683</v>
      </c>
      <c r="AA353" s="275" t="n">
        <v>447</v>
      </c>
      <c r="AB353" s="270" t="n">
        <v>5757.17</v>
      </c>
      <c r="AD353" s="276" t="n">
        <v>0.0119147303049334</v>
      </c>
      <c r="AE353" s="141" t="n">
        <v>0.00779778103412183</v>
      </c>
      <c r="AF353" s="270" t="n">
        <v>8.429238653001461</v>
      </c>
      <c r="AG353" s="277" t="n">
        <v>0.100432105226432</v>
      </c>
      <c r="AH353" s="131" t="n">
        <v>0.488709070380128</v>
      </c>
      <c r="AI353" s="131" t="n">
        <v>0.38172751223184</v>
      </c>
      <c r="AJ353" s="270" t="n">
        <v>0.396692484823111</v>
      </c>
      <c r="AK353" s="130" t="n">
        <v>0.261879840904333</v>
      </c>
      <c r="AL353" s="130" t="n">
        <v>0.0399483636871119</v>
      </c>
      <c r="AM353" s="133" t="n">
        <v>0.351318819342684</v>
      </c>
      <c r="AN353" s="308" t="n">
        <v>5.955</v>
      </c>
    </row>
    <row customHeight="1" ht="13.5" r="354" s="3">
      <c r="A354" s="117" t="n">
        <v>43695</v>
      </c>
      <c r="B354" s="289" t="inlineStr">
        <is>
          <t>iOS</t>
        </is>
      </c>
      <c r="C354" s="268" t="n">
        <v>12100</v>
      </c>
      <c r="D354" s="268" t="n">
        <v>58421</v>
      </c>
      <c r="E354" s="269" t="n">
        <v>4.82818181818182</v>
      </c>
      <c r="F354" s="270" t="n">
        <v>0.720296427791376</v>
      </c>
      <c r="G354" s="271" t="n">
        <v>12.71</v>
      </c>
      <c r="H354" s="271" t="n">
        <v>19.36</v>
      </c>
      <c r="I354" s="142" t="n">
        <v>0.3</v>
      </c>
      <c r="J354" s="142" t="n">
        <v>0.142</v>
      </c>
      <c r="K354" s="142" t="n">
        <v>0.079</v>
      </c>
      <c r="L354" s="270" t="n">
        <v>9.46361753479057</v>
      </c>
      <c r="M354" s="272" t="n">
        <v>11.9154755995276</v>
      </c>
      <c r="N354" s="270" t="n">
        <v>19.2509402654867</v>
      </c>
      <c r="O354" s="273" t="n">
        <v>0.618955512572534</v>
      </c>
      <c r="P354" s="270" t="n">
        <v>2.57046460176991</v>
      </c>
      <c r="Q354" s="270" t="n">
        <v>4.19679203539823</v>
      </c>
      <c r="R354" s="270" t="n">
        <v>1.15306969026549</v>
      </c>
      <c r="S354" s="270" t="n">
        <v>6.1399889380531</v>
      </c>
      <c r="T354" s="270" t="n">
        <v>1.66341261061947</v>
      </c>
      <c r="U354" s="270" t="n">
        <v>0.460978982300885</v>
      </c>
      <c r="V354" s="270" t="n">
        <v>2.10696902654867</v>
      </c>
      <c r="W354" s="270" t="n">
        <v>0.959264380530973</v>
      </c>
      <c r="X354" s="274" t="n">
        <v>0.0176477636466339</v>
      </c>
      <c r="Y354" s="269" t="n">
        <v>11.9331233631742</v>
      </c>
      <c r="Z354" s="275" t="n">
        <v>608</v>
      </c>
      <c r="AA354" s="275" t="n">
        <v>441</v>
      </c>
      <c r="AB354" s="270" t="n">
        <v>5447.92</v>
      </c>
      <c r="AD354" s="276" t="n">
        <v>0.010407216583078</v>
      </c>
      <c r="AE354" s="141" t="n">
        <v>0.00754865544923914</v>
      </c>
      <c r="AF354" s="270" t="n">
        <v>8.960394736842099</v>
      </c>
      <c r="AG354" s="277" t="n">
        <v>0.093252768696188</v>
      </c>
      <c r="AH354" s="131" t="n">
        <v>0.487190082644628</v>
      </c>
      <c r="AI354" s="131" t="n">
        <v>0.350247933884298</v>
      </c>
      <c r="AJ354" s="270" t="n">
        <v>0.396826483627463</v>
      </c>
      <c r="AK354" s="130" t="n">
        <v>0.254908337755259</v>
      </c>
      <c r="AL354" s="130" t="n">
        <v>0.0395748104277571</v>
      </c>
      <c r="AM354" s="133" t="n">
        <v>0.334793995309906</v>
      </c>
      <c r="AN354" s="308" t="n">
        <v>7.209</v>
      </c>
    </row>
    <row customHeight="1" ht="13.5" r="355" s="3">
      <c r="A355" s="117" t="n">
        <v>43696</v>
      </c>
      <c r="B355" s="289" t="inlineStr">
        <is>
          <t>iOS</t>
        </is>
      </c>
      <c r="C355" s="268" t="n">
        <v>13539</v>
      </c>
      <c r="D355" s="268" t="n">
        <v>61000</v>
      </c>
      <c r="E355" s="269" t="n">
        <v>4.5055026220548</v>
      </c>
      <c r="F355" s="270" t="n">
        <v>0.685955370983606</v>
      </c>
      <c r="G355" s="271" t="n">
        <v>12.93</v>
      </c>
      <c r="H355" s="271" t="n">
        <v>19.83</v>
      </c>
      <c r="I355" s="142" t="n">
        <v>0.304</v>
      </c>
      <c r="J355" s="142" t="n">
        <v>0.159</v>
      </c>
      <c r="K355" s="142" t="n">
        <v>0.08799999999999999</v>
      </c>
      <c r="L355" s="270" t="n">
        <v>9.37793442622951</v>
      </c>
      <c r="M355" s="272" t="n">
        <v>11.7572131147541</v>
      </c>
      <c r="N355" s="270" t="n">
        <v>18.944712998917</v>
      </c>
      <c r="O355" s="273" t="n">
        <v>0.620606557377049</v>
      </c>
      <c r="P355" s="270" t="n">
        <v>2.59093430541247</v>
      </c>
      <c r="Q355" s="270" t="n">
        <v>4.22975935758248</v>
      </c>
      <c r="R355" s="270" t="n">
        <v>1.10949097921124</v>
      </c>
      <c r="S355" s="270" t="n">
        <v>5.82172385556172</v>
      </c>
      <c r="T355" s="270" t="n">
        <v>1.67155347756029</v>
      </c>
      <c r="U355" s="270" t="n">
        <v>0.473888580711625</v>
      </c>
      <c r="V355" s="270" t="n">
        <v>2.08267955728135</v>
      </c>
      <c r="W355" s="270" t="n">
        <v>0.964682885595795</v>
      </c>
      <c r="X355" s="274" t="n">
        <v>0.0206885245901639</v>
      </c>
      <c r="Y355" s="269" t="n">
        <v>11.7779016393443</v>
      </c>
      <c r="Z355" s="275" t="n">
        <v>648</v>
      </c>
      <c r="AA355" s="275" t="n">
        <v>462</v>
      </c>
      <c r="AB355" s="270" t="n">
        <v>4702.52</v>
      </c>
      <c r="AD355" s="276" t="n">
        <v>0.0106229508196721</v>
      </c>
      <c r="AE355" s="141" t="n">
        <v>0.00757377049180328</v>
      </c>
      <c r="AF355" s="270" t="n">
        <v>7.25697530864197</v>
      </c>
      <c r="AG355" s="277" t="n">
        <v>0.0770904918032787</v>
      </c>
      <c r="AH355" s="131" t="n">
        <v>0.488366939951252</v>
      </c>
      <c r="AI355" s="131" t="n">
        <v>0.346628259103331</v>
      </c>
      <c r="AJ355" s="270" t="n">
        <v>0.406918032786885</v>
      </c>
      <c r="AK355" s="130" t="n">
        <v>0.257180327868852</v>
      </c>
      <c r="AL355" s="130" t="n">
        <v>0.0415081967213115</v>
      </c>
      <c r="AM355" s="133" t="n">
        <v>0.318573770491803</v>
      </c>
      <c r="AN355" s="308" t="n">
        <v>6.228</v>
      </c>
    </row>
    <row customHeight="1" ht="13.5" r="356" s="3">
      <c r="A356" s="117" t="n">
        <v>43697</v>
      </c>
      <c r="B356" s="289" t="inlineStr">
        <is>
          <t>iOS</t>
        </is>
      </c>
      <c r="C356" s="268" t="n">
        <v>16300</v>
      </c>
      <c r="D356" s="268" t="n">
        <v>62771</v>
      </c>
      <c r="E356" s="269" t="n">
        <v>3.85098159509202</v>
      </c>
      <c r="F356" s="270" t="n">
        <v>0.6503816132131079</v>
      </c>
      <c r="G356" s="271" t="n">
        <v>14.29</v>
      </c>
      <c r="H356" s="271" t="n">
        <v>22.28</v>
      </c>
      <c r="I356" s="142" t="n">
        <v>0.302</v>
      </c>
      <c r="J356" s="142" t="n">
        <v>0.151</v>
      </c>
      <c r="K356" s="142" t="n">
        <v>0.078</v>
      </c>
      <c r="L356" s="270" t="n">
        <v>9.01261729142438</v>
      </c>
      <c r="M356" s="272" t="n">
        <v>10.6224052508324</v>
      </c>
      <c r="N356" s="270" t="n">
        <v>17.4334980521348</v>
      </c>
      <c r="O356" s="273" t="n">
        <v>0.6093100317025379</v>
      </c>
      <c r="P356" s="270" t="n">
        <v>2.41773210970795</v>
      </c>
      <c r="Q356" s="270" t="n">
        <v>3.88532433916386</v>
      </c>
      <c r="R356" s="270" t="n">
        <v>1.01749156796612</v>
      </c>
      <c r="S356" s="270" t="n">
        <v>5.26250424869924</v>
      </c>
      <c r="T356" s="270" t="n">
        <v>1.53272152064214</v>
      </c>
      <c r="U356" s="270" t="n">
        <v>0.495019217193505</v>
      </c>
      <c r="V356" s="270" t="n">
        <v>1.91868643292284</v>
      </c>
      <c r="W356" s="270" t="n">
        <v>0.904018615839151</v>
      </c>
      <c r="X356" s="274" t="n">
        <v>0.0196428286947794</v>
      </c>
      <c r="Y356" s="269" t="n">
        <v>10.6420480795272</v>
      </c>
      <c r="Z356" s="275" t="n">
        <v>612</v>
      </c>
      <c r="AA356" s="275" t="n">
        <v>448</v>
      </c>
      <c r="AB356" s="270" t="n">
        <v>3870.88</v>
      </c>
      <c r="AD356" s="276" t="n">
        <v>0.00974972519156935</v>
      </c>
      <c r="AE356" s="141" t="n">
        <v>0.00713705373500502</v>
      </c>
      <c r="AF356" s="270" t="n">
        <v>6.32496732026144</v>
      </c>
      <c r="AG356" s="277" t="n">
        <v>0.0616666932182059</v>
      </c>
      <c r="AH356" s="131" t="n">
        <v>0.454110429447853</v>
      </c>
      <c r="AI356" s="131" t="n">
        <v>0.308098159509202</v>
      </c>
      <c r="AJ356" s="270" t="n">
        <v>0.434962004747415</v>
      </c>
      <c r="AK356" s="130" t="n">
        <v>0.25741186216565</v>
      </c>
      <c r="AL356" s="130" t="n">
        <v>0.0439852798266716</v>
      </c>
      <c r="AM356" s="133" t="n">
        <v>0.247917031750331</v>
      </c>
      <c r="AN356" s="308" t="n">
        <v>5.821</v>
      </c>
    </row>
    <row customFormat="1" customHeight="1" ht="13.95" r="357" s="294">
      <c r="A357" s="121" t="n">
        <v>43698</v>
      </c>
      <c r="B357" s="295" t="inlineStr">
        <is>
          <t>iOS</t>
        </is>
      </c>
      <c r="C357" s="296" t="n">
        <v>15739</v>
      </c>
      <c r="D357" s="296" t="n">
        <v>61375</v>
      </c>
      <c r="E357" s="297" t="n">
        <v>3.89954889128915</v>
      </c>
      <c r="F357" s="294" t="n">
        <v>0.59358460487169</v>
      </c>
      <c r="G357" s="306" t="n">
        <v>15.14</v>
      </c>
      <c r="H357" s="306" t="n">
        <v>23.56</v>
      </c>
      <c r="I357" s="124" t="n">
        <v>0.291</v>
      </c>
      <c r="J357" s="124" t="n">
        <v>0.138</v>
      </c>
      <c r="K357" s="124" t="n">
        <v>0.076</v>
      </c>
      <c r="L357" s="294" t="n">
        <v>8.42453767820774</v>
      </c>
      <c r="M357" s="299" t="n">
        <v>9.34945824847251</v>
      </c>
      <c r="N357" s="294" t="n">
        <v>15.6316707074559</v>
      </c>
      <c r="O357" s="300" t="n">
        <v>0.598109979633401</v>
      </c>
      <c r="P357" s="294" t="n">
        <v>2.22811844506797</v>
      </c>
      <c r="Q357" s="294" t="n">
        <v>3.5217794001471</v>
      </c>
      <c r="R357" s="294" t="n">
        <v>0.866245334931488</v>
      </c>
      <c r="S357" s="294" t="n">
        <v>4.55975373886513</v>
      </c>
      <c r="T357" s="294" t="n">
        <v>1.36241793565611</v>
      </c>
      <c r="U357" s="294" t="n">
        <v>0.5359993462093769</v>
      </c>
      <c r="V357" s="294" t="n">
        <v>1.70345146966684</v>
      </c>
      <c r="W357" s="294" t="n">
        <v>0.853905036911929</v>
      </c>
      <c r="X357" s="301" t="n">
        <v>0.0197800407331976</v>
      </c>
      <c r="Y357" s="297" t="n">
        <v>9.3692382892057</v>
      </c>
      <c r="Z357" s="293" t="n">
        <v>521</v>
      </c>
      <c r="AA357" s="293" t="n">
        <v>364</v>
      </c>
      <c r="AB357" s="294" t="n">
        <v>3179.79</v>
      </c>
      <c r="AD357" s="303" t="n">
        <v>0.008488798370672099</v>
      </c>
      <c r="AE357" s="123" t="n">
        <v>0.00593075356415479</v>
      </c>
      <c r="AF357" s="294" t="n">
        <v>6.10324376199616</v>
      </c>
      <c r="AG357" s="304" t="n">
        <v>0.0518092057026476</v>
      </c>
      <c r="AH357" s="135" t="n">
        <v>0.453078340428236</v>
      </c>
      <c r="AI357" s="135" t="n">
        <v>0.328419848783277</v>
      </c>
      <c r="AJ357" s="294" t="n">
        <v>0.498818737270876</v>
      </c>
      <c r="AK357" s="136" t="n">
        <v>0.280961303462322</v>
      </c>
      <c r="AL357" s="136" t="n">
        <v>0.044969450101833</v>
      </c>
      <c r="AM357" s="137" t="n">
        <v>0</v>
      </c>
      <c r="AN357" s="307" t="n">
        <v>5.364</v>
      </c>
    </row>
    <row customHeight="1" ht="13.5" r="358" s="3">
      <c r="A358" s="117" t="n">
        <v>43699</v>
      </c>
      <c r="B358" s="267" t="inlineStr">
        <is>
          <t>iOS</t>
        </is>
      </c>
      <c r="C358" s="268" t="n">
        <v>15018</v>
      </c>
      <c r="D358" s="268" t="n">
        <v>60332</v>
      </c>
      <c r="E358" s="269" t="n">
        <v>4.01731255826342</v>
      </c>
      <c r="F358" s="270" t="n">
        <v>0.606218638898097</v>
      </c>
      <c r="G358" s="271" t="n">
        <v>15.67</v>
      </c>
      <c r="H358" s="271" t="n">
        <v>23.77</v>
      </c>
      <c r="I358" s="142" t="n">
        <v>0.281</v>
      </c>
      <c r="J358" s="142" t="n">
        <v>0.131</v>
      </c>
      <c r="K358" s="142" t="n">
        <v>0.067</v>
      </c>
      <c r="L358" s="270" t="n">
        <v>8.06595173373997</v>
      </c>
      <c r="M358" s="272" t="n">
        <v>8.963966054498441</v>
      </c>
      <c r="N358" s="270" t="n">
        <v>14.9859787186877</v>
      </c>
      <c r="O358" s="273" t="n">
        <v>0.59815686534509</v>
      </c>
      <c r="P358" s="270" t="n">
        <v>2.20413988029262</v>
      </c>
      <c r="Q358" s="270" t="n">
        <v>3.37106517401906</v>
      </c>
      <c r="R358" s="270" t="n">
        <v>0.807027266681445</v>
      </c>
      <c r="S358" s="270" t="n">
        <v>4.29779982265573</v>
      </c>
      <c r="T358" s="270" t="n">
        <v>1.32814231877632</v>
      </c>
      <c r="U358" s="270" t="n">
        <v>0.531090667257814</v>
      </c>
      <c r="V358" s="270" t="n">
        <v>1.61729660829084</v>
      </c>
      <c r="W358" s="270" t="n">
        <v>0.829416980713811</v>
      </c>
      <c r="X358" s="274" t="n">
        <v>0.0204203407810117</v>
      </c>
      <c r="Y358" s="269" t="n">
        <v>8.984386395279451</v>
      </c>
      <c r="Z358" s="275" t="n">
        <v>490</v>
      </c>
      <c r="AA358" s="275" t="n">
        <v>347</v>
      </c>
      <c r="AB358" s="270" t="n">
        <v>3232.1</v>
      </c>
      <c r="AD358" s="276" t="n">
        <v>0.008121726446993299</v>
      </c>
      <c r="AE358" s="141" t="n">
        <v>0.00575150832062587</v>
      </c>
      <c r="AF358" s="270" t="n">
        <v>6.59612244897959</v>
      </c>
      <c r="AG358" s="277" t="n">
        <v>0.0535719021414838</v>
      </c>
      <c r="AH358" s="131" t="n">
        <v>0.444200292981755</v>
      </c>
      <c r="AI358" s="131" t="n">
        <v>0.312491676654681</v>
      </c>
      <c r="AJ358" s="270" t="n">
        <v>0.471839156666446</v>
      </c>
      <c r="AK358" s="130" t="n">
        <v>0.283249353576875</v>
      </c>
      <c r="AL358" s="130" t="n">
        <v>0.0451667440164423</v>
      </c>
      <c r="AM358" s="133" t="n">
        <v>0</v>
      </c>
      <c r="AN358" s="308" t="n">
        <v>6.02</v>
      </c>
    </row>
    <row customHeight="1" ht="13.5" r="359" s="3">
      <c r="A359" s="117" t="n">
        <v>43700</v>
      </c>
      <c r="B359" s="267" t="inlineStr">
        <is>
          <t>iOS</t>
        </is>
      </c>
      <c r="C359" s="268" t="n">
        <v>14650</v>
      </c>
      <c r="D359" s="268" t="n">
        <v>59429</v>
      </c>
      <c r="E359" s="269" t="n">
        <v>4.05658703071672</v>
      </c>
      <c r="F359" s="270" t="n">
        <v>0.560865778862172</v>
      </c>
      <c r="G359" s="271" t="n">
        <v>14.79</v>
      </c>
      <c r="H359" s="271" t="n">
        <v>21.86</v>
      </c>
      <c r="I359" s="142" t="n">
        <v>0.267</v>
      </c>
      <c r="J359" s="142" t="n">
        <v>0.136</v>
      </c>
      <c r="K359" s="142" t="n">
        <v>0.064</v>
      </c>
      <c r="L359" s="270" t="n">
        <v>8.106564135354789</v>
      </c>
      <c r="M359" s="272" t="n">
        <v>8.86933988456814</v>
      </c>
      <c r="N359" s="270" t="n">
        <v>14.9458700768424</v>
      </c>
      <c r="O359" s="273" t="n">
        <v>0.593430816604688</v>
      </c>
      <c r="P359" s="270" t="n">
        <v>2.21850455099668</v>
      </c>
      <c r="Q359" s="270" t="n">
        <v>3.40009073638245</v>
      </c>
      <c r="R359" s="270" t="n">
        <v>0.796580372586271</v>
      </c>
      <c r="S359" s="270" t="n">
        <v>4.21932684946267</v>
      </c>
      <c r="T359" s="270" t="n">
        <v>1.31950548671563</v>
      </c>
      <c r="U359" s="270" t="n">
        <v>0.525703915842005</v>
      </c>
      <c r="V359" s="270" t="n">
        <v>1.6232455269799</v>
      </c>
      <c r="W359" s="270" t="n">
        <v>0.842912637876769</v>
      </c>
      <c r="X359" s="274" t="n">
        <v>0.0196873580238604</v>
      </c>
      <c r="Y359" s="269" t="n">
        <v>8.889027242592</v>
      </c>
      <c r="Z359" s="275" t="n">
        <v>473</v>
      </c>
      <c r="AA359" s="275" t="n">
        <v>358</v>
      </c>
      <c r="AB359" s="270" t="n">
        <v>3104.27</v>
      </c>
      <c r="AD359" s="276" t="n">
        <v>0.007959077218193141</v>
      </c>
      <c r="AE359" s="141" t="n">
        <v>0.00602399501926669</v>
      </c>
      <c r="AF359" s="270" t="n">
        <v>6.56293868921776</v>
      </c>
      <c r="AG359" s="277" t="n">
        <v>0.0522349358057514</v>
      </c>
      <c r="AH359" s="131" t="n">
        <v>0.432491467576792</v>
      </c>
      <c r="AI359" s="131" t="n">
        <v>0.309556313993174</v>
      </c>
      <c r="AJ359" s="270" t="n">
        <v>0.463275505224722</v>
      </c>
      <c r="AK359" s="130" t="n">
        <v>0.284120547207592</v>
      </c>
      <c r="AL359" s="130" t="n">
        <v>0.0440189133251443</v>
      </c>
      <c r="AM359" s="133" t="n">
        <v>0</v>
      </c>
      <c r="AN359" s="308" t="n">
        <v>5.735</v>
      </c>
    </row>
    <row customHeight="1" ht="13.5" r="360" s="3">
      <c r="A360" s="117" t="n">
        <v>43701</v>
      </c>
      <c r="B360" s="289" t="inlineStr">
        <is>
          <t>iOS</t>
        </is>
      </c>
      <c r="C360" s="268" t="n">
        <v>11692</v>
      </c>
      <c r="D360" s="268" t="n">
        <v>55426</v>
      </c>
      <c r="E360" s="269" t="n">
        <v>4.74050632911392</v>
      </c>
      <c r="F360" s="270" t="n">
        <v>0.800010248385234</v>
      </c>
      <c r="G360" s="271" t="n">
        <v>13.5</v>
      </c>
      <c r="H360" s="271" t="n">
        <v>20.09</v>
      </c>
      <c r="I360" s="142" t="n">
        <v>0.265</v>
      </c>
      <c r="J360" s="142" t="n">
        <v>0.133</v>
      </c>
      <c r="K360" s="142" t="n">
        <v>0.066</v>
      </c>
      <c r="L360" s="270" t="n">
        <v>10.1718868401111</v>
      </c>
      <c r="M360" s="272" t="n">
        <v>12.3146357305236</v>
      </c>
      <c r="N360" s="270" t="n">
        <v>20.2543398913914</v>
      </c>
      <c r="O360" s="273" t="n">
        <v>0.607999855663407</v>
      </c>
      <c r="P360" s="270" t="n">
        <v>2.68025757440874</v>
      </c>
      <c r="Q360" s="270" t="n">
        <v>4.25816789815722</v>
      </c>
      <c r="R360" s="270" t="n">
        <v>1.29098786314134</v>
      </c>
      <c r="S360" s="270" t="n">
        <v>6.72844891539808</v>
      </c>
      <c r="T360" s="270" t="n">
        <v>1.69123712869818</v>
      </c>
      <c r="U360" s="270" t="n">
        <v>0.457075877622481</v>
      </c>
      <c r="V360" s="270" t="n">
        <v>2.19724620908632</v>
      </c>
      <c r="W360" s="270" t="n">
        <v>0.950918424879077</v>
      </c>
      <c r="X360" s="274" t="n">
        <v>0.0219752462743117</v>
      </c>
      <c r="Y360" s="269" t="n">
        <v>12.3366109767979</v>
      </c>
      <c r="Z360" s="275" t="n">
        <v>635</v>
      </c>
      <c r="AA360" s="275" t="n">
        <v>421</v>
      </c>
      <c r="AB360" s="270" t="n">
        <v>5846.65</v>
      </c>
      <c r="AD360" s="276" t="n">
        <v>0.0114567170641937</v>
      </c>
      <c r="AE360" s="141" t="n">
        <v>0.00759571320318984</v>
      </c>
      <c r="AF360" s="270" t="n">
        <v>9.207322834645669</v>
      </c>
      <c r="AG360" s="277" t="n">
        <v>0.105485692635225</v>
      </c>
      <c r="AH360" s="131" t="n">
        <v>0.44414984604858</v>
      </c>
      <c r="AI360" s="131" t="n">
        <v>0.34006158056791</v>
      </c>
      <c r="AJ360" s="270" t="n">
        <v>0.382510013351135</v>
      </c>
      <c r="AK360" s="130" t="n">
        <v>0.252119943708729</v>
      </c>
      <c r="AL360" s="130" t="n">
        <v>0.0404142460217227</v>
      </c>
      <c r="AM360" s="133" t="n">
        <v>0.325930068920723</v>
      </c>
      <c r="AN360" s="308" t="n">
        <v>6.095</v>
      </c>
    </row>
    <row customHeight="1" ht="13.5" r="361" s="3">
      <c r="A361" s="117" t="n">
        <v>43702</v>
      </c>
      <c r="B361" s="289" t="inlineStr">
        <is>
          <t>iOS</t>
        </is>
      </c>
      <c r="C361" s="268" t="n">
        <v>14168</v>
      </c>
      <c r="D361" s="268" t="n">
        <v>57604</v>
      </c>
      <c r="E361" s="269" t="n">
        <v>4.06578204404291</v>
      </c>
      <c r="F361" s="270" t="n">
        <v>0.715287326019026</v>
      </c>
      <c r="G361" s="271" t="n">
        <v>13.57</v>
      </c>
      <c r="H361" s="271" t="n">
        <v>20.29</v>
      </c>
      <c r="I361" s="142" t="n">
        <v>0.264</v>
      </c>
      <c r="J361" s="142" t="n">
        <v>0.123</v>
      </c>
      <c r="K361" s="142" t="n">
        <v>0.07000000000000001</v>
      </c>
      <c r="L361" s="270" t="n">
        <v>9.29690646482883</v>
      </c>
      <c r="M361" s="272" t="n">
        <v>11.523349072981</v>
      </c>
      <c r="N361" s="270" t="n">
        <v>19.267684537459</v>
      </c>
      <c r="O361" s="273" t="n">
        <v>0.5980661065203809</v>
      </c>
      <c r="P361" s="270" t="n">
        <v>2.57385852370033</v>
      </c>
      <c r="Q361" s="270" t="n">
        <v>4.18455197236655</v>
      </c>
      <c r="R361" s="270" t="n">
        <v>1.25293895677919</v>
      </c>
      <c r="S361" s="270" t="n">
        <v>6.20112623726452</v>
      </c>
      <c r="T361" s="270" t="n">
        <v>1.63748512379902</v>
      </c>
      <c r="U361" s="270" t="n">
        <v>0.455342370323068</v>
      </c>
      <c r="V361" s="270" t="n">
        <v>2.03851847551595</v>
      </c>
      <c r="W361" s="270" t="n">
        <v>0.923862877710371</v>
      </c>
      <c r="X361" s="274" t="n">
        <v>0.0166828692451913</v>
      </c>
      <c r="Y361" s="269" t="n">
        <v>11.5400319422262</v>
      </c>
      <c r="Z361" s="275" t="n">
        <v>626</v>
      </c>
      <c r="AA361" s="275" t="n">
        <v>415</v>
      </c>
      <c r="AB361" s="270" t="n">
        <v>4788.74</v>
      </c>
      <c r="AD361" s="276" t="n">
        <v>0.0108673008818832</v>
      </c>
      <c r="AE361" s="141" t="n">
        <v>0.0072043608082772</v>
      </c>
      <c r="AF361" s="270" t="n">
        <v>7.64974440894569</v>
      </c>
      <c r="AG361" s="277" t="n">
        <v>0.08313207416151649</v>
      </c>
      <c r="AH361" s="131" t="n">
        <v>0.435911914172784</v>
      </c>
      <c r="AI361" s="131" t="n">
        <v>0.2949604743083</v>
      </c>
      <c r="AJ361" s="270" t="n">
        <v>0.382994236511353</v>
      </c>
      <c r="AK361" s="130" t="n">
        <v>0.238611901951253</v>
      </c>
      <c r="AL361" s="130" t="n">
        <v>0.0385042705367683</v>
      </c>
      <c r="AM361" s="133" t="n">
        <v>0.310047913339351</v>
      </c>
      <c r="AN361" s="308" t="n">
        <v>5.771</v>
      </c>
    </row>
    <row customHeight="1" ht="13.5" r="362" s="3">
      <c r="A362" s="117" t="n">
        <v>43703</v>
      </c>
      <c r="B362" s="289" t="inlineStr">
        <is>
          <t>iOS</t>
        </is>
      </c>
      <c r="C362" s="268" t="n">
        <v>13056</v>
      </c>
      <c r="D362" s="268" t="n">
        <v>58241</v>
      </c>
      <c r="E362" s="269" t="n">
        <v>4.46086090686275</v>
      </c>
      <c r="F362" s="270" t="n">
        <v>0.7072132979172751</v>
      </c>
      <c r="G362" s="271" t="n">
        <v>14.17</v>
      </c>
      <c r="H362" s="271" t="n">
        <v>20.5</v>
      </c>
      <c r="I362" s="142" t="n">
        <v>0.282</v>
      </c>
      <c r="J362" s="142" t="n">
        <v>0.139</v>
      </c>
      <c r="K362" s="142" t="n">
        <v>0.074</v>
      </c>
      <c r="L362" s="270" t="n">
        <v>9.21325183290122</v>
      </c>
      <c r="M362" s="272" t="n">
        <v>11.5405985474151</v>
      </c>
      <c r="N362" s="270" t="n">
        <v>18.9446151244398</v>
      </c>
      <c r="O362" s="273" t="n">
        <v>0.6091756666266031</v>
      </c>
      <c r="P362" s="270" t="n">
        <v>2.55201668592689</v>
      </c>
      <c r="Q362" s="270" t="n">
        <v>4.20936328532371</v>
      </c>
      <c r="R362" s="270" t="n">
        <v>1.17976831365033</v>
      </c>
      <c r="S362" s="270" t="n">
        <v>5.94768736435638</v>
      </c>
      <c r="T362" s="270" t="n">
        <v>1.63406522168043</v>
      </c>
      <c r="U362" s="270" t="n">
        <v>0.461146030045943</v>
      </c>
      <c r="V362" s="270" t="n">
        <v>2.01840525381211</v>
      </c>
      <c r="W362" s="270" t="n">
        <v>0.942162969644015</v>
      </c>
      <c r="X362" s="274" t="n">
        <v>0.0162600230078467</v>
      </c>
      <c r="Y362" s="269" t="n">
        <v>11.5568585704229</v>
      </c>
      <c r="Z362" s="275" t="n">
        <v>595</v>
      </c>
      <c r="AA362" s="275" t="n">
        <v>421</v>
      </c>
      <c r="AB362" s="270" t="n">
        <v>3975.05</v>
      </c>
      <c r="AD362" s="276" t="n">
        <v>0.0102161707388266</v>
      </c>
      <c r="AE362" s="141" t="n">
        <v>0.00722858467402689</v>
      </c>
      <c r="AF362" s="270" t="n">
        <v>6.68075630252101</v>
      </c>
      <c r="AG362" s="277" t="n">
        <v>0.0682517470510465</v>
      </c>
      <c r="AH362" s="131" t="n">
        <v>0.457414215686274</v>
      </c>
      <c r="AI362" s="131" t="n">
        <v>0.328661151960784</v>
      </c>
      <c r="AJ362" s="270" t="n">
        <v>0.397091396095534</v>
      </c>
      <c r="AK362" s="130" t="n">
        <v>0.247763602960114</v>
      </c>
      <c r="AL362" s="130" t="n">
        <v>0.0398859909685617</v>
      </c>
      <c r="AM362" s="133" t="n">
        <v>0.309953469205543</v>
      </c>
      <c r="AN362" s="308" t="n">
        <v>5.918</v>
      </c>
    </row>
    <row customHeight="1" ht="13.5" r="363" s="3">
      <c r="A363" s="117" t="n">
        <v>43704</v>
      </c>
      <c r="B363" s="289" t="inlineStr">
        <is>
          <t>iOS</t>
        </is>
      </c>
      <c r="C363" s="268" t="n">
        <v>14039</v>
      </c>
      <c r="D363" s="268" t="n">
        <v>58124</v>
      </c>
      <c r="E363" s="269" t="n">
        <v>4.14018092456728</v>
      </c>
      <c r="F363" s="270" t="n">
        <v>0.732188922785768</v>
      </c>
      <c r="G363" s="271" t="n">
        <v>15.94</v>
      </c>
      <c r="H363" s="271" t="n">
        <v>23.96</v>
      </c>
      <c r="I363" s="142" t="n">
        <v>0.287</v>
      </c>
      <c r="J363" s="142" t="n">
        <v>0.139</v>
      </c>
      <c r="K363" s="142" t="n">
        <v>0.074</v>
      </c>
      <c r="L363" s="270" t="n">
        <v>8.97981900763884</v>
      </c>
      <c r="M363" s="272" t="n">
        <v>10.7031862913771</v>
      </c>
      <c r="N363" s="270" t="n">
        <v>17.561383203952</v>
      </c>
      <c r="O363" s="273" t="n">
        <v>0.6094728511458259</v>
      </c>
      <c r="P363" s="270" t="n">
        <v>2.40398023994354</v>
      </c>
      <c r="Q363" s="270" t="n">
        <v>3.9336908962597</v>
      </c>
      <c r="R363" s="270" t="n">
        <v>1.08335920959774</v>
      </c>
      <c r="S363" s="270" t="n">
        <v>5.34297812279464</v>
      </c>
      <c r="T363" s="270" t="n">
        <v>1.51243472124206</v>
      </c>
      <c r="U363" s="270" t="n">
        <v>0.494340155257587</v>
      </c>
      <c r="V363" s="270" t="n">
        <v>1.88386732533522</v>
      </c>
      <c r="W363" s="270" t="n">
        <v>0.9067325335215241</v>
      </c>
      <c r="X363" s="274" t="n">
        <v>0.0150540224347946</v>
      </c>
      <c r="Y363" s="269" t="n">
        <v>10.7182403138119</v>
      </c>
      <c r="Z363" s="275" t="n">
        <v>597</v>
      </c>
      <c r="AA363" s="275" t="n">
        <v>417</v>
      </c>
      <c r="AB363" s="270" t="n">
        <v>4088.03</v>
      </c>
      <c r="AD363" s="276" t="n">
        <v>0.010271144449797</v>
      </c>
      <c r="AE363" s="141" t="n">
        <v>0.00717431697749639</v>
      </c>
      <c r="AF363" s="270" t="n">
        <v>6.84762144053601</v>
      </c>
      <c r="AG363" s="277" t="n">
        <v>0.07033290895327229</v>
      </c>
      <c r="AH363" s="131" t="n">
        <v>0.452738799059762</v>
      </c>
      <c r="AI363" s="131" t="n">
        <v>0.315549540565567</v>
      </c>
      <c r="AJ363" s="270" t="n">
        <v>0.434054779437066</v>
      </c>
      <c r="AK363" s="130" t="n">
        <v>0.261458261647512</v>
      </c>
      <c r="AL363" s="130" t="n">
        <v>0.044559906406992</v>
      </c>
      <c r="AM363" s="133" t="n">
        <v>0.24907095175831</v>
      </c>
      <c r="AN363" s="308" t="n">
        <v>6.376</v>
      </c>
    </row>
    <row customFormat="1" customHeight="1" ht="13.95" r="364" s="294">
      <c r="A364" s="121" t="n">
        <v>43705</v>
      </c>
      <c r="B364" s="295" t="inlineStr">
        <is>
          <t>iOS</t>
        </is>
      </c>
      <c r="C364" s="296" t="n">
        <v>14352</v>
      </c>
      <c r="D364" s="296" t="n">
        <v>57537</v>
      </c>
      <c r="E364" s="297" t="n">
        <v>4.00898829431438</v>
      </c>
      <c r="F364" s="294" t="n">
        <v>0.625337502476667</v>
      </c>
      <c r="G364" s="306" t="n">
        <v>16.34</v>
      </c>
      <c r="H364" s="306" t="n">
        <v>25.96</v>
      </c>
      <c r="I364" s="124" t="n">
        <v>0.285</v>
      </c>
      <c r="J364" s="124" t="n">
        <v>0.128</v>
      </c>
      <c r="K364" s="124" t="n">
        <v>0.063</v>
      </c>
      <c r="L364" s="294" t="n">
        <v>7.98943288666423</v>
      </c>
      <c r="M364" s="299" t="n">
        <v>9.098354102577471</v>
      </c>
      <c r="N364" s="294" t="n">
        <v>15.2514858408111</v>
      </c>
      <c r="O364" s="300" t="n">
        <v>0.596555260093505</v>
      </c>
      <c r="P364" s="294" t="n">
        <v>2.19173173289826</v>
      </c>
      <c r="Q364" s="294" t="n">
        <v>3.43194266402517</v>
      </c>
      <c r="R364" s="294" t="n">
        <v>0.84529775084489</v>
      </c>
      <c r="S364" s="294" t="n">
        <v>4.45073418016548</v>
      </c>
      <c r="T364" s="294" t="n">
        <v>1.32647710057103</v>
      </c>
      <c r="U364" s="294" t="n">
        <v>0.52683253700035</v>
      </c>
      <c r="V364" s="294" t="n">
        <v>1.64124227945461</v>
      </c>
      <c r="W364" s="294" t="n">
        <v>0.837227595851299</v>
      </c>
      <c r="X364" s="301" t="n">
        <v>0.0147731025253315</v>
      </c>
      <c r="Y364" s="297" t="n">
        <v>9.113127205102799</v>
      </c>
      <c r="Z364" s="293" t="n">
        <v>507</v>
      </c>
      <c r="AA364" s="293" t="n">
        <v>350</v>
      </c>
      <c r="AB364" s="294" t="n">
        <v>3198.93</v>
      </c>
      <c r="AD364" s="303" t="n">
        <v>0.0088117211533448</v>
      </c>
      <c r="AE364" s="123" t="n">
        <v>0.00608304221631298</v>
      </c>
      <c r="AF364" s="294" t="n">
        <v>6.30952662721893</v>
      </c>
      <c r="AG364" s="304" t="n">
        <v>0.0555977892486574</v>
      </c>
      <c r="AH364" s="135" t="n">
        <v>0.446139910813824</v>
      </c>
      <c r="AI364" s="135" t="n">
        <v>0.310758082497213</v>
      </c>
      <c r="AJ364" s="294" t="n">
        <v>0.485322488138068</v>
      </c>
      <c r="AK364" s="136" t="n">
        <v>0.280758468463771</v>
      </c>
      <c r="AL364" s="136" t="n">
        <v>0.0467177642212837</v>
      </c>
      <c r="AM364" s="137" t="n">
        <v>0</v>
      </c>
      <c r="AN364" s="307" t="n">
        <v>6.424</v>
      </c>
    </row>
    <row customHeight="1" ht="13.95" r="365" s="3">
      <c r="A365" s="117" t="n">
        <v>43706</v>
      </c>
      <c r="B365" s="267" t="inlineStr">
        <is>
          <t>iOS</t>
        </is>
      </c>
      <c r="C365" s="268" t="n">
        <v>11364</v>
      </c>
      <c r="D365" s="268" t="n">
        <v>53693</v>
      </c>
      <c r="E365" s="269" t="n">
        <v>4.72483280535023</v>
      </c>
      <c r="F365" s="270" t="n">
        <v>0.649477537630604</v>
      </c>
      <c r="G365" s="271" t="n">
        <v>16.03</v>
      </c>
      <c r="H365" s="271" t="n">
        <v>24.53</v>
      </c>
      <c r="I365" s="142" t="n">
        <v>0.276</v>
      </c>
      <c r="J365" s="142" t="n">
        <v>0.135</v>
      </c>
      <c r="K365" s="142" t="n">
        <v>0.068</v>
      </c>
      <c r="L365" s="270" t="n">
        <v>8.10781666138975</v>
      </c>
      <c r="M365" s="272" t="n">
        <v>9.21140558359563</v>
      </c>
      <c r="N365" s="270" t="n">
        <v>15.2655328868175</v>
      </c>
      <c r="O365" s="273" t="n">
        <v>0.603411990389809</v>
      </c>
      <c r="P365" s="270" t="n">
        <v>2.22938979598136</v>
      </c>
      <c r="Q365" s="270" t="n">
        <v>3.41732769529924</v>
      </c>
      <c r="R365" s="270" t="n">
        <v>0.8447174295502951</v>
      </c>
      <c r="S365" s="270" t="n">
        <v>4.37775857279546</v>
      </c>
      <c r="T365" s="270" t="n">
        <v>1.35124540880891</v>
      </c>
      <c r="U365" s="270" t="n">
        <v>0.523318620945091</v>
      </c>
      <c r="V365" s="270" t="n">
        <v>1.6632612117658</v>
      </c>
      <c r="W365" s="270" t="n">
        <v>0.858514151671348</v>
      </c>
      <c r="X365" s="274" t="n">
        <v>0.014210418490306</v>
      </c>
      <c r="Y365" s="269" t="n">
        <v>9.22561600208593</v>
      </c>
      <c r="Z365" s="275" t="n">
        <v>469</v>
      </c>
      <c r="AA365" s="275" t="n">
        <v>335</v>
      </c>
      <c r="AB365" s="270" t="n">
        <v>3565.31</v>
      </c>
      <c r="AD365" s="276" t="n">
        <v>0.008734844393123871</v>
      </c>
      <c r="AE365" s="141" t="n">
        <v>0.00623917456651705</v>
      </c>
      <c r="AF365" s="270" t="n">
        <v>7.60194029850746</v>
      </c>
      <c r="AG365" s="277" t="n">
        <v>0.0664017655932803</v>
      </c>
      <c r="AH365" s="131" t="n">
        <v>0.463569165786695</v>
      </c>
      <c r="AI365" s="131" t="n">
        <v>0.353748680042239</v>
      </c>
      <c r="AJ365" s="270" t="n">
        <v>0.491795951055072</v>
      </c>
      <c r="AK365" s="130" t="n">
        <v>0.293278453429684</v>
      </c>
      <c r="AL365" s="130" t="n">
        <v>0.0476412195258227</v>
      </c>
      <c r="AM365" s="133" t="n">
        <v>0</v>
      </c>
      <c r="AN365" s="308" t="n">
        <v>5.206</v>
      </c>
    </row>
    <row customHeight="1" ht="13.5" r="366" s="3">
      <c r="A366" s="117" t="n">
        <v>43707</v>
      </c>
      <c r="B366" s="267" t="inlineStr">
        <is>
          <t>iOS</t>
        </is>
      </c>
      <c r="C366" s="268" t="n">
        <v>10689</v>
      </c>
      <c r="D366" s="268" t="n">
        <v>51570</v>
      </c>
      <c r="E366" s="269" t="n">
        <v>4.82458602301431</v>
      </c>
      <c r="F366" s="270" t="n">
        <v>0.5555493835369399</v>
      </c>
      <c r="G366" s="271" t="n">
        <v>14.5</v>
      </c>
      <c r="H366" s="271" t="n">
        <v>21.27</v>
      </c>
      <c r="I366" s="142" t="n">
        <v>0.262</v>
      </c>
      <c r="J366" s="142" t="n">
        <v>0.13</v>
      </c>
      <c r="K366" s="142" t="n">
        <v>0.063</v>
      </c>
      <c r="L366" s="270" t="n">
        <v>7.7420787279426</v>
      </c>
      <c r="M366" s="272" t="n">
        <v>8.80478960636029</v>
      </c>
      <c r="N366" s="270" t="n">
        <v>14.762435789063</v>
      </c>
      <c r="O366" s="273" t="n">
        <v>0.596432034128369</v>
      </c>
      <c r="P366" s="270" t="n">
        <v>2.21587879576045</v>
      </c>
      <c r="Q366" s="270" t="n">
        <v>3.25238962221211</v>
      </c>
      <c r="R366" s="270" t="n">
        <v>0.809220365433383</v>
      </c>
      <c r="S366" s="270" t="n">
        <v>4.23701150920086</v>
      </c>
      <c r="T366" s="270" t="n">
        <v>1.32336302750504</v>
      </c>
      <c r="U366" s="270" t="n">
        <v>0.507250146303401</v>
      </c>
      <c r="V366" s="270" t="n">
        <v>1.58752194551011</v>
      </c>
      <c r="W366" s="270" t="n">
        <v>0.829800377137655</v>
      </c>
      <c r="X366" s="274" t="n">
        <v>0.013399263137483</v>
      </c>
      <c r="Y366" s="269" t="n">
        <v>8.818188869497771</v>
      </c>
      <c r="Z366" s="275" t="n">
        <v>435</v>
      </c>
      <c r="AA366" s="275" t="n">
        <v>305</v>
      </c>
      <c r="AB366" s="270" t="n">
        <v>2860.65</v>
      </c>
      <c r="AD366" s="276" t="n">
        <v>0.008435136707388021</v>
      </c>
      <c r="AE366" s="141" t="n">
        <v>0.00591429125460539</v>
      </c>
      <c r="AF366" s="270" t="n">
        <v>6.57620689655172</v>
      </c>
      <c r="AG366" s="277" t="n">
        <v>0.0554712041884817</v>
      </c>
      <c r="AH366" s="131" t="n">
        <v>0.42744877911872</v>
      </c>
      <c r="AI366" s="131" t="n">
        <v>0.315183833847881</v>
      </c>
      <c r="AJ366" s="270" t="n">
        <v>0.469866201279814</v>
      </c>
      <c r="AK366" s="130" t="n">
        <v>0.29666472755478</v>
      </c>
      <c r="AL366" s="130" t="n">
        <v>0.0484584060500291</v>
      </c>
      <c r="AM366" s="133" t="n">
        <v>0</v>
      </c>
      <c r="AN366" s="308" t="n">
        <v>5.75</v>
      </c>
    </row>
    <row customHeight="1" ht="13.5" r="367" s="3">
      <c r="A367" s="117" t="n">
        <v>43708</v>
      </c>
      <c r="B367" s="289" t="inlineStr">
        <is>
          <t>iOS</t>
        </is>
      </c>
      <c r="C367" s="268" t="n">
        <v>8777</v>
      </c>
      <c r="D367" s="268" t="n">
        <v>48530</v>
      </c>
      <c r="E367" s="269" t="n">
        <v>5.52922410846531</v>
      </c>
      <c r="F367" s="270" t="n">
        <v>0.808216365917989</v>
      </c>
      <c r="G367" s="271" t="n">
        <v>12.98</v>
      </c>
      <c r="H367" s="271" t="n">
        <v>19.51</v>
      </c>
      <c r="I367" s="142" t="n">
        <v>0.276</v>
      </c>
      <c r="J367" s="142" t="n">
        <v>0.142</v>
      </c>
      <c r="K367" s="142" t="n">
        <v>0.07099999999999999</v>
      </c>
      <c r="L367" s="270" t="n">
        <v>10.1094168555533</v>
      </c>
      <c r="M367" s="272" t="n">
        <v>12.6615701627859</v>
      </c>
      <c r="N367" s="270" t="n">
        <v>20.4453982830904</v>
      </c>
      <c r="O367" s="273" t="n">
        <v>0.619287038944982</v>
      </c>
      <c r="P367" s="270" t="n">
        <v>2.7345444865908</v>
      </c>
      <c r="Q367" s="270" t="n">
        <v>4.07649564117921</v>
      </c>
      <c r="R367" s="270" t="n">
        <v>1.25500765289146</v>
      </c>
      <c r="S367" s="270" t="n">
        <v>7.06142277234312</v>
      </c>
      <c r="T367" s="270" t="n">
        <v>1.75158048845412</v>
      </c>
      <c r="U367" s="270" t="n">
        <v>0.436248086777135</v>
      </c>
      <c r="V367" s="270" t="n">
        <v>2.19647966992746</v>
      </c>
      <c r="W367" s="270" t="n">
        <v>0.933619484927131</v>
      </c>
      <c r="X367" s="274" t="n">
        <v>0.0157016278590563</v>
      </c>
      <c r="Y367" s="269" t="n">
        <v>12.677271790645</v>
      </c>
      <c r="Z367" s="275" t="n">
        <v>631</v>
      </c>
      <c r="AA367" s="275" t="n">
        <v>411</v>
      </c>
      <c r="AB367" s="270" t="n">
        <v>5383.69</v>
      </c>
      <c r="AD367" s="276" t="n">
        <v>0.0130022666391923</v>
      </c>
      <c r="AE367" s="141" t="n">
        <v>0.00846898825468782</v>
      </c>
      <c r="AF367" s="270" t="n">
        <v>8.531996830427889</v>
      </c>
      <c r="AG367" s="277" t="n">
        <v>0.110935297753967</v>
      </c>
      <c r="AH367" s="131" t="n">
        <v>0.480346359804033</v>
      </c>
      <c r="AI367" s="131" t="n">
        <v>0.347385211347841</v>
      </c>
      <c r="AJ367" s="270" t="n">
        <v>0.380795384298372</v>
      </c>
      <c r="AK367" s="130" t="n">
        <v>0.261899855759324</v>
      </c>
      <c r="AL367" s="130" t="n">
        <v>0.0426334226251803</v>
      </c>
      <c r="AM367" s="133" t="n">
        <v>0.335318359777457</v>
      </c>
      <c r="AN367" s="308" t="n">
        <v>5.456</v>
      </c>
    </row>
    <row customHeight="1" ht="13.5" r="368" s="3">
      <c r="A368" s="117" t="n">
        <v>43709</v>
      </c>
      <c r="B368" s="289" t="inlineStr">
        <is>
          <t>iOS</t>
        </is>
      </c>
      <c r="C368" s="268" t="n">
        <v>9696</v>
      </c>
      <c r="D368" s="268" t="n">
        <v>49353</v>
      </c>
      <c r="E368" s="269" t="n">
        <v>5.09003712871287</v>
      </c>
      <c r="F368" s="270" t="n">
        <v>0.752125874597289</v>
      </c>
      <c r="G368" s="271" t="n">
        <v>13.39</v>
      </c>
      <c r="H368" s="271" t="n">
        <v>20.67</v>
      </c>
      <c r="I368" s="142" t="n">
        <v>0.281</v>
      </c>
      <c r="J368" s="142" t="n">
        <v>0.135</v>
      </c>
      <c r="K368" s="142" t="n">
        <v>0.077</v>
      </c>
      <c r="L368" s="270" t="n">
        <v>9.27072315766012</v>
      </c>
      <c r="M368" s="272" t="n">
        <v>11.9856746297084</v>
      </c>
      <c r="N368" s="270" t="n">
        <v>19.5179001550797</v>
      </c>
      <c r="O368" s="273" t="n">
        <v>0.614086276416834</v>
      </c>
      <c r="P368" s="270" t="n">
        <v>2.64483452667701</v>
      </c>
      <c r="Q368" s="270" t="n">
        <v>4.17309532451249</v>
      </c>
      <c r="R368" s="270" t="n">
        <v>1.17312832019006</v>
      </c>
      <c r="S368" s="270" t="n">
        <v>6.33193651631636</v>
      </c>
      <c r="T368" s="270" t="n">
        <v>1.71448840201934</v>
      </c>
      <c r="U368" s="270" t="n">
        <v>0.44547464282179</v>
      </c>
      <c r="V368" s="270" t="n">
        <v>2.07763882931336</v>
      </c>
      <c r="W368" s="270" t="n">
        <v>0.957303593229287</v>
      </c>
      <c r="X368" s="274" t="n">
        <v>0.0151561201953275</v>
      </c>
      <c r="Y368" s="269" t="n">
        <v>12.0008307499038</v>
      </c>
      <c r="Z368" s="275" t="n">
        <v>610</v>
      </c>
      <c r="AA368" s="275" t="n">
        <v>409</v>
      </c>
      <c r="AB368" s="270" t="n">
        <v>4432.9</v>
      </c>
      <c r="AD368" s="276" t="n">
        <v>0.0123599375924463</v>
      </c>
      <c r="AE368" s="141" t="n">
        <v>0.00828723684477134</v>
      </c>
      <c r="AF368" s="270" t="n">
        <v>7.26704918032787</v>
      </c>
      <c r="AG368" s="277" t="n">
        <v>0.0898202743500902</v>
      </c>
      <c r="AH368" s="131" t="n">
        <v>0.470090759075908</v>
      </c>
      <c r="AI368" s="131" t="n">
        <v>0.319100660066007</v>
      </c>
      <c r="AJ368" s="270" t="n">
        <v>0.378943529268737</v>
      </c>
      <c r="AK368" s="130" t="n">
        <v>0.252142726885904</v>
      </c>
      <c r="AL368" s="130" t="n">
        <v>0.0421250987781898</v>
      </c>
      <c r="AM368" s="133" t="n">
        <v>0.324458492898101</v>
      </c>
      <c r="AN368" s="308" t="n">
        <v>6.595</v>
      </c>
    </row>
    <row customHeight="1" ht="13.5" r="369" s="3">
      <c r="A369" s="117" t="n">
        <v>43710</v>
      </c>
      <c r="B369" s="289" t="inlineStr">
        <is>
          <t>iOS</t>
        </is>
      </c>
      <c r="C369" s="268" t="n">
        <v>12331</v>
      </c>
      <c r="D369" s="268" t="n">
        <v>52584</v>
      </c>
      <c r="E369" s="269" t="n">
        <v>4.26437434109156</v>
      </c>
      <c r="F369" s="270" t="n">
        <v>0.76820569528754</v>
      </c>
      <c r="G369" s="271" t="n">
        <v>14.45</v>
      </c>
      <c r="H369" s="271" t="n">
        <v>21.32</v>
      </c>
      <c r="I369" s="142" t="n">
        <v>0.287</v>
      </c>
      <c r="J369" s="142" t="n">
        <v>0.137</v>
      </c>
      <c r="K369" s="142" t="n">
        <v>0.079</v>
      </c>
      <c r="L369" s="270" t="n">
        <v>9.09982123839951</v>
      </c>
      <c r="M369" s="272" t="n">
        <v>11.3863342461585</v>
      </c>
      <c r="N369" s="270" t="n">
        <v>18.7129328666083</v>
      </c>
      <c r="O369" s="273" t="n">
        <v>0.608474060550738</v>
      </c>
      <c r="P369" s="270" t="n">
        <v>2.58741717714714</v>
      </c>
      <c r="Q369" s="270" t="n">
        <v>4.07057132141518</v>
      </c>
      <c r="R369" s="270" t="n">
        <v>1.12389048631079</v>
      </c>
      <c r="S369" s="270" t="n">
        <v>5.86654581822728</v>
      </c>
      <c r="T369" s="270" t="n">
        <v>1.66511438929866</v>
      </c>
      <c r="U369" s="270" t="n">
        <v>0.452337792224028</v>
      </c>
      <c r="V369" s="270" t="n">
        <v>2.00984498062258</v>
      </c>
      <c r="W369" s="270" t="n">
        <v>0.93721090136267</v>
      </c>
      <c r="X369" s="274" t="n">
        <v>0.0114483493077742</v>
      </c>
      <c r="Y369" s="269" t="n">
        <v>11.3977825954663</v>
      </c>
      <c r="Z369" s="275" t="n">
        <v>649</v>
      </c>
      <c r="AA369" s="275" t="n">
        <v>446</v>
      </c>
      <c r="AB369" s="270" t="n">
        <v>4973.51</v>
      </c>
      <c r="AD369" s="276" t="n">
        <v>0.0123421573102084</v>
      </c>
      <c r="AE369" s="141" t="n">
        <v>0.008481667427354331</v>
      </c>
      <c r="AF369" s="270" t="n">
        <v>7.66334360554699</v>
      </c>
      <c r="AG369" s="277" t="n">
        <v>0.0945821923018408</v>
      </c>
      <c r="AH369" s="131" t="n">
        <v>0.432973805855162</v>
      </c>
      <c r="AI369" s="131" t="n">
        <v>0.291784932284486</v>
      </c>
      <c r="AJ369" s="270" t="n">
        <v>0.390460976722958</v>
      </c>
      <c r="AK369" s="130" t="n">
        <v>0.248155332420508</v>
      </c>
      <c r="AL369" s="130" t="n">
        <v>0.0427696637760536</v>
      </c>
      <c r="AM369" s="133" t="n">
        <v>0.304712460063898</v>
      </c>
      <c r="AN369" s="308" t="n">
        <v>6.452</v>
      </c>
    </row>
    <row customHeight="1" ht="13.5" r="370" s="3">
      <c r="A370" s="117" t="n">
        <v>43711</v>
      </c>
      <c r="B370" s="289" t="inlineStr">
        <is>
          <t>iOS</t>
        </is>
      </c>
      <c r="C370" s="268" t="n">
        <v>10905</v>
      </c>
      <c r="D370" s="268" t="n">
        <v>51813</v>
      </c>
      <c r="E370" s="269" t="n">
        <v>4.75130674002751</v>
      </c>
      <c r="F370" s="270" t="n">
        <v>0.7728631717908629</v>
      </c>
      <c r="G370" s="271" t="n">
        <v>16.1</v>
      </c>
      <c r="H370" s="271" t="n">
        <v>24.25</v>
      </c>
      <c r="I370" s="142" t="n">
        <v>0.286</v>
      </c>
      <c r="J370" s="142" t="n">
        <v>0.144</v>
      </c>
      <c r="K370" s="142" t="n">
        <v>0.08</v>
      </c>
      <c r="L370" s="270" t="n">
        <v>8.85524868276301</v>
      </c>
      <c r="M370" s="272" t="n">
        <v>10.2013973327157</v>
      </c>
      <c r="N370" s="270" t="n">
        <v>17.0022195059187</v>
      </c>
      <c r="O370" s="273" t="n">
        <v>0.600003860035126</v>
      </c>
      <c r="P370" s="270" t="n">
        <v>2.39397838394236</v>
      </c>
      <c r="Q370" s="270" t="n">
        <v>3.75945702521873</v>
      </c>
      <c r="R370" s="270" t="n">
        <v>0.96503474009264</v>
      </c>
      <c r="S370" s="270" t="n">
        <v>5.14510422027792</v>
      </c>
      <c r="T370" s="270" t="n">
        <v>1.52698790530108</v>
      </c>
      <c r="U370" s="270" t="n">
        <v>0.460595728255275</v>
      </c>
      <c r="V370" s="270" t="n">
        <v>1.86055712815234</v>
      </c>
      <c r="W370" s="270" t="n">
        <v>0.890504374678332</v>
      </c>
      <c r="X370" s="274" t="n">
        <v>0.0123135120529597</v>
      </c>
      <c r="Y370" s="269" t="n">
        <v>10.2137108447687</v>
      </c>
      <c r="Z370" s="275" t="n">
        <v>608</v>
      </c>
      <c r="AA370" s="275" t="n">
        <v>379</v>
      </c>
      <c r="AB370" s="270" t="n">
        <v>5132.92</v>
      </c>
      <c r="AD370" s="276" t="n">
        <v>0.0117345067840117</v>
      </c>
      <c r="AE370" s="141" t="n">
        <v>0.00731476656437574</v>
      </c>
      <c r="AF370" s="270" t="n">
        <v>8.442302631578951</v>
      </c>
      <c r="AG370" s="277" t="n">
        <v>0.0990662575029433</v>
      </c>
      <c r="AH370" s="131" t="n">
        <v>0.46079779917469</v>
      </c>
      <c r="AI370" s="131" t="n">
        <v>0.324071526822558</v>
      </c>
      <c r="AJ370" s="270" t="n">
        <v>0.418678709976261</v>
      </c>
      <c r="AK370" s="130" t="n">
        <v>0.268214540752321</v>
      </c>
      <c r="AL370" s="130" t="n">
        <v>0.0468222260822573</v>
      </c>
      <c r="AM370" s="133" t="n">
        <v>0.257850346438153</v>
      </c>
      <c r="AN370" s="308" t="n">
        <v>5.94</v>
      </c>
    </row>
    <row customFormat="1" customHeight="1" ht="13.95" r="371" s="294">
      <c r="A371" s="121" t="n">
        <v>43712</v>
      </c>
      <c r="B371" s="295" t="inlineStr">
        <is>
          <t>iOS</t>
        </is>
      </c>
      <c r="C371" s="296" t="n">
        <v>11371</v>
      </c>
      <c r="D371" s="296" t="n">
        <v>49931</v>
      </c>
      <c r="E371" s="297" t="n">
        <v>4.39108257848914</v>
      </c>
      <c r="F371" s="294" t="n">
        <v>0.766250575394044</v>
      </c>
      <c r="G371" s="306" t="n">
        <v>18.81</v>
      </c>
      <c r="H371" s="306" t="n">
        <v>27.67</v>
      </c>
      <c r="I371" s="124" t="n">
        <v>0.297</v>
      </c>
      <c r="J371" s="124" t="n">
        <v>0.145</v>
      </c>
      <c r="K371" s="124" t="n">
        <v>0.078</v>
      </c>
      <c r="L371" s="294" t="n">
        <v>7.92613807053734</v>
      </c>
      <c r="M371" s="299" t="n">
        <v>9.140674130299811</v>
      </c>
      <c r="N371" s="294" t="n">
        <v>15.2770878661088</v>
      </c>
      <c r="O371" s="300" t="n">
        <v>0.598325689451443</v>
      </c>
      <c r="P371" s="294" t="n">
        <v>2.24873640167364</v>
      </c>
      <c r="Q371" s="294" t="n">
        <v>3.35330543933054</v>
      </c>
      <c r="R371" s="294" t="n">
        <v>0.845589958158996</v>
      </c>
      <c r="S371" s="294" t="n">
        <v>4.40652719665272</v>
      </c>
      <c r="T371" s="294" t="n">
        <v>1.36130543933054</v>
      </c>
      <c r="U371" s="294" t="n">
        <v>0.526125523012552</v>
      </c>
      <c r="V371" s="294" t="n">
        <v>1.66286192468619</v>
      </c>
      <c r="W371" s="294" t="n">
        <v>0.841405857740586</v>
      </c>
      <c r="X371" s="301" t="n">
        <v>0.0100739019847389</v>
      </c>
      <c r="Y371" s="297" t="n">
        <v>9.15074803228455</v>
      </c>
      <c r="Z371" s="293" t="n">
        <v>486</v>
      </c>
      <c r="AA371" s="293" t="n">
        <v>305</v>
      </c>
      <c r="AB371" s="294" t="n">
        <v>4044.14</v>
      </c>
      <c r="AD371" s="303" t="n">
        <v>0.00973343213634816</v>
      </c>
      <c r="AE371" s="123" t="n">
        <v>0.00610842963289339</v>
      </c>
      <c r="AF371" s="294" t="n">
        <v>8.321275720164611</v>
      </c>
      <c r="AG371" s="304" t="n">
        <v>0.08099457251006389</v>
      </c>
      <c r="AH371" s="135" t="n">
        <v>0.444639873362061</v>
      </c>
      <c r="AI371" s="135" t="n">
        <v>0.302875736522733</v>
      </c>
      <c r="AJ371" s="294" t="n">
        <v>0.485429893252689</v>
      </c>
      <c r="AK371" s="136" t="n">
        <v>0.285053373655645</v>
      </c>
      <c r="AL371" s="136" t="n">
        <v>0.0509903667060544</v>
      </c>
      <c r="AM371" s="137" t="n">
        <v>0</v>
      </c>
      <c r="AN371" s="307" t="n">
        <v>6.651</v>
      </c>
    </row>
    <row customHeight="1" ht="13.5" r="372" s="3">
      <c r="A372" s="117" t="n">
        <v>43713</v>
      </c>
      <c r="B372" s="267" t="inlineStr">
        <is>
          <t>iOS</t>
        </is>
      </c>
      <c r="C372" s="268" t="n">
        <v>7812</v>
      </c>
      <c r="D372" s="268" t="n">
        <v>45987</v>
      </c>
      <c r="E372" s="269" t="n">
        <v>5.88671274961598</v>
      </c>
      <c r="F372" s="270" t="n">
        <v>0.705702934046578</v>
      </c>
      <c r="G372" s="271" t="n">
        <v>17.94</v>
      </c>
      <c r="H372" s="271" t="n">
        <v>26.81</v>
      </c>
      <c r="I372" s="142" t="n">
        <v>0.31</v>
      </c>
      <c r="J372" s="142" t="n">
        <v>0.149</v>
      </c>
      <c r="K372" s="142" t="n">
        <v>0.08400000000000001</v>
      </c>
      <c r="L372" s="270" t="n">
        <v>7.96755604844847</v>
      </c>
      <c r="M372" s="272" t="n">
        <v>9.505425446321791</v>
      </c>
      <c r="N372" s="270" t="n">
        <v>15.4009794595356</v>
      </c>
      <c r="O372" s="273" t="n">
        <v>0.617196164133342</v>
      </c>
      <c r="P372" s="270" t="n">
        <v>2.27530564070042</v>
      </c>
      <c r="Q372" s="270" t="n">
        <v>3.43194870168763</v>
      </c>
      <c r="R372" s="270" t="n">
        <v>0.836240002818588</v>
      </c>
      <c r="S372" s="270" t="n">
        <v>4.42176655039989</v>
      </c>
      <c r="T372" s="270" t="n">
        <v>1.39897121516401</v>
      </c>
      <c r="U372" s="270" t="n">
        <v>0.52126272768911</v>
      </c>
      <c r="V372" s="270" t="n">
        <v>1.67610893844907</v>
      </c>
      <c r="W372" s="270" t="n">
        <v>0.839375682626925</v>
      </c>
      <c r="X372" s="274" t="n">
        <v>0.0106769304368626</v>
      </c>
      <c r="Y372" s="269" t="n">
        <v>9.516102376758649</v>
      </c>
      <c r="Z372" s="275" t="n">
        <v>431</v>
      </c>
      <c r="AA372" s="275" t="n">
        <v>307</v>
      </c>
      <c r="AB372" s="270" t="n">
        <v>2708.69</v>
      </c>
      <c r="AD372" s="276" t="n">
        <v>0.00937221388653315</v>
      </c>
      <c r="AE372" s="141" t="n">
        <v>0.00667579968251897</v>
      </c>
      <c r="AF372" s="270" t="n">
        <v>6.28466357308585</v>
      </c>
      <c r="AG372" s="277" t="n">
        <v>0.0589012112118642</v>
      </c>
      <c r="AH372" s="131" t="n">
        <v>0.506272401433692</v>
      </c>
      <c r="AI372" s="131" t="n">
        <v>0.408218125960061</v>
      </c>
      <c r="AJ372" s="270" t="n">
        <v>0.495313893056733</v>
      </c>
      <c r="AK372" s="130" t="n">
        <v>0.308543718877074</v>
      </c>
      <c r="AL372" s="130" t="n">
        <v>0.0533629069084741</v>
      </c>
      <c r="AM372" s="133" t="n">
        <v>0</v>
      </c>
      <c r="AN372" s="308" t="n">
        <v>6.946</v>
      </c>
    </row>
    <row customHeight="1" ht="13.5" r="373" s="3">
      <c r="A373" s="117" t="n">
        <v>43714</v>
      </c>
      <c r="B373" s="267" t="inlineStr">
        <is>
          <t>iOS</t>
        </is>
      </c>
      <c r="C373" s="268" t="n">
        <v>6420</v>
      </c>
      <c r="D373" s="268" t="n">
        <v>43574</v>
      </c>
      <c r="E373" s="269" t="n">
        <v>6.78722741433022</v>
      </c>
      <c r="F373" s="270" t="n">
        <v>0.620319052531326</v>
      </c>
      <c r="G373" s="271" t="n">
        <v>15.73</v>
      </c>
      <c r="H373" s="271" t="n">
        <v>23.67</v>
      </c>
      <c r="I373" s="142" t="n">
        <v>0.295</v>
      </c>
      <c r="J373" s="142" t="n">
        <v>0.153</v>
      </c>
      <c r="K373" s="142" t="n">
        <v>0.082</v>
      </c>
      <c r="L373" s="270" t="n">
        <v>7.69050351126819</v>
      </c>
      <c r="M373" s="272" t="n">
        <v>9.189769128379311</v>
      </c>
      <c r="N373" s="270" t="n">
        <v>15.0020605424846</v>
      </c>
      <c r="O373" s="273" t="n">
        <v>0.612567127185937</v>
      </c>
      <c r="P373" s="270" t="n">
        <v>2.25078675258504</v>
      </c>
      <c r="Q373" s="270" t="n">
        <v>3.35587441930166</v>
      </c>
      <c r="R373" s="270" t="n">
        <v>0.819983515660123</v>
      </c>
      <c r="S373" s="270" t="n">
        <v>4.22879514461262</v>
      </c>
      <c r="T373" s="270" t="n">
        <v>1.38989210250262</v>
      </c>
      <c r="U373" s="270" t="n">
        <v>0.512101004046156</v>
      </c>
      <c r="V373" s="270" t="n">
        <v>1.61688895549228</v>
      </c>
      <c r="W373" s="270" t="n">
        <v>0.82773864828413</v>
      </c>
      <c r="X373" s="274" t="n">
        <v>0.00996006793041722</v>
      </c>
      <c r="Y373" s="269" t="n">
        <v>9.199729196309731</v>
      </c>
      <c r="Z373" s="275" t="n">
        <v>408</v>
      </c>
      <c r="AA373" s="275" t="n">
        <v>293</v>
      </c>
      <c r="AB373" s="270" t="n">
        <v>2496.92</v>
      </c>
      <c r="AD373" s="276" t="n">
        <v>0.00936338183320329</v>
      </c>
      <c r="AE373" s="141" t="n">
        <v>0.0067241933262955</v>
      </c>
      <c r="AF373" s="270" t="n">
        <v>6.11990196078431</v>
      </c>
      <c r="AG373" s="277" t="n">
        <v>0.057302978840593</v>
      </c>
      <c r="AH373" s="131" t="n">
        <v>0.487071651090343</v>
      </c>
      <c r="AI373" s="131" t="n">
        <v>0.393457943925234</v>
      </c>
      <c r="AJ373" s="270" t="n">
        <v>0.485518887409923</v>
      </c>
      <c r="AK373" s="130" t="n">
        <v>0.315715793822004</v>
      </c>
      <c r="AL373" s="130" t="n">
        <v>0.0545049800339652</v>
      </c>
      <c r="AM373" s="133" t="n">
        <v>0</v>
      </c>
      <c r="AN373" s="308" t="n">
        <v>5.344</v>
      </c>
    </row>
    <row customHeight="1" ht="13.5" r="374" s="3">
      <c r="A374" s="117" t="n">
        <v>43715</v>
      </c>
      <c r="B374" s="289" t="inlineStr">
        <is>
          <t>iOS</t>
        </is>
      </c>
      <c r="C374" s="268" t="n">
        <v>6505</v>
      </c>
      <c r="D374" s="268" t="n">
        <v>42603</v>
      </c>
      <c r="E374" s="269" t="n">
        <v>6.54926979246733</v>
      </c>
      <c r="F374" s="270" t="n">
        <v>0.853155358636716</v>
      </c>
      <c r="G374" s="271" t="n">
        <v>13.68</v>
      </c>
      <c r="H374" s="271" t="n">
        <v>20.38</v>
      </c>
      <c r="I374" s="142" t="n">
        <v>0.286</v>
      </c>
      <c r="J374" s="142" t="n">
        <v>0.149</v>
      </c>
      <c r="K374" s="142" t="n">
        <v>0.082</v>
      </c>
      <c r="L374" s="270" t="n">
        <v>10.2835715794662</v>
      </c>
      <c r="M374" s="272" t="n">
        <v>13.229725606178</v>
      </c>
      <c r="N374" s="270" t="n">
        <v>21.0575356795935</v>
      </c>
      <c r="O374" s="273" t="n">
        <v>0.628265615097528</v>
      </c>
      <c r="P374" s="270" t="n">
        <v>2.75199880445341</v>
      </c>
      <c r="Q374" s="270" t="n">
        <v>4.06911753717403</v>
      </c>
      <c r="R374" s="270" t="n">
        <v>1.32571172382874</v>
      </c>
      <c r="S374" s="270" t="n">
        <v>7.48722259583053</v>
      </c>
      <c r="T374" s="270" t="n">
        <v>1.78801464544571</v>
      </c>
      <c r="U374" s="270" t="n">
        <v>0.43039677202421</v>
      </c>
      <c r="V374" s="270" t="n">
        <v>2.26978255996413</v>
      </c>
      <c r="W374" s="270" t="n">
        <v>0.9352910408727489</v>
      </c>
      <c r="X374" s="274" t="n">
        <v>0.0115719550266413</v>
      </c>
      <c r="Y374" s="269" t="n">
        <v>13.2412975612046</v>
      </c>
      <c r="Z374" s="275" t="n">
        <v>624</v>
      </c>
      <c r="AA374" s="275" t="n">
        <v>425</v>
      </c>
      <c r="AB374" s="270" t="n">
        <v>4719.76</v>
      </c>
      <c r="AD374" s="276" t="n">
        <v>0.0146468558552215</v>
      </c>
      <c r="AE374" s="141" t="n">
        <v>0.00997582329882872</v>
      </c>
      <c r="AF374" s="270" t="n">
        <v>7.56371794871795</v>
      </c>
      <c r="AG374" s="277" t="n">
        <v>0.110784686524423</v>
      </c>
      <c r="AH374" s="131" t="n">
        <v>0.486702536510377</v>
      </c>
      <c r="AI374" s="131" t="n">
        <v>0.353881629515757</v>
      </c>
      <c r="AJ374" s="270" t="n">
        <v>0.381311175269347</v>
      </c>
      <c r="AK374" s="130" t="n">
        <v>0.271530173931413</v>
      </c>
      <c r="AL374" s="130" t="n">
        <v>0.0480717320376499</v>
      </c>
      <c r="AM374" s="133" t="n">
        <v>0.351806210830223</v>
      </c>
      <c r="AN374" s="308" t="n">
        <v>4.77</v>
      </c>
    </row>
    <row customHeight="1" ht="13.5" r="375" s="3">
      <c r="A375" s="117" t="n">
        <v>43716</v>
      </c>
      <c r="B375" s="289" t="inlineStr">
        <is>
          <t>iOS</t>
        </is>
      </c>
      <c r="C375" s="268" t="n">
        <v>7496</v>
      </c>
      <c r="D375" s="268" t="n">
        <v>43719</v>
      </c>
      <c r="E375" s="269" t="n">
        <v>5.83231056563501</v>
      </c>
      <c r="F375" s="270" t="n">
        <v>0.8038080890002059</v>
      </c>
      <c r="G375" s="271" t="n">
        <v>13.54</v>
      </c>
      <c r="H375" s="271" t="n">
        <v>20.92</v>
      </c>
      <c r="I375" s="142" t="n">
        <v>0.311</v>
      </c>
      <c r="J375" s="142" t="n">
        <v>0.143</v>
      </c>
      <c r="K375" s="142" t="n">
        <v>0.083</v>
      </c>
      <c r="L375" s="270" t="n">
        <v>9.462819369152999</v>
      </c>
      <c r="M375" s="272" t="n">
        <v>12.3864452526362</v>
      </c>
      <c r="N375" s="270" t="n">
        <v>19.8556447768856</v>
      </c>
      <c r="O375" s="273" t="n">
        <v>0.6238248816304121</v>
      </c>
      <c r="P375" s="270" t="n">
        <v>2.65570344296557</v>
      </c>
      <c r="Q375" s="270" t="n">
        <v>4.16323836761632</v>
      </c>
      <c r="R375" s="270" t="n">
        <v>1.22212444542221</v>
      </c>
      <c r="S375" s="270" t="n">
        <v>6.56660433395666</v>
      </c>
      <c r="T375" s="270" t="n">
        <v>1.75415245847542</v>
      </c>
      <c r="U375" s="270" t="n">
        <v>0.43420232464342</v>
      </c>
      <c r="V375" s="270" t="n">
        <v>2.1130055366113</v>
      </c>
      <c r="W375" s="270" t="n">
        <v>0.946613867194661</v>
      </c>
      <c r="X375" s="274" t="n">
        <v>0.0115052951805851</v>
      </c>
      <c r="Y375" s="269" t="n">
        <v>12.3979505478167</v>
      </c>
      <c r="Z375" s="275" t="n">
        <v>568</v>
      </c>
      <c r="AA375" s="275" t="n">
        <v>406</v>
      </c>
      <c r="AB375" s="270" t="n">
        <v>4560.32</v>
      </c>
      <c r="AD375" s="276" t="n">
        <v>0.0129920629474599</v>
      </c>
      <c r="AE375" s="141" t="n">
        <v>0.009286580205402691</v>
      </c>
      <c r="AF375" s="270" t="n">
        <v>8.0287323943662</v>
      </c>
      <c r="AG375" s="277" t="n">
        <v>0.104309796655916</v>
      </c>
      <c r="AH375" s="131" t="n">
        <v>0.476520811099253</v>
      </c>
      <c r="AI375" s="131" t="n">
        <v>0.336846318036286</v>
      </c>
      <c r="AJ375" s="270" t="n">
        <v>0.386399505935634</v>
      </c>
      <c r="AK375" s="130" t="n">
        <v>0.265513849813582</v>
      </c>
      <c r="AL375" s="130" t="n">
        <v>0.0484000091493401</v>
      </c>
      <c r="AM375" s="133" t="n">
        <v>0.345684942473524</v>
      </c>
      <c r="AN375" s="308" t="n">
        <v>5.578</v>
      </c>
    </row>
    <row customHeight="1" ht="13.5" r="376" s="3">
      <c r="A376" s="117" t="n">
        <v>43717</v>
      </c>
      <c r="B376" s="289" t="inlineStr">
        <is>
          <t>iOS</t>
        </is>
      </c>
      <c r="C376" s="268" t="n">
        <v>7289</v>
      </c>
      <c r="D376" s="268" t="n">
        <v>44703</v>
      </c>
      <c r="E376" s="269" t="n">
        <v>6.13294004664563</v>
      </c>
      <c r="F376" s="270" t="n">
        <v>0.729856510972418</v>
      </c>
      <c r="G376" s="271" t="n">
        <v>13.15</v>
      </c>
      <c r="H376" s="271" t="n">
        <v>19.7</v>
      </c>
      <c r="I376" s="142" t="n">
        <v>0.303</v>
      </c>
      <c r="J376" s="142" t="n">
        <v>0.156</v>
      </c>
      <c r="K376" s="142" t="n">
        <v>0.094</v>
      </c>
      <c r="L376" s="270" t="n">
        <v>9.296691497214949</v>
      </c>
      <c r="M376" s="272" t="n">
        <v>11.9075229850346</v>
      </c>
      <c r="N376" s="270" t="n">
        <v>18.7568977060502</v>
      </c>
      <c r="O376" s="273" t="n">
        <v>0.634834351162114</v>
      </c>
      <c r="P376" s="270" t="n">
        <v>2.56548856548857</v>
      </c>
      <c r="Q376" s="270" t="n">
        <v>4.11853835582649</v>
      </c>
      <c r="R376" s="270" t="n">
        <v>1.11082138200782</v>
      </c>
      <c r="S376" s="270" t="n">
        <v>5.89079953486733</v>
      </c>
      <c r="T376" s="270" t="n">
        <v>1.70643785898023</v>
      </c>
      <c r="U376" s="270" t="n">
        <v>0.437858980231862</v>
      </c>
      <c r="V376" s="270" t="n">
        <v>2.01931005320836</v>
      </c>
      <c r="W376" s="270" t="n">
        <v>0.9076429754395861</v>
      </c>
      <c r="X376" s="274" t="n">
        <v>0.0111849316600676</v>
      </c>
      <c r="Y376" s="269" t="n">
        <v>11.9187079166946</v>
      </c>
      <c r="Z376" s="275" t="n">
        <v>483</v>
      </c>
      <c r="AA376" s="275" t="n">
        <v>336</v>
      </c>
      <c r="AB376" s="270" t="n">
        <v>3592.17</v>
      </c>
      <c r="AD376" s="276" t="n">
        <v>0.0108046439836253</v>
      </c>
      <c r="AE376" s="141" t="n">
        <v>0.0075162740755654</v>
      </c>
      <c r="AF376" s="270" t="n">
        <v>7.4372049689441</v>
      </c>
      <c r="AG376" s="277" t="n">
        <v>0.08035635192268981</v>
      </c>
      <c r="AH376" s="131" t="n">
        <v>0.50185210591302</v>
      </c>
      <c r="AI376" s="131" t="n">
        <v>0.36452188228838</v>
      </c>
      <c r="AJ376" s="270" t="n">
        <v>0.401583786323066</v>
      </c>
      <c r="AK376" s="130" t="n">
        <v>0.26987003109411</v>
      </c>
      <c r="AL376" s="130" t="n">
        <v>0.048341274634812</v>
      </c>
      <c r="AM376" s="133" t="n">
        <v>0.336934881327875</v>
      </c>
      <c r="AN376" s="308" t="n">
        <v>5.103</v>
      </c>
    </row>
    <row customHeight="1" ht="13.5" r="377" s="3">
      <c r="A377" s="117" t="n">
        <v>43718</v>
      </c>
      <c r="B377" s="289" t="inlineStr">
        <is>
          <t>iOS</t>
        </is>
      </c>
      <c r="C377" s="268" t="n">
        <v>6925</v>
      </c>
      <c r="D377" s="268" t="n">
        <v>42945</v>
      </c>
      <c r="E377" s="269" t="n">
        <v>6.2014440433213</v>
      </c>
      <c r="F377" s="270" t="n">
        <v>0.757077516590988</v>
      </c>
      <c r="G377" s="271" t="n">
        <v>15.37</v>
      </c>
      <c r="H377" s="271" t="n">
        <v>23.11</v>
      </c>
      <c r="I377" s="142" t="n">
        <v>0.317</v>
      </c>
      <c r="J377" s="142" t="n">
        <v>0.159</v>
      </c>
      <c r="K377" s="142" t="n">
        <v>0.08699999999999999</v>
      </c>
      <c r="L377" s="270" t="n">
        <v>9.030178134823609</v>
      </c>
      <c r="M377" s="272" t="n">
        <v>11.2783793223891</v>
      </c>
      <c r="N377" s="270" t="n">
        <v>17.9835146474585</v>
      </c>
      <c r="O377" s="273" t="n">
        <v>0.627151007102107</v>
      </c>
      <c r="P377" s="270" t="n">
        <v>2.49849626851817</v>
      </c>
      <c r="Q377" s="270" t="n">
        <v>3.85623584450303</v>
      </c>
      <c r="R377" s="270" t="n">
        <v>1.061003230238</v>
      </c>
      <c r="S377" s="270" t="n">
        <v>5.58188838970779</v>
      </c>
      <c r="T377" s="270" t="n">
        <v>1.6544759217317</v>
      </c>
      <c r="U377" s="270" t="n">
        <v>0.470575130880333</v>
      </c>
      <c r="V377" s="270" t="n">
        <v>1.95362566368396</v>
      </c>
      <c r="W377" s="270" t="n">
        <v>0.907214198195522</v>
      </c>
      <c r="X377" s="274" t="n">
        <v>0.0141110723017813</v>
      </c>
      <c r="Y377" s="269" t="n">
        <v>11.2924903946909</v>
      </c>
      <c r="Z377" s="275" t="n">
        <v>486</v>
      </c>
      <c r="AA377" s="275" t="n">
        <v>346</v>
      </c>
      <c r="AB377" s="270" t="n">
        <v>3412.14</v>
      </c>
      <c r="AD377" s="276" t="n">
        <v>0.0113168005588543</v>
      </c>
      <c r="AE377" s="141" t="n">
        <v>0.008056816858772849</v>
      </c>
      <c r="AF377" s="270" t="n">
        <v>7.02086419753086</v>
      </c>
      <c r="AG377" s="277" t="n">
        <v>0.0794537198742578</v>
      </c>
      <c r="AH377" s="131" t="n">
        <v>0.472779783393502</v>
      </c>
      <c r="AI377" s="131" t="n">
        <v>0.353068592057762</v>
      </c>
      <c r="AJ377" s="270" t="n">
        <v>0.455489579694959</v>
      </c>
      <c r="AK377" s="130" t="n">
        <v>0.290045406915823</v>
      </c>
      <c r="AL377" s="130" t="n">
        <v>0.0566538595878449</v>
      </c>
      <c r="AM377" s="133" t="n">
        <v>0.280987309349168</v>
      </c>
      <c r="AN377" s="308" t="n">
        <v>6.719</v>
      </c>
    </row>
    <row customFormat="1" customHeight="1" ht="13.95" r="378" s="294">
      <c r="A378" s="121" t="n">
        <v>43719</v>
      </c>
      <c r="B378" s="295" t="inlineStr">
        <is>
          <t>iOS</t>
        </is>
      </c>
      <c r="C378" s="296" t="n">
        <v>5974</v>
      </c>
      <c r="D378" s="296" t="n">
        <v>39969</v>
      </c>
      <c r="E378" s="297" t="n">
        <v>6.69049213257449</v>
      </c>
      <c r="F378" s="294" t="n">
        <v>0.672937240111086</v>
      </c>
      <c r="G378" s="306" t="n">
        <v>16.46</v>
      </c>
      <c r="H378" s="306" t="n">
        <v>25.3</v>
      </c>
      <c r="I378" s="124" t="n">
        <v>0.313</v>
      </c>
      <c r="J378" s="124" t="n">
        <v>0.149</v>
      </c>
      <c r="K378" s="124" t="n">
        <v>0.08</v>
      </c>
      <c r="L378" s="294" t="n">
        <v>8.073982336310641</v>
      </c>
      <c r="M378" s="299" t="n">
        <v>9.736095473992339</v>
      </c>
      <c r="N378" s="294" t="n">
        <v>15.8665090108456</v>
      </c>
      <c r="O378" s="300" t="n">
        <v>0.613625559808852</v>
      </c>
      <c r="P378" s="294" t="n">
        <v>2.31823371116366</v>
      </c>
      <c r="Q378" s="294" t="n">
        <v>3.35199380249531</v>
      </c>
      <c r="R378" s="294" t="n">
        <v>0.92444752507543</v>
      </c>
      <c r="S378" s="294" t="n">
        <v>4.71817662888363</v>
      </c>
      <c r="T378" s="294" t="n">
        <v>1.45857457392155</v>
      </c>
      <c r="U378" s="294" t="n">
        <v>0.520182663296094</v>
      </c>
      <c r="V378" s="294" t="n">
        <v>1.71503710348202</v>
      </c>
      <c r="W378" s="294" t="n">
        <v>0.859863002527929</v>
      </c>
      <c r="X378" s="301" t="n">
        <v>0.0134354124446446</v>
      </c>
      <c r="Y378" s="297" t="n">
        <v>9.74953088643699</v>
      </c>
      <c r="Z378" s="293" t="n">
        <v>405</v>
      </c>
      <c r="AA378" s="293" t="n">
        <v>296</v>
      </c>
      <c r="AB378" s="294" t="n">
        <v>2331.95</v>
      </c>
      <c r="AD378" s="303" t="n">
        <v>0.0101328529610448</v>
      </c>
      <c r="AE378" s="123" t="n">
        <v>0.00740573944807226</v>
      </c>
      <c r="AF378" s="294" t="n">
        <v>5.7579012345679</v>
      </c>
      <c r="AG378" s="304" t="n">
        <v>0.0583439665740949</v>
      </c>
      <c r="AH378" s="135" t="n">
        <v>0.509039169735521</v>
      </c>
      <c r="AI378" s="135" t="n">
        <v>0.375795112152662</v>
      </c>
      <c r="AJ378" s="294" t="n">
        <v>0.54139458080012</v>
      </c>
      <c r="AK378" s="136" t="n">
        <v>0.322975305862043</v>
      </c>
      <c r="AL378" s="136" t="n">
        <v>0.0617728739773324</v>
      </c>
      <c r="AM378" s="137" t="n">
        <v>0</v>
      </c>
      <c r="AN378" s="307" t="n">
        <v>6.346</v>
      </c>
    </row>
    <row customHeight="1" ht="13.5" r="379" s="3">
      <c r="A379" s="117" t="n">
        <v>43720</v>
      </c>
      <c r="B379" s="267" t="inlineStr">
        <is>
          <t>iOS</t>
        </is>
      </c>
      <c r="C379" s="268" t="n">
        <v>6442</v>
      </c>
      <c r="D379" s="268" t="n">
        <v>39747</v>
      </c>
      <c r="E379" s="269" t="n">
        <v>6.16997826761875</v>
      </c>
      <c r="F379" s="270" t="n">
        <v>0.5282275967997579</v>
      </c>
      <c r="G379" s="271" t="n">
        <v>16.47</v>
      </c>
      <c r="H379" s="271" t="n">
        <v>25.21</v>
      </c>
      <c r="I379" s="142" t="n">
        <v>0.307</v>
      </c>
      <c r="J379" s="142" t="n">
        <v>0.141</v>
      </c>
      <c r="K379" s="142" t="n">
        <v>0.076</v>
      </c>
      <c r="L379" s="270" t="n">
        <v>7.83342139029361</v>
      </c>
      <c r="M379" s="272" t="n">
        <v>9.37353762548117</v>
      </c>
      <c r="N379" s="270" t="n">
        <v>15.4050031010957</v>
      </c>
      <c r="O379" s="273" t="n">
        <v>0.6084735954914841</v>
      </c>
      <c r="P379" s="270" t="n">
        <v>2.29592722762043</v>
      </c>
      <c r="Q379" s="270" t="n">
        <v>3.23642753773</v>
      </c>
      <c r="R379" s="270" t="n">
        <v>0.863469092412652</v>
      </c>
      <c r="S379" s="270" t="n">
        <v>4.49625801116395</v>
      </c>
      <c r="T379" s="270" t="n">
        <v>1.46413065949969</v>
      </c>
      <c r="U379" s="270" t="n">
        <v>0.52048790572669</v>
      </c>
      <c r="V379" s="270" t="n">
        <v>1.67992557370271</v>
      </c>
      <c r="W379" s="270" t="n">
        <v>0.848377093239611</v>
      </c>
      <c r="X379" s="274" t="n">
        <v>0.0125040883588699</v>
      </c>
      <c r="Y379" s="269" t="n">
        <v>9.38604171384004</v>
      </c>
      <c r="Z379" s="275" t="n">
        <v>389</v>
      </c>
      <c r="AA379" s="275" t="n">
        <v>285</v>
      </c>
      <c r="AB379" s="270" t="n">
        <v>2175.11</v>
      </c>
      <c r="AD379" s="276" t="n">
        <v>0.00978690215613757</v>
      </c>
      <c r="AE379" s="141" t="n">
        <v>0.00717035247943241</v>
      </c>
      <c r="AF379" s="270" t="n">
        <v>5.59154241645244</v>
      </c>
      <c r="AG379" s="277" t="n">
        <v>0.0547238785317131</v>
      </c>
      <c r="AH379" s="131" t="n">
        <v>0.48137224464452</v>
      </c>
      <c r="AI379" s="131" t="n">
        <v>0.339335610058988</v>
      </c>
      <c r="AJ379" s="270" t="n">
        <v>0.516441492439681</v>
      </c>
      <c r="AK379" s="130" t="n">
        <v>0.318690718796387</v>
      </c>
      <c r="AL379" s="130" t="n">
        <v>0.0613631217450374</v>
      </c>
      <c r="AM379" s="133" t="n">
        <v>0</v>
      </c>
      <c r="AN379" s="308" t="n">
        <v>6.361</v>
      </c>
    </row>
    <row customHeight="1" ht="13.5" r="380" s="3">
      <c r="A380" s="117" t="n">
        <v>43721</v>
      </c>
      <c r="B380" s="267" t="inlineStr">
        <is>
          <t>iOS</t>
        </is>
      </c>
      <c r="C380" s="268" t="n">
        <v>6587</v>
      </c>
      <c r="D380" s="268" t="n">
        <v>39305</v>
      </c>
      <c r="E380" s="269" t="n">
        <v>5.96705632306057</v>
      </c>
      <c r="F380" s="270" t="n">
        <v>0.518442329347411</v>
      </c>
      <c r="G380" s="271" t="n">
        <v>14.91</v>
      </c>
      <c r="H380" s="271" t="n">
        <v>22.2</v>
      </c>
      <c r="I380" s="142" t="n">
        <v>0.263</v>
      </c>
      <c r="J380" s="142" t="n">
        <v>0.121</v>
      </c>
      <c r="K380" s="142" t="n">
        <v>0.064</v>
      </c>
      <c r="L380" s="270" t="n">
        <v>7.57936649281262</v>
      </c>
      <c r="M380" s="272" t="n">
        <v>8.8445490395624</v>
      </c>
      <c r="N380" s="270" t="n">
        <v>14.9411183220871</v>
      </c>
      <c r="O380" s="273" t="n">
        <v>0.5919603103930799</v>
      </c>
      <c r="P380" s="270" t="n">
        <v>2.26513946791593</v>
      </c>
      <c r="Q380" s="270" t="n">
        <v>3.19482528903597</v>
      </c>
      <c r="R380" s="270" t="n">
        <v>0.822323462414579</v>
      </c>
      <c r="S380" s="270" t="n">
        <v>4.2890789530236</v>
      </c>
      <c r="T380" s="270" t="n">
        <v>1.44053810117334</v>
      </c>
      <c r="U380" s="270" t="n">
        <v>0.496024412257704</v>
      </c>
      <c r="V380" s="270" t="n">
        <v>1.6086302488503</v>
      </c>
      <c r="W380" s="270" t="n">
        <v>0.824558387415653</v>
      </c>
      <c r="X380" s="274" t="n">
        <v>0.00862485688843658</v>
      </c>
      <c r="Y380" s="269" t="n">
        <v>8.85317389645083</v>
      </c>
      <c r="Z380" s="275" t="n">
        <v>367</v>
      </c>
      <c r="AA380" s="275" t="n">
        <v>273</v>
      </c>
      <c r="AB380" s="270" t="n">
        <v>2360.33</v>
      </c>
      <c r="AD380" s="276" t="n">
        <v>0.00933723444854344</v>
      </c>
      <c r="AE380" s="141" t="n">
        <v>0.00694568121104185</v>
      </c>
      <c r="AF380" s="270" t="n">
        <v>6.43141689373297</v>
      </c>
      <c r="AG380" s="277" t="n">
        <v>0.0600516473731077</v>
      </c>
      <c r="AH380" s="131" t="n">
        <v>0.424624259905875</v>
      </c>
      <c r="AI380" s="131" t="n">
        <v>0.313799908911492</v>
      </c>
      <c r="AJ380" s="270" t="n">
        <v>0.480346011957766</v>
      </c>
      <c r="AK380" s="130" t="n">
        <v>0.307976084467625</v>
      </c>
      <c r="AL380" s="130" t="n">
        <v>0.0594072001017682</v>
      </c>
      <c r="AM380" s="133" t="n">
        <v>0</v>
      </c>
      <c r="AN380" s="308" t="n">
        <v>6.081</v>
      </c>
    </row>
    <row customHeight="1" ht="13.5" r="381" s="3">
      <c r="A381" s="117" t="n">
        <v>43722</v>
      </c>
      <c r="B381" s="289" t="inlineStr">
        <is>
          <t>iOS</t>
        </is>
      </c>
      <c r="C381" s="268" t="n">
        <v>5632</v>
      </c>
      <c r="D381" s="268" t="n">
        <v>37936</v>
      </c>
      <c r="E381" s="269" t="n">
        <v>6.73579545454545</v>
      </c>
      <c r="F381" s="270" t="n">
        <v>0.841610077129903</v>
      </c>
      <c r="G381" s="271" t="n">
        <v>12.83</v>
      </c>
      <c r="H381" s="271" t="n">
        <v>19.41</v>
      </c>
      <c r="I381" s="142" t="n">
        <v>0.268</v>
      </c>
      <c r="J381" s="142" t="n">
        <v>0.128</v>
      </c>
      <c r="K381" s="142" t="n">
        <v>0.073</v>
      </c>
      <c r="L381" s="270" t="n">
        <v>10.4752477857444</v>
      </c>
      <c r="M381" s="272" t="n">
        <v>13.4711619569802</v>
      </c>
      <c r="N381" s="270" t="n">
        <v>21.6809638963133</v>
      </c>
      <c r="O381" s="273" t="n">
        <v>0.621335934204977</v>
      </c>
      <c r="P381" s="270" t="n">
        <v>2.8238089177379</v>
      </c>
      <c r="Q381" s="270" t="n">
        <v>4.02532773323151</v>
      </c>
      <c r="R381" s="270" t="n">
        <v>1.38971617665776</v>
      </c>
      <c r="S381" s="270" t="n">
        <v>7.87832506045565</v>
      </c>
      <c r="T381" s="270" t="n">
        <v>1.87980993593823</v>
      </c>
      <c r="U381" s="270" t="n">
        <v>0.418777311102626</v>
      </c>
      <c r="V381" s="270" t="n">
        <v>2.32646048109966</v>
      </c>
      <c r="W381" s="270" t="n">
        <v>0.938738280089941</v>
      </c>
      <c r="X381" s="274" t="n">
        <v>0.0113348797975538</v>
      </c>
      <c r="Y381" s="269" t="n">
        <v>13.4824968367777</v>
      </c>
      <c r="Z381" s="275" t="n">
        <v>573</v>
      </c>
      <c r="AA381" s="275" t="n">
        <v>390</v>
      </c>
      <c r="AB381" s="270" t="n">
        <v>4323.27</v>
      </c>
      <c r="AD381" s="276" t="n">
        <v>0.0151043863348798</v>
      </c>
      <c r="AE381" s="141" t="n">
        <v>0.0102804723745255</v>
      </c>
      <c r="AF381" s="270" t="n">
        <v>7.54497382198953</v>
      </c>
      <c r="AG381" s="277" t="n">
        <v>0.113962199493884</v>
      </c>
      <c r="AH381" s="131" t="n">
        <v>0.464666193181818</v>
      </c>
      <c r="AI381" s="131" t="n">
        <v>0.327059659090909</v>
      </c>
      <c r="AJ381" s="270" t="n">
        <v>0.375790805567271</v>
      </c>
      <c r="AK381" s="130" t="n">
        <v>0.266817798397301</v>
      </c>
      <c r="AL381" s="130" t="n">
        <v>0.0531948544917756</v>
      </c>
      <c r="AM381" s="133" t="n">
        <v>0.350985870940531</v>
      </c>
      <c r="AN381" s="308" t="n">
        <v>7.17</v>
      </c>
    </row>
    <row customHeight="1" ht="13.5" r="382" s="3">
      <c r="A382" s="117" t="n">
        <v>43723</v>
      </c>
      <c r="B382" s="289" t="inlineStr">
        <is>
          <t>iOS</t>
        </is>
      </c>
      <c r="C382" s="268" t="n">
        <v>5793</v>
      </c>
      <c r="D382" s="268" t="n">
        <v>38211</v>
      </c>
      <c r="E382" s="269" t="n">
        <v>6.59606421543242</v>
      </c>
      <c r="F382" s="270" t="n">
        <v>0.771165721912538</v>
      </c>
      <c r="G382" s="271" t="n">
        <v>12.73</v>
      </c>
      <c r="H382" s="271" t="n">
        <v>20.16</v>
      </c>
      <c r="I382" s="142" t="n">
        <v>0.27</v>
      </c>
      <c r="J382" s="142" t="n">
        <v>0.135</v>
      </c>
      <c r="K382" s="142" t="n">
        <v>0.078</v>
      </c>
      <c r="L382" s="270" t="n">
        <v>9.78296825521447</v>
      </c>
      <c r="M382" s="272" t="n">
        <v>12.6905864803329</v>
      </c>
      <c r="N382" s="270" t="n">
        <v>20.4728531622055</v>
      </c>
      <c r="O382" s="273" t="n">
        <v>0.619873858313051</v>
      </c>
      <c r="P382" s="270" t="n">
        <v>2.70873089588787</v>
      </c>
      <c r="Q382" s="270" t="n">
        <v>4.11787553829266</v>
      </c>
      <c r="R382" s="270" t="n">
        <v>1.33192603225534</v>
      </c>
      <c r="S382" s="270" t="n">
        <v>6.89462129527991</v>
      </c>
      <c r="T382" s="270" t="n">
        <v>1.83796335387993</v>
      </c>
      <c r="U382" s="270" t="n">
        <v>0.425863379211348</v>
      </c>
      <c r="V382" s="270" t="n">
        <v>2.19066115004644</v>
      </c>
      <c r="W382" s="270" t="n">
        <v>0.965211517352022</v>
      </c>
      <c r="X382" s="274" t="n">
        <v>0.008662427049802411</v>
      </c>
      <c r="Y382" s="269" t="n">
        <v>12.6992489073827</v>
      </c>
      <c r="Z382" s="275" t="n">
        <v>510</v>
      </c>
      <c r="AA382" s="275" t="n">
        <v>373</v>
      </c>
      <c r="AB382" s="270" t="n">
        <v>3819.9</v>
      </c>
      <c r="AD382" s="276" t="n">
        <v>0.0133469419800581</v>
      </c>
      <c r="AE382" s="141" t="n">
        <v>0.009761586977571899</v>
      </c>
      <c r="AF382" s="270" t="n">
        <v>7.49</v>
      </c>
      <c r="AG382" s="277" t="n">
        <v>0.0999685954306351</v>
      </c>
      <c r="AH382" s="131" t="n">
        <v>0.481097876747799</v>
      </c>
      <c r="AI382" s="131" t="n">
        <v>0.339029863628517</v>
      </c>
      <c r="AJ382" s="270" t="n">
        <v>0.397477166261024</v>
      </c>
      <c r="AK382" s="130" t="n">
        <v>0.268142681426814</v>
      </c>
      <c r="AL382" s="130" t="n">
        <v>0.051843709926461</v>
      </c>
      <c r="AM382" s="133" t="n">
        <v>0.35037031221376</v>
      </c>
      <c r="AN382" s="308" t="n">
        <v>5.751</v>
      </c>
    </row>
    <row customHeight="1" ht="13.5" r="383" s="3">
      <c r="A383" s="117" t="n">
        <v>43724</v>
      </c>
      <c r="B383" s="289" t="inlineStr">
        <is>
          <t>iOS</t>
        </is>
      </c>
      <c r="C383" s="268" t="n">
        <v>10385</v>
      </c>
      <c r="D383" s="268" t="n">
        <v>43563</v>
      </c>
      <c r="E383" s="269" t="n">
        <v>4.19480019258546</v>
      </c>
      <c r="F383" s="270" t="n">
        <v>0.854654363749053</v>
      </c>
      <c r="G383" s="271" t="n">
        <v>15.46</v>
      </c>
      <c r="H383" s="271" t="n">
        <v>23.35</v>
      </c>
      <c r="I383" s="142" t="n">
        <v>0.317</v>
      </c>
      <c r="J383" s="142" t="n">
        <v>0.146</v>
      </c>
      <c r="K383" s="142" t="n">
        <v>0.076</v>
      </c>
      <c r="L383" s="270" t="n">
        <v>9.2451162683929</v>
      </c>
      <c r="M383" s="272" t="n">
        <v>11.6296857424879</v>
      </c>
      <c r="N383" s="270" t="n">
        <v>19.2720632988436</v>
      </c>
      <c r="O383" s="273" t="n">
        <v>0.603447880081721</v>
      </c>
      <c r="P383" s="270" t="n">
        <v>2.68924984783932</v>
      </c>
      <c r="Q383" s="270" t="n">
        <v>4.02061777236762</v>
      </c>
      <c r="R383" s="270" t="n">
        <v>1.23269172245892</v>
      </c>
      <c r="S383" s="270" t="n">
        <v>6.08197656725502</v>
      </c>
      <c r="T383" s="270" t="n">
        <v>1.79074102251978</v>
      </c>
      <c r="U383" s="270" t="n">
        <v>0.42745739500913</v>
      </c>
      <c r="V383" s="270" t="n">
        <v>2.09837188070603</v>
      </c>
      <c r="W383" s="270" t="n">
        <v>0.930957090687766</v>
      </c>
      <c r="X383" s="274" t="n">
        <v>0.00557812822808347</v>
      </c>
      <c r="Y383" s="269" t="n">
        <v>11.635263870716</v>
      </c>
      <c r="Z383" s="275" t="n">
        <v>604</v>
      </c>
      <c r="AA383" s="275" t="n">
        <v>385</v>
      </c>
      <c r="AB383" s="270" t="n">
        <v>4399.96</v>
      </c>
      <c r="AD383" s="276" t="n">
        <v>0.0138649771595161</v>
      </c>
      <c r="AE383" s="141" t="n">
        <v>0.00883777517618162</v>
      </c>
      <c r="AF383" s="270" t="n">
        <v>7.28470198675497</v>
      </c>
      <c r="AG383" s="277" t="n">
        <v>0.101002226660239</v>
      </c>
      <c r="AH383" s="131" t="n">
        <v>0.431680308136736</v>
      </c>
      <c r="AI383" s="131" t="n">
        <v>0.240250361097737</v>
      </c>
      <c r="AJ383" s="270" t="n">
        <v>0.381447558708078</v>
      </c>
      <c r="AK383" s="130" t="n">
        <v>0.250832128182173</v>
      </c>
      <c r="AL383" s="130" t="n">
        <v>0.0502261093129491</v>
      </c>
      <c r="AM383" s="133" t="n">
        <v>0.312880196497027</v>
      </c>
      <c r="AN383" s="308" t="n">
        <v>7.979</v>
      </c>
    </row>
    <row customHeight="1" ht="13.5" r="384" s="3">
      <c r="A384" s="117" t="n">
        <v>43725</v>
      </c>
      <c r="B384" s="289" t="inlineStr">
        <is>
          <t>iOS</t>
        </is>
      </c>
      <c r="C384" s="268" t="n">
        <v>23744</v>
      </c>
      <c r="D384" s="268" t="n">
        <v>57375</v>
      </c>
      <c r="E384" s="269" t="n">
        <v>2.41639993261455</v>
      </c>
      <c r="F384" s="270" t="n">
        <v>0.762414720941176</v>
      </c>
      <c r="G384" s="271" t="n">
        <v>18.96</v>
      </c>
      <c r="H384" s="271" t="n">
        <v>28.72</v>
      </c>
      <c r="I384" s="142" t="n">
        <v>0.304</v>
      </c>
      <c r="J384" s="142" t="n">
        <v>0.143</v>
      </c>
      <c r="K384" s="142" t="n">
        <v>0.073</v>
      </c>
      <c r="L384" s="270" t="n">
        <v>8.86072331154684</v>
      </c>
      <c r="M384" s="272" t="n">
        <v>9.316444444444439</v>
      </c>
      <c r="N384" s="270" t="n">
        <v>16.476511928981</v>
      </c>
      <c r="O384" s="273" t="n">
        <v>0.565437908496732</v>
      </c>
      <c r="P384" s="270" t="n">
        <v>2.46495283891252</v>
      </c>
      <c r="Q384" s="270" t="n">
        <v>3.39757104987362</v>
      </c>
      <c r="R384" s="270" t="n">
        <v>0.9498181369829229</v>
      </c>
      <c r="S384" s="270" t="n">
        <v>4.9396461377227</v>
      </c>
      <c r="T384" s="270" t="n">
        <v>1.51790888354602</v>
      </c>
      <c r="U384" s="270" t="n">
        <v>0.501695333210036</v>
      </c>
      <c r="V384" s="270" t="n">
        <v>1.85420134393687</v>
      </c>
      <c r="W384" s="270" t="n">
        <v>0.850718204796252</v>
      </c>
      <c r="X384" s="274" t="n">
        <v>0.00521132897603486</v>
      </c>
      <c r="Y384" s="269" t="n">
        <v>9.321655773420479</v>
      </c>
      <c r="Z384" s="275" t="n">
        <v>555</v>
      </c>
      <c r="AA384" s="275" t="n">
        <v>417</v>
      </c>
      <c r="AB384" s="270" t="n">
        <v>4290.45</v>
      </c>
      <c r="AD384" s="276" t="n">
        <v>0.009673202614379079</v>
      </c>
      <c r="AE384" s="141" t="n">
        <v>0.00726797385620915</v>
      </c>
      <c r="AF384" s="270" t="n">
        <v>7.73054054054054</v>
      </c>
      <c r="AG384" s="277" t="n">
        <v>0.07477908496732021</v>
      </c>
      <c r="AH384" s="131" t="n">
        <v>0.438005390835579</v>
      </c>
      <c r="AI384" s="131" t="n">
        <v>0.225741239892183</v>
      </c>
      <c r="AJ384" s="270" t="n">
        <v>0.374797385620915</v>
      </c>
      <c r="AK384" s="130" t="n">
        <v>0.206779956427015</v>
      </c>
      <c r="AL384" s="130" t="n">
        <v>0.0413943355119826</v>
      </c>
      <c r="AM384" s="133" t="n">
        <v>0.210178649237473</v>
      </c>
      <c r="AN384" s="308" t="n">
        <v>7.252</v>
      </c>
    </row>
    <row customFormat="1" customHeight="1" ht="13.95" r="385" s="294">
      <c r="A385" s="121" t="n">
        <v>43726</v>
      </c>
      <c r="B385" s="295" t="inlineStr">
        <is>
          <t>iOS</t>
        </is>
      </c>
      <c r="C385" s="296" t="n">
        <v>24998</v>
      </c>
      <c r="D385" s="296" t="n">
        <v>61883</v>
      </c>
      <c r="E385" s="297" t="n">
        <v>2.47551804144332</v>
      </c>
      <c r="F385" s="294" t="n">
        <v>0.7147194659599569</v>
      </c>
      <c r="G385" s="306" t="n">
        <v>21.72</v>
      </c>
      <c r="H385" s="306" t="n">
        <v>32.32</v>
      </c>
      <c r="I385" s="124" t="n">
        <v>0.313</v>
      </c>
      <c r="J385" s="124" t="n">
        <v>0.154</v>
      </c>
      <c r="K385" s="124" t="n">
        <v>0.077</v>
      </c>
      <c r="L385" s="294" t="n">
        <v>8.169529596173421</v>
      </c>
      <c r="M385" s="299" t="n">
        <v>7.87140248533523</v>
      </c>
      <c r="N385" s="294" t="n">
        <v>14.0643875960039</v>
      </c>
      <c r="O385" s="300" t="n">
        <v>0.559669052890131</v>
      </c>
      <c r="P385" s="294" t="n">
        <v>2.15744643991453</v>
      </c>
      <c r="Q385" s="294" t="n">
        <v>2.99090489114743</v>
      </c>
      <c r="R385" s="294" t="n">
        <v>0.772073684818387</v>
      </c>
      <c r="S385" s="294" t="n">
        <v>3.99272391291794</v>
      </c>
      <c r="T385" s="294" t="n">
        <v>1.26439337067621</v>
      </c>
      <c r="U385" s="294" t="n">
        <v>0.549431194779696</v>
      </c>
      <c r="V385" s="294" t="n">
        <v>1.5602009585956</v>
      </c>
      <c r="W385" s="294" t="n">
        <v>0.777213143154126</v>
      </c>
      <c r="X385" s="301" t="n">
        <v>0.00631837499798006</v>
      </c>
      <c r="Y385" s="297" t="n">
        <v>7.87772086033321</v>
      </c>
      <c r="Z385" s="293" t="n">
        <v>548</v>
      </c>
      <c r="AA385" s="293" t="n">
        <v>401</v>
      </c>
      <c r="AB385" s="294" t="n">
        <v>3531.52</v>
      </c>
      <c r="AD385" s="303" t="n">
        <v>0.00885542071328151</v>
      </c>
      <c r="AE385" s="123" t="n">
        <v>0.0064799702664706</v>
      </c>
      <c r="AF385" s="294" t="n">
        <v>6.4443795620438</v>
      </c>
      <c r="AG385" s="304" t="n">
        <v>0.0570676922579707</v>
      </c>
      <c r="AH385" s="135" t="n">
        <v>0.475838067045364</v>
      </c>
      <c r="AI385" s="135" t="n">
        <v>0.275662052964237</v>
      </c>
      <c r="AJ385" s="294" t="n">
        <v>0.433414669618474</v>
      </c>
      <c r="AK385" s="136" t="n">
        <v>0.220108915210963</v>
      </c>
      <c r="AL385" s="136" t="n">
        <v>0.0394777240922386</v>
      </c>
      <c r="AM385" s="137" t="n">
        <v>0</v>
      </c>
      <c r="AN385" s="307" t="n">
        <v>5.99</v>
      </c>
    </row>
    <row customHeight="1" ht="13.5" r="386" s="3">
      <c r="A386" s="117" t="n">
        <v>43727</v>
      </c>
      <c r="B386" s="267" t="inlineStr">
        <is>
          <t>iOS</t>
        </is>
      </c>
      <c r="C386" s="268" t="n">
        <v>31344</v>
      </c>
      <c r="D386" s="268" t="n">
        <v>71112</v>
      </c>
      <c r="E386" s="269" t="n">
        <v>2.2687595712098</v>
      </c>
      <c r="F386" s="270" t="n">
        <v>0.702454867532906</v>
      </c>
      <c r="G386" s="271" t="n">
        <v>24.05</v>
      </c>
      <c r="H386" s="271" t="n">
        <v>35.93</v>
      </c>
      <c r="I386" s="142" t="n">
        <v>0.319</v>
      </c>
      <c r="J386" s="142" t="n">
        <v>0.147</v>
      </c>
      <c r="K386" s="142" t="n">
        <v>0.07199999999999999</v>
      </c>
      <c r="L386" s="270" t="n">
        <v>7.97851276859039</v>
      </c>
      <c r="M386" s="272" t="n">
        <v>7.24336258296771</v>
      </c>
      <c r="N386" s="270" t="n">
        <v>13.2550180133814</v>
      </c>
      <c r="O386" s="273" t="n">
        <v>0.54646191922601</v>
      </c>
      <c r="P386" s="270" t="n">
        <v>2.11471950591868</v>
      </c>
      <c r="Q386" s="270" t="n">
        <v>2.83198661863098</v>
      </c>
      <c r="R386" s="270" t="n">
        <v>0.722490993309315</v>
      </c>
      <c r="S386" s="270" t="n">
        <v>3.59915079773546</v>
      </c>
      <c r="T386" s="270" t="n">
        <v>1.21109109624292</v>
      </c>
      <c r="U386" s="270" t="n">
        <v>0.548198661863098</v>
      </c>
      <c r="V386" s="270" t="n">
        <v>1.47768914050437</v>
      </c>
      <c r="W386" s="270" t="n">
        <v>0.749691199176531</v>
      </c>
      <c r="X386" s="274" t="n">
        <v>0.005863989200135</v>
      </c>
      <c r="Y386" s="269" t="n">
        <v>7.24922657216785</v>
      </c>
      <c r="Z386" s="275" t="n">
        <v>562</v>
      </c>
      <c r="AA386" s="275" t="n">
        <v>410</v>
      </c>
      <c r="AB386" s="270" t="n">
        <v>3655.38</v>
      </c>
      <c r="AD386" s="276" t="n">
        <v>0.00790302621217235</v>
      </c>
      <c r="AE386" s="141" t="n">
        <v>0.00576555293058837</v>
      </c>
      <c r="AF386" s="270" t="n">
        <v>6.50423487544484</v>
      </c>
      <c r="AG386" s="277" t="n">
        <v>0.0514031387107661</v>
      </c>
      <c r="AH386" s="131" t="n">
        <v>0.46812787136294</v>
      </c>
      <c r="AI386" s="131" t="n">
        <v>0.26056023481368</v>
      </c>
      <c r="AJ386" s="270" t="n">
        <v>0.409354258071774</v>
      </c>
      <c r="AK386" s="130" t="n">
        <v>0.20189278884014</v>
      </c>
      <c r="AL386" s="130" t="n">
        <v>0.0323011587355158</v>
      </c>
      <c r="AM386" s="133" t="n">
        <v>0</v>
      </c>
      <c r="AN386" s="308" t="n">
        <v>6.054</v>
      </c>
    </row>
    <row customHeight="1" ht="13.5" r="387" s="3">
      <c r="A387" s="117" t="n">
        <v>43728</v>
      </c>
      <c r="B387" s="267" t="inlineStr">
        <is>
          <t>iOS</t>
        </is>
      </c>
      <c r="C387" s="268" t="n">
        <v>36845</v>
      </c>
      <c r="D387" s="268" t="n">
        <v>81472</v>
      </c>
      <c r="E387" s="269" t="n">
        <v>2.21120911928348</v>
      </c>
      <c r="F387" s="270" t="n">
        <v>0.6260093855435001</v>
      </c>
      <c r="G387" s="271" t="n">
        <v>21.99</v>
      </c>
      <c r="H387" s="271" t="n">
        <v>33.09</v>
      </c>
      <c r="I387" s="142" t="n">
        <v>0.299</v>
      </c>
      <c r="J387" s="142" t="n">
        <v>0.143</v>
      </c>
      <c r="K387" s="142" t="n">
        <v>0.06900000000000001</v>
      </c>
      <c r="L387" s="270" t="n">
        <v>7.80716074234093</v>
      </c>
      <c r="M387" s="272" t="n">
        <v>6.87341663393559</v>
      </c>
      <c r="N387" s="270" t="n">
        <v>12.8757242711303</v>
      </c>
      <c r="O387" s="273" t="n">
        <v>0.533827572663001</v>
      </c>
      <c r="P387" s="270" t="n">
        <v>2.02609675342592</v>
      </c>
      <c r="Q387" s="270" t="n">
        <v>2.83399245838315</v>
      </c>
      <c r="R387" s="270" t="n">
        <v>0.700289708452129</v>
      </c>
      <c r="S387" s="270" t="n">
        <v>3.46889083049756</v>
      </c>
      <c r="T387" s="270" t="n">
        <v>1.148073208866</v>
      </c>
      <c r="U387" s="270" t="n">
        <v>0.554377816609951</v>
      </c>
      <c r="V387" s="270" t="n">
        <v>1.42299733284282</v>
      </c>
      <c r="W387" s="270" t="n">
        <v>0.721006162052791</v>
      </c>
      <c r="X387" s="274" t="n">
        <v>0.00649302827965436</v>
      </c>
      <c r="Y387" s="269" t="n">
        <v>6.87990966221524</v>
      </c>
      <c r="Z387" s="275" t="n">
        <v>682</v>
      </c>
      <c r="AA387" s="275" t="n">
        <v>486</v>
      </c>
      <c r="AB387" s="270" t="n">
        <v>4055.18</v>
      </c>
      <c r="AD387" s="276" t="n">
        <v>0.008370974076983499</v>
      </c>
      <c r="AE387" s="141" t="n">
        <v>0.0059652395915161</v>
      </c>
      <c r="AF387" s="270" t="n">
        <v>5.94601173020528</v>
      </c>
      <c r="AG387" s="277" t="n">
        <v>0.0497739100549882</v>
      </c>
      <c r="AH387" s="131" t="n">
        <v>0.469018862803637</v>
      </c>
      <c r="AI387" s="131" t="n">
        <v>0.264133532365314</v>
      </c>
      <c r="AJ387" s="270" t="n">
        <v>0.387949234092694</v>
      </c>
      <c r="AK387" s="130" t="n">
        <v>0.18975844461901</v>
      </c>
      <c r="AL387" s="130" t="n">
        <v>0.0274818342498036</v>
      </c>
      <c r="AM387" s="133" t="n">
        <v>0</v>
      </c>
      <c r="AN387" s="308" t="n">
        <v>5.733</v>
      </c>
    </row>
    <row customHeight="1" ht="13.5" r="388" s="3">
      <c r="A388" s="117" t="n">
        <v>43729</v>
      </c>
      <c r="B388" s="289" t="inlineStr">
        <is>
          <t>iOS</t>
        </is>
      </c>
      <c r="C388" s="268" t="n">
        <v>42448</v>
      </c>
      <c r="D388" s="268" t="n">
        <v>92000</v>
      </c>
      <c r="E388" s="269" t="n">
        <v>2.16735770825481</v>
      </c>
      <c r="F388" s="270" t="n">
        <v>0.702934871673913</v>
      </c>
      <c r="G388" s="271" t="n">
        <v>19.75</v>
      </c>
      <c r="H388" s="271" t="n">
        <v>30.13</v>
      </c>
      <c r="I388" s="142" t="n">
        <v>0.283</v>
      </c>
      <c r="J388" s="142" t="n">
        <v>0.125</v>
      </c>
      <c r="K388" s="142" t="n">
        <v>0.067</v>
      </c>
      <c r="L388" s="270" t="n">
        <v>8.680706521739131</v>
      </c>
      <c r="M388" s="272" t="n">
        <v>8.06557608695652</v>
      </c>
      <c r="N388" s="270" t="n">
        <v>15.2009218477927</v>
      </c>
      <c r="O388" s="273" t="n">
        <v>0.530597826086956</v>
      </c>
      <c r="P388" s="270" t="n">
        <v>2.24062275939773</v>
      </c>
      <c r="Q388" s="270" t="n">
        <v>3.10974085834272</v>
      </c>
      <c r="R388" s="270" t="n">
        <v>0.950281675714432</v>
      </c>
      <c r="S388" s="270" t="n">
        <v>4.71330533647444</v>
      </c>
      <c r="T388" s="270" t="n">
        <v>1.28554747516132</v>
      </c>
      <c r="U388" s="270" t="n">
        <v>0.489747003994674</v>
      </c>
      <c r="V388" s="270" t="n">
        <v>1.67688210591007</v>
      </c>
      <c r="W388" s="270" t="n">
        <v>0.734794632797296</v>
      </c>
      <c r="X388" s="274" t="n">
        <v>0.00628260869565217</v>
      </c>
      <c r="Y388" s="269" t="n">
        <v>8.071858695652169</v>
      </c>
      <c r="Z388" s="275" t="n">
        <v>889</v>
      </c>
      <c r="AA388" s="275" t="n">
        <v>558</v>
      </c>
      <c r="AB388" s="270" t="n">
        <v>6307.11</v>
      </c>
      <c r="AD388" s="276" t="n">
        <v>0.00966304347826087</v>
      </c>
      <c r="AE388" s="141" t="n">
        <v>0.00606521739130435</v>
      </c>
      <c r="AF388" s="270" t="n">
        <v>7.09461192350956</v>
      </c>
      <c r="AG388" s="277" t="n">
        <v>0.0685555434782609</v>
      </c>
      <c r="AH388" s="131" t="n">
        <v>0.451658499811534</v>
      </c>
      <c r="AI388" s="131" t="n">
        <v>0.248091782887297</v>
      </c>
      <c r="AJ388" s="270" t="n">
        <v>0.296532608695652</v>
      </c>
      <c r="AK388" s="130" t="n">
        <v>0.148576086956522</v>
      </c>
      <c r="AL388" s="130" t="n">
        <v>0.0206739130434783</v>
      </c>
      <c r="AM388" s="133" t="n">
        <v>0.237532608695652</v>
      </c>
      <c r="AN388" s="308" t="n">
        <v>5.493</v>
      </c>
    </row>
    <row customHeight="1" ht="13.5" r="389" s="3">
      <c r="A389" s="117" t="n">
        <v>43730</v>
      </c>
      <c r="B389" s="289" t="inlineStr">
        <is>
          <t>iOS</t>
        </is>
      </c>
      <c r="C389" s="268" t="n">
        <v>49130</v>
      </c>
      <c r="D389" s="268" t="n">
        <v>103780</v>
      </c>
      <c r="E389" s="269" t="n">
        <v>2.11235497659271</v>
      </c>
      <c r="F389" s="270" t="n">
        <v>0.67125467830025</v>
      </c>
      <c r="G389" s="271" t="n">
        <v>19.92</v>
      </c>
      <c r="H389" s="271" t="n">
        <v>30.66</v>
      </c>
      <c r="I389" s="142" t="n">
        <v>0.294</v>
      </c>
      <c r="J389" s="142" t="n">
        <v>0.137</v>
      </c>
      <c r="K389" s="142" t="n">
        <v>0.073</v>
      </c>
      <c r="L389" s="270" t="n">
        <v>8.375130082867599</v>
      </c>
      <c r="M389" s="272" t="n">
        <v>7.74702254769705</v>
      </c>
      <c r="N389" s="270" t="n">
        <v>14.4648627253427</v>
      </c>
      <c r="O389" s="273" t="n">
        <v>0.535575255347851</v>
      </c>
      <c r="P389" s="270" t="n">
        <v>2.16098737001187</v>
      </c>
      <c r="Q389" s="270" t="n">
        <v>3.0702205750063</v>
      </c>
      <c r="R389" s="270" t="n">
        <v>0.896711165485229</v>
      </c>
      <c r="S389" s="270" t="n">
        <v>4.27550286063834</v>
      </c>
      <c r="T389" s="270" t="n">
        <v>1.23986182577093</v>
      </c>
      <c r="U389" s="270" t="n">
        <v>0.511442553344608</v>
      </c>
      <c r="V389" s="270" t="n">
        <v>1.57912633586413</v>
      </c>
      <c r="W389" s="270" t="n">
        <v>0.731010039221331</v>
      </c>
      <c r="X389" s="274" t="n">
        <v>0.00400847947581422</v>
      </c>
      <c r="Y389" s="269" t="n">
        <v>7.75103102717287</v>
      </c>
      <c r="Z389" s="275" t="n">
        <v>870</v>
      </c>
      <c r="AA389" s="275" t="n">
        <v>609</v>
      </c>
      <c r="AB389" s="270" t="n">
        <v>6577.3</v>
      </c>
      <c r="AD389" s="276" t="n">
        <v>0.008383118134515319</v>
      </c>
      <c r="AE389" s="141" t="n">
        <v>0.00586818269416072</v>
      </c>
      <c r="AF389" s="270" t="n">
        <v>7.56011494252874</v>
      </c>
      <c r="AG389" s="277" t="n">
        <v>0.0633773366737329</v>
      </c>
      <c r="AH389" s="131" t="n">
        <v>0.479808670873194</v>
      </c>
      <c r="AI389" s="131" t="n">
        <v>0.274170567881132</v>
      </c>
      <c r="AJ389" s="270" t="n">
        <v>0.314877625746772</v>
      </c>
      <c r="AK389" s="130" t="n">
        <v>0.137791481981114</v>
      </c>
      <c r="AL389" s="130" t="n">
        <v>0.0194160724609751</v>
      </c>
      <c r="AM389" s="133" t="n">
        <v>0.231383696280594</v>
      </c>
      <c r="AN389" s="308" t="n">
        <v>6.222</v>
      </c>
    </row>
    <row customHeight="1" ht="13.5" r="390" s="3">
      <c r="A390" s="117" t="n">
        <v>43731</v>
      </c>
      <c r="B390" s="289" t="inlineStr">
        <is>
          <t>iOS</t>
        </is>
      </c>
      <c r="C390" s="268" t="n">
        <v>42179</v>
      </c>
      <c r="D390" s="268" t="n">
        <v>103620</v>
      </c>
      <c r="E390" s="269" t="n">
        <v>2.45667275184333</v>
      </c>
      <c r="F390" s="270" t="n">
        <v>0.732976196178344</v>
      </c>
      <c r="G390" s="271" t="n">
        <v>21.69</v>
      </c>
      <c r="H390" s="271" t="n">
        <v>34.12</v>
      </c>
      <c r="I390" s="142" t="n">
        <v>0.311</v>
      </c>
      <c r="J390" s="142" t="n">
        <v>0.15</v>
      </c>
      <c r="K390" s="142" t="n">
        <v>0.081</v>
      </c>
      <c r="L390" s="270" t="n">
        <v>8.794624589847521</v>
      </c>
      <c r="M390" s="272" t="n">
        <v>8.238650839606249</v>
      </c>
      <c r="N390" s="270" t="n">
        <v>14.6636607234876</v>
      </c>
      <c r="O390" s="273" t="n">
        <v>0.561841343370006</v>
      </c>
      <c r="P390" s="270" t="n">
        <v>2.11118554398983</v>
      </c>
      <c r="Q390" s="270" t="n">
        <v>3.29605963791267</v>
      </c>
      <c r="R390" s="270" t="n">
        <v>0.884674842832114</v>
      </c>
      <c r="S390" s="270" t="n">
        <v>4.21191040571645</v>
      </c>
      <c r="T390" s="270" t="n">
        <v>1.25255075749768</v>
      </c>
      <c r="U390" s="270" t="n">
        <v>0.522879521797382</v>
      </c>
      <c r="V390" s="270" t="n">
        <v>1.62241918307053</v>
      </c>
      <c r="W390" s="270" t="n">
        <v>0.761980830670927</v>
      </c>
      <c r="X390" s="274" t="n">
        <v>0.00510519204786721</v>
      </c>
      <c r="Y390" s="269" t="n">
        <v>8.243756031654121</v>
      </c>
      <c r="Z390" s="275" t="n">
        <v>879</v>
      </c>
      <c r="AA390" s="275" t="n">
        <v>621</v>
      </c>
      <c r="AB390" s="270" t="n">
        <v>6000.21</v>
      </c>
      <c r="AD390" s="276" t="n">
        <v>0.00848291835552982</v>
      </c>
      <c r="AE390" s="141" t="n">
        <v>0.00599305153445281</v>
      </c>
      <c r="AF390" s="270" t="n">
        <v>6.82617747440273</v>
      </c>
      <c r="AG390" s="277" t="n">
        <v>0.0579059061957151</v>
      </c>
      <c r="AH390" s="131" t="n">
        <v>0.514450318879063</v>
      </c>
      <c r="AI390" s="131" t="n">
        <v>0.332132103653477</v>
      </c>
      <c r="AJ390" s="270" t="n">
        <v>0.357633661455317</v>
      </c>
      <c r="AK390" s="130" t="n">
        <v>0.153348774367883</v>
      </c>
      <c r="AL390" s="130" t="n">
        <v>0.0204111175448755</v>
      </c>
      <c r="AM390" s="133" t="n">
        <v>0.24732677089365</v>
      </c>
      <c r="AN390" s="308" t="n">
        <v>6.91</v>
      </c>
    </row>
    <row customHeight="1" ht="13.5" r="391" s="3">
      <c r="A391" s="117" t="n">
        <v>43732</v>
      </c>
      <c r="B391" s="289" t="inlineStr">
        <is>
          <t>iOS</t>
        </is>
      </c>
      <c r="C391" s="268">
        <f>源!$N$20</f>
        <v/>
      </c>
      <c r="D391" s="268">
        <f>源!$N$21</f>
        <v/>
      </c>
      <c r="E391" s="269">
        <f>D391/C391</f>
        <v/>
      </c>
      <c r="F391" s="270">
        <f>3.3*M391*G391/1000+AB391/D391*3.3*0.7</f>
        <v/>
      </c>
      <c r="G391" s="271" t="n">
        <v>24.4</v>
      </c>
      <c r="H391" s="271" t="n">
        <v>36.7</v>
      </c>
      <c r="I391" s="142" t="n">
        <v>0.327</v>
      </c>
      <c r="J391" s="142" t="n">
        <v>0.16</v>
      </c>
      <c r="K391" s="142" t="n">
        <v>0.083</v>
      </c>
      <c r="L391" s="270">
        <f>源!$N$22/D391</f>
        <v/>
      </c>
      <c r="M391" s="272">
        <f>源!$N$24/D391</f>
        <v/>
      </c>
      <c r="N391" s="270">
        <f>源!$N$24/源!$N$25</f>
        <v/>
      </c>
      <c r="O391" s="273">
        <f>M391/N391</f>
        <v/>
      </c>
      <c r="P391" s="270">
        <f>SUMIFS(源!G:G,源!F:F,"double_cash")/D391*N391/M391</f>
        <v/>
      </c>
      <c r="Q391" s="270">
        <f>SUMIFS(源!G:G,源!F:F,"Offline")/D391*N391/M391</f>
        <v/>
      </c>
      <c r="R391" s="270">
        <f>SUMIFS(源!G:G,源!F:F,"AdClaim")/D391*N391/M391</f>
        <v/>
      </c>
      <c r="S391" s="270">
        <f>SUMIFS(源!G:G,源!F:F,"FreeBonus_money")/D391*N391/M391+SUMIFS(源!G:G,源!F:F,"FreeBonus_gold")/D391*N391/M391</f>
        <v/>
      </c>
      <c r="T391" s="270">
        <f>SUMIFS(源!G:G,源!F:F,"speedUp")/D391*N391/M391</f>
        <v/>
      </c>
      <c r="U391" s="270">
        <f>SUMIFS(源!G:G,源!F:F,"Slot")/D391*N391/M391</f>
        <v/>
      </c>
      <c r="V391" s="270">
        <f>SUMIFS(源!G:G,源!F:F,"skip_30_minutes")/D391*N391/M391</f>
        <v/>
      </c>
      <c r="W391" s="270">
        <f>SUMIFS(源!G:G,源!F:F,"cost_50%_off")/D391*N391/M391</f>
        <v/>
      </c>
      <c r="X391" s="274">
        <f>源!$N$23/D391</f>
        <v/>
      </c>
      <c r="Y391" s="269">
        <f>M391+X391</f>
        <v/>
      </c>
      <c r="Z391" s="275">
        <f>源!$N$30</f>
        <v/>
      </c>
      <c r="AA391" s="275">
        <f>源!$N$26</f>
        <v/>
      </c>
      <c r="AB391" s="270">
        <f>源!$N$31</f>
        <v/>
      </c>
      <c r="AD391" s="276">
        <f>Z391/D391</f>
        <v/>
      </c>
      <c r="AE391" s="141">
        <f>AA391/D391</f>
        <v/>
      </c>
      <c r="AF391" s="270">
        <f>AB391/Z391</f>
        <v/>
      </c>
      <c r="AG391" s="277">
        <f>AD391*AF391</f>
        <v/>
      </c>
      <c r="AH391" s="131">
        <f>源!$N$33/C391</f>
        <v/>
      </c>
      <c r="AI391" s="131">
        <f>源!$N$34/C391</f>
        <v/>
      </c>
      <c r="AJ391" s="270">
        <f>源!$N$32/D391</f>
        <v/>
      </c>
      <c r="AK391" s="130">
        <f>源!$N$27/D391</f>
        <v/>
      </c>
      <c r="AL391" s="130">
        <f>源!$N$28/D391</f>
        <v/>
      </c>
      <c r="AM391" s="133">
        <f>源!$N$29/D391</f>
        <v/>
      </c>
      <c r="AN391" s="308" t="n">
        <v>6.69</v>
      </c>
    </row>
    <row customFormat="1" customHeight="1" ht="13.95" r="392" s="294">
      <c r="A392" s="121" t="n">
        <v>43733</v>
      </c>
      <c r="B392" s="295" t="inlineStr">
        <is>
          <t>iOS</t>
        </is>
      </c>
      <c r="C392" s="296" t="n">
        <v>36331</v>
      </c>
      <c r="D392" s="296" t="n">
        <v>99612</v>
      </c>
      <c r="E392" s="297" t="n">
        <v>2.74</v>
      </c>
      <c r="F392" s="294" t="n">
        <v>0.6889261358872421</v>
      </c>
      <c r="G392" s="306" t="n">
        <v>24.89</v>
      </c>
      <c r="H392" s="306" t="n">
        <v>37.59</v>
      </c>
      <c r="I392" s="124" t="n">
        <v>0.314</v>
      </c>
      <c r="J392" s="124" t="n">
        <v>0.147</v>
      </c>
      <c r="K392" s="124" t="n">
        <v>0.075</v>
      </c>
      <c r="L392" s="294" t="n">
        <v>7.64</v>
      </c>
      <c r="M392" s="299" t="n">
        <v>7.06</v>
      </c>
      <c r="N392" s="294" t="n">
        <v>12.6</v>
      </c>
      <c r="O392" s="300" t="n">
        <v>0.5590000000000001</v>
      </c>
      <c r="P392" s="294" t="n">
        <v>1.88</v>
      </c>
      <c r="Q392" s="294" t="n">
        <v>2.82</v>
      </c>
      <c r="R392" s="294" t="n">
        <v>0.745</v>
      </c>
      <c r="S392" s="294" t="n">
        <v>3.42</v>
      </c>
      <c r="T392" s="294" t="n">
        <v>1.08</v>
      </c>
      <c r="U392" s="294" t="n">
        <v>0.5639999999999999</v>
      </c>
      <c r="V392" s="294" t="n">
        <v>1.43</v>
      </c>
      <c r="W392" s="294" t="n">
        <v>0.711</v>
      </c>
      <c r="X392" s="301" t="n">
        <v>0.00376</v>
      </c>
      <c r="Y392" s="297" t="n">
        <v>7.07</v>
      </c>
      <c r="Z392" s="293" t="n">
        <v>759</v>
      </c>
      <c r="AA392" s="293" t="n">
        <v>569</v>
      </c>
      <c r="AB392" s="294" t="n">
        <v>4320</v>
      </c>
      <c r="AD392" s="303" t="n">
        <v>0.00762</v>
      </c>
      <c r="AE392" s="123" t="n">
        <v>0.0057</v>
      </c>
      <c r="AF392" s="294" t="n">
        <v>5.69</v>
      </c>
      <c r="AG392" s="304" t="n">
        <v>0.0434</v>
      </c>
      <c r="AH392" s="135" t="n">
        <v>0.4925</v>
      </c>
      <c r="AI392" s="135" t="n">
        <v>0.3273</v>
      </c>
      <c r="AJ392" s="294" t="n">
        <v>0.439</v>
      </c>
      <c r="AK392" s="136" t="n">
        <v>0.2025</v>
      </c>
      <c r="AL392" s="136" t="n">
        <v>0.0238</v>
      </c>
      <c r="AM392" s="137" t="n">
        <v>0.0126</v>
      </c>
      <c r="AN392" s="307" t="n">
        <v>6.24</v>
      </c>
    </row>
    <row customHeight="1" ht="13.5" r="393" s="3">
      <c r="A393" s="117" t="n">
        <v>43734</v>
      </c>
      <c r="B393" s="267" t="inlineStr">
        <is>
          <t>iOS</t>
        </is>
      </c>
      <c r="C393" s="268" t="n">
        <v>32936</v>
      </c>
      <c r="D393" s="268" t="n">
        <v>96519</v>
      </c>
      <c r="E393" s="269" t="n">
        <v>2.93</v>
      </c>
      <c r="F393" s="270" t="n">
        <v>0.651263229913281</v>
      </c>
      <c r="G393" s="271" t="n">
        <v>23.39</v>
      </c>
      <c r="H393" s="271" t="n">
        <v>33.9</v>
      </c>
      <c r="I393" s="142" t="n">
        <v>0.289</v>
      </c>
      <c r="J393" s="142" t="n">
        <v>0.139</v>
      </c>
      <c r="K393" s="142" t="n">
        <v>0.068</v>
      </c>
      <c r="L393" s="270" t="n">
        <v>7.48</v>
      </c>
      <c r="M393" s="272" t="n">
        <v>6.98</v>
      </c>
      <c r="N393" s="270" t="n">
        <v>12.5</v>
      </c>
      <c r="O393" s="273" t="n">
        <v>0.5570000000000001</v>
      </c>
      <c r="P393" s="270" t="n">
        <v>1.87</v>
      </c>
      <c r="Q393" s="270" t="n">
        <v>2.81</v>
      </c>
      <c r="R393" s="270" t="n">
        <v>0.753</v>
      </c>
      <c r="S393" s="270" t="n">
        <v>3.35</v>
      </c>
      <c r="T393" s="270" t="n">
        <v>1.08</v>
      </c>
      <c r="U393" s="270" t="n">
        <v>0.548</v>
      </c>
      <c r="V393" s="270" t="n">
        <v>1.41</v>
      </c>
      <c r="W393" s="270" t="n">
        <v>0.707</v>
      </c>
      <c r="X393" s="274" t="n">
        <v>0.00451</v>
      </c>
      <c r="Y393" s="269" t="n">
        <v>6.99</v>
      </c>
      <c r="Z393" s="275" t="n">
        <v>698</v>
      </c>
      <c r="AA393" s="275" t="n">
        <v>517</v>
      </c>
      <c r="AB393" s="270" t="n">
        <v>4380</v>
      </c>
      <c r="AD393" s="276" t="n">
        <v>0.00723</v>
      </c>
      <c r="AE393" s="141" t="n">
        <v>0.0054</v>
      </c>
      <c r="AF393" s="270" t="n">
        <v>6.28</v>
      </c>
      <c r="AG393" s="277" t="n">
        <v>0.0454</v>
      </c>
      <c r="AH393" s="131" t="n">
        <v>0.4809</v>
      </c>
      <c r="AI393" s="131" t="n">
        <v>0.3231</v>
      </c>
      <c r="AJ393" s="270" t="n">
        <v>0.43</v>
      </c>
      <c r="AK393" s="130" t="n">
        <v>0.2142</v>
      </c>
      <c r="AL393" s="130" t="n">
        <v>0.0235</v>
      </c>
      <c r="AM393" s="133" t="n">
        <v>0.0038</v>
      </c>
      <c r="AN393" s="308" t="n">
        <v>5.59</v>
      </c>
    </row>
    <row customHeight="1" ht="13.5" r="394" s="3">
      <c r="A394" s="117" t="n">
        <v>43735</v>
      </c>
      <c r="B394" s="267" t="inlineStr">
        <is>
          <t>iOS</t>
        </is>
      </c>
      <c r="C394" s="268" t="n">
        <v>25903</v>
      </c>
      <c r="D394" s="268" t="n">
        <v>88816</v>
      </c>
      <c r="E394" s="269" t="n">
        <v>3.43</v>
      </c>
      <c r="F394" s="270" t="n">
        <v>0.613</v>
      </c>
      <c r="G394" s="271" t="n">
        <v>22.05</v>
      </c>
      <c r="H394" s="271" t="n">
        <v>30.04</v>
      </c>
      <c r="I394" s="142" t="n">
        <v>0.283</v>
      </c>
      <c r="J394" s="142" t="n">
        <v>0.136</v>
      </c>
      <c r="K394" s="142" t="n">
        <v>0.067</v>
      </c>
      <c r="L394" s="270" t="n">
        <v>7.21</v>
      </c>
      <c r="M394" s="272" t="n">
        <v>6.79</v>
      </c>
      <c r="N394" s="270" t="n">
        <v>12.3</v>
      </c>
      <c r="O394" s="273" t="n">
        <v>0.554</v>
      </c>
      <c r="P394" s="270" t="n">
        <v>1.81</v>
      </c>
      <c r="Q394" s="270" t="n">
        <v>2.77</v>
      </c>
      <c r="R394" s="270" t="n">
        <v>0.726</v>
      </c>
      <c r="S394" s="270" t="n">
        <v>3.29</v>
      </c>
      <c r="T394" s="270" t="n">
        <v>1.07</v>
      </c>
      <c r="U394" s="270" t="n">
        <v>0.528</v>
      </c>
      <c r="V394" s="270" t="n">
        <v>1.36</v>
      </c>
      <c r="W394" s="270" t="n">
        <v>0.698</v>
      </c>
      <c r="X394" s="274" t="n">
        <v>0.0048</v>
      </c>
      <c r="Y394" s="269" t="n">
        <v>6.79</v>
      </c>
      <c r="Z394" s="275" t="n">
        <v>649</v>
      </c>
      <c r="AA394" s="275" t="n">
        <v>500</v>
      </c>
      <c r="AB394" s="270" t="n">
        <v>4210</v>
      </c>
      <c r="AD394" s="276" t="n">
        <v>0.00731</v>
      </c>
      <c r="AE394" s="141" t="n">
        <v>0.0056</v>
      </c>
      <c r="AF394" s="270" t="n">
        <v>6.49</v>
      </c>
      <c r="AG394" s="277" t="n">
        <v>0.0474</v>
      </c>
      <c r="AH394" s="131" t="n">
        <v>0.472</v>
      </c>
      <c r="AI394" s="131" t="n">
        <v>0.3252</v>
      </c>
      <c r="AJ394" s="270" t="n">
        <v>0.415</v>
      </c>
      <c r="AK394" s="130" t="n">
        <v>0.2278</v>
      </c>
      <c r="AL394" s="130" t="n">
        <v>0.025</v>
      </c>
      <c r="AM394" s="133" t="n">
        <v>0.0031</v>
      </c>
      <c r="AN394" s="308" t="n">
        <v>4.78</v>
      </c>
    </row>
    <row customHeight="1" ht="13.5" r="395" s="3">
      <c r="A395" s="117" t="n">
        <v>43736</v>
      </c>
      <c r="B395" s="289" t="inlineStr">
        <is>
          <t>iOS</t>
        </is>
      </c>
      <c r="C395" s="268" t="n">
        <v>25506</v>
      </c>
      <c r="D395" s="268" t="n">
        <v>86408</v>
      </c>
      <c r="E395" s="269" t="n">
        <v>3.39</v>
      </c>
      <c r="F395" s="270" t="n">
        <v>0.766</v>
      </c>
      <c r="G395" s="271" t="n">
        <v>20.02</v>
      </c>
      <c r="H395" s="271" t="n">
        <v>27.79</v>
      </c>
      <c r="I395" s="142" t="n">
        <v>0.297</v>
      </c>
      <c r="J395" s="142" t="n">
        <v>0.132</v>
      </c>
      <c r="K395" s="142" t="n">
        <v>0.075</v>
      </c>
      <c r="L395" s="270" t="n">
        <v>8.58</v>
      </c>
      <c r="M395" s="272" t="n">
        <v>8.81</v>
      </c>
      <c r="N395" s="270" t="n">
        <v>15.8</v>
      </c>
      <c r="O395" s="273" t="n">
        <v>0.5570000000000001</v>
      </c>
      <c r="P395" s="270" t="n">
        <v>2.14</v>
      </c>
      <c r="Q395" s="270" t="n">
        <v>3.2</v>
      </c>
      <c r="R395" s="270" t="n">
        <v>0.961</v>
      </c>
      <c r="S395" s="270" t="n">
        <v>5.19</v>
      </c>
      <c r="T395" s="270" t="n">
        <v>1.34</v>
      </c>
      <c r="U395" s="270" t="n">
        <v>0.459</v>
      </c>
      <c r="V395" s="270" t="n">
        <v>1.76</v>
      </c>
      <c r="W395" s="270" t="n">
        <v>0.755</v>
      </c>
      <c r="X395" s="274" t="n">
        <v>0.00396</v>
      </c>
      <c r="Y395" s="269" t="n">
        <v>8.81</v>
      </c>
      <c r="Z395" s="275" t="n">
        <v>891</v>
      </c>
      <c r="AA395" s="275" t="n">
        <v>572</v>
      </c>
      <c r="AB395" s="270" t="n">
        <v>6590</v>
      </c>
      <c r="AD395" s="276" t="n">
        <v>0.0103</v>
      </c>
      <c r="AE395" s="141" t="n">
        <v>0.0066</v>
      </c>
      <c r="AF395" s="270" t="n">
        <v>7.4</v>
      </c>
      <c r="AG395" s="277" t="n">
        <v>0.07630000000000001</v>
      </c>
      <c r="AH395" s="131" t="n">
        <v>0.4878</v>
      </c>
      <c r="AI395" s="131" t="n">
        <v>0.3069</v>
      </c>
      <c r="AJ395" s="270" t="n">
        <v>0.325</v>
      </c>
      <c r="AK395" s="130" t="n">
        <v>0.191</v>
      </c>
      <c r="AL395" s="130" t="n">
        <v>0.0219</v>
      </c>
      <c r="AM395" s="133" t="n">
        <v>0.2855</v>
      </c>
      <c r="AN395" s="308" t="n">
        <v>5.36</v>
      </c>
    </row>
    <row customHeight="1" ht="13.5" r="396" s="3">
      <c r="A396" s="117" t="n">
        <v>43737</v>
      </c>
      <c r="B396" s="289" t="inlineStr">
        <is>
          <t>iOS</t>
        </is>
      </c>
      <c r="C396" s="268" t="n">
        <v>41787</v>
      </c>
      <c r="D396" s="268" t="n">
        <v>102626</v>
      </c>
      <c r="E396" s="269" t="n">
        <v>2.46</v>
      </c>
      <c r="F396" s="270" t="n">
        <v>0.659</v>
      </c>
      <c r="G396" s="271" t="n">
        <v>20.39</v>
      </c>
      <c r="H396" s="271" t="n">
        <v>27.32</v>
      </c>
      <c r="I396" s="142" t="n">
        <v>0.272</v>
      </c>
      <c r="J396" s="142" t="n">
        <v>0.12</v>
      </c>
      <c r="K396" s="142" t="n">
        <v>0.066</v>
      </c>
      <c r="L396" s="270" t="n">
        <v>7.49</v>
      </c>
      <c r="M396" s="272" t="n">
        <v>7.54</v>
      </c>
      <c r="N396" s="270" t="n">
        <v>14.4</v>
      </c>
      <c r="O396" s="273" t="n">
        <v>0.522</v>
      </c>
      <c r="P396" s="270" t="n">
        <v>2.06</v>
      </c>
      <c r="Q396" s="270" t="n">
        <v>3</v>
      </c>
      <c r="R396" s="270" t="n">
        <v>0.885</v>
      </c>
      <c r="S396" s="270" t="n">
        <v>4.48</v>
      </c>
      <c r="T396" s="270" t="n">
        <v>1.23</v>
      </c>
      <c r="U396" s="270" t="n">
        <v>0.466</v>
      </c>
      <c r="V396" s="270" t="n">
        <v>1.59</v>
      </c>
      <c r="W396" s="270" t="n">
        <v>0.742</v>
      </c>
      <c r="X396" s="274" t="n">
        <v>0.00234</v>
      </c>
      <c r="Y396" s="269" t="n">
        <v>7.54</v>
      </c>
      <c r="Z396" s="275" t="n">
        <v>827</v>
      </c>
      <c r="AA396" s="275" t="n">
        <v>578</v>
      </c>
      <c r="AB396" s="270" t="n">
        <v>6430</v>
      </c>
      <c r="AD396" s="276" t="n">
        <v>0.008059999999999999</v>
      </c>
      <c r="AE396" s="141" t="n">
        <v>0.0056</v>
      </c>
      <c r="AF396" s="270" t="n">
        <v>7.77</v>
      </c>
      <c r="AG396" s="277" t="n">
        <v>0.0626</v>
      </c>
      <c r="AH396" s="131" t="n">
        <v>0.4177</v>
      </c>
      <c r="AI396" s="131" t="n">
        <v>0.2209</v>
      </c>
      <c r="AJ396" s="270" t="n">
        <v>0.295</v>
      </c>
      <c r="AK396" s="130" t="n">
        <v>0.1627</v>
      </c>
      <c r="AL396" s="130" t="n">
        <v>0.0189</v>
      </c>
      <c r="AM396" s="133" t="n">
        <v>0.2392</v>
      </c>
      <c r="AN396" s="308" t="n">
        <v>5</v>
      </c>
    </row>
    <row customHeight="1" ht="13.5" r="397" s="3">
      <c r="A397" s="117" t="n">
        <v>43738</v>
      </c>
      <c r="B397" s="289" t="inlineStr">
        <is>
          <t>iOS</t>
        </is>
      </c>
      <c r="C397" s="268" t="n">
        <v>41067</v>
      </c>
      <c r="D397" s="268" t="n">
        <v>106264</v>
      </c>
      <c r="E397" s="269" t="n">
        <v>2.59</v>
      </c>
      <c r="F397" s="270" t="n">
        <v>0.661</v>
      </c>
      <c r="G397" s="271" t="n">
        <v>21.09</v>
      </c>
      <c r="H397" s="271" t="n">
        <v>26.66</v>
      </c>
      <c r="I397" s="142" t="n">
        <v>0.295</v>
      </c>
      <c r="J397" s="142" t="n">
        <v>0.139</v>
      </c>
      <c r="K397" s="142" t="n">
        <v>0.075</v>
      </c>
      <c r="L397" s="270" t="n">
        <v>7.59</v>
      </c>
      <c r="M397" s="272" t="n">
        <v>7.4</v>
      </c>
      <c r="N397" s="270" t="n">
        <v>13.8</v>
      </c>
      <c r="O397" s="273" t="n">
        <v>0.537</v>
      </c>
      <c r="P397" s="270" t="n">
        <v>1.98</v>
      </c>
      <c r="Q397" s="270" t="n">
        <v>2.9</v>
      </c>
      <c r="R397" s="270" t="n">
        <v>0.819</v>
      </c>
      <c r="S397" s="270" t="n">
        <v>4.17</v>
      </c>
      <c r="T397" s="270" t="n">
        <v>1.2</v>
      </c>
      <c r="U397" s="270" t="n">
        <v>0.473</v>
      </c>
      <c r="V397" s="270" t="n">
        <v>1.54</v>
      </c>
      <c r="W397" s="270" t="n">
        <v>0.713</v>
      </c>
      <c r="X397" s="274" t="n">
        <v>0.00208</v>
      </c>
      <c r="Y397" s="269" t="n">
        <v>7.41</v>
      </c>
      <c r="Z397" s="275" t="n">
        <v>751</v>
      </c>
      <c r="AA397" s="275" t="n">
        <v>545</v>
      </c>
      <c r="AB397" s="270" t="n">
        <v>5190</v>
      </c>
      <c r="AD397" s="276" t="n">
        <v>0.00707</v>
      </c>
      <c r="AE397" s="141" t="n">
        <v>0.00513</v>
      </c>
      <c r="AF397" s="270" t="n">
        <v>6.92</v>
      </c>
      <c r="AG397" s="277" t="n">
        <v>0.0489</v>
      </c>
      <c r="AH397" s="131" t="n">
        <v>0.464070908515353</v>
      </c>
      <c r="AI397" s="131" t="n">
        <v>0.260695935909611</v>
      </c>
      <c r="AJ397" s="270" t="n">
        <v>0.318</v>
      </c>
      <c r="AK397" s="130" t="n">
        <v>0.164053677633065</v>
      </c>
      <c r="AL397" s="130" t="n">
        <v>0.0196962282616879</v>
      </c>
      <c r="AM397" s="133" t="n">
        <v>0.237681623127306</v>
      </c>
      <c r="AN397" s="308" t="n">
        <v>5.27</v>
      </c>
    </row>
    <row customHeight="1" ht="13.5" r="398" s="3">
      <c r="A398" s="117" t="n">
        <v>43739</v>
      </c>
      <c r="B398" s="289" t="inlineStr">
        <is>
          <t>iOS</t>
        </is>
      </c>
      <c r="C398" s="268" t="n">
        <v>41143</v>
      </c>
      <c r="D398" s="268" t="n">
        <v>107250</v>
      </c>
      <c r="E398" s="269" t="n">
        <v>2.61</v>
      </c>
      <c r="F398" s="270" t="n">
        <v>0.643</v>
      </c>
      <c r="G398" s="271" t="n">
        <v>23.84</v>
      </c>
      <c r="H398" s="271" t="n">
        <v>31.89</v>
      </c>
      <c r="I398" s="142" t="n">
        <v>0.306</v>
      </c>
      <c r="J398" s="142" t="n">
        <v>0.148</v>
      </c>
      <c r="K398" s="142" t="n">
        <v>0.074</v>
      </c>
      <c r="L398" s="270" t="n">
        <v>7.52</v>
      </c>
      <c r="M398" s="272" t="n">
        <v>6.72</v>
      </c>
      <c r="N398" s="270" t="n">
        <v>12.7</v>
      </c>
      <c r="O398" s="273" t="n">
        <v>0.531</v>
      </c>
      <c r="P398" s="270" t="n">
        <v>1.85</v>
      </c>
      <c r="Q398" s="270" t="n">
        <v>2.65</v>
      </c>
      <c r="R398" s="270" t="n">
        <v>0.766</v>
      </c>
      <c r="S398" s="270" t="n">
        <v>3.66</v>
      </c>
      <c r="T398" s="270" t="n">
        <v>1.11</v>
      </c>
      <c r="U398" s="270" t="n">
        <v>0.508</v>
      </c>
      <c r="V398" s="270" t="n">
        <v>1.43</v>
      </c>
      <c r="W398" s="270" t="n">
        <v>0.6879999999999999</v>
      </c>
      <c r="X398" s="274" t="n">
        <v>0.000914</v>
      </c>
      <c r="Y398" s="269" t="n">
        <v>6.72</v>
      </c>
      <c r="Z398" s="275" t="n">
        <v>756</v>
      </c>
      <c r="AA398" s="275" t="n">
        <v>506</v>
      </c>
      <c r="AB398" s="270" t="n">
        <v>5300</v>
      </c>
      <c r="AD398" s="276" t="n">
        <v>0.00705</v>
      </c>
      <c r="AE398" s="141" t="n">
        <v>0.00472</v>
      </c>
      <c r="AF398" s="270" t="n">
        <v>7.01</v>
      </c>
      <c r="AG398" s="277" t="n">
        <v>0.0494</v>
      </c>
      <c r="AH398" s="131" t="n">
        <v>0.470067812264541</v>
      </c>
      <c r="AI398" s="131" t="n">
        <v>0.277957368203583</v>
      </c>
      <c r="AJ398" s="270" t="n">
        <v>0.338</v>
      </c>
      <c r="AK398" s="130" t="n">
        <v>0.172606060606061</v>
      </c>
      <c r="AL398" s="130" t="n">
        <v>0.021006993006993</v>
      </c>
      <c r="AM398" s="133" t="n">
        <v>0.1875337995338</v>
      </c>
      <c r="AN398" s="308" t="n">
        <v>5.31</v>
      </c>
    </row>
    <row customFormat="1" customHeight="1" ht="13.95" r="399" s="294">
      <c r="A399" s="121" t="n">
        <v>43740</v>
      </c>
      <c r="B399" s="295" t="inlineStr">
        <is>
          <t>iOS</t>
        </is>
      </c>
      <c r="C399" s="296" t="n">
        <v>40123</v>
      </c>
      <c r="D399" s="296" t="n">
        <v>107599</v>
      </c>
      <c r="E399" s="297" t="n">
        <v>2.68</v>
      </c>
      <c r="F399" s="294" t="n">
        <v>0.584</v>
      </c>
      <c r="G399" s="306" t="n">
        <v>25.56</v>
      </c>
      <c r="H399" s="306" t="n">
        <v>34.97</v>
      </c>
      <c r="I399" s="124" t="n">
        <v>0.299</v>
      </c>
      <c r="J399" s="124" t="n">
        <v>0.146</v>
      </c>
      <c r="K399" s="124" t="n">
        <v>0.06900000000000001</v>
      </c>
      <c r="L399" s="294" t="n">
        <v>6.98</v>
      </c>
      <c r="M399" s="299" t="n">
        <v>5.86</v>
      </c>
      <c r="N399" s="294" t="n">
        <v>11.3</v>
      </c>
      <c r="O399" s="300" t="n">
        <v>0.517</v>
      </c>
      <c r="P399" s="294" t="n">
        <v>1.7</v>
      </c>
      <c r="Q399" s="294" t="n">
        <v>2.36</v>
      </c>
      <c r="R399" s="294" t="n">
        <v>0.706</v>
      </c>
      <c r="S399" s="294" t="n">
        <v>3.17</v>
      </c>
      <c r="T399" s="294" t="n">
        <v>0.973</v>
      </c>
      <c r="U399" s="294" t="n">
        <v>0.527</v>
      </c>
      <c r="V399" s="294" t="n">
        <v>1.26</v>
      </c>
      <c r="W399" s="294" t="n">
        <v>0.634</v>
      </c>
      <c r="X399" s="301" t="n">
        <v>0.000548</v>
      </c>
      <c r="Y399" s="297" t="n">
        <v>5.86</v>
      </c>
      <c r="Z399" s="293" t="n">
        <v>626</v>
      </c>
      <c r="AA399" s="293" t="n">
        <v>472</v>
      </c>
      <c r="AB399" s="294" t="n">
        <v>3790</v>
      </c>
      <c r="AD399" s="303" t="n">
        <v>0.00582</v>
      </c>
      <c r="AE399" s="123" t="n">
        <v>0.00439</v>
      </c>
      <c r="AF399" s="294" t="n">
        <v>6.06</v>
      </c>
      <c r="AG399" s="304" t="n">
        <v>0.0352</v>
      </c>
      <c r="AH399" s="135" t="n">
        <v>0.453929167808987</v>
      </c>
      <c r="AI399" s="135" t="n">
        <v>0.273284649702166</v>
      </c>
      <c r="AJ399" s="294" t="n">
        <v>0.386</v>
      </c>
      <c r="AK399" s="136" t="n">
        <v>0.188932982648538</v>
      </c>
      <c r="AL399" s="136" t="n">
        <v>0.0213849571092668</v>
      </c>
      <c r="AM399" s="137" t="n">
        <v>0.0128718668389111</v>
      </c>
      <c r="AN399" s="307" t="n">
        <v>5.347</v>
      </c>
    </row>
    <row customHeight="1" ht="15" r="400" s="3">
      <c r="A400" s="117" t="n">
        <v>43741</v>
      </c>
      <c r="B400" s="267" t="inlineStr">
        <is>
          <t>iOS</t>
        </is>
      </c>
      <c r="C400" s="268" t="n">
        <v>41530</v>
      </c>
      <c r="D400" s="268" t="n">
        <v>109890</v>
      </c>
      <c r="E400" s="269" t="n">
        <v>2.65</v>
      </c>
      <c r="F400" s="270" t="n">
        <v>0.5649999999999999</v>
      </c>
      <c r="G400" s="271" t="n">
        <v>25.8</v>
      </c>
      <c r="H400" s="271" t="n">
        <v>34.6</v>
      </c>
      <c r="I400" s="142" t="n">
        <v>0.295</v>
      </c>
      <c r="J400" s="142" t="n">
        <v>0.141</v>
      </c>
      <c r="K400" s="142" t="n">
        <v>0.068</v>
      </c>
      <c r="L400" s="270" t="n">
        <v>6.87</v>
      </c>
      <c r="M400" s="272" t="n">
        <v>5.68</v>
      </c>
      <c r="N400" s="270" t="n">
        <v>11</v>
      </c>
      <c r="O400" s="310" t="n">
        <v>0.515</v>
      </c>
      <c r="P400" s="270" t="n">
        <v>1.68</v>
      </c>
      <c r="Q400" s="270" t="n">
        <v>2.29</v>
      </c>
      <c r="R400" s="270" t="n">
        <v>0.6820000000000001</v>
      </c>
      <c r="S400" s="270" t="n">
        <v>3.06</v>
      </c>
      <c r="T400" s="270" t="n">
        <v>0.963</v>
      </c>
      <c r="U400" s="270" t="n">
        <v>0.524</v>
      </c>
      <c r="V400" s="270" t="n">
        <v>1.22</v>
      </c>
      <c r="W400" s="270" t="n">
        <v>0.609</v>
      </c>
      <c r="X400" s="274" t="n">
        <v>0.000537</v>
      </c>
      <c r="Y400" s="269" t="n">
        <v>5.68</v>
      </c>
      <c r="Z400" s="275" t="n">
        <v>653</v>
      </c>
      <c r="AA400" s="275" t="n">
        <v>478</v>
      </c>
      <c r="AB400" s="270" t="n">
        <v>3910</v>
      </c>
      <c r="AD400" s="276" t="n">
        <v>0.00594</v>
      </c>
      <c r="AE400" s="141" t="n">
        <v>0.00435</v>
      </c>
      <c r="AF400" s="270" t="n">
        <v>5.99</v>
      </c>
      <c r="AG400" s="277" t="n">
        <v>0.0356</v>
      </c>
      <c r="AH400" s="131" t="n">
        <v>0.447531904647243</v>
      </c>
      <c r="AI400" s="131" t="n">
        <v>0.264001926318324</v>
      </c>
      <c r="AJ400" s="270" t="n">
        <v>0.377</v>
      </c>
      <c r="AK400" s="131" t="n">
        <v>0.189261989261989</v>
      </c>
      <c r="AL400" s="131" t="n">
        <v>0.0207480207480207</v>
      </c>
      <c r="AM400" s="139" t="n">
        <v>0.00444990444990445</v>
      </c>
      <c r="AN400" s="308" t="n">
        <v>4.99</v>
      </c>
    </row>
    <row customHeight="1" ht="15" r="401" s="3">
      <c r="A401" s="117" t="n">
        <v>43742</v>
      </c>
      <c r="B401" s="267" t="inlineStr">
        <is>
          <t>iOS</t>
        </is>
      </c>
      <c r="C401" s="268" t="n">
        <v>49281</v>
      </c>
      <c r="D401" s="268" t="n">
        <v>119385</v>
      </c>
      <c r="E401" s="269" t="n">
        <v>2.42</v>
      </c>
      <c r="F401" s="270" t="n">
        <v>0.5</v>
      </c>
      <c r="G401" s="271" t="n">
        <v>24.2</v>
      </c>
      <c r="H401" s="271" t="n">
        <v>32.64</v>
      </c>
      <c r="I401" s="142" t="n">
        <v>0.283</v>
      </c>
      <c r="J401" s="142" t="n">
        <v>0.13</v>
      </c>
      <c r="K401" s="142" t="n">
        <v>0.064</v>
      </c>
      <c r="L401" s="270" t="n">
        <v>6.6</v>
      </c>
      <c r="M401" s="272" t="n">
        <v>5.25</v>
      </c>
      <c r="N401" s="270" t="n">
        <v>10.6</v>
      </c>
      <c r="O401" s="310" t="n">
        <v>0.495</v>
      </c>
      <c r="P401" s="270" t="n">
        <v>1.64</v>
      </c>
      <c r="Q401" s="270" t="n">
        <v>2.2</v>
      </c>
      <c r="R401" s="270" t="n">
        <v>0.644</v>
      </c>
      <c r="S401" s="270" t="n">
        <v>2.9</v>
      </c>
      <c r="T401" s="270" t="n">
        <v>0.916</v>
      </c>
      <c r="U401" s="270" t="n">
        <v>0.516</v>
      </c>
      <c r="V401" s="270" t="n">
        <v>1.19</v>
      </c>
      <c r="W401" s="270" t="n">
        <v>0.59</v>
      </c>
      <c r="X401" s="274" t="n">
        <v>0.000444</v>
      </c>
      <c r="Y401" s="269" t="n">
        <v>5.25</v>
      </c>
      <c r="Z401" s="275" t="n">
        <v>628</v>
      </c>
      <c r="AA401" s="275" t="n">
        <v>483</v>
      </c>
      <c r="AB401" s="270" t="n">
        <v>3800</v>
      </c>
      <c r="AD401" s="276" t="n">
        <v>0.00526</v>
      </c>
      <c r="AE401" s="141" t="n">
        <v>0.00405</v>
      </c>
      <c r="AF401" s="270" t="n">
        <v>6.06</v>
      </c>
      <c r="AG401" s="277" t="n">
        <v>0.0319</v>
      </c>
      <c r="AH401" s="131" t="n">
        <v>0.419654633631623</v>
      </c>
      <c r="AI401" s="131" t="n">
        <v>0.236440007305047</v>
      </c>
      <c r="AJ401" s="270" t="n">
        <v>0.349</v>
      </c>
      <c r="AK401" s="131" t="n">
        <v>0.17745947983415</v>
      </c>
      <c r="AL401" s="131" t="n">
        <v>0.0186455584872471</v>
      </c>
      <c r="AM401" s="139" t="n">
        <v>0.00254638354902207</v>
      </c>
      <c r="AN401" s="308" t="n">
        <v>4.57</v>
      </c>
    </row>
    <row customHeight="1" ht="15" r="402" s="3">
      <c r="A402" s="117" t="n">
        <v>43743</v>
      </c>
      <c r="B402" s="289" t="inlineStr">
        <is>
          <t>iOS</t>
        </is>
      </c>
      <c r="C402" s="268" t="n">
        <v>50306</v>
      </c>
      <c r="D402" s="268" t="n">
        <v>125016</v>
      </c>
      <c r="E402" s="269" t="n">
        <v>2.49</v>
      </c>
      <c r="F402" s="270" t="n">
        <v>0.6</v>
      </c>
      <c r="G402" s="271" t="n">
        <v>21.66</v>
      </c>
      <c r="H402" s="271" t="n">
        <v>30.02</v>
      </c>
      <c r="I402" s="142" t="n">
        <v>0.266</v>
      </c>
      <c r="J402" s="142" t="n">
        <v>0.112</v>
      </c>
      <c r="K402" s="142" t="n">
        <v>0.067</v>
      </c>
      <c r="L402" s="270" t="n">
        <v>7.4</v>
      </c>
      <c r="M402" s="272" t="n">
        <v>6.49</v>
      </c>
      <c r="N402" s="270" t="n">
        <v>13</v>
      </c>
      <c r="O402" s="310" t="n">
        <v>0.5</v>
      </c>
      <c r="P402" s="270" t="n">
        <v>1.83</v>
      </c>
      <c r="Q402" s="270" t="n">
        <v>2.47</v>
      </c>
      <c r="R402" s="270" t="n">
        <v>0.803</v>
      </c>
      <c r="S402" s="270" t="n">
        <v>4.29</v>
      </c>
      <c r="T402" s="270" t="n">
        <v>1.07</v>
      </c>
      <c r="U402" s="270" t="n">
        <v>0.448</v>
      </c>
      <c r="V402" s="270" t="n">
        <v>1.44</v>
      </c>
      <c r="W402" s="270" t="n">
        <v>0.624</v>
      </c>
      <c r="X402" s="274" t="n">
        <v>0.000472</v>
      </c>
      <c r="Y402" s="269" t="n">
        <v>6.49</v>
      </c>
      <c r="Z402" s="275" t="n">
        <v>783</v>
      </c>
      <c r="AA402" s="275" t="n">
        <v>525</v>
      </c>
      <c r="AB402" s="270" t="n">
        <v>6370</v>
      </c>
      <c r="AD402" s="276" t="n">
        <v>0.00626</v>
      </c>
      <c r="AE402" s="141" t="n">
        <v>0.0042</v>
      </c>
      <c r="AF402" s="270" t="n">
        <v>8.140000000000001</v>
      </c>
      <c r="AG402" s="277" t="n">
        <v>0.051</v>
      </c>
      <c r="AH402" s="131" t="n">
        <v>0.424323142368704</v>
      </c>
      <c r="AI402" s="131" t="n">
        <v>0.2354391126307</v>
      </c>
      <c r="AJ402" s="270" t="n">
        <v>0.271</v>
      </c>
      <c r="AK402" s="131" t="n">
        <v>0.145277404492225</v>
      </c>
      <c r="AL402" s="131" t="n">
        <v>0.0151820566967428</v>
      </c>
      <c r="AM402" s="139" t="n">
        <v>0.233714084597172</v>
      </c>
      <c r="AN402" s="308" t="n">
        <v>4.22</v>
      </c>
    </row>
    <row customHeight="1" ht="15" r="403" s="3">
      <c r="A403" s="117" t="n">
        <v>43744</v>
      </c>
      <c r="B403" s="289" t="inlineStr">
        <is>
          <t>iOS</t>
        </is>
      </c>
      <c r="C403" s="268" t="n">
        <v>48566</v>
      </c>
      <c r="D403" s="268" t="n">
        <v>125548</v>
      </c>
      <c r="E403" s="269" t="n">
        <v>2.59</v>
      </c>
      <c r="F403" s="270" t="n">
        <v>0.552</v>
      </c>
      <c r="G403" s="271" t="n">
        <v>21.15</v>
      </c>
      <c r="H403" s="271" t="n">
        <v>29.13</v>
      </c>
      <c r="I403" s="142" t="n">
        <v>0.265</v>
      </c>
      <c r="J403" s="142" t="n">
        <v>0.124</v>
      </c>
      <c r="K403" s="142" t="n">
        <v>0.075</v>
      </c>
      <c r="L403" s="270" t="n">
        <v>7.22</v>
      </c>
      <c r="M403" s="272" t="n">
        <v>6.42</v>
      </c>
      <c r="N403" s="270" t="n">
        <v>12.6</v>
      </c>
      <c r="O403" s="310" t="n">
        <v>0.508</v>
      </c>
      <c r="P403" s="270" t="n">
        <v>1.78</v>
      </c>
      <c r="Q403" s="270" t="n">
        <v>2.5</v>
      </c>
      <c r="R403" s="270" t="n">
        <v>0.793</v>
      </c>
      <c r="S403" s="270" t="n">
        <v>4</v>
      </c>
      <c r="T403" s="270" t="n">
        <v>1.06</v>
      </c>
      <c r="U403" s="270" t="n">
        <v>0.463</v>
      </c>
      <c r="V403" s="270" t="n">
        <v>1.39</v>
      </c>
      <c r="W403" s="270" t="n">
        <v>0.644</v>
      </c>
      <c r="X403" s="274" t="n">
        <v>0.000382</v>
      </c>
      <c r="Y403" s="269" t="n">
        <v>6.42</v>
      </c>
      <c r="Z403" s="275" t="n">
        <v>731</v>
      </c>
      <c r="AA403" s="275" t="n">
        <v>530</v>
      </c>
      <c r="AB403" s="270" t="n">
        <v>5370</v>
      </c>
      <c r="AD403" s="276" t="n">
        <v>0.00582</v>
      </c>
      <c r="AE403" s="141" t="n">
        <v>0.00422</v>
      </c>
      <c r="AF403" s="270" t="n">
        <v>7.34</v>
      </c>
      <c r="AG403" s="277" t="n">
        <v>0.0427</v>
      </c>
      <c r="AH403" s="131" t="n">
        <v>0.454721410039946</v>
      </c>
      <c r="AI403" s="131" t="n">
        <v>0.260490878392291</v>
      </c>
      <c r="AJ403" s="270" t="n">
        <v>0.287</v>
      </c>
      <c r="AK403" s="131" t="n">
        <v>0.146334469684901</v>
      </c>
      <c r="AL403" s="131" t="n">
        <v>0.0149823175199923</v>
      </c>
      <c r="AM403" s="139" t="n">
        <v>0.234906171344824</v>
      </c>
      <c r="AN403" s="308" t="n">
        <v>3.61</v>
      </c>
    </row>
    <row customHeight="1" ht="15" r="404" s="3">
      <c r="A404" s="117" t="n">
        <v>43745</v>
      </c>
      <c r="B404" s="289" t="inlineStr">
        <is>
          <t>iOS</t>
        </is>
      </c>
      <c r="C404" s="268" t="n">
        <v>38511</v>
      </c>
      <c r="D404" s="268" t="n">
        <v>116450</v>
      </c>
      <c r="E404" s="269" t="n">
        <v>3.02</v>
      </c>
      <c r="F404" s="270" t="n">
        <v>0.61</v>
      </c>
      <c r="G404" s="271" t="n">
        <v>22.03</v>
      </c>
      <c r="H404" s="271" t="n">
        <v>30.45</v>
      </c>
      <c r="I404" s="142" t="n">
        <v>0.277</v>
      </c>
      <c r="J404" s="142" t="n">
        <v>0.139</v>
      </c>
      <c r="K404" s="142" t="n">
        <v>0.077</v>
      </c>
      <c r="L404" s="270" t="n">
        <v>7.55</v>
      </c>
      <c r="M404" s="272" t="n">
        <v>6.82</v>
      </c>
      <c r="N404" s="270" t="n">
        <v>12.9</v>
      </c>
      <c r="O404" s="310" t="n">
        <v>0.529</v>
      </c>
      <c r="P404" s="270" t="n">
        <v>1.79</v>
      </c>
      <c r="Q404" s="270" t="n">
        <v>2.63</v>
      </c>
      <c r="R404" s="270" t="n">
        <v>0.8139999999999999</v>
      </c>
      <c r="S404" s="270" t="n">
        <v>3.95</v>
      </c>
      <c r="T404" s="270" t="n">
        <v>1.12</v>
      </c>
      <c r="U404" s="270" t="n">
        <v>0.468</v>
      </c>
      <c r="V404" s="270" t="n">
        <v>1.46</v>
      </c>
      <c r="W404" s="270" t="n">
        <v>0.662</v>
      </c>
      <c r="X404" s="274" t="n">
        <v>0.000378</v>
      </c>
      <c r="Y404" s="269" t="n">
        <v>6.82</v>
      </c>
      <c r="Z404" s="275" t="n">
        <v>739</v>
      </c>
      <c r="AA404" s="275" t="n">
        <v>527</v>
      </c>
      <c r="AB404" s="270" t="n">
        <v>4870</v>
      </c>
      <c r="AD404" s="276" t="n">
        <v>0.00635</v>
      </c>
      <c r="AE404" s="141" t="n">
        <v>0.0045</v>
      </c>
      <c r="AF404" s="270" t="n">
        <v>6.59</v>
      </c>
      <c r="AG404" s="277" t="n">
        <v>0.0418</v>
      </c>
      <c r="AH404" s="131" t="n">
        <v>0.4763</v>
      </c>
      <c r="AI404" s="131" t="n">
        <v>0.3083</v>
      </c>
      <c r="AJ404" s="270" t="n">
        <v>0.33</v>
      </c>
      <c r="AK404" s="131" t="n">
        <v>0.1661</v>
      </c>
      <c r="AL404" s="131" t="n">
        <v>0.0177</v>
      </c>
      <c r="AM404" s="139" t="n">
        <v>0.2493</v>
      </c>
      <c r="AN404" s="308" t="n">
        <v>4.65</v>
      </c>
    </row>
    <row customHeight="1" ht="13.5" r="405" s="3">
      <c r="A405" s="117" t="n">
        <v>43746</v>
      </c>
      <c r="B405" s="289" t="inlineStr">
        <is>
          <t>iOS</t>
        </is>
      </c>
      <c r="C405" s="268" t="n">
        <v>33612</v>
      </c>
      <c r="D405" s="268" t="n">
        <v>108322</v>
      </c>
      <c r="E405" s="269" t="n">
        <v>3.22</v>
      </c>
      <c r="F405" s="270" t="n">
        <v>0.598</v>
      </c>
      <c r="G405" s="271" t="n">
        <v>24.21</v>
      </c>
      <c r="H405" s="271" t="n">
        <v>31.81</v>
      </c>
      <c r="I405" s="142" t="n">
        <v>0.295</v>
      </c>
      <c r="J405" s="142" t="n">
        <v>0.146</v>
      </c>
      <c r="K405" s="142" t="n">
        <v>0.073</v>
      </c>
      <c r="L405" s="270" t="n">
        <v>7.44</v>
      </c>
      <c r="M405" s="272" t="n">
        <v>6.53</v>
      </c>
      <c r="N405" s="270" t="n">
        <v>12.4</v>
      </c>
      <c r="O405" s="130" t="n">
        <v>0.529</v>
      </c>
      <c r="P405" s="270" t="n">
        <v>1.71</v>
      </c>
      <c r="Q405" s="270" t="n">
        <v>2.48</v>
      </c>
      <c r="R405" s="270" t="n">
        <v>0.803</v>
      </c>
      <c r="S405" s="270" t="n">
        <v>3.74</v>
      </c>
      <c r="T405" s="270" t="n">
        <v>1.06</v>
      </c>
      <c r="U405" s="270" t="n">
        <v>0.494</v>
      </c>
      <c r="V405" s="270" t="n">
        <v>1.4</v>
      </c>
      <c r="W405" s="270" t="n">
        <v>0.653</v>
      </c>
      <c r="X405" s="274" t="n">
        <v>0.000471</v>
      </c>
      <c r="Y405" s="269" t="n">
        <v>6.53</v>
      </c>
      <c r="Z405" s="275" t="n">
        <v>722</v>
      </c>
      <c r="AA405" s="275" t="n">
        <v>515</v>
      </c>
      <c r="AB405" s="270" t="n">
        <v>4670</v>
      </c>
      <c r="AD405" s="276" t="n">
        <v>0.00667</v>
      </c>
      <c r="AE405" s="141" t="n">
        <v>0.0047</v>
      </c>
      <c r="AF405" s="270" t="n">
        <v>6.47</v>
      </c>
      <c r="AG405" s="277" t="n">
        <v>0.0431</v>
      </c>
      <c r="AH405" s="131" t="n">
        <v>0.4622</v>
      </c>
      <c r="AI405" s="131" t="n">
        <v>0.3108</v>
      </c>
      <c r="AJ405" s="270" t="n">
        <v>0.369</v>
      </c>
      <c r="AK405" s="130" t="n">
        <v>0.1865</v>
      </c>
      <c r="AL405" s="130" t="n">
        <v>0.021</v>
      </c>
      <c r="AM405" s="133" t="n">
        <v>0.2108</v>
      </c>
      <c r="AN405" s="308" t="n">
        <v>5.12</v>
      </c>
    </row>
    <row customFormat="1" customHeight="1" ht="13.95" r="406" s="294">
      <c r="A406" s="121" t="n">
        <v>43747</v>
      </c>
      <c r="B406" s="295" t="inlineStr">
        <is>
          <t>iOS</t>
        </is>
      </c>
      <c r="C406" s="296" t="n">
        <v>32606</v>
      </c>
      <c r="D406" s="296" t="n">
        <v>105706</v>
      </c>
      <c r="E406" s="297" t="n">
        <v>3.24</v>
      </c>
      <c r="F406" s="294" t="n">
        <v>0.571</v>
      </c>
      <c r="G406" s="306" t="n">
        <v>25.13</v>
      </c>
      <c r="H406" s="306" t="n">
        <v>34.14</v>
      </c>
      <c r="I406" s="124" t="n">
        <v>0.295</v>
      </c>
      <c r="J406" s="124" t="n">
        <v>0.148</v>
      </c>
      <c r="K406" s="124" t="n">
        <v>0.074</v>
      </c>
      <c r="L406" s="294" t="n">
        <v>6.97</v>
      </c>
      <c r="M406" s="299" t="n">
        <v>5.76</v>
      </c>
      <c r="N406" s="294" t="n">
        <v>11.1</v>
      </c>
      <c r="O406" s="300" t="n">
        <v>0.521</v>
      </c>
      <c r="P406" s="294" t="n">
        <v>1.61</v>
      </c>
      <c r="Q406" s="294" t="n">
        <v>2.2</v>
      </c>
      <c r="R406" s="294" t="n">
        <v>0.743</v>
      </c>
      <c r="S406" s="294" t="n">
        <v>3.15</v>
      </c>
      <c r="T406" s="294" t="n">
        <v>0.957</v>
      </c>
      <c r="U406" s="294" t="n">
        <v>0.517</v>
      </c>
      <c r="V406" s="294" t="n">
        <v>1.27</v>
      </c>
      <c r="W406" s="294" t="n">
        <v>0.62</v>
      </c>
      <c r="X406" s="301" t="n">
        <v>0.000464</v>
      </c>
      <c r="Y406" s="297" t="n">
        <v>5.76</v>
      </c>
      <c r="Z406" s="293" t="n">
        <v>675</v>
      </c>
      <c r="AA406" s="293" t="n">
        <v>502</v>
      </c>
      <c r="AB406" s="294" t="n">
        <v>4040</v>
      </c>
      <c r="AD406" s="303" t="n">
        <v>0.00639</v>
      </c>
      <c r="AE406" s="123" t="n">
        <v>0.0047</v>
      </c>
      <c r="AF406" s="294" t="n">
        <v>5.99</v>
      </c>
      <c r="AG406" s="304" t="n">
        <v>0.0382</v>
      </c>
      <c r="AH406" s="135" t="n">
        <v>0.4732</v>
      </c>
      <c r="AI406" s="135" t="n">
        <v>0.3028</v>
      </c>
      <c r="AJ406" s="294" t="n">
        <v>0.422</v>
      </c>
      <c r="AK406" s="136" t="n">
        <v>0.2087</v>
      </c>
      <c r="AL406" s="136" t="n">
        <v>0.0224</v>
      </c>
      <c r="AM406" s="137" t="n">
        <v>0.0148</v>
      </c>
      <c r="AN406" s="307" t="n">
        <v>5.18</v>
      </c>
    </row>
    <row customHeight="1" ht="15" r="407" s="3">
      <c r="A407" s="117" t="n">
        <v>43748</v>
      </c>
      <c r="B407" s="267" t="inlineStr">
        <is>
          <t>iOS</t>
        </is>
      </c>
      <c r="C407" s="129" t="n">
        <v>32127</v>
      </c>
      <c r="D407" s="129" t="n">
        <v>104104</v>
      </c>
      <c r="E407" s="129" t="n">
        <v>3.24</v>
      </c>
      <c r="F407" s="45" t="n">
        <v>0.524</v>
      </c>
      <c r="G407" s="271" t="n">
        <v>25.46</v>
      </c>
      <c r="H407" s="271" t="n">
        <v>34.7</v>
      </c>
      <c r="I407" s="142" t="n">
        <v>0.3</v>
      </c>
      <c r="J407" s="142" t="n">
        <v>0.142</v>
      </c>
      <c r="K407" s="142" t="n">
        <v>0.06900000000000001</v>
      </c>
      <c r="L407" s="32" t="n">
        <v>6.98</v>
      </c>
      <c r="M407" s="52" t="n">
        <v>5.71</v>
      </c>
      <c r="N407" s="32" t="n">
        <v>11</v>
      </c>
      <c r="O407" s="131" t="n">
        <v>0.519</v>
      </c>
      <c r="P407" s="32" t="n">
        <v>1.63</v>
      </c>
      <c r="Q407" s="32" t="n">
        <v>2.24</v>
      </c>
      <c r="R407" s="32" t="n">
        <v>0.729</v>
      </c>
      <c r="S407" s="32" t="n">
        <v>3.06</v>
      </c>
      <c r="T407" s="32" t="n">
        <v>0.962</v>
      </c>
      <c r="U407" s="32" t="n">
        <v>0.516</v>
      </c>
      <c r="V407" s="32" t="n">
        <v>1.25</v>
      </c>
      <c r="W407" s="32" t="n">
        <v>0.621</v>
      </c>
      <c r="X407" s="274" t="n">
        <v>0.000548</v>
      </c>
      <c r="Y407" s="129" t="n">
        <v>5.71</v>
      </c>
      <c r="Z407" s="32" t="n">
        <v>593</v>
      </c>
      <c r="AA407" s="32" t="n">
        <v>460</v>
      </c>
      <c r="AB407" s="32" t="n">
        <v>3230</v>
      </c>
      <c r="AD407" s="32" t="n">
        <v>0.0057</v>
      </c>
      <c r="AE407" s="141" t="n">
        <v>0.0044</v>
      </c>
      <c r="AF407" s="32" t="n">
        <v>5.45</v>
      </c>
      <c r="AG407" s="129" t="n">
        <v>0.031</v>
      </c>
      <c r="AH407" s="131" t="n">
        <v>0.469</v>
      </c>
      <c r="AI407" s="131" t="n">
        <v>0.3051</v>
      </c>
      <c r="AJ407" s="32" t="n">
        <v>0.415</v>
      </c>
      <c r="AK407" s="131" t="n">
        <v>0.2124</v>
      </c>
      <c r="AL407" s="131" t="n">
        <v>0.0218</v>
      </c>
      <c r="AM407" s="139" t="n">
        <v>0.005</v>
      </c>
      <c r="AN407" s="308" t="n">
        <v>4.89</v>
      </c>
    </row>
    <row customHeight="1" ht="15" r="408" s="3">
      <c r="A408" s="117" t="n">
        <v>43749</v>
      </c>
      <c r="B408" s="267" t="inlineStr">
        <is>
          <t>iOS</t>
        </is>
      </c>
      <c r="C408" s="268" t="n">
        <v>38063</v>
      </c>
      <c r="D408" s="268" t="n">
        <v>110114</v>
      </c>
      <c r="E408" s="269" t="n">
        <v>2.89</v>
      </c>
      <c r="F408" s="270" t="n">
        <v>0.445</v>
      </c>
      <c r="G408" s="271" t="n">
        <v>22.76</v>
      </c>
      <c r="H408" s="271" t="n">
        <v>31.2</v>
      </c>
      <c r="I408" s="142" t="n">
        <v>0.284</v>
      </c>
      <c r="J408" s="142" t="n">
        <v>0.13</v>
      </c>
      <c r="K408" s="142" t="n">
        <v>0.065</v>
      </c>
      <c r="L408" s="270" t="n">
        <v>6.78</v>
      </c>
      <c r="M408" s="272" t="n">
        <v>5.37</v>
      </c>
      <c r="N408" s="270" t="n">
        <v>10.6</v>
      </c>
      <c r="O408" s="310" t="n">
        <v>0.509</v>
      </c>
      <c r="P408" s="270" t="n">
        <v>1.59</v>
      </c>
      <c r="Q408" s="270" t="n">
        <v>2.15</v>
      </c>
      <c r="R408" s="270" t="n">
        <v>0.679</v>
      </c>
      <c r="S408" s="270" t="n">
        <v>2.9</v>
      </c>
      <c r="T408" s="270" t="n">
        <v>0.924</v>
      </c>
      <c r="U408" s="270" t="n">
        <v>0.509</v>
      </c>
      <c r="V408" s="270" t="n">
        <v>1.2</v>
      </c>
      <c r="W408" s="270" t="n">
        <v>0.605</v>
      </c>
      <c r="X408" s="274" t="n">
        <v>0.000309</v>
      </c>
      <c r="Y408" s="269" t="n">
        <v>5.37</v>
      </c>
      <c r="Z408" s="275" t="n">
        <v>584</v>
      </c>
      <c r="AA408" s="275" t="n">
        <v>441</v>
      </c>
      <c r="AB408" s="270" t="n">
        <v>3280</v>
      </c>
      <c r="AD408" s="276" t="n">
        <v>0.0053</v>
      </c>
      <c r="AE408" s="141" t="n">
        <v>0.004</v>
      </c>
      <c r="AF408" s="270" t="n">
        <v>5.61</v>
      </c>
      <c r="AG408" s="277" t="n">
        <v>0.0298</v>
      </c>
      <c r="AH408" s="131" t="n">
        <v>0.438509838951212</v>
      </c>
      <c r="AI408" s="131" t="n">
        <v>0.266400441373512</v>
      </c>
      <c r="AJ408" s="270" t="n">
        <v>0.384</v>
      </c>
      <c r="AK408" s="131" t="n">
        <v>0.201046188495559</v>
      </c>
      <c r="AL408" s="131" t="n">
        <v>0.020415206059175</v>
      </c>
      <c r="AM408" s="139" t="n">
        <v>0.00320576856712135</v>
      </c>
      <c r="AN408" s="308" t="n">
        <v>4.61</v>
      </c>
    </row>
    <row customHeight="1" ht="15" r="409" s="3">
      <c r="A409" s="117" t="n">
        <v>43750</v>
      </c>
      <c r="B409" s="289" t="inlineStr">
        <is>
          <t>iOS</t>
        </is>
      </c>
      <c r="C409" s="268" t="n">
        <v>46040</v>
      </c>
      <c r="D409" s="268" t="n">
        <v>121300</v>
      </c>
      <c r="E409" s="269" t="n">
        <v>2.63</v>
      </c>
      <c r="F409" s="270" t="n">
        <v>0.59</v>
      </c>
      <c r="G409" s="271" t="n">
        <v>19.23</v>
      </c>
      <c r="H409" s="271" t="n">
        <v>26.98</v>
      </c>
      <c r="I409" s="142" t="n">
        <v>0.273</v>
      </c>
      <c r="J409" s="142" t="n">
        <v>0.12</v>
      </c>
      <c r="K409" s="142" t="n">
        <v>0.067</v>
      </c>
      <c r="L409" s="270" t="n">
        <v>7.79</v>
      </c>
      <c r="M409" s="272" t="n">
        <v>6.99</v>
      </c>
      <c r="N409" s="270" t="n">
        <v>13.8</v>
      </c>
      <c r="O409" s="310" t="n">
        <v>0.508</v>
      </c>
      <c r="P409" s="270" t="n">
        <v>1.89</v>
      </c>
      <c r="Q409" s="270" t="n">
        <v>2.54</v>
      </c>
      <c r="R409" s="270" t="n">
        <v>0.856</v>
      </c>
      <c r="S409" s="270" t="n">
        <v>4.68</v>
      </c>
      <c r="T409" s="270" t="n">
        <v>1.13</v>
      </c>
      <c r="U409" s="270" t="n">
        <v>0.445</v>
      </c>
      <c r="V409" s="270" t="n">
        <v>1.57</v>
      </c>
      <c r="W409" s="270" t="n">
        <v>0.667</v>
      </c>
      <c r="X409" s="274" t="n">
        <v>0.000322</v>
      </c>
      <c r="Y409" s="269" t="n">
        <v>6.99</v>
      </c>
      <c r="Z409" s="275" t="n">
        <v>935</v>
      </c>
      <c r="AA409" s="275" t="n">
        <v>603</v>
      </c>
      <c r="AB409" s="270" t="n">
        <v>6960</v>
      </c>
      <c r="AD409" s="276" t="n">
        <v>0.00771</v>
      </c>
      <c r="AE409" s="141" t="n">
        <v>0.00497</v>
      </c>
      <c r="AF409" s="270" t="n">
        <v>7.44</v>
      </c>
      <c r="AG409" s="277" t="n">
        <v>0.0574</v>
      </c>
      <c r="AH409" s="131" t="n">
        <v>0.433123370981755</v>
      </c>
      <c r="AI409" s="131" t="n">
        <v>0.24615551694179</v>
      </c>
      <c r="AJ409" s="270" t="n">
        <v>0.294</v>
      </c>
      <c r="AK409" s="131" t="n">
        <v>0.160461665292663</v>
      </c>
      <c r="AL409" s="131" t="n">
        <v>0.0165622423742787</v>
      </c>
      <c r="AM409" s="139" t="n">
        <v>0.248821104699093</v>
      </c>
      <c r="AN409" s="308" t="n">
        <v>4.96</v>
      </c>
    </row>
    <row customHeight="1" ht="15" r="410" s="3">
      <c r="A410" s="117" t="n">
        <v>43751</v>
      </c>
      <c r="B410" s="289" t="inlineStr">
        <is>
          <t>iOS</t>
        </is>
      </c>
      <c r="C410" s="268" t="n">
        <v>45195</v>
      </c>
      <c r="D410" s="268" t="n">
        <v>123062</v>
      </c>
      <c r="E410" s="269" t="n">
        <v>2.72</v>
      </c>
      <c r="F410" s="270" t="n">
        <v>0.509</v>
      </c>
      <c r="G410" s="271" t="n">
        <v>19.12</v>
      </c>
      <c r="H410" s="271" t="n">
        <v>27.43</v>
      </c>
      <c r="I410" s="142" t="n">
        <v>0.269</v>
      </c>
      <c r="J410" s="142" t="n">
        <v>0.122</v>
      </c>
      <c r="K410" s="142" t="n">
        <v>0.07099999999999999</v>
      </c>
      <c r="L410" s="270" t="n">
        <v>7.56</v>
      </c>
      <c r="M410" s="272" t="n">
        <v>6.81</v>
      </c>
      <c r="N410" s="270" t="n">
        <v>13.3</v>
      </c>
      <c r="O410" s="310" t="n">
        <v>0.511</v>
      </c>
      <c r="P410" s="270" t="n">
        <v>1.77</v>
      </c>
      <c r="Q410" s="270" t="n">
        <v>2.61</v>
      </c>
      <c r="R410" s="270" t="n">
        <v>0.857</v>
      </c>
      <c r="S410" s="270" t="n">
        <v>4.35</v>
      </c>
      <c r="T410" s="270" t="n">
        <v>1.09</v>
      </c>
      <c r="U410" s="270" t="n">
        <v>0.459</v>
      </c>
      <c r="V410" s="270" t="n">
        <v>1.5</v>
      </c>
      <c r="W410" s="270" t="n">
        <v>0.672</v>
      </c>
      <c r="X410" s="274" t="n">
        <v>0.000284</v>
      </c>
      <c r="Y410" s="269" t="n">
        <v>6.81</v>
      </c>
      <c r="Z410" s="275" t="n">
        <v>848</v>
      </c>
      <c r="AA410" s="275" t="n">
        <v>585</v>
      </c>
      <c r="AB410" s="270" t="n">
        <v>6170</v>
      </c>
      <c r="AD410" s="276" t="n">
        <v>0.00689</v>
      </c>
      <c r="AE410" s="141" t="n">
        <v>0.00475</v>
      </c>
      <c r="AF410" s="270" t="n">
        <v>7.27</v>
      </c>
      <c r="AG410" s="277" t="n">
        <v>0.0501</v>
      </c>
      <c r="AH410" s="131" t="n">
        <v>0.449762141829848</v>
      </c>
      <c r="AI410" s="131" t="n">
        <v>0.266179887155659</v>
      </c>
      <c r="AJ410" s="270" t="n">
        <v>0.305</v>
      </c>
      <c r="AK410" s="131" t="n">
        <v>0.158342949082576</v>
      </c>
      <c r="AL410" s="131" t="n">
        <v>0.0163007264630836</v>
      </c>
      <c r="AM410" s="139" t="n">
        <v>0.245209731679966</v>
      </c>
      <c r="AN410" s="308" t="n">
        <v>4.83</v>
      </c>
    </row>
    <row customHeight="1" ht="15" r="411" s="3">
      <c r="A411" s="117" t="n">
        <v>43752</v>
      </c>
      <c r="B411" s="289" t="inlineStr">
        <is>
          <t>iOS</t>
        </is>
      </c>
      <c r="C411" s="268" t="n">
        <v>38636</v>
      </c>
      <c r="D411" s="268" t="n">
        <v>117567</v>
      </c>
      <c r="E411" s="269" t="n">
        <v>3.04</v>
      </c>
      <c r="F411" s="270" t="n">
        <v>0.537</v>
      </c>
      <c r="G411" s="271" t="n">
        <v>19.87</v>
      </c>
      <c r="H411" s="271" t="n">
        <v>27.6</v>
      </c>
      <c r="I411" s="142" t="n">
        <v>0.285</v>
      </c>
      <c r="J411" s="142" t="n">
        <v>0.14</v>
      </c>
      <c r="K411" s="142" t="n">
        <v>0.079</v>
      </c>
      <c r="L411" s="270" t="n">
        <v>7.68</v>
      </c>
      <c r="M411" s="272" t="n">
        <v>7.02</v>
      </c>
      <c r="N411" s="270" t="n">
        <v>13.3</v>
      </c>
      <c r="O411" s="310" t="n">
        <v>0.527</v>
      </c>
      <c r="P411" s="270" t="n">
        <v>1.8</v>
      </c>
      <c r="Q411" s="270" t="n">
        <v>2.67</v>
      </c>
      <c r="R411" s="270" t="n">
        <v>0.854</v>
      </c>
      <c r="S411" s="270" t="n">
        <v>4.26</v>
      </c>
      <c r="T411" s="270" t="n">
        <v>1.12</v>
      </c>
      <c r="U411" s="270" t="n">
        <v>0.46</v>
      </c>
      <c r="V411" s="270" t="n">
        <v>1.49</v>
      </c>
      <c r="W411" s="270" t="n">
        <v>0.675</v>
      </c>
      <c r="X411" s="274" t="n">
        <v>0.000357</v>
      </c>
      <c r="Y411" s="269" t="n">
        <v>7.02</v>
      </c>
      <c r="Z411" s="275" t="n">
        <v>808</v>
      </c>
      <c r="AA411" s="275" t="n">
        <v>550</v>
      </c>
      <c r="AB411" s="270" t="n">
        <v>5490</v>
      </c>
      <c r="AD411" s="276" t="n">
        <v>0.00687</v>
      </c>
      <c r="AE411" s="141" t="n">
        <v>0.00468</v>
      </c>
      <c r="AF411" s="270" t="n">
        <v>6.79</v>
      </c>
      <c r="AG411" s="277" t="n">
        <v>0.0467</v>
      </c>
      <c r="AH411" s="131" t="n">
        <v>0.466714980846879</v>
      </c>
      <c r="AI411" s="131" t="n">
        <v>0.295708665493322</v>
      </c>
      <c r="AJ411" s="270" t="n">
        <v>0.332</v>
      </c>
      <c r="AK411" s="131" t="n">
        <v>0.174164518955149</v>
      </c>
      <c r="AL411" s="131" t="n">
        <v>0.0178111204674781</v>
      </c>
      <c r="AM411" s="139" t="n">
        <v>0.252800530761183</v>
      </c>
      <c r="AN411" s="308" t="n">
        <v>4.86</v>
      </c>
    </row>
    <row customHeight="1" ht="15" r="412" s="3">
      <c r="A412" s="117" t="n">
        <v>43753</v>
      </c>
      <c r="B412" s="289" t="inlineStr">
        <is>
          <t>iOS</t>
        </is>
      </c>
      <c r="C412" s="268" t="n">
        <v>28799</v>
      </c>
      <c r="D412" s="268" t="n">
        <v>105655</v>
      </c>
      <c r="E412" s="269" t="n">
        <v>3.67</v>
      </c>
      <c r="F412" s="270" t="n">
        <v>0.61</v>
      </c>
      <c r="G412" s="271" t="n">
        <v>21.4</v>
      </c>
      <c r="H412" s="271" t="n">
        <v>29.35</v>
      </c>
      <c r="I412" s="142" t="n">
        <v>0.289</v>
      </c>
      <c r="J412" s="142" t="n">
        <v>0.148</v>
      </c>
      <c r="K412" s="142" t="n">
        <v>0.075</v>
      </c>
      <c r="L412" s="270" t="n">
        <v>7.79</v>
      </c>
      <c r="M412" s="272" t="n">
        <v>6.98</v>
      </c>
      <c r="N412" s="270" t="n">
        <v>13</v>
      </c>
      <c r="O412" s="310" t="n">
        <v>0.536</v>
      </c>
      <c r="P412" s="270" t="n">
        <v>1.7</v>
      </c>
      <c r="Q412" s="270" t="n">
        <v>2.63</v>
      </c>
      <c r="R412" s="270" t="n">
        <v>0.87</v>
      </c>
      <c r="S412" s="270" t="n">
        <v>4.09</v>
      </c>
      <c r="T412" s="270" t="n">
        <v>1.09</v>
      </c>
      <c r="U412" s="270" t="n">
        <v>0.483</v>
      </c>
      <c r="V412" s="270" t="n">
        <v>1.48</v>
      </c>
      <c r="W412" s="270" t="n">
        <v>0.675</v>
      </c>
      <c r="X412" s="274" t="n">
        <v>0.000483</v>
      </c>
      <c r="Y412" s="269" t="n">
        <v>6.99</v>
      </c>
      <c r="Z412" s="275" t="n">
        <v>772</v>
      </c>
      <c r="AA412" s="275" t="n">
        <v>528</v>
      </c>
      <c r="AB412" s="270" t="n">
        <v>4950</v>
      </c>
      <c r="AD412" s="276" t="n">
        <v>0.00731</v>
      </c>
      <c r="AE412" s="141" t="n">
        <v>0.005</v>
      </c>
      <c r="AF412" s="270" t="n">
        <v>6.41</v>
      </c>
      <c r="AG412" s="277" t="n">
        <v>0.0468</v>
      </c>
      <c r="AH412" s="131" t="n">
        <v>0.494114378971492</v>
      </c>
      <c r="AI412" s="131" t="n">
        <v>0.347025938400639</v>
      </c>
      <c r="AJ412" s="270" t="n">
        <v>0.392</v>
      </c>
      <c r="AK412" s="131" t="n">
        <v>0.203057119871279</v>
      </c>
      <c r="AL412" s="131" t="n">
        <v>0.0223747101414983</v>
      </c>
      <c r="AM412" s="139" t="n">
        <v>0.222904737116085</v>
      </c>
      <c r="AN412" s="308" t="n">
        <v>5.49</v>
      </c>
    </row>
    <row customFormat="1" customHeight="1" ht="13.95" r="413" s="294">
      <c r="A413" s="121" t="n">
        <v>43754</v>
      </c>
      <c r="B413" s="295" t="inlineStr">
        <is>
          <t>iOS</t>
        </is>
      </c>
      <c r="C413" s="296" t="n">
        <v>17830</v>
      </c>
      <c r="D413" s="296" t="n">
        <v>90743</v>
      </c>
      <c r="E413" s="297" t="n">
        <v>5.09</v>
      </c>
      <c r="F413" s="294" t="n">
        <v>0.532</v>
      </c>
      <c r="G413" s="306" t="n">
        <v>22.77</v>
      </c>
      <c r="H413" s="306" t="n">
        <v>32.24</v>
      </c>
      <c r="I413" s="124" t="n">
        <v>0.321</v>
      </c>
      <c r="J413" s="124" t="n">
        <v>0.16</v>
      </c>
      <c r="K413" s="124" t="n">
        <v>0.083</v>
      </c>
      <c r="L413" s="294" t="n">
        <v>7.41</v>
      </c>
      <c r="M413" s="299" t="n">
        <v>6.32</v>
      </c>
      <c r="N413" s="294" t="n">
        <v>11.6</v>
      </c>
      <c r="O413" s="300" t="n">
        <v>0.544</v>
      </c>
      <c r="P413" s="294" t="n">
        <v>1.61</v>
      </c>
      <c r="Q413" s="294" t="n">
        <v>2.36</v>
      </c>
      <c r="R413" s="294" t="n">
        <v>0.8149999999999999</v>
      </c>
      <c r="S413" s="294" t="n">
        <v>3.35</v>
      </c>
      <c r="T413" s="294" t="n">
        <v>1</v>
      </c>
      <c r="U413" s="294" t="n">
        <v>0.51</v>
      </c>
      <c r="V413" s="294" t="n">
        <v>1.32</v>
      </c>
      <c r="W413" s="294" t="n">
        <v>0.653</v>
      </c>
      <c r="X413" s="301" t="n">
        <v>0.000849</v>
      </c>
      <c r="Y413" s="297" t="n">
        <v>6.32</v>
      </c>
      <c r="Z413" s="293" t="n">
        <v>512</v>
      </c>
      <c r="AA413" s="293" t="n">
        <v>384</v>
      </c>
      <c r="AB413" s="294" t="n">
        <v>3420</v>
      </c>
      <c r="AD413" s="303" t="n">
        <v>0.00564</v>
      </c>
      <c r="AE413" s="123" t="n">
        <v>0.00423</v>
      </c>
      <c r="AF413" s="294" t="n">
        <v>6.68</v>
      </c>
      <c r="AG413" s="304" t="n">
        <v>0.0377</v>
      </c>
      <c r="AH413" s="135" t="n">
        <v>0.556533931575996</v>
      </c>
      <c r="AI413" s="135" t="n">
        <v>0.437521031968592</v>
      </c>
      <c r="AJ413" s="294" t="n">
        <v>0.482</v>
      </c>
      <c r="AK413" s="136" t="n">
        <v>0.25011295637129</v>
      </c>
      <c r="AL413" s="136" t="n">
        <v>0.0271976901799588</v>
      </c>
      <c r="AM413" s="137" t="n">
        <v>0.0208831535214838</v>
      </c>
      <c r="AN413" s="307" t="n">
        <v>5.61</v>
      </c>
    </row>
    <row customHeight="1" ht="15" r="414" s="3">
      <c r="A414" s="117" t="n">
        <v>43755</v>
      </c>
      <c r="B414" s="267" t="inlineStr">
        <is>
          <t>iOS</t>
        </is>
      </c>
      <c r="C414" s="268" t="n">
        <v>18628</v>
      </c>
      <c r="D414" s="268" t="n">
        <v>87553</v>
      </c>
      <c r="E414" s="269" t="n">
        <v>4.7</v>
      </c>
      <c r="F414" s="270" t="n">
        <v>0.57</v>
      </c>
      <c r="G414" s="271" t="n">
        <v>23.32</v>
      </c>
      <c r="H414" s="271" t="n">
        <v>32.15</v>
      </c>
      <c r="I414" s="142" t="n">
        <v>0.328</v>
      </c>
      <c r="J414" s="142" t="n">
        <v>0.164</v>
      </c>
      <c r="K414" s="142" t="n">
        <v>0.08400000000000001</v>
      </c>
      <c r="L414" s="270" t="n">
        <v>7.33</v>
      </c>
      <c r="M414" s="272" t="n">
        <v>6.32</v>
      </c>
      <c r="N414" s="270" t="n">
        <v>11.6</v>
      </c>
      <c r="O414" s="310" t="n">
        <v>0.543</v>
      </c>
      <c r="P414" s="270" t="n">
        <v>1.64</v>
      </c>
      <c r="Q414" s="270" t="n">
        <v>2.42</v>
      </c>
      <c r="R414" s="270" t="n">
        <v>0.781</v>
      </c>
      <c r="S414" s="270" t="n">
        <v>3.3</v>
      </c>
      <c r="T414" s="270" t="n">
        <v>1.02</v>
      </c>
      <c r="U414" s="270" t="n">
        <v>0.507</v>
      </c>
      <c r="V414" s="270" t="n">
        <v>1.31</v>
      </c>
      <c r="W414" s="270" t="n">
        <v>0.646</v>
      </c>
      <c r="X414" s="274" t="n">
        <v>0.00144</v>
      </c>
      <c r="Y414" s="269" t="n">
        <v>6.32</v>
      </c>
      <c r="Z414" s="275" t="n">
        <v>543</v>
      </c>
      <c r="AA414" s="275" t="n">
        <v>406</v>
      </c>
      <c r="AB414" s="270" t="n">
        <v>2950</v>
      </c>
      <c r="AD414" s="276" t="n">
        <v>0.0062</v>
      </c>
      <c r="AE414" s="141" t="n">
        <v>0.00464</v>
      </c>
      <c r="AF414" s="270" t="n">
        <v>5.42</v>
      </c>
      <c r="AG414" s="277" t="n">
        <v>0.0336</v>
      </c>
      <c r="AH414" s="131" t="n">
        <v>0.529740176079021</v>
      </c>
      <c r="AI414" s="131" t="n">
        <v>0.388608546274426</v>
      </c>
      <c r="AJ414" s="270" t="n">
        <v>0.46</v>
      </c>
      <c r="AK414" s="131" t="n">
        <v>0.253994723196236</v>
      </c>
      <c r="AL414" s="131" t="n">
        <v>0.0277317738969538</v>
      </c>
      <c r="AM414" s="139" t="n">
        <v>0.00686441355521798</v>
      </c>
      <c r="AN414" s="308" t="n">
        <v>4.75</v>
      </c>
    </row>
    <row customHeight="1" ht="13.2" r="415" s="3">
      <c r="A415" s="117" t="n">
        <v>43756</v>
      </c>
      <c r="B415" s="267" t="inlineStr">
        <is>
          <t>iOS</t>
        </is>
      </c>
      <c r="C415" s="268" t="n">
        <v>22641</v>
      </c>
      <c r="D415" s="268" t="n">
        <v>89880</v>
      </c>
      <c r="E415" s="269" t="n">
        <v>3.97</v>
      </c>
      <c r="F415" s="270" t="n">
        <v>0.548</v>
      </c>
      <c r="G415" s="271" t="n">
        <v>22.67</v>
      </c>
      <c r="H415" s="271" t="n">
        <v>29.92</v>
      </c>
      <c r="I415" s="142" t="n">
        <v>0.318</v>
      </c>
      <c r="J415" s="142" t="n">
        <v>0.163</v>
      </c>
      <c r="K415" s="142" t="n">
        <v>0.078</v>
      </c>
      <c r="L415" s="270" t="n">
        <v>7.2</v>
      </c>
      <c r="M415" s="272" t="n">
        <v>6.05</v>
      </c>
      <c r="N415" s="270" t="n">
        <v>11.4</v>
      </c>
      <c r="O415" s="310" t="n">
        <v>0.529</v>
      </c>
      <c r="P415" s="270" t="n">
        <v>1.67</v>
      </c>
      <c r="Q415" s="270" t="n">
        <v>2.39</v>
      </c>
      <c r="R415" s="270" t="n">
        <v>0.749</v>
      </c>
      <c r="S415" s="270" t="n">
        <v>3.18</v>
      </c>
      <c r="T415" s="270" t="n">
        <v>1.02</v>
      </c>
      <c r="U415" s="270" t="n">
        <v>0.509</v>
      </c>
      <c r="V415" s="270" t="n">
        <v>1.29</v>
      </c>
      <c r="W415" s="270" t="n">
        <v>0.639</v>
      </c>
      <c r="X415" s="274" t="n">
        <v>0.00107</v>
      </c>
      <c r="Y415" s="269" t="n">
        <v>6.05</v>
      </c>
      <c r="Z415" s="275" t="n">
        <v>630</v>
      </c>
      <c r="AA415" s="275" t="n">
        <v>465</v>
      </c>
      <c r="AB415" s="270" t="n">
        <v>3930</v>
      </c>
      <c r="AD415" s="276" t="n">
        <v>0.00701</v>
      </c>
      <c r="AE415" s="141" t="n">
        <v>0.00517</v>
      </c>
      <c r="AF415" s="270" t="n">
        <v>6.25</v>
      </c>
      <c r="AG415" s="277" t="n">
        <v>0.0438</v>
      </c>
      <c r="AH415" s="131" t="n">
        <v>0.496577006315976</v>
      </c>
      <c r="AI415" s="131" t="n">
        <v>0.327724040457577</v>
      </c>
      <c r="AJ415" s="270" t="n">
        <v>0.434</v>
      </c>
      <c r="AK415" s="131" t="n">
        <v>0.244759679572764</v>
      </c>
      <c r="AL415" s="131" t="n">
        <v>0.0271250556297285</v>
      </c>
      <c r="AM415" s="139" t="n">
        <v>0.0042167334223409</v>
      </c>
      <c r="AN415" s="308" t="n">
        <v>5.136</v>
      </c>
    </row>
    <row customHeight="1" ht="15" r="416" s="3">
      <c r="A416" s="117" t="n">
        <v>43757</v>
      </c>
      <c r="B416" s="289" t="inlineStr">
        <is>
          <t>iOS</t>
        </is>
      </c>
      <c r="C416" s="268" t="n">
        <v>28716</v>
      </c>
      <c r="D416" s="268" t="n">
        <v>97040</v>
      </c>
      <c r="E416" s="269" t="n">
        <v>3.38</v>
      </c>
      <c r="F416" s="270" t="n">
        <v>0.702</v>
      </c>
      <c r="G416" s="271" t="n">
        <v>20.66</v>
      </c>
      <c r="H416" s="271" t="n">
        <v>28.9</v>
      </c>
      <c r="I416" s="142" t="n">
        <v>0.318</v>
      </c>
      <c r="J416" s="142" t="n">
        <v>0.151</v>
      </c>
      <c r="K416" s="142" t="n">
        <v>0.08</v>
      </c>
      <c r="L416" s="270" t="n">
        <v>8.42</v>
      </c>
      <c r="M416" s="272" t="n">
        <v>7.8</v>
      </c>
      <c r="N416" s="270" t="n">
        <v>14.7</v>
      </c>
      <c r="O416" s="310" t="n">
        <v>0.531</v>
      </c>
      <c r="P416" s="270" t="n">
        <v>1.97</v>
      </c>
      <c r="Q416" s="270" t="n">
        <v>2.73</v>
      </c>
      <c r="R416" s="270" t="n">
        <v>1.05</v>
      </c>
      <c r="S416" s="270" t="n">
        <v>4.96</v>
      </c>
      <c r="T416" s="270" t="n">
        <v>1.22</v>
      </c>
      <c r="U416" s="270" t="n">
        <v>0.444</v>
      </c>
      <c r="V416" s="270" t="n">
        <v>1.63</v>
      </c>
      <c r="W416" s="270" t="n">
        <v>0.6820000000000001</v>
      </c>
      <c r="X416" s="274" t="n">
        <v>0.000711</v>
      </c>
      <c r="Y416" s="269" t="n">
        <v>7.8</v>
      </c>
      <c r="Z416" s="275" t="n">
        <v>844</v>
      </c>
      <c r="AA416" s="275" t="n">
        <v>549</v>
      </c>
      <c r="AB416" s="270" t="n">
        <v>6890</v>
      </c>
      <c r="AD416" s="276" t="n">
        <v>0.008699999999999999</v>
      </c>
      <c r="AE416" s="141" t="n">
        <v>0.00566</v>
      </c>
      <c r="AF416" s="270" t="n">
        <v>8.16</v>
      </c>
      <c r="AG416" s="277" t="n">
        <v>0.07099999999999999</v>
      </c>
      <c r="AH416" s="131" t="n">
        <v>0.4915029948460788</v>
      </c>
      <c r="AI416" s="131" t="n">
        <v>0.3008427357570692</v>
      </c>
      <c r="AJ416" s="270" t="n">
        <v>0.334</v>
      </c>
      <c r="AK416" s="131" t="n">
        <v>0.1936108821104699</v>
      </c>
      <c r="AL416" s="131" t="n">
        <v>0.02126957955482275</v>
      </c>
      <c r="AM416" s="139" t="n">
        <v>0.2762469084913438</v>
      </c>
      <c r="AN416" s="308" t="n">
        <v>5.657</v>
      </c>
    </row>
    <row customHeight="1" ht="15" r="417" s="3">
      <c r="A417" s="117" t="n">
        <v>43758</v>
      </c>
      <c r="B417" s="289" t="inlineStr">
        <is>
          <t>iOS</t>
        </is>
      </c>
      <c r="C417" s="268" t="n">
        <v>32693</v>
      </c>
      <c r="D417" s="268" t="n">
        <v>103095</v>
      </c>
      <c r="E417" s="269" t="n">
        <v>3.15</v>
      </c>
      <c r="F417" s="270">
        <f>3.3*M417*G417/1000+3.3*AB417/D417*0.7</f>
        <v/>
      </c>
      <c r="G417" s="271" t="n">
        <v>19.63</v>
      </c>
      <c r="H417" s="271" t="n">
        <v>29.81</v>
      </c>
      <c r="I417" s="142" t="n">
        <v>0.309</v>
      </c>
      <c r="J417" s="142" t="n">
        <v>0.143</v>
      </c>
      <c r="K417" s="142" t="n">
        <v>0.081</v>
      </c>
      <c r="L417" s="270" t="n">
        <v>8.06</v>
      </c>
      <c r="M417" s="272" t="n">
        <v>7.74</v>
      </c>
      <c r="N417" s="270" t="n">
        <v>14.3</v>
      </c>
      <c r="O417" s="310" t="n">
        <v>0.542</v>
      </c>
      <c r="P417" s="270" t="n">
        <v>1.89</v>
      </c>
      <c r="Q417" s="270" t="n">
        <v>2.83</v>
      </c>
      <c r="R417" s="270" t="n">
        <v>0.974</v>
      </c>
      <c r="S417" s="270" t="n">
        <v>4.66</v>
      </c>
      <c r="T417" s="270" t="n">
        <v>1.2</v>
      </c>
      <c r="U417" s="270" t="n">
        <v>0.468</v>
      </c>
      <c r="V417" s="270" t="n">
        <v>1.57</v>
      </c>
      <c r="W417" s="270" t="n">
        <v>0.6929999999999999</v>
      </c>
      <c r="X417" s="274" t="n">
        <v>0.000941</v>
      </c>
      <c r="Y417" s="269" t="n">
        <v>7.74</v>
      </c>
      <c r="Z417" s="275" t="n">
        <v>908</v>
      </c>
      <c r="AA417" s="275" t="n">
        <v>615</v>
      </c>
      <c r="AB417" s="270" t="n">
        <v>6670</v>
      </c>
      <c r="AD417" s="276" t="n">
        <v>0.00881</v>
      </c>
      <c r="AE417" s="141" t="n">
        <v>0.00597</v>
      </c>
      <c r="AF417" s="270" t="n">
        <v>7.34</v>
      </c>
      <c r="AG417" s="277" t="n">
        <v>0.06469999999999999</v>
      </c>
      <c r="AH417" s="131" t="n">
        <v>0.5043281436393112</v>
      </c>
      <c r="AI417" s="131" t="n">
        <v>0.3200379286085707</v>
      </c>
      <c r="AJ417" s="270" t="n">
        <v>0.345</v>
      </c>
      <c r="AK417" s="131" t="n">
        <v>0.1838595470197391</v>
      </c>
      <c r="AL417" s="131" t="n">
        <v>0.01977787477569232</v>
      </c>
      <c r="AM417" s="139" t="n">
        <v>0.2700712934671904</v>
      </c>
      <c r="AN417" s="308" t="n">
        <v>5.922</v>
      </c>
    </row>
    <row customHeight="1" ht="15" r="418" s="3">
      <c r="A418" s="117" t="n">
        <v>43759</v>
      </c>
      <c r="B418" s="311" t="inlineStr">
        <is>
          <t>iOS</t>
        </is>
      </c>
      <c r="C418" s="268" t="n">
        <v>36046</v>
      </c>
      <c r="D418" s="268" t="n">
        <v>109443</v>
      </c>
      <c r="E418" s="269" t="n">
        <v>3.04</v>
      </c>
      <c r="F418" s="270">
        <f>3.3*M418*G418/1000+3.3*AB418/D418*0.7</f>
        <v/>
      </c>
      <c r="G418" s="271" t="n">
        <v>21.07</v>
      </c>
      <c r="H418" s="271" t="n">
        <v>31.2</v>
      </c>
      <c r="I418" s="142" t="n">
        <v>0.315</v>
      </c>
      <c r="J418" s="142" t="n">
        <v>0.157</v>
      </c>
      <c r="K418" s="142" t="n">
        <v>0.09</v>
      </c>
      <c r="L418" s="270" t="n">
        <v>8.210000000000001</v>
      </c>
      <c r="M418" s="272" t="n">
        <v>7.8</v>
      </c>
      <c r="N418" s="270" t="n">
        <v>14.1</v>
      </c>
      <c r="O418" s="310" t="n">
        <v>0.552</v>
      </c>
      <c r="P418" s="270" t="n">
        <v>1.89</v>
      </c>
      <c r="Q418" s="270" t="n">
        <v>2.91</v>
      </c>
      <c r="R418" s="270" t="n">
        <v>0.923</v>
      </c>
      <c r="S418" s="270" t="n">
        <v>4.47</v>
      </c>
      <c r="T418" s="270" t="n">
        <v>1.2</v>
      </c>
      <c r="U418" s="270" t="n">
        <v>0.481</v>
      </c>
      <c r="V418" s="270" t="n">
        <v>1.55</v>
      </c>
      <c r="W418" s="270" t="n">
        <v>0.706</v>
      </c>
      <c r="X418" s="274" t="n">
        <v>0.000941</v>
      </c>
      <c r="Y418" s="269" t="n">
        <v>7.8</v>
      </c>
      <c r="Z418" s="275" t="n">
        <v>859</v>
      </c>
      <c r="AA418" s="275" t="n">
        <v>581</v>
      </c>
      <c r="AB418" s="270" t="n">
        <v>6000</v>
      </c>
      <c r="AD418" s="276" t="n">
        <v>0.007849999999999999</v>
      </c>
      <c r="AE418" s="141" t="n">
        <v>0.00531</v>
      </c>
      <c r="AF418" s="270" t="n">
        <v>6.99</v>
      </c>
      <c r="AG418" s="277" t="n">
        <v>0.0549</v>
      </c>
      <c r="AH418" s="131" t="n">
        <v>0.5044110303501081</v>
      </c>
      <c r="AI418" s="131" t="n">
        <v>0.3268323808466959</v>
      </c>
      <c r="AJ418" s="270" t="n">
        <v>0.362</v>
      </c>
      <c r="AK418" s="131" t="n">
        <v>0.1848542163500635</v>
      </c>
      <c r="AL418" s="131" t="n">
        <v>0.02033935473260053</v>
      </c>
      <c r="AM418" s="139" t="n">
        <v>0.2641740449366337</v>
      </c>
      <c r="AN418" s="308" t="n">
        <v>6.774</v>
      </c>
    </row>
    <row customHeight="1" ht="15" r="419" s="3">
      <c r="A419" s="117" t="n">
        <v>43760</v>
      </c>
      <c r="B419" s="312" t="inlineStr">
        <is>
          <t>iOS</t>
        </is>
      </c>
      <c r="C419" s="268" t="n">
        <v>35306</v>
      </c>
      <c r="D419" s="268" t="n">
        <v>108584</v>
      </c>
      <c r="E419" s="269" t="n">
        <v>3.08</v>
      </c>
      <c r="F419" s="270">
        <f>3.3*M419*G419/1000+3.3*AB419/D419*0.7</f>
        <v/>
      </c>
      <c r="G419" s="271" t="n">
        <v>23.77</v>
      </c>
      <c r="H419" s="271" t="n">
        <v>34.39</v>
      </c>
      <c r="I419" s="142" t="n">
        <v>0.324</v>
      </c>
      <c r="J419" s="142" t="n">
        <v>0.162</v>
      </c>
      <c r="K419" s="142" t="n">
        <v>0.08699999999999999</v>
      </c>
      <c r="L419" s="270" t="n">
        <v>8.24</v>
      </c>
      <c r="M419" s="272" t="n">
        <v>7.55</v>
      </c>
      <c r="N419" s="270" t="n">
        <v>13.5</v>
      </c>
      <c r="O419" s="310" t="n">
        <v>0.5570000000000001</v>
      </c>
      <c r="P419" s="270" t="n">
        <v>1.84</v>
      </c>
      <c r="Q419" s="270" t="n">
        <v>2.82</v>
      </c>
      <c r="R419" s="270" t="n">
        <v>0.877</v>
      </c>
      <c r="S419" s="270" t="n">
        <v>4.14</v>
      </c>
      <c r="T419" s="270" t="n">
        <v>1.13</v>
      </c>
      <c r="U419" s="270" t="n">
        <v>0.513</v>
      </c>
      <c r="V419" s="270" t="n">
        <v>1.52</v>
      </c>
      <c r="W419" s="270" t="n">
        <v>0.701</v>
      </c>
      <c r="X419" s="274" t="n">
        <v>0.000967</v>
      </c>
      <c r="Y419" s="269" t="n">
        <v>7.55</v>
      </c>
      <c r="Z419" s="275" t="n">
        <v>811</v>
      </c>
      <c r="AA419" s="275" t="n">
        <v>597</v>
      </c>
      <c r="AB419" s="270" t="n">
        <v>5560</v>
      </c>
      <c r="AD419" s="276" t="n">
        <v>0.00747</v>
      </c>
      <c r="AE419" s="141" t="n">
        <v>0.0055</v>
      </c>
      <c r="AF419" s="270" t="n">
        <v>6.86</v>
      </c>
      <c r="AG419" s="277" t="n">
        <v>0.0512</v>
      </c>
      <c r="AH419" s="131" t="n">
        <v>0.4985838101172605</v>
      </c>
      <c r="AI419" s="131" t="n">
        <v>0.329887271285334</v>
      </c>
      <c r="AJ419" s="270" t="n">
        <v>0.4</v>
      </c>
      <c r="AK419" s="131" t="n">
        <v>0.1987217269579312</v>
      </c>
      <c r="AL419" s="131" t="n">
        <v>0.02359463641052089</v>
      </c>
      <c r="AM419" s="139" t="n">
        <v>0.2177576806896044</v>
      </c>
      <c r="AN419" s="270" t="n">
        <v>6.337</v>
      </c>
    </row>
    <row customFormat="1" customHeight="1" ht="13.95" r="420" s="294">
      <c r="A420" s="121" t="n">
        <v>43761</v>
      </c>
      <c r="B420" s="295" t="inlineStr">
        <is>
          <t>iOS</t>
        </is>
      </c>
      <c r="C420" s="296" t="n">
        <v>37271</v>
      </c>
      <c r="D420" s="296" t="n">
        <v>110756</v>
      </c>
      <c r="E420" s="297" t="n">
        <v>2.97</v>
      </c>
      <c r="F420" s="294">
        <f>3.3*M420*G420/1000+3.3*AB420/D420*0.7</f>
        <v/>
      </c>
      <c r="G420" s="306" t="n">
        <v>24.59</v>
      </c>
      <c r="H420" s="306" t="n">
        <v>36.58</v>
      </c>
      <c r="I420" s="124" t="n">
        <v>0.323</v>
      </c>
      <c r="J420" s="124" t="n">
        <v>0.155</v>
      </c>
      <c r="K420" s="124" t="n">
        <v>0.083</v>
      </c>
      <c r="L420" s="294" t="n">
        <v>7.78</v>
      </c>
      <c r="M420" s="299" t="n">
        <v>6.74</v>
      </c>
      <c r="N420" s="294" t="n">
        <v>12.2</v>
      </c>
      <c r="O420" s="300" t="n">
        <v>0.551</v>
      </c>
      <c r="P420" s="294" t="n">
        <v>1.75</v>
      </c>
      <c r="Q420" s="294" t="n">
        <v>2.58</v>
      </c>
      <c r="R420" s="294" t="n">
        <v>0.751</v>
      </c>
      <c r="S420" s="294" t="n">
        <v>3.55</v>
      </c>
      <c r="T420" s="294" t="n">
        <v>1.01</v>
      </c>
      <c r="U420" s="294" t="n">
        <v>0.54</v>
      </c>
      <c r="V420" s="294" t="n">
        <v>1.38</v>
      </c>
      <c r="W420" s="294" t="n">
        <v>0.675</v>
      </c>
      <c r="X420" s="301" t="n">
        <v>0.0009479999999999999</v>
      </c>
      <c r="Y420" s="297" t="n">
        <v>6.74</v>
      </c>
      <c r="Z420" s="293" t="n">
        <v>836</v>
      </c>
      <c r="AA420" s="293" t="n">
        <v>592</v>
      </c>
      <c r="AB420" s="294" t="n">
        <v>5100</v>
      </c>
      <c r="AD420" s="303" t="n">
        <v>0.00755</v>
      </c>
      <c r="AE420" s="123" t="n">
        <v>0.00535</v>
      </c>
      <c r="AF420" s="294" t="n">
        <v>6.1</v>
      </c>
      <c r="AG420" s="304" t="n">
        <v>0.0461</v>
      </c>
      <c r="AH420" s="135" t="n">
        <v>0.5043867886560597</v>
      </c>
      <c r="AI420" s="135" t="n">
        <v>0.3276542083657535</v>
      </c>
      <c r="AJ420" s="294" t="n">
        <v>0.455</v>
      </c>
      <c r="AK420" s="136" t="n">
        <v>0.2206110729892737</v>
      </c>
      <c r="AL420" s="136" t="n">
        <v>0.0239625844198057</v>
      </c>
      <c r="AM420" s="137" t="n">
        <v>0.01571923868684315</v>
      </c>
      <c r="AN420" s="308" t="n">
        <v>6.59</v>
      </c>
    </row>
    <row customHeight="1" ht="15" r="421" s="3">
      <c r="A421" s="117" t="n">
        <v>43762</v>
      </c>
      <c r="B421" s="267" t="inlineStr">
        <is>
          <t>iOS</t>
        </is>
      </c>
      <c r="C421" s="268" t="n">
        <v>36114</v>
      </c>
      <c r="D421" s="268" t="n">
        <v>111757</v>
      </c>
      <c r="E421" s="269" t="n">
        <v>3.09</v>
      </c>
      <c r="F421" s="270">
        <f>3.3*M421*G421/1000+3.3*AB421/D421*0.7</f>
        <v/>
      </c>
      <c r="G421" s="271" t="n">
        <v>24.23</v>
      </c>
      <c r="H421" s="271" t="n">
        <v>35.94</v>
      </c>
      <c r="I421" s="142" t="n">
        <v>0.319</v>
      </c>
      <c r="J421" s="142" t="n">
        <v>0.154</v>
      </c>
      <c r="K421" s="142" t="n">
        <v>0.081</v>
      </c>
      <c r="L421" s="270" t="n">
        <v>7.76</v>
      </c>
      <c r="M421" s="272" t="n">
        <v>6.72</v>
      </c>
      <c r="N421" s="270" t="n">
        <v>12.1</v>
      </c>
      <c r="O421" s="310" t="n">
        <v>0.555</v>
      </c>
      <c r="P421" s="270" t="n">
        <v>1.72</v>
      </c>
      <c r="Q421" s="270" t="n">
        <v>2.61</v>
      </c>
      <c r="R421" s="270" t="n">
        <v>0.737</v>
      </c>
      <c r="S421" s="270" t="n">
        <v>3.46</v>
      </c>
      <c r="T421" s="270" t="n">
        <v>1.01</v>
      </c>
      <c r="U421" s="270" t="n">
        <v>0.535</v>
      </c>
      <c r="V421" s="270" t="n">
        <v>1.36</v>
      </c>
      <c r="W421" s="270" t="n">
        <v>0.664</v>
      </c>
      <c r="X421" s="274" t="n">
        <v>0.000975</v>
      </c>
      <c r="Y421" s="269" t="n">
        <v>6.72</v>
      </c>
      <c r="Z421" s="275" t="n">
        <v>814</v>
      </c>
      <c r="AA421" s="275" t="n">
        <v>591</v>
      </c>
      <c r="AB421" s="270" t="n">
        <v>4720</v>
      </c>
      <c r="AD421" s="276" t="n">
        <v>0.00728</v>
      </c>
      <c r="AE421" s="141" t="n">
        <v>0.00529</v>
      </c>
      <c r="AF421" s="270" t="n">
        <v>5.8</v>
      </c>
      <c r="AG421" s="277" t="n">
        <v>0.0423</v>
      </c>
      <c r="AH421" s="131" t="n">
        <v>0.4980616935260564</v>
      </c>
      <c r="AI421" s="131" t="n">
        <v>0.3357146812870355</v>
      </c>
      <c r="AJ421" s="270" t="n">
        <v>0.444</v>
      </c>
      <c r="AK421" s="131" t="n">
        <v>0.2252834274363127</v>
      </c>
      <c r="AL421" s="131" t="n">
        <v>0.02347951358751577</v>
      </c>
      <c r="AM421" s="139" t="n">
        <v>0.005019819787574827</v>
      </c>
      <c r="AN421" s="307" t="n">
        <v>6.51</v>
      </c>
    </row>
    <row customHeight="1" ht="13.8" r="422" s="3">
      <c r="A422" s="117" t="n">
        <v>43763</v>
      </c>
      <c r="B422" s="267" t="inlineStr">
        <is>
          <t>iOS</t>
        </is>
      </c>
      <c r="C422" s="268" t="n">
        <v>30042</v>
      </c>
      <c r="D422" s="268" t="n">
        <v>106720</v>
      </c>
      <c r="E422" s="269" t="n">
        <v>3.55</v>
      </c>
      <c r="F422" s="270" t="n">
        <v>0.699</v>
      </c>
      <c r="G422" s="271" t="n">
        <v>21.68</v>
      </c>
      <c r="H422" s="271" t="n">
        <v>32.09</v>
      </c>
      <c r="I422" s="142" t="n">
        <v>0.302</v>
      </c>
      <c r="J422" s="142" t="n">
        <v>0.159</v>
      </c>
      <c r="K422" s="142" t="n">
        <v>0.076</v>
      </c>
      <c r="L422" s="270" t="n">
        <v>7.6</v>
      </c>
      <c r="M422" s="272" t="n">
        <v>6.72</v>
      </c>
      <c r="N422" s="270" t="n">
        <v>12</v>
      </c>
      <c r="O422" s="310" t="n">
        <v>0.5580000000000001</v>
      </c>
      <c r="P422" s="270" t="n">
        <v>1.68</v>
      </c>
      <c r="Q422" s="270" t="n">
        <v>2.66</v>
      </c>
      <c r="R422" s="270" t="n">
        <v>0.717</v>
      </c>
      <c r="S422" s="270" t="n">
        <v>3.41</v>
      </c>
      <c r="T422" s="270" t="n">
        <v>1</v>
      </c>
      <c r="U422" s="270" t="n">
        <v>0.528</v>
      </c>
      <c r="V422" s="270" t="n">
        <v>1.35</v>
      </c>
      <c r="W422" s="270" t="n">
        <v>0.673</v>
      </c>
      <c r="X422" s="274" t="n">
        <v>0.000946</v>
      </c>
      <c r="Y422" s="269" t="n">
        <v>6.72</v>
      </c>
      <c r="Z422" s="275" t="n">
        <v>722</v>
      </c>
      <c r="AA422" s="275" t="n">
        <v>540</v>
      </c>
      <c r="AB422" s="270" t="n">
        <v>4100</v>
      </c>
      <c r="AD422" s="276" t="n">
        <v>0.00677</v>
      </c>
      <c r="AE422" s="141" t="n">
        <v>0.00506</v>
      </c>
      <c r="AF422" s="270" t="n">
        <v>5.68</v>
      </c>
      <c r="AG422" s="277" t="n">
        <v>0.0384</v>
      </c>
      <c r="AH422" s="131" t="n">
        <v>0.4963717462219559</v>
      </c>
      <c r="AI422" s="131" t="n">
        <v>0.3554024365887757</v>
      </c>
      <c r="AJ422" s="270" t="n">
        <v>0.435</v>
      </c>
      <c r="AK422" s="131" t="n">
        <v>0.2362443778110944</v>
      </c>
      <c r="AL422" s="131" t="n">
        <v>0.0238099700149925</v>
      </c>
      <c r="AM422" s="139" t="n">
        <v>0.003429535232383808</v>
      </c>
      <c r="AN422" s="308" t="n">
        <v>5.74</v>
      </c>
    </row>
    <row customHeight="1" ht="13.8" r="423" s="3">
      <c r="A423" s="117" t="n">
        <v>43764</v>
      </c>
      <c r="B423" s="313" t="inlineStr">
        <is>
          <t>iOS</t>
        </is>
      </c>
      <c r="C423" s="268" t="n">
        <v>29202</v>
      </c>
      <c r="D423" s="268" t="n">
        <v>104887</v>
      </c>
      <c r="E423" s="269" t="n">
        <v>3.59</v>
      </c>
      <c r="F423" s="270" t="n">
        <v>0.748</v>
      </c>
      <c r="G423" s="271" t="n">
        <v>19.11</v>
      </c>
      <c r="H423" s="271" t="n">
        <v>29.14</v>
      </c>
      <c r="I423" s="142" t="n">
        <v>0.303</v>
      </c>
      <c r="J423" s="142" t="n">
        <v>0.146</v>
      </c>
      <c r="K423" s="142" t="n">
        <v>0.079</v>
      </c>
      <c r="L423" s="270" t="n">
        <v>8.77</v>
      </c>
      <c r="M423" s="272" t="n">
        <v>8.539999999999999</v>
      </c>
      <c r="N423" s="270" t="n">
        <v>15.1</v>
      </c>
      <c r="O423" s="310" t="n">
        <v>0.5669999999999999</v>
      </c>
      <c r="P423" s="270" t="n">
        <v>1.98</v>
      </c>
      <c r="Q423" s="270" t="n">
        <v>3</v>
      </c>
      <c r="R423" s="270" t="n">
        <v>0.901</v>
      </c>
      <c r="S423" s="270" t="n">
        <v>5.09</v>
      </c>
      <c r="T423" s="270" t="n">
        <v>1.21</v>
      </c>
      <c r="U423" s="270" t="n">
        <v>0.452</v>
      </c>
      <c r="V423" s="270" t="n">
        <v>1.7</v>
      </c>
      <c r="W423" s="270" t="n">
        <v>0.729</v>
      </c>
      <c r="X423" s="274" t="n">
        <v>0.000782</v>
      </c>
      <c r="Y423" s="269" t="n">
        <v>8.539999999999999</v>
      </c>
      <c r="Z423" s="275" t="n">
        <v>989</v>
      </c>
      <c r="AA423" s="275" t="n">
        <v>668</v>
      </c>
      <c r="AB423" s="270" t="n">
        <v>7350</v>
      </c>
      <c r="AD423" s="276" t="n">
        <v>0.009429999999999999</v>
      </c>
      <c r="AE423" s="141" t="n">
        <v>0.00637</v>
      </c>
      <c r="AF423" s="270" t="n">
        <v>7.43</v>
      </c>
      <c r="AG423" s="277" t="n">
        <v>0.0701</v>
      </c>
      <c r="AH423" s="131" t="n">
        <v>0.499109650023971</v>
      </c>
      <c r="AI423" s="131" t="n">
        <v>0.3353537428943223</v>
      </c>
      <c r="AJ423" s="270" t="n">
        <v>0.341</v>
      </c>
      <c r="AK423" s="131" t="n">
        <v>0.2022271587517996</v>
      </c>
      <c r="AL423" s="131" t="n">
        <v>0.0209844880681114</v>
      </c>
      <c r="AM423" s="139" t="n">
        <v>0.2974153136232326</v>
      </c>
      <c r="AN423" s="308" t="n">
        <v>6.38</v>
      </c>
    </row>
    <row customHeight="1" ht="15" r="424" s="3">
      <c r="A424" s="117" t="n">
        <v>43765</v>
      </c>
      <c r="B424" s="313" t="inlineStr">
        <is>
          <t>iOS</t>
        </is>
      </c>
      <c r="C424" s="268" t="n">
        <v>33483</v>
      </c>
      <c r="D424" s="268" t="n">
        <v>109506</v>
      </c>
      <c r="E424" s="269" t="n">
        <v>3.27</v>
      </c>
      <c r="F424" s="270" t="n">
        <v>0.699</v>
      </c>
      <c r="G424" s="271" t="n">
        <v>19.56</v>
      </c>
      <c r="H424" s="271" t="n">
        <v>29.21</v>
      </c>
      <c r="I424" s="142" t="n">
        <v>0.307</v>
      </c>
      <c r="J424" s="142" t="n">
        <v>0.14</v>
      </c>
      <c r="K424" s="142" t="n">
        <v>0.078</v>
      </c>
      <c r="L424" s="270" t="n">
        <v>8.1</v>
      </c>
      <c r="M424" s="272" t="n">
        <v>8.039999999999999</v>
      </c>
      <c r="N424" s="270" t="n">
        <v>14.4</v>
      </c>
      <c r="O424" s="310" t="n">
        <v>0.5590000000000001</v>
      </c>
      <c r="P424" s="270" t="n">
        <v>1.89</v>
      </c>
      <c r="Q424" s="270" t="n">
        <v>2.98</v>
      </c>
      <c r="R424" s="270" t="n">
        <v>0.878</v>
      </c>
      <c r="S424" s="270" t="n">
        <v>4.66</v>
      </c>
      <c r="T424" s="270" t="n">
        <v>1.18</v>
      </c>
      <c r="U424" s="270" t="n">
        <v>0.459</v>
      </c>
      <c r="V424" s="270" t="n">
        <v>1.61</v>
      </c>
      <c r="W424" s="270" t="n">
        <v>0.733</v>
      </c>
      <c r="X424" s="274" t="n">
        <v>0.000676</v>
      </c>
      <c r="Y424" s="269" t="n">
        <v>8.039999999999999</v>
      </c>
      <c r="Z424" s="275" t="n">
        <v>882</v>
      </c>
      <c r="AA424" s="275" t="n">
        <v>645</v>
      </c>
      <c r="AB424" s="270" t="n">
        <v>6000</v>
      </c>
      <c r="AD424" s="276" t="n">
        <v>0.00805</v>
      </c>
      <c r="AE424" s="141" t="n">
        <v>0.00589</v>
      </c>
      <c r="AF424" s="270" t="n">
        <v>6.8</v>
      </c>
      <c r="AG424" s="277" t="n">
        <v>0.0548</v>
      </c>
      <c r="AH424" s="131" t="n">
        <v>0.4869336678314368</v>
      </c>
      <c r="AI424" s="131" t="n">
        <v>0.3102469910103635</v>
      </c>
      <c r="AJ424" s="270" t="n">
        <v>0.34</v>
      </c>
      <c r="AK424" s="131" t="n">
        <v>0.1938067320512118</v>
      </c>
      <c r="AL424" s="131" t="n">
        <v>0.02051942359322777</v>
      </c>
      <c r="AM424" s="139" t="n">
        <v>0.2790440706445309</v>
      </c>
      <c r="AN424" s="308" t="n">
        <v>6.51</v>
      </c>
    </row>
    <row customHeight="1" ht="15" r="425" s="3">
      <c r="A425" s="117" t="n">
        <v>43766</v>
      </c>
      <c r="B425" s="314" t="inlineStr">
        <is>
          <t>iOS</t>
        </is>
      </c>
      <c r="C425" s="268" t="n">
        <v>37063</v>
      </c>
      <c r="D425" s="268" t="n">
        <v>116820</v>
      </c>
      <c r="E425" s="269" t="n">
        <v>3.15</v>
      </c>
      <c r="F425" s="270" t="n">
        <v>0.6850000000000001</v>
      </c>
      <c r="G425" s="271" t="n">
        <v>19.14</v>
      </c>
      <c r="H425" s="271" t="n">
        <v>28.55</v>
      </c>
      <c r="I425" s="142" t="n">
        <v>0.302</v>
      </c>
      <c r="J425" s="142" t="n">
        <v>0.149</v>
      </c>
      <c r="K425" s="142" t="n">
        <v>0.08400000000000001</v>
      </c>
      <c r="L425" s="270" t="n">
        <v>8.26</v>
      </c>
      <c r="M425" s="272" t="n">
        <v>7.98</v>
      </c>
      <c r="N425" s="270" t="n">
        <v>14.1</v>
      </c>
      <c r="O425" s="310" t="n">
        <v>0.5669999999999999</v>
      </c>
      <c r="P425" s="270" t="n">
        <v>1.89</v>
      </c>
      <c r="Q425" s="270" t="n">
        <v>2.98</v>
      </c>
      <c r="R425" s="270" t="n">
        <v>0.848</v>
      </c>
      <c r="S425" s="270" t="n">
        <v>4.41</v>
      </c>
      <c r="T425" s="270" t="n">
        <v>1.18</v>
      </c>
      <c r="U425" s="270" t="n">
        <v>0.474</v>
      </c>
      <c r="V425" s="270" t="n">
        <v>1.57</v>
      </c>
      <c r="W425" s="270" t="n">
        <v>0.731</v>
      </c>
      <c r="X425" s="274" t="n">
        <v>0.000753</v>
      </c>
      <c r="Y425" s="269" t="n">
        <v>7.98</v>
      </c>
      <c r="Z425" s="275" t="n">
        <v>947</v>
      </c>
      <c r="AA425" s="275" t="n">
        <v>637</v>
      </c>
      <c r="AB425" s="270" t="n">
        <v>6330</v>
      </c>
      <c r="AD425" s="276" t="n">
        <v>0.008109999999999999</v>
      </c>
      <c r="AE425" s="141" t="n">
        <v>0.00545</v>
      </c>
      <c r="AF425" s="270" t="n">
        <v>6.68</v>
      </c>
      <c r="AG425" s="277" t="n">
        <v>0.0542</v>
      </c>
      <c r="AH425" s="131" t="n">
        <v>0.5033051830666703</v>
      </c>
      <c r="AI425" s="131" t="n">
        <v>0.3223969997032081</v>
      </c>
      <c r="AJ425" s="270" t="n">
        <v>0.358</v>
      </c>
      <c r="AK425" s="131" t="n">
        <v>0.193562746105119</v>
      </c>
      <c r="AL425" s="131" t="n">
        <v>0.02052730696798493</v>
      </c>
      <c r="AM425" s="139" t="n">
        <v>0.2689864749186783</v>
      </c>
      <c r="AN425" s="308" t="n">
        <v>6.19</v>
      </c>
    </row>
    <row customHeight="1" ht="15" r="426" s="3">
      <c r="A426" s="117" t="n">
        <v>43767</v>
      </c>
      <c r="B426" s="315" t="inlineStr">
        <is>
          <t>iOS</t>
        </is>
      </c>
      <c r="C426" s="268" t="n">
        <v>32636</v>
      </c>
      <c r="D426" s="268" t="n">
        <v>110926</v>
      </c>
      <c r="E426" s="269" t="n">
        <v>3.4</v>
      </c>
      <c r="F426" s="270" t="n">
        <v>0.719</v>
      </c>
      <c r="G426" s="271" t="n">
        <v>21.86</v>
      </c>
      <c r="H426" s="271" t="n">
        <v>32.49</v>
      </c>
      <c r="I426" s="142" t="n">
        <v>0.315</v>
      </c>
      <c r="J426" s="142" t="n">
        <v>0.149</v>
      </c>
      <c r="K426" s="142" t="n">
        <v>0.08</v>
      </c>
      <c r="L426" s="270" t="n">
        <v>8.380000000000001</v>
      </c>
      <c r="M426" s="272" t="n">
        <v>7.69</v>
      </c>
      <c r="N426" s="270" t="n">
        <v>13.5</v>
      </c>
      <c r="O426" s="310" t="n">
        <v>0.571</v>
      </c>
      <c r="P426" s="270" t="n">
        <v>1.82</v>
      </c>
      <c r="Q426" s="270" t="n">
        <v>2.87</v>
      </c>
      <c r="R426" s="270" t="n">
        <v>0.824</v>
      </c>
      <c r="S426" s="270" t="n">
        <v>4.08</v>
      </c>
      <c r="T426" s="270" t="n">
        <v>1.13</v>
      </c>
      <c r="U426" s="270" t="n">
        <v>0.502</v>
      </c>
      <c r="V426" s="270" t="n">
        <v>1.52</v>
      </c>
      <c r="W426" s="270" t="n">
        <v>0.72</v>
      </c>
      <c r="X426" s="274" t="n">
        <v>0.00108</v>
      </c>
      <c r="Y426" s="269" t="n">
        <v>7.69</v>
      </c>
      <c r="Z426" s="275" t="n">
        <v>869</v>
      </c>
      <c r="AA426" s="275" t="n">
        <v>632</v>
      </c>
      <c r="AB426" s="270" t="n">
        <v>5320</v>
      </c>
      <c r="AD426" s="276" t="n">
        <v>0.00783</v>
      </c>
      <c r="AE426" s="141" t="n">
        <v>0.0057</v>
      </c>
      <c r="AF426" s="270" t="n">
        <v>6.12</v>
      </c>
      <c r="AG426" s="277" t="n">
        <v>0.0479</v>
      </c>
      <c r="AH426" s="131" t="n">
        <v>0.5112758916533889</v>
      </c>
      <c r="AI426" s="131" t="n">
        <v>0.3530457163868121</v>
      </c>
      <c r="AJ426" s="270" t="n">
        <v>0.406</v>
      </c>
      <c r="AK426" s="131" t="n">
        <v>0.2145574527162252</v>
      </c>
      <c r="AL426" s="131" t="n">
        <v>0.02450282170095379</v>
      </c>
      <c r="AM426" s="139" t="n">
        <v>0.2221661287705317</v>
      </c>
      <c r="AN426" s="308" t="n">
        <v>6.94</v>
      </c>
    </row>
    <row customFormat="1" customHeight="1" ht="13.95" r="427" s="294">
      <c r="A427" s="121" t="n">
        <v>43768</v>
      </c>
      <c r="B427" s="295" t="inlineStr">
        <is>
          <t>iOS</t>
        </is>
      </c>
      <c r="C427" s="296" t="n">
        <v>28079</v>
      </c>
      <c r="D427" s="296" t="n">
        <v>105005</v>
      </c>
      <c r="E427" s="297" t="n">
        <v>3.74</v>
      </c>
      <c r="F427" s="294" t="n">
        <v>0.652</v>
      </c>
      <c r="G427" s="306" t="n">
        <v>21.64</v>
      </c>
      <c r="H427" s="306" t="n">
        <v>32</v>
      </c>
      <c r="I427" s="124" t="n">
        <v>0.314</v>
      </c>
      <c r="J427" s="124" t="n">
        <v>0.154</v>
      </c>
      <c r="K427" s="124" t="n">
        <v>0.079</v>
      </c>
      <c r="L427" s="294" t="n">
        <v>7.93</v>
      </c>
      <c r="M427" s="299" t="n">
        <v>7.1</v>
      </c>
      <c r="N427" s="294" t="n">
        <v>12.5</v>
      </c>
      <c r="O427" s="300" t="n">
        <v>0.5659999999999999</v>
      </c>
      <c r="P427" s="294" t="n">
        <v>1.71</v>
      </c>
      <c r="Q427" s="294" t="n">
        <v>2.69</v>
      </c>
      <c r="R427" s="294" t="n">
        <v>0.786</v>
      </c>
      <c r="S427" s="294" t="n">
        <v>3.66</v>
      </c>
      <c r="T427" s="294" t="n">
        <v>1.04</v>
      </c>
      <c r="U427" s="294" t="n">
        <v>0.528</v>
      </c>
      <c r="V427" s="294" t="n">
        <v>1.42</v>
      </c>
      <c r="W427" s="294" t="n">
        <v>0.701</v>
      </c>
      <c r="X427" s="301" t="n">
        <v>0.00155</v>
      </c>
      <c r="Y427" s="297" t="n">
        <v>7.1</v>
      </c>
      <c r="Z427" s="293" t="n">
        <v>770</v>
      </c>
      <c r="AA427" s="293" t="n">
        <v>572</v>
      </c>
      <c r="AB427" s="294" t="n">
        <v>4310</v>
      </c>
      <c r="AD427" s="303" t="n">
        <v>0.00733</v>
      </c>
      <c r="AE427" s="123" t="n">
        <v>0.00545</v>
      </c>
      <c r="AF427" s="294" t="n">
        <v>5.6</v>
      </c>
      <c r="AG427" s="304" t="n">
        <v>0.0411</v>
      </c>
      <c r="AH427" s="135" t="n">
        <v>0.5146906941130382</v>
      </c>
      <c r="AI427" s="135" t="n">
        <v>0.3708109263150397</v>
      </c>
      <c r="AJ427" s="294" t="n">
        <v>0.48</v>
      </c>
      <c r="AK427" s="136" t="n">
        <v>0.2426646350173801</v>
      </c>
      <c r="AL427" s="136" t="n">
        <v>0.02743678872434646</v>
      </c>
      <c r="AM427" s="137" t="n">
        <v>0.01730393790771868</v>
      </c>
      <c r="AN427" s="308" t="n">
        <v>6.3</v>
      </c>
    </row>
    <row customHeight="1" ht="15" r="428" s="3">
      <c r="A428" s="117" t="n">
        <v>43769</v>
      </c>
      <c r="B428" s="267" t="inlineStr">
        <is>
          <t>iOS</t>
        </is>
      </c>
      <c r="C428" s="268" t="n">
        <v>24190</v>
      </c>
      <c r="D428" s="268" t="n">
        <v>99188</v>
      </c>
      <c r="E428" s="269" t="n">
        <v>4.1</v>
      </c>
      <c r="F428" s="270" t="n">
        <v>0.611</v>
      </c>
      <c r="G428" s="271" t="n">
        <v>20.76</v>
      </c>
      <c r="H428" s="271" t="n">
        <v>31.05</v>
      </c>
      <c r="I428" s="142" t="n">
        <v>0.303</v>
      </c>
      <c r="J428" s="142" t="n">
        <v>0.155</v>
      </c>
      <c r="K428" s="142" t="n">
        <v>0.078</v>
      </c>
      <c r="L428" s="270" t="n">
        <v>7.75</v>
      </c>
      <c r="M428" s="272" t="n">
        <v>7.02</v>
      </c>
      <c r="N428" s="270" t="n">
        <v>12.4</v>
      </c>
      <c r="O428" s="310" t="n">
        <v>0.5659999999999999</v>
      </c>
      <c r="P428" s="270" t="n">
        <v>1.7</v>
      </c>
      <c r="Q428" s="270" t="n">
        <v>2.7</v>
      </c>
      <c r="R428" s="270" t="n">
        <v>0.768</v>
      </c>
      <c r="S428" s="270" t="n">
        <v>3.59</v>
      </c>
      <c r="T428" s="270" t="n">
        <v>1.04</v>
      </c>
      <c r="U428" s="270" t="n">
        <v>0.52</v>
      </c>
      <c r="V428" s="270" t="n">
        <v>1.38</v>
      </c>
      <c r="W428" s="270" t="n">
        <v>0.694</v>
      </c>
      <c r="X428" s="274" t="n">
        <v>0.0014</v>
      </c>
      <c r="Y428" s="269" t="n">
        <v>7.02</v>
      </c>
      <c r="Z428" s="275" t="n">
        <v>680</v>
      </c>
      <c r="AA428" s="275" t="n">
        <v>522</v>
      </c>
      <c r="AB428" s="270" t="n">
        <v>4130</v>
      </c>
      <c r="AD428" s="276" t="n">
        <v>0.00686</v>
      </c>
      <c r="AE428" s="141" t="n">
        <v>0.00526</v>
      </c>
      <c r="AF428" s="270" t="n">
        <v>6.08</v>
      </c>
      <c r="AG428" s="277" t="n">
        <v>0.0417</v>
      </c>
      <c r="AH428" s="131" t="n">
        <v>0.5166597767672592</v>
      </c>
      <c r="AI428" s="131" t="n">
        <v>0.3776353865233568</v>
      </c>
      <c r="AJ428" s="270" t="n">
        <v>0.467</v>
      </c>
      <c r="AK428" s="131" t="n">
        <v>0.2555853530669033</v>
      </c>
      <c r="AL428" s="131" t="n">
        <v>0.0288038875670444</v>
      </c>
      <c r="AM428" s="139" t="n">
        <v>0.006422147840464573</v>
      </c>
      <c r="AN428" s="307" t="n">
        <v>5.96</v>
      </c>
    </row>
    <row customHeight="1" ht="13.8" r="429" s="3">
      <c r="A429" s="117" t="n">
        <v>43770</v>
      </c>
      <c r="B429" s="267" t="inlineStr">
        <is>
          <t>iOS</t>
        </is>
      </c>
      <c r="C429" s="268" t="n">
        <v>23637</v>
      </c>
      <c r="D429" s="268" t="n">
        <v>94537</v>
      </c>
      <c r="E429" s="269" t="n">
        <v>4</v>
      </c>
      <c r="F429" s="270" t="n">
        <v>0.569</v>
      </c>
      <c r="G429" s="271" t="n">
        <v>19.69</v>
      </c>
      <c r="H429" s="271" t="n">
        <v>29.04</v>
      </c>
      <c r="I429" s="142" t="n">
        <v>0.309</v>
      </c>
      <c r="J429" s="142" t="n">
        <v>0.147</v>
      </c>
      <c r="K429" s="142" t="n">
        <v>0.075</v>
      </c>
      <c r="L429" s="270" t="n">
        <v>7.38</v>
      </c>
      <c r="M429" s="272" t="n">
        <v>6.57</v>
      </c>
      <c r="N429" s="270" t="n">
        <v>11.9</v>
      </c>
      <c r="O429" s="310" t="n">
        <v>0.553</v>
      </c>
      <c r="P429" s="270" t="n">
        <v>1.69</v>
      </c>
      <c r="Q429" s="270" t="n">
        <v>2.57</v>
      </c>
      <c r="R429" s="270" t="n">
        <v>0.739</v>
      </c>
      <c r="S429" s="270" t="n">
        <v>3.36</v>
      </c>
      <c r="T429" s="270" t="n">
        <v>1.02</v>
      </c>
      <c r="U429" s="270" t="n">
        <v>0.507</v>
      </c>
      <c r="V429" s="270" t="n">
        <v>1.32</v>
      </c>
      <c r="W429" s="270" t="n">
        <v>0.671</v>
      </c>
      <c r="X429" s="274" t="n">
        <v>0.0011</v>
      </c>
      <c r="Y429" s="269" t="n">
        <v>6.57</v>
      </c>
      <c r="Z429" s="275" t="n">
        <v>671</v>
      </c>
      <c r="AA429" s="275" t="n">
        <v>499</v>
      </c>
      <c r="AB429" s="270" t="n">
        <v>3910</v>
      </c>
      <c r="AD429" s="276" t="n">
        <v>0.0071</v>
      </c>
      <c r="AE429" s="141" t="n">
        <v>0.00528</v>
      </c>
      <c r="AF429" s="270" t="n">
        <v>5.83</v>
      </c>
      <c r="AG429" s="277" t="n">
        <v>0.0414</v>
      </c>
      <c r="AH429" s="131" t="n">
        <v>0.4932097981977409</v>
      </c>
      <c r="AI429" s="131" t="n">
        <v>0.3337140923128993</v>
      </c>
      <c r="AJ429" s="270" t="n">
        <v>0.439</v>
      </c>
      <c r="AK429" s="131" t="n">
        <v>0.2528322244200683</v>
      </c>
      <c r="AL429" s="131" t="n">
        <v>0.02856024625278991</v>
      </c>
      <c r="AM429" s="139" t="n">
        <v>0.003808032833705322</v>
      </c>
      <c r="AN429" s="308" t="n">
        <v>6.02</v>
      </c>
    </row>
    <row customHeight="1" ht="13.8" r="430" s="3">
      <c r="A430" s="117" t="n">
        <v>43771</v>
      </c>
      <c r="B430" s="316" t="inlineStr">
        <is>
          <t>iOS</t>
        </is>
      </c>
      <c r="C430" s="268" t="n">
        <v>29100</v>
      </c>
      <c r="D430" s="268" t="n">
        <v>101667</v>
      </c>
      <c r="E430" s="269" t="n">
        <v>3.49</v>
      </c>
      <c r="F430" s="270" t="n">
        <v>0.707</v>
      </c>
      <c r="G430" s="271" t="n">
        <v>18.08</v>
      </c>
      <c r="H430" s="271" t="n">
        <v>27.32</v>
      </c>
      <c r="I430" s="142" t="n">
        <v>0.303</v>
      </c>
      <c r="J430" s="142" t="n">
        <v>0.138</v>
      </c>
      <c r="K430" s="142" t="n">
        <v>0.075</v>
      </c>
      <c r="L430" s="270" t="n">
        <v>8.779999999999999</v>
      </c>
      <c r="M430" s="272" t="n">
        <v>8.619999999999999</v>
      </c>
      <c r="N430" s="270" t="n">
        <v>15.3</v>
      </c>
      <c r="O430" s="310" t="n">
        <v>0.5620000000000001</v>
      </c>
      <c r="P430" s="270" t="n">
        <v>1.99</v>
      </c>
      <c r="Q430" s="270" t="n">
        <v>2.95</v>
      </c>
      <c r="R430" s="270" t="n">
        <v>0.959</v>
      </c>
      <c r="S430" s="270" t="n">
        <v>5.29</v>
      </c>
      <c r="T430" s="270" t="n">
        <v>1.24</v>
      </c>
      <c r="U430" s="270" t="n">
        <v>0.444</v>
      </c>
      <c r="V430" s="270" t="n">
        <v>1.72</v>
      </c>
      <c r="W430" s="270" t="n">
        <v>0.735</v>
      </c>
      <c r="X430" s="274" t="n">
        <v>0.000738</v>
      </c>
      <c r="Y430" s="269" t="n">
        <v>8.619999999999999</v>
      </c>
      <c r="Z430" s="275" t="n">
        <v>916</v>
      </c>
      <c r="AA430" s="275" t="n">
        <v>637</v>
      </c>
      <c r="AB430" s="270" t="n">
        <v>6570</v>
      </c>
      <c r="AD430" s="276" t="n">
        <v>0.009010000000000001</v>
      </c>
      <c r="AE430" s="141" t="n">
        <v>0.00627</v>
      </c>
      <c r="AF430" s="270" t="n">
        <v>7.17</v>
      </c>
      <c r="AG430" s="277" t="n">
        <v>0.0646</v>
      </c>
      <c r="AH430" s="131" t="n">
        <v>0.4881443298969072</v>
      </c>
      <c r="AI430" s="131" t="n">
        <v>0.3102061855670103</v>
      </c>
      <c r="AJ430" s="270" t="n">
        <v>0.351</v>
      </c>
      <c r="AK430" s="131" t="n">
        <v>0.2070583375136475</v>
      </c>
      <c r="AL430" s="131" t="n">
        <v>0.02279992524614673</v>
      </c>
      <c r="AM430" s="139" t="n">
        <v>0.3000186884633165</v>
      </c>
      <c r="AN430" s="308" t="n">
        <v>6.37</v>
      </c>
    </row>
    <row customHeight="1" ht="15" r="431" s="3">
      <c r="A431" s="117" t="n">
        <v>43772</v>
      </c>
      <c r="B431" s="317" t="inlineStr">
        <is>
          <t>iOS</t>
        </is>
      </c>
      <c r="C431" s="268" t="n">
        <v>34147</v>
      </c>
      <c r="D431" s="268" t="n">
        <v>108586</v>
      </c>
      <c r="E431" s="269" t="n">
        <v>3.18</v>
      </c>
      <c r="F431" s="270" t="n">
        <v>0.673</v>
      </c>
      <c r="G431" s="271" t="n">
        <v>18.53</v>
      </c>
      <c r="H431" s="271" t="n">
        <v>27.76</v>
      </c>
      <c r="I431" s="142" t="n">
        <v>0.303</v>
      </c>
      <c r="J431" s="142" t="n">
        <v>0.139</v>
      </c>
      <c r="K431" s="142" t="n">
        <v>0.079</v>
      </c>
      <c r="L431" s="270" t="n">
        <v>8.25</v>
      </c>
      <c r="M431" s="272" t="n">
        <v>8.119999999999999</v>
      </c>
      <c r="N431" s="270" t="n">
        <v>14.5</v>
      </c>
      <c r="O431" s="310" t="n">
        <v>0.5600000000000001</v>
      </c>
      <c r="P431" s="270" t="n">
        <v>1.95</v>
      </c>
      <c r="Q431" s="270" t="n">
        <v>2.94</v>
      </c>
      <c r="R431" s="270" t="n">
        <v>0.908</v>
      </c>
      <c r="S431" s="270" t="n">
        <v>4.69</v>
      </c>
      <c r="T431" s="270" t="n">
        <v>1.2</v>
      </c>
      <c r="U431" s="270" t="n">
        <v>0.464</v>
      </c>
      <c r="V431" s="270" t="n">
        <v>1.6</v>
      </c>
      <c r="W431" s="270" t="n">
        <v>0.732</v>
      </c>
      <c r="X431" s="274" t="n">
        <v>0.000838</v>
      </c>
      <c r="Y431" s="269" t="n">
        <v>8.119999999999999</v>
      </c>
      <c r="Z431" s="275" t="n">
        <v>886</v>
      </c>
      <c r="AA431" s="275" t="n">
        <v>646</v>
      </c>
      <c r="AB431" s="270" t="n">
        <v>6050</v>
      </c>
      <c r="AD431" s="276" t="n">
        <v>0.008160000000000001</v>
      </c>
      <c r="AE431" s="141" t="n">
        <v>0.00595</v>
      </c>
      <c r="AF431" s="270" t="n">
        <v>6.83</v>
      </c>
      <c r="AG431" s="277" t="n">
        <v>0.0557</v>
      </c>
      <c r="AH431" s="131" t="n">
        <v>0.4905262541365273</v>
      </c>
      <c r="AI431" s="131" t="n">
        <v>0.305063402348669</v>
      </c>
      <c r="AJ431" s="270" t="n">
        <v>0.355</v>
      </c>
      <c r="AK431" s="131" t="n">
        <v>0.1981010443335237</v>
      </c>
      <c r="AL431" s="131" t="n">
        <v>0.02142080931243438</v>
      </c>
      <c r="AM431" s="139" t="n">
        <v>0.2870996261028125</v>
      </c>
      <c r="AN431" s="308" t="n">
        <v>6.34</v>
      </c>
    </row>
    <row customHeight="1" ht="15" r="432" s="3">
      <c r="A432" s="117" t="n">
        <v>43773</v>
      </c>
      <c r="B432" s="318" t="inlineStr">
        <is>
          <t>iOS</t>
        </is>
      </c>
      <c r="C432" s="268" t="n">
        <v>35622</v>
      </c>
      <c r="D432" s="268" t="n">
        <v>113233</v>
      </c>
      <c r="E432" s="269" t="n">
        <v>3.18</v>
      </c>
      <c r="F432" s="270" t="n">
        <v>0.677</v>
      </c>
      <c r="G432" s="271" t="n">
        <v>19.2</v>
      </c>
      <c r="H432" s="271" t="n">
        <v>27.62</v>
      </c>
      <c r="I432" s="142" t="n">
        <v>0.301</v>
      </c>
      <c r="J432" s="142" t="n">
        <v>0.149</v>
      </c>
      <c r="K432" s="142" t="n">
        <v>0.081</v>
      </c>
      <c r="L432" s="270" t="n">
        <v>8.31</v>
      </c>
      <c r="M432" s="272" t="n">
        <v>8.08</v>
      </c>
      <c r="N432" s="270" t="n">
        <v>14.2</v>
      </c>
      <c r="O432" s="310" t="n">
        <v>0.5669999999999999</v>
      </c>
      <c r="P432" s="270" t="n">
        <v>1.93</v>
      </c>
      <c r="Q432" s="270" t="n">
        <v>2.97</v>
      </c>
      <c r="R432" s="270" t="n">
        <v>0.861</v>
      </c>
      <c r="S432" s="270" t="n">
        <v>4.48</v>
      </c>
      <c r="T432" s="270" t="n">
        <v>1.19</v>
      </c>
      <c r="U432" s="270" t="n">
        <v>0.468</v>
      </c>
      <c r="V432" s="270" t="n">
        <v>1.6</v>
      </c>
      <c r="W432" s="270" t="n">
        <v>0.734</v>
      </c>
      <c r="X432" s="274" t="n">
        <v>0.000759</v>
      </c>
      <c r="Y432" s="269" t="n">
        <v>8.08</v>
      </c>
      <c r="Z432" s="275" t="n">
        <v>886</v>
      </c>
      <c r="AA432" s="275" t="n">
        <v>665</v>
      </c>
      <c r="AB432" s="270" t="n">
        <v>5760</v>
      </c>
      <c r="AD432" s="276" t="n">
        <v>0.007820000000000001</v>
      </c>
      <c r="AE432" s="141" t="n">
        <v>0.00587</v>
      </c>
      <c r="AF432" s="270" t="n">
        <v>6.51</v>
      </c>
      <c r="AG432" s="277" t="n">
        <v>0.0509</v>
      </c>
      <c r="AH432" s="131" t="n">
        <v>0.4916343832463085</v>
      </c>
      <c r="AI432" s="131" t="n">
        <v>0.321823592162147</v>
      </c>
      <c r="AJ432" s="270" t="n">
        <v>0.366</v>
      </c>
      <c r="AK432" s="131" t="n">
        <v>0.1992793620234384</v>
      </c>
      <c r="AL432" s="131" t="n">
        <v>0.02219317690072682</v>
      </c>
      <c r="AM432" s="139" t="n">
        <v>0.2794150115249088</v>
      </c>
      <c r="AN432" s="308" t="n">
        <v>6.57</v>
      </c>
    </row>
    <row customHeight="1" ht="15" r="433" s="3">
      <c r="A433" s="117" t="n">
        <v>43774</v>
      </c>
      <c r="B433" s="319" t="inlineStr">
        <is>
          <t>iOS</t>
        </is>
      </c>
      <c r="C433" s="268" t="n">
        <v>31402</v>
      </c>
      <c r="D433" s="268" t="n">
        <v>108070</v>
      </c>
      <c r="E433" s="269" t="n">
        <v>3.44</v>
      </c>
      <c r="F433" s="270" t="n">
        <v>0.715</v>
      </c>
      <c r="G433" s="271" t="n">
        <v>21.13</v>
      </c>
      <c r="H433" s="271" t="n">
        <v>30.44</v>
      </c>
      <c r="I433" s="142" t="n">
        <v>0.308</v>
      </c>
      <c r="J433" s="142" t="n">
        <v>0.155</v>
      </c>
      <c r="K433" s="142" t="n">
        <v>0.081</v>
      </c>
      <c r="L433" s="270" t="n">
        <v>8.380000000000001</v>
      </c>
      <c r="M433" s="272" t="n">
        <v>7.79</v>
      </c>
      <c r="N433" s="270" t="n">
        <v>13.6</v>
      </c>
      <c r="O433" s="310" t="n">
        <v>0.574</v>
      </c>
      <c r="P433" s="270" t="n">
        <v>1.85</v>
      </c>
      <c r="Q433" s="270" t="n">
        <v>2.86</v>
      </c>
      <c r="R433" s="270" t="n">
        <v>0.832</v>
      </c>
      <c r="S433" s="270" t="n">
        <v>4.13</v>
      </c>
      <c r="T433" s="270" t="n">
        <v>1.14</v>
      </c>
      <c r="U433" s="270" t="n">
        <v>0.498</v>
      </c>
      <c r="V433" s="270" t="n">
        <v>1.54</v>
      </c>
      <c r="W433" s="270" t="n">
        <v>0.726</v>
      </c>
      <c r="X433" s="274" t="n">
        <v>0.00113</v>
      </c>
      <c r="Y433" s="269" t="n">
        <v>7.79</v>
      </c>
      <c r="Z433" s="275" t="n">
        <v>911</v>
      </c>
      <c r="AA433" s="275" t="n">
        <v>651</v>
      </c>
      <c r="AB433" s="270" t="n">
        <v>5890</v>
      </c>
      <c r="AD433" s="276" t="n">
        <v>0.00843</v>
      </c>
      <c r="AE433" s="141" t="n">
        <v>0.00602</v>
      </c>
      <c r="AF433" s="270" t="n">
        <v>6.46</v>
      </c>
      <c r="AG433" s="277" t="n">
        <v>0.0545</v>
      </c>
      <c r="AH433" s="131" t="n">
        <v>0.5025476084325839</v>
      </c>
      <c r="AI433" s="131" t="n">
        <v>0.3460926055665244</v>
      </c>
      <c r="AJ433" s="270" t="n">
        <v>0.41</v>
      </c>
      <c r="AK433" s="131" t="n">
        <v>0.2178217821782178</v>
      </c>
      <c r="AL433" s="131" t="n">
        <v>0.02615897103729065</v>
      </c>
      <c r="AM433" s="139" t="n">
        <v>0.2362357731100213</v>
      </c>
      <c r="AN433" s="308" t="n">
        <v>6.07</v>
      </c>
    </row>
    <row customFormat="1" customHeight="1" ht="13.95" r="434" s="294">
      <c r="A434" s="121" t="n">
        <v>43775</v>
      </c>
      <c r="B434" s="295" t="inlineStr">
        <is>
          <t>iOS</t>
        </is>
      </c>
      <c r="C434" s="296" t="n">
        <v>25472</v>
      </c>
      <c r="D434" s="296" t="n">
        <v>100525</v>
      </c>
      <c r="E434" s="297" t="n">
        <v>3.95</v>
      </c>
      <c r="F434" s="294" t="n">
        <v>0.667</v>
      </c>
      <c r="G434" s="306" t="n">
        <v>21.83</v>
      </c>
      <c r="H434" s="306" t="n">
        <v>31.64</v>
      </c>
      <c r="I434" s="124" t="n">
        <v>0.32</v>
      </c>
      <c r="J434" s="124" t="n">
        <v>0.16</v>
      </c>
      <c r="K434" s="124" t="n">
        <v>0.08599999999999999</v>
      </c>
      <c r="L434" s="294" t="n">
        <v>7.93</v>
      </c>
      <c r="M434" s="299" t="n">
        <v>7.06</v>
      </c>
      <c r="N434" s="294" t="n">
        <v>12.4</v>
      </c>
      <c r="O434" s="300" t="n">
        <v>0.57</v>
      </c>
      <c r="P434" s="294" t="n">
        <v>1.71</v>
      </c>
      <c r="Q434" s="294" t="n">
        <v>2.62</v>
      </c>
      <c r="R434" s="294" t="n">
        <v>0.785</v>
      </c>
      <c r="S434" s="294" t="n">
        <v>3.6</v>
      </c>
      <c r="T434" s="294" t="n">
        <v>1.04</v>
      </c>
      <c r="U434" s="294" t="n">
        <v>0.522</v>
      </c>
      <c r="V434" s="294" t="n">
        <v>1.4</v>
      </c>
      <c r="W434" s="294" t="n">
        <v>0.6899999999999999</v>
      </c>
      <c r="X434" s="301" t="n">
        <v>0.00127</v>
      </c>
      <c r="Y434" s="297" t="n">
        <v>7.06</v>
      </c>
      <c r="Z434" s="293" t="n">
        <v>767</v>
      </c>
      <c r="AA434" s="293" t="n">
        <v>560</v>
      </c>
      <c r="AB434" s="294" t="n">
        <v>4630</v>
      </c>
      <c r="AD434" s="303" t="n">
        <v>0.00763</v>
      </c>
      <c r="AE434" s="123" t="n">
        <v>0.00557</v>
      </c>
      <c r="AF434" s="294" t="n">
        <v>6.04</v>
      </c>
      <c r="AG434" s="304" t="n">
        <v>0.0461</v>
      </c>
      <c r="AH434" s="135" t="n">
        <v>0.5102858040201005</v>
      </c>
      <c r="AI434" s="135" t="n">
        <v>0.3768844221105528</v>
      </c>
      <c r="AJ434" s="294" t="n">
        <v>0.484</v>
      </c>
      <c r="AK434" s="136" t="n">
        <v>0.2540661526983338</v>
      </c>
      <c r="AL434" s="136" t="n">
        <v>0.02937577716985824</v>
      </c>
      <c r="AM434" s="137" t="n">
        <v>0.01925889082317831</v>
      </c>
      <c r="AN434" s="308" t="n">
        <v>6.03</v>
      </c>
    </row>
    <row customHeight="1" ht="15" r="435" s="3">
      <c r="A435" s="117" t="n">
        <v>43776</v>
      </c>
      <c r="B435" s="267" t="inlineStr">
        <is>
          <t>iOS</t>
        </is>
      </c>
      <c r="C435" s="268" t="n">
        <v>24878</v>
      </c>
      <c r="D435" s="268" t="n">
        <v>98672</v>
      </c>
      <c r="E435" s="269" t="n">
        <v>3.97</v>
      </c>
      <c r="F435" s="270" t="n">
        <v>0.635</v>
      </c>
      <c r="G435" s="271" t="n">
        <v>22.56</v>
      </c>
      <c r="H435" s="271" t="n">
        <v>32.27</v>
      </c>
      <c r="I435" s="142" t="n">
        <v>0.311</v>
      </c>
      <c r="J435" s="142" t="n">
        <v>0.153</v>
      </c>
      <c r="K435" s="142" t="n">
        <v>0.078</v>
      </c>
      <c r="L435" s="270" t="n">
        <v>7.76</v>
      </c>
      <c r="M435" s="272" t="n">
        <v>6.94</v>
      </c>
      <c r="N435" s="270" t="n">
        <v>12.2</v>
      </c>
      <c r="O435" s="310" t="n">
        <v>0.5679999999999999</v>
      </c>
      <c r="P435" s="270" t="n">
        <v>1.74</v>
      </c>
      <c r="Q435" s="270" t="n">
        <v>2.61</v>
      </c>
      <c r="R435" s="270" t="n">
        <v>0.766</v>
      </c>
      <c r="S435" s="270" t="n">
        <v>3.46</v>
      </c>
      <c r="T435" s="270" t="n">
        <v>1.03</v>
      </c>
      <c r="U435" s="270" t="n">
        <v>0.522</v>
      </c>
      <c r="V435" s="270" t="n">
        <v>1.39</v>
      </c>
      <c r="W435" s="270" t="n">
        <v>0.695</v>
      </c>
      <c r="X435" s="274" t="n">
        <v>0.000517</v>
      </c>
      <c r="Y435" s="269" t="n">
        <v>6.94</v>
      </c>
      <c r="Z435" s="275" t="n">
        <v>696</v>
      </c>
      <c r="AA435" s="275" t="n">
        <v>536</v>
      </c>
      <c r="AB435" s="270" t="n">
        <v>4160</v>
      </c>
      <c r="AD435" s="276" t="n">
        <v>0.00705</v>
      </c>
      <c r="AE435" s="141" t="n">
        <v>0.00543</v>
      </c>
      <c r="AF435" s="270" t="n">
        <v>5.98</v>
      </c>
      <c r="AG435" s="277" t="n">
        <v>0.0422</v>
      </c>
      <c r="AH435" s="131" t="n">
        <v>0.5053058927566525</v>
      </c>
      <c r="AI435" s="131" t="n">
        <v>0.3501487257818153</v>
      </c>
      <c r="AJ435" s="270" t="n">
        <v>0.47</v>
      </c>
      <c r="AK435" s="131" t="n">
        <v>0.2586245338089833</v>
      </c>
      <c r="AL435" s="131" t="n">
        <v>0.02940043781417221</v>
      </c>
      <c r="AM435" s="139" t="n">
        <v>0.00673950056753689</v>
      </c>
      <c r="AN435" s="307" t="n">
        <v>5.94</v>
      </c>
    </row>
    <row customHeight="1" ht="13.8" r="436" s="3">
      <c r="A436" s="117" t="n">
        <v>43777</v>
      </c>
      <c r="B436" s="267" t="inlineStr">
        <is>
          <t>iOS</t>
        </is>
      </c>
      <c r="C436" s="268" t="n">
        <v>22197</v>
      </c>
      <c r="D436" s="268" t="n">
        <v>94810</v>
      </c>
      <c r="E436" s="269" t="n">
        <v>4.27</v>
      </c>
      <c r="F436" s="270" t="n">
        <v>0.607</v>
      </c>
      <c r="G436" s="271" t="n">
        <v>21.2</v>
      </c>
      <c r="H436" s="271" t="n">
        <v>29.93</v>
      </c>
      <c r="I436" s="142" t="n">
        <v>0.316</v>
      </c>
      <c r="J436" s="142" t="n">
        <v>0.159</v>
      </c>
      <c r="K436" s="142" t="n">
        <v>0.081</v>
      </c>
      <c r="L436" s="270" t="n">
        <v>7.59</v>
      </c>
      <c r="M436" s="272" t="n">
        <v>6.83</v>
      </c>
      <c r="N436" s="270" t="n">
        <v>12.1</v>
      </c>
      <c r="O436" s="310" t="n">
        <v>0.5659999999999999</v>
      </c>
      <c r="P436" s="270" t="n">
        <v>1.71</v>
      </c>
      <c r="Q436" s="270" t="n">
        <v>2.61</v>
      </c>
      <c r="R436" s="270" t="n">
        <v>0.757</v>
      </c>
      <c r="S436" s="270" t="n">
        <v>3.38</v>
      </c>
      <c r="T436" s="270" t="n">
        <v>1.03</v>
      </c>
      <c r="U436" s="270" t="n">
        <v>0.509</v>
      </c>
      <c r="V436" s="270" t="n">
        <v>1.37</v>
      </c>
      <c r="W436" s="270" t="n">
        <v>0.6870000000000001</v>
      </c>
      <c r="X436" s="274" t="n">
        <v>0.000696</v>
      </c>
      <c r="Y436" s="269" t="n">
        <v>6.83</v>
      </c>
      <c r="Z436" s="275" t="n">
        <v>760</v>
      </c>
      <c r="AA436" s="275" t="n">
        <v>541</v>
      </c>
      <c r="AB436" s="270" t="n">
        <v>4890</v>
      </c>
      <c r="AD436" s="276" t="n">
        <v>0.008019999999999999</v>
      </c>
      <c r="AE436" s="141" t="n">
        <v>0.00571</v>
      </c>
      <c r="AF436" s="270" t="n">
        <v>6.43</v>
      </c>
      <c r="AG436" s="277" t="n">
        <v>0.0516</v>
      </c>
      <c r="AH436" s="131" t="n">
        <v>0.5137631211424968</v>
      </c>
      <c r="AI436" s="131" t="n">
        <v>0.368788575032662</v>
      </c>
      <c r="AJ436" s="270" t="n">
        <v>0.467</v>
      </c>
      <c r="AK436" s="131" t="n">
        <v>0.2652884716802025</v>
      </c>
      <c r="AL436" s="131" t="n">
        <v>0.02910030587490771</v>
      </c>
      <c r="AM436" s="139" t="n">
        <v>0.004398270224659846</v>
      </c>
      <c r="AN436" s="308" t="n">
        <v>5.93</v>
      </c>
    </row>
    <row customHeight="1" ht="13.8" r="437" s="3">
      <c r="A437" s="117" t="n">
        <v>43778</v>
      </c>
      <c r="B437" s="320" t="inlineStr">
        <is>
          <t>iOS</t>
        </is>
      </c>
      <c r="C437" s="268" t="n">
        <v>22474</v>
      </c>
      <c r="D437" s="268" t="n">
        <v>94807</v>
      </c>
      <c r="E437" s="269" t="n">
        <v>4.22</v>
      </c>
      <c r="F437" s="270" t="n">
        <v>0.754</v>
      </c>
      <c r="G437" s="271" t="n">
        <v>18.66</v>
      </c>
      <c r="H437" s="271" t="n">
        <v>26.76</v>
      </c>
      <c r="I437" s="142" t="n">
        <v>0.306</v>
      </c>
      <c r="J437" s="142" t="n">
        <v>0.143</v>
      </c>
      <c r="K437" s="142" t="n">
        <v>0.077</v>
      </c>
      <c r="L437" s="270" t="n">
        <v>9.130000000000001</v>
      </c>
      <c r="M437" s="272" t="n">
        <v>8.94</v>
      </c>
      <c r="N437" s="270" t="n">
        <v>15.5</v>
      </c>
      <c r="O437" s="310" t="n">
        <v>0.577</v>
      </c>
      <c r="P437" s="270" t="n">
        <v>2.03</v>
      </c>
      <c r="Q437" s="270" t="n">
        <v>2.99</v>
      </c>
      <c r="R437" s="270" t="n">
        <v>0.976</v>
      </c>
      <c r="S437" s="270" t="n">
        <v>5.24</v>
      </c>
      <c r="T437" s="270" t="n">
        <v>1.29</v>
      </c>
      <c r="U437" s="270" t="n">
        <v>0.431</v>
      </c>
      <c r="V437" s="270" t="n">
        <v>1.79</v>
      </c>
      <c r="W437" s="270" t="n">
        <v>0.753</v>
      </c>
      <c r="X437" s="274" t="n">
        <v>0.000654</v>
      </c>
      <c r="Y437" s="269" t="n">
        <v>8.94</v>
      </c>
      <c r="Z437" s="275" t="n">
        <v>1010</v>
      </c>
      <c r="AA437" s="275" t="n">
        <v>681</v>
      </c>
      <c r="AB437" s="270" t="n">
        <v>7900</v>
      </c>
      <c r="AD437" s="276" t="n">
        <v>0.0107</v>
      </c>
      <c r="AE437" s="141" t="n">
        <v>0.00718</v>
      </c>
      <c r="AF437" s="270" t="n">
        <v>7.83</v>
      </c>
      <c r="AG437" s="277" t="n">
        <v>0.0834</v>
      </c>
      <c r="AH437" s="131" t="n">
        <v>0.5073863130728842</v>
      </c>
      <c r="AI437" s="131" t="n">
        <v>0.3429296075464981</v>
      </c>
      <c r="AJ437" s="270" t="n">
        <v>0.363</v>
      </c>
      <c r="AK437" s="131" t="n">
        <v>0.2241395677534359</v>
      </c>
      <c r="AL437" s="131" t="n">
        <v>0.02560992331789847</v>
      </c>
      <c r="AM437" s="139" t="n">
        <v>0.3192591264358117</v>
      </c>
      <c r="AN437" s="308" t="n">
        <v>5.55</v>
      </c>
    </row>
    <row customHeight="1" ht="15" r="438" s="3">
      <c r="A438" s="117" t="n">
        <v>43779</v>
      </c>
      <c r="B438" s="320" t="inlineStr">
        <is>
          <t>iOS</t>
        </is>
      </c>
      <c r="C438" s="268" t="n">
        <v>26219</v>
      </c>
      <c r="D438" s="268" t="n">
        <v>98765</v>
      </c>
      <c r="E438" s="269" t="n">
        <v>3.77</v>
      </c>
      <c r="F438" s="270" t="n">
        <v>0.704</v>
      </c>
      <c r="G438" s="271" t="n">
        <v>19.02</v>
      </c>
      <c r="H438" s="271" t="n">
        <v>27.72</v>
      </c>
      <c r="I438" s="142" t="n">
        <v>0.306</v>
      </c>
      <c r="J438" s="142" t="n">
        <v>0.145</v>
      </c>
      <c r="L438" s="270" t="n">
        <v>8.58</v>
      </c>
      <c r="M438" s="272" t="n">
        <v>8.630000000000001</v>
      </c>
      <c r="N438" s="270" t="n">
        <v>15.2</v>
      </c>
      <c r="O438" s="310" t="n">
        <v>0.569</v>
      </c>
      <c r="P438" s="270" t="n">
        <v>1.96</v>
      </c>
      <c r="Q438" s="270" t="n">
        <v>3.06</v>
      </c>
      <c r="R438" s="270" t="n">
        <v>0.999</v>
      </c>
      <c r="S438" s="270" t="n">
        <v>4.96</v>
      </c>
      <c r="T438" s="270" t="n">
        <v>1.26</v>
      </c>
      <c r="U438" s="270" t="n">
        <v>0.45</v>
      </c>
      <c r="V438" s="270" t="n">
        <v>1.71</v>
      </c>
      <c r="W438" s="270" t="n">
        <v>0.767</v>
      </c>
      <c r="X438" s="274" t="n">
        <v>0.000749</v>
      </c>
      <c r="Y438" s="269" t="n">
        <v>8.630000000000001</v>
      </c>
      <c r="Z438" s="275" t="n">
        <v>913</v>
      </c>
      <c r="AA438" s="275" t="n">
        <v>626</v>
      </c>
      <c r="AB438" s="270" t="n">
        <v>6380</v>
      </c>
      <c r="AD438" s="276" t="n">
        <v>0.00924</v>
      </c>
      <c r="AE438" s="141" t="n">
        <v>0.00634</v>
      </c>
      <c r="AF438" s="270" t="n">
        <v>6.99</v>
      </c>
      <c r="AG438" s="277" t="n">
        <v>0.0646</v>
      </c>
      <c r="AH438" s="131" t="n">
        <v>0.502650749456501</v>
      </c>
      <c r="AI438" s="131" t="n">
        <v>0.3298752812845646</v>
      </c>
      <c r="AJ438" s="270" t="n">
        <v>0.37</v>
      </c>
      <c r="AK438" s="131" t="n">
        <v>0.2153596921986534</v>
      </c>
      <c r="AL438" s="131" t="n">
        <v>0.02504935959094821</v>
      </c>
      <c r="AM438" s="139" t="n">
        <v>0.3035690781147167</v>
      </c>
      <c r="AN438" s="308" t="n">
        <v>4.15</v>
      </c>
    </row>
    <row customHeight="1" ht="15" r="439" s="3">
      <c r="A439" s="117" t="n">
        <v>43780</v>
      </c>
      <c r="B439" s="321" t="inlineStr">
        <is>
          <t>iOS</t>
        </is>
      </c>
      <c r="C439" s="268" t="n">
        <v>27360</v>
      </c>
      <c r="D439" s="268" t="n">
        <v>101772</v>
      </c>
      <c r="E439" s="269" t="n">
        <v>3.72</v>
      </c>
      <c r="F439" s="270" t="n">
        <v>0.719</v>
      </c>
      <c r="G439" s="271" t="n">
        <v>19.44</v>
      </c>
      <c r="H439" s="271" t="n">
        <v>27.65</v>
      </c>
      <c r="I439" s="142" t="n">
        <v>0.311</v>
      </c>
      <c r="J439" s="142" t="n">
        <v>0.154</v>
      </c>
      <c r="L439" s="270" t="n">
        <v>8.539999999999999</v>
      </c>
      <c r="M439" s="272" t="n">
        <v>8.529999999999999</v>
      </c>
      <c r="N439" s="270" t="n">
        <v>14.8</v>
      </c>
      <c r="O439" s="310" t="n">
        <v>0.576</v>
      </c>
      <c r="P439" s="270" t="n">
        <v>1.95</v>
      </c>
      <c r="Q439" s="270" t="n">
        <v>3.1</v>
      </c>
      <c r="R439" s="270" t="n">
        <v>0.948</v>
      </c>
      <c r="S439" s="270" t="n">
        <v>4.65</v>
      </c>
      <c r="T439" s="270" t="n">
        <v>1.27</v>
      </c>
      <c r="U439" s="270" t="n">
        <v>0.455</v>
      </c>
      <c r="V439" s="270" t="n">
        <v>1.68</v>
      </c>
      <c r="W439" s="270" t="n">
        <v>0.767</v>
      </c>
      <c r="X439" s="274" t="n">
        <v>0.000963</v>
      </c>
      <c r="Y439" s="269" t="n">
        <v>8.529999999999999</v>
      </c>
      <c r="Z439" s="275" t="n">
        <v>966</v>
      </c>
      <c r="AA439" s="275" t="n">
        <v>675</v>
      </c>
      <c r="AB439" s="270" t="n">
        <v>6780</v>
      </c>
      <c r="AD439" s="276" t="n">
        <v>0.00949</v>
      </c>
      <c r="AE439" s="141" t="n">
        <v>0.00663</v>
      </c>
      <c r="AF439" s="270" t="n">
        <v>7.02</v>
      </c>
      <c r="AG439" s="277" t="n">
        <v>0.06660000000000001</v>
      </c>
      <c r="AH439" s="131" t="n">
        <v>0.5125</v>
      </c>
      <c r="AI439" s="131" t="n">
        <v>0.3396198830409357</v>
      </c>
      <c r="AJ439" s="270" t="n">
        <v>0.384</v>
      </c>
      <c r="AK439" s="131" t="n">
        <v>0.220630428801635</v>
      </c>
      <c r="AL439" s="131" t="n">
        <v>0.02613685493062925</v>
      </c>
      <c r="AM439" s="139" t="n">
        <v>0.2913571512793303</v>
      </c>
      <c r="AN439" s="308" t="n">
        <v>5.71</v>
      </c>
    </row>
    <row customHeight="1" ht="15" r="440" s="3">
      <c r="A440" s="117" t="n">
        <v>43781</v>
      </c>
      <c r="B440" s="322" t="inlineStr">
        <is>
          <t>iOS</t>
        </is>
      </c>
      <c r="C440" s="268" t="n">
        <v>26103</v>
      </c>
      <c r="D440" s="268" t="n">
        <v>99543</v>
      </c>
      <c r="E440" s="269" t="n">
        <v>3.81</v>
      </c>
      <c r="F440" s="270" t="n">
        <v>0.696</v>
      </c>
      <c r="G440" s="271" t="n">
        <v>21.3</v>
      </c>
      <c r="H440" s="271" t="n">
        <v>30.2</v>
      </c>
      <c r="I440" s="142" t="n">
        <v>0.315</v>
      </c>
      <c r="J440" s="142" t="n">
        <v>0.157</v>
      </c>
      <c r="L440" s="270" t="n">
        <v>8.550000000000001</v>
      </c>
      <c r="M440" s="272" t="n">
        <v>8.07</v>
      </c>
      <c r="N440" s="270" t="n">
        <v>13.9</v>
      </c>
      <c r="O440" s="310" t="n">
        <v>0.58</v>
      </c>
      <c r="P440" s="270" t="n">
        <v>1.88</v>
      </c>
      <c r="Q440" s="270" t="n">
        <v>2.92</v>
      </c>
      <c r="R440" s="270" t="n">
        <v>0.902</v>
      </c>
      <c r="S440" s="270" t="n">
        <v>4.21</v>
      </c>
      <c r="T440" s="270" t="n">
        <v>1.18</v>
      </c>
      <c r="U440" s="270" t="n">
        <v>0.477</v>
      </c>
      <c r="V440" s="270" t="n">
        <v>1.59</v>
      </c>
      <c r="W440" s="270" t="n">
        <v>0.752</v>
      </c>
      <c r="X440" s="274" t="n">
        <v>0.000974</v>
      </c>
      <c r="Y440" s="269" t="n">
        <v>8.07</v>
      </c>
      <c r="Z440" s="275" t="n">
        <v>849</v>
      </c>
      <c r="AA440" s="275" t="n">
        <v>631</v>
      </c>
      <c r="AB440" s="270" t="n">
        <v>5520</v>
      </c>
      <c r="AD440" s="276" t="n">
        <v>0.008529999999999999</v>
      </c>
      <c r="AE440" s="141" t="n">
        <v>0.00634</v>
      </c>
      <c r="AF440" s="270" t="n">
        <v>6.5</v>
      </c>
      <c r="AG440" s="277" t="n">
        <v>0.0555</v>
      </c>
      <c r="AH440" s="131" t="n">
        <v>0.5051143546718768</v>
      </c>
      <c r="AI440" s="131" t="n">
        <v>0.3462820365475233</v>
      </c>
      <c r="AJ440" s="270" t="n">
        <v>0.424</v>
      </c>
      <c r="AK440" s="131" t="n">
        <v>0.2365409923349708</v>
      </c>
      <c r="AL440" s="131" t="n">
        <v>0.02959525029384286</v>
      </c>
      <c r="AM440" s="139" t="n">
        <v>0.245039832032388</v>
      </c>
      <c r="AN440" s="308" t="n">
        <v>5.25</v>
      </c>
    </row>
    <row customFormat="1" customHeight="1" ht="13.95" r="441" s="294">
      <c r="A441" s="121" t="n">
        <v>43782</v>
      </c>
      <c r="B441" s="295" t="inlineStr">
        <is>
          <t>iOS</t>
        </is>
      </c>
      <c r="C441" s="296" t="n">
        <v>21630</v>
      </c>
      <c r="D441" s="296" t="n">
        <v>93256</v>
      </c>
      <c r="E441" s="297" t="n">
        <v>4.31</v>
      </c>
      <c r="F441" s="294" t="n">
        <v>0.616</v>
      </c>
      <c r="G441" s="306" t="n">
        <v>22.8</v>
      </c>
      <c r="H441" s="306" t="n">
        <v>33.3</v>
      </c>
      <c r="I441" s="124" t="n">
        <v>0.315</v>
      </c>
      <c r="J441" s="142" t="n">
        <v>0.155</v>
      </c>
      <c r="K441" s="124" t="n"/>
      <c r="L441" s="294" t="n">
        <v>7.88</v>
      </c>
      <c r="M441" s="299" t="n">
        <v>7.06</v>
      </c>
      <c r="N441" s="294" t="n">
        <v>12.4</v>
      </c>
      <c r="O441" s="300" t="n">
        <v>0.569</v>
      </c>
      <c r="P441" s="294" t="n">
        <v>1.72</v>
      </c>
      <c r="Q441" s="294" t="n">
        <v>2.62</v>
      </c>
      <c r="R441" s="294" t="n">
        <v>0.8080000000000001</v>
      </c>
      <c r="S441" s="294" t="n">
        <v>3.57</v>
      </c>
      <c r="T441" s="294" t="n">
        <v>1.06</v>
      </c>
      <c r="U441" s="294" t="n">
        <v>0.508</v>
      </c>
      <c r="V441" s="294" t="n">
        <v>1.41</v>
      </c>
      <c r="W441" s="294" t="n">
        <v>0.698</v>
      </c>
      <c r="X441" s="301" t="n">
        <v>0.000665</v>
      </c>
      <c r="Y441" s="297" t="n">
        <v>7.06</v>
      </c>
      <c r="Z441" s="293" t="n">
        <v>663</v>
      </c>
      <c r="AA441" s="293" t="n">
        <v>507</v>
      </c>
      <c r="AB441" s="294" t="n">
        <v>3750</v>
      </c>
      <c r="AD441" s="303" t="n">
        <v>0.00711</v>
      </c>
      <c r="AE441" s="123" t="n">
        <v>0.00544</v>
      </c>
      <c r="AF441" s="294" t="n">
        <v>5.66</v>
      </c>
      <c r="AG441" s="304" t="n">
        <v>0.0402</v>
      </c>
      <c r="AH441" s="135" t="n">
        <v>0.5031900138696255</v>
      </c>
      <c r="AI441" s="135" t="n">
        <v>0.3564956079519186</v>
      </c>
      <c r="AJ441" s="294" t="n">
        <v>0.489</v>
      </c>
      <c r="AK441" s="136" t="n">
        <v>0.2673393669040062</v>
      </c>
      <c r="AL441" s="136" t="n">
        <v>0.03361713991593034</v>
      </c>
      <c r="AM441" s="137" t="n">
        <v>0.02052414858025221</v>
      </c>
      <c r="AN441" s="308" t="n">
        <v>5.33</v>
      </c>
    </row>
    <row customHeight="1" ht="15" r="442" s="3">
      <c r="A442" s="117" t="n">
        <v>43783</v>
      </c>
      <c r="B442" s="267" t="inlineStr">
        <is>
          <t>iOS</t>
        </is>
      </c>
      <c r="C442" s="268" t="n">
        <v>24036</v>
      </c>
      <c r="D442" s="268" t="n">
        <v>93570</v>
      </c>
      <c r="E442" s="269" t="n">
        <v>3.89</v>
      </c>
      <c r="F442" s="270" t="n">
        <v>0.643</v>
      </c>
      <c r="G442" s="306" t="n">
        <v>23.4</v>
      </c>
      <c r="H442" s="306" t="n">
        <v>34.7</v>
      </c>
      <c r="I442" s="124" t="n">
        <v>0.312</v>
      </c>
      <c r="L442" s="270" t="n">
        <v>7.82</v>
      </c>
      <c r="M442" s="272" t="n">
        <v>6.96</v>
      </c>
      <c r="N442" s="270" t="n">
        <v>12.4</v>
      </c>
      <c r="O442" s="310" t="n">
        <v>0.5639999999999999</v>
      </c>
      <c r="P442" s="270" t="n">
        <v>1.76</v>
      </c>
      <c r="Q442" s="270" t="n">
        <v>2.63</v>
      </c>
      <c r="R442" s="270" t="n">
        <v>0.776</v>
      </c>
      <c r="S442" s="270" t="n">
        <v>3.52</v>
      </c>
      <c r="T442" s="270" t="n">
        <v>1.06</v>
      </c>
      <c r="U442" s="270" t="n">
        <v>0.514</v>
      </c>
      <c r="V442" s="270" t="n">
        <v>1.4</v>
      </c>
      <c r="W442" s="270" t="n">
        <v>0.694</v>
      </c>
      <c r="X442" s="274" t="n">
        <v>0.000684</v>
      </c>
      <c r="Y442" s="269" t="n">
        <v>6.96</v>
      </c>
      <c r="Z442" s="275" t="n">
        <v>732</v>
      </c>
      <c r="AA442" s="275" t="n">
        <v>554</v>
      </c>
      <c r="AB442" s="270" t="n">
        <v>3880</v>
      </c>
      <c r="AD442" s="276" t="n">
        <v>0.007820000000000001</v>
      </c>
      <c r="AE442" s="141" t="n">
        <v>0.00592</v>
      </c>
      <c r="AF442" s="270" t="n">
        <v>5.3</v>
      </c>
      <c r="AG442" s="277" t="n">
        <v>0.0415</v>
      </c>
      <c r="AH442" s="131" t="n">
        <v>0.4972541188217673</v>
      </c>
      <c r="AI442" s="131" t="n">
        <v>0.3295057413879181</v>
      </c>
      <c r="AJ442" s="270" t="n">
        <v>0.469</v>
      </c>
      <c r="AK442" s="131" t="n">
        <v>0.2632360799401517</v>
      </c>
      <c r="AL442" s="131" t="n">
        <v>0.03239286095970931</v>
      </c>
      <c r="AM442" s="139" t="n">
        <v>0.007085604360371914</v>
      </c>
      <c r="AN442" s="307" t="n">
        <v>5.1</v>
      </c>
    </row>
    <row customHeight="1" ht="13.8" r="443" s="3">
      <c r="A443" s="117" t="n">
        <v>43784</v>
      </c>
      <c r="B443" s="267" t="inlineStr">
        <is>
          <t>iOS</t>
        </is>
      </c>
      <c r="C443" s="268" t="n">
        <v>24338</v>
      </c>
      <c r="D443" s="268" t="n">
        <v>93466</v>
      </c>
      <c r="E443" s="269" t="n">
        <v>3.84</v>
      </c>
      <c r="F443" s="270" t="n">
        <v>0.621</v>
      </c>
      <c r="G443" s="271" t="n">
        <v>23.1</v>
      </c>
      <c r="H443" s="271" t="n">
        <v>33.6</v>
      </c>
      <c r="I443" s="142" t="n">
        <v>0.305</v>
      </c>
      <c r="L443" s="270" t="n">
        <v>7.52</v>
      </c>
      <c r="M443" s="272" t="n">
        <v>6.7</v>
      </c>
      <c r="N443" s="270" t="n">
        <v>12</v>
      </c>
      <c r="O443" s="310" t="n">
        <v>0.556</v>
      </c>
      <c r="P443" s="270" t="n">
        <v>1.74</v>
      </c>
      <c r="Q443" s="270" t="n">
        <v>2.6</v>
      </c>
      <c r="R443" s="270" t="n">
        <v>0.755</v>
      </c>
      <c r="S443" s="270" t="n">
        <v>3.37</v>
      </c>
      <c r="T443" s="270" t="n">
        <v>1.04</v>
      </c>
      <c r="U443" s="270" t="n">
        <v>0.505</v>
      </c>
      <c r="V443" s="270" t="n">
        <v>1.36</v>
      </c>
      <c r="W443" s="270" t="n">
        <v>0.676</v>
      </c>
      <c r="X443" s="274" t="n">
        <v>0.000792</v>
      </c>
      <c r="Y443" s="269" t="n">
        <v>6.7</v>
      </c>
      <c r="Z443" s="275" t="n">
        <v>748</v>
      </c>
      <c r="AA443" s="275" t="n">
        <v>537</v>
      </c>
      <c r="AB443" s="270" t="n">
        <v>4410</v>
      </c>
      <c r="AD443" s="276" t="n">
        <v>0.008</v>
      </c>
      <c r="AE443" s="141" t="n">
        <v>0.00575</v>
      </c>
      <c r="AF443" s="270" t="n">
        <v>5.9</v>
      </c>
      <c r="AG443" s="277" t="n">
        <v>0.0472</v>
      </c>
      <c r="AH443" s="131" t="n">
        <v>0.483277179718958</v>
      </c>
      <c r="AI443" s="131" t="n">
        <v>0.3271838277590599</v>
      </c>
      <c r="AJ443" s="270" t="n">
        <v>0.446</v>
      </c>
      <c r="AK443" s="131" t="n">
        <v>0.2588962831403933</v>
      </c>
      <c r="AL443" s="131" t="n">
        <v>0.03090963558941219</v>
      </c>
      <c r="AM443" s="139" t="n">
        <v>0.003873066141698586</v>
      </c>
    </row>
    <row r="444">
      <c r="A444" s="117" t="inlineStr">
        <is>
          <t>2019/11/16</t>
        </is>
      </c>
      <c r="B444" s="267" t="inlineStr">
        <is>
          <t>iOS</t>
        </is>
      </c>
      <c r="C444" s="268" t="n">
        <v>27370</v>
      </c>
      <c r="D444" s="268" t="n">
        <v>97264</v>
      </c>
      <c r="E444" s="269" t="n">
        <v>3.55</v>
      </c>
      <c r="F444" s="270" t="n">
        <v>0.784</v>
      </c>
      <c r="G444" s="271" t="n">
        <v>21.6</v>
      </c>
      <c r="H444" s="271" t="n">
        <v>31.8</v>
      </c>
      <c r="L444" s="270" t="n">
        <v>9</v>
      </c>
      <c r="M444" s="272" t="n">
        <v>8.68</v>
      </c>
      <c r="N444" s="270" t="n">
        <v>15.5</v>
      </c>
      <c r="O444" s="310" t="n">
        <v>0.5600000000000001</v>
      </c>
      <c r="P444" s="270" t="n">
        <v>2.05</v>
      </c>
      <c r="Q444" s="270" t="n">
        <v>3.06</v>
      </c>
      <c r="R444" s="270" t="n">
        <v>1.07</v>
      </c>
      <c r="S444" s="270" t="n">
        <v>5.12</v>
      </c>
      <c r="T444" s="270" t="n">
        <v>1.28</v>
      </c>
      <c r="U444" s="270" t="n">
        <v>0.451</v>
      </c>
      <c r="V444" s="270" t="n">
        <v>1.73</v>
      </c>
      <c r="W444" s="270" t="n">
        <v>0.733</v>
      </c>
      <c r="X444" s="274" t="n">
        <v>0.000576</v>
      </c>
      <c r="Y444" s="269" t="n">
        <v>8.68</v>
      </c>
      <c r="Z444" s="275" t="n">
        <v>986</v>
      </c>
      <c r="AA444" s="275" t="n">
        <v>670</v>
      </c>
      <c r="AB444" s="270" t="n">
        <v>6990</v>
      </c>
      <c r="AD444" s="276" t="n">
        <v>0.0101</v>
      </c>
      <c r="AE444" s="141" t="n">
        <v>0.00689</v>
      </c>
      <c r="AF444" s="270" t="n">
        <v>7.09</v>
      </c>
      <c r="AG444" s="277" t="n">
        <v>0.07190000000000001</v>
      </c>
      <c r="AH444" s="131" t="n">
        <v>0.4835586408476434</v>
      </c>
      <c r="AI444" s="131" t="n">
        <v>0.306430398246255</v>
      </c>
      <c r="AJ444" s="270" t="n">
        <v>0.356</v>
      </c>
      <c r="AK444" s="131" t="n">
        <v>0.2140463069583813</v>
      </c>
      <c r="AL444" s="131" t="n">
        <v>0.02530227011021549</v>
      </c>
      <c r="AM444" s="139" t="n">
        <v>0.2934384767231453</v>
      </c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N444"/>
  <sheetViews>
    <sheetView workbookViewId="0" zoomScale="110" zoomScaleNormal="110">
      <pane activePane="bottomRight" state="frozen" topLeftCell="C412" xSplit="2" ySplit="2"/>
      <selection activeCell="A1" pane="topRight" sqref="A1"/>
      <selection activeCell="A1" pane="bottomLeft" sqref="A1"/>
      <selection activeCell="F445" pane="bottomRight" sqref="F445"/>
    </sheetView>
  </sheetViews>
  <sheetFormatPr baseColWidth="8" customHeight="1" defaultColWidth="10.81640625" defaultRowHeight="16.05" outlineLevelRow="2"/>
  <cols>
    <col customWidth="1" max="1" min="1" style="117" width="11.6328125"/>
    <col customWidth="1" max="2" min="2" style="267" width="5.1796875"/>
    <col customWidth="1" max="4" min="3" style="268" width="13"/>
    <col customWidth="1" max="5" min="5" style="269" width="13"/>
    <col customWidth="1" max="6" min="6" style="270" width="13"/>
    <col customWidth="1" max="8" min="7" style="271" width="13"/>
    <col customWidth="1" max="11" min="9" style="141" width="13"/>
    <col customWidth="1" max="12" min="12" style="270" width="13"/>
    <col customWidth="1" max="13" min="13" style="272" width="13"/>
    <col customWidth="1" max="14" min="14" style="270" width="13"/>
    <col customWidth="1" max="15" min="15" style="273" width="13"/>
    <col customWidth="1" max="24" min="16" style="270" width="13"/>
    <col customWidth="1" max="25" min="25" style="269" width="13"/>
    <col customWidth="1" max="27" min="26" style="275" width="13"/>
    <col customWidth="1" max="28" min="28" style="270" width="13"/>
    <col customWidth="1" hidden="1" max="29" min="29" style="270" width="13"/>
    <col customWidth="1" max="30" min="30" style="276" width="13"/>
    <col customWidth="1" max="31" min="31" style="142" width="13"/>
    <col customWidth="1" max="32" min="32" style="270" width="13"/>
    <col customWidth="1" max="33" min="33" style="277" width="13"/>
    <col customWidth="1" max="35" min="34" style="118" width="13"/>
    <col customWidth="1" max="36" min="36" style="270" width="13"/>
    <col customWidth="1" max="38" min="37" style="64" width="13"/>
    <col customWidth="1" max="39" min="39" style="119" width="13"/>
    <col customWidth="1" max="40" min="40" style="276" width="12.81640625"/>
    <col customWidth="1" max="66" min="41" style="270" width="10.81640625"/>
    <col customWidth="1" max="16384" min="67" style="270" width="10.81640625"/>
  </cols>
  <sheetData>
    <row customFormat="1" customHeight="1" ht="11.25" r="1" s="278">
      <c r="A1" s="226" t="inlineStr">
        <is>
          <t>日期</t>
        </is>
      </c>
      <c r="B1" s="279" t="inlineStr">
        <is>
          <t>版本</t>
        </is>
      </c>
      <c r="C1" s="280" t="inlineStr">
        <is>
          <t>新增</t>
        </is>
      </c>
      <c r="D1" s="280" t="inlineStr">
        <is>
          <t>日活</t>
        </is>
      </c>
      <c r="E1" s="281" t="inlineStr">
        <is>
          <t>平均生命周期(日活/新增)</t>
        </is>
      </c>
      <c r="F1" s="279" t="inlineStr">
        <is>
          <t>LTV</t>
        </is>
      </c>
      <c r="G1" s="282" t="inlineStr">
        <is>
          <t>ecpm</t>
        </is>
      </c>
      <c r="H1" s="283" t="inlineStr">
        <is>
          <t>美国ecpm</t>
        </is>
      </c>
      <c r="I1" s="239" t="inlineStr">
        <is>
          <t>次留</t>
        </is>
      </c>
      <c r="J1" s="239" t="inlineStr">
        <is>
          <t>3日留存</t>
        </is>
      </c>
      <c r="K1" s="239" t="inlineStr">
        <is>
          <t>7日留存</t>
        </is>
      </c>
      <c r="L1" s="279" t="inlineStr">
        <is>
          <t>人均启动次数</t>
        </is>
      </c>
      <c r="M1" s="279" t="inlineStr">
        <is>
          <t>人均视频次数(日活)</t>
        </is>
      </c>
      <c r="N1" s="279" t="inlineStr">
        <is>
          <t>人均视频次数(独立)</t>
        </is>
      </c>
      <c r="O1" s="284" t="inlineStr">
        <is>
          <t>视频用户覆盖率</t>
        </is>
      </c>
      <c r="P1" s="279" t="inlineStr">
        <is>
          <t>各视频位人均播放次数（独立）</t>
        </is>
      </c>
      <c r="Q1" s="224" t="n"/>
      <c r="R1" s="224" t="n"/>
      <c r="S1" s="224" t="n"/>
      <c r="T1" s="224" t="n"/>
      <c r="U1" s="224" t="n"/>
      <c r="V1" s="224" t="n"/>
      <c r="W1" s="225" t="n"/>
      <c r="X1" s="279" t="inlineStr">
        <is>
          <t>人均插屏次数（日活）</t>
        </is>
      </c>
      <c r="Y1" s="236" t="inlineStr">
        <is>
          <t>人均视频+插屏次数（日活）</t>
        </is>
      </c>
      <c r="Z1" s="286" t="inlineStr">
        <is>
          <t>IAP购买次数</t>
        </is>
      </c>
      <c r="AA1" s="286" t="inlineStr">
        <is>
          <t>IAP购买人数</t>
        </is>
      </c>
      <c r="AB1" s="279" t="inlineStr">
        <is>
          <t>付费金额</t>
        </is>
      </c>
      <c r="AC1" s="279" t="inlineStr">
        <is>
          <t>google play收入</t>
        </is>
      </c>
      <c r="AD1" s="287" t="inlineStr">
        <is>
          <t>人均付费次数(日活)</t>
        </is>
      </c>
      <c r="AE1" s="233" t="inlineStr">
        <is>
          <t>付费率(购买人数/日活)</t>
        </is>
      </c>
      <c r="AF1" s="279" t="inlineStr">
        <is>
          <t>单次付费价值</t>
        </is>
      </c>
      <c r="AG1" s="236" t="inlineStr">
        <is>
          <t>人均付费金额(日活)</t>
        </is>
      </c>
      <c r="AH1" s="245" t="inlineStr">
        <is>
          <t>第5个产业解锁率（新增）</t>
        </is>
      </c>
      <c r="AI1" s="245" t="inlineStr">
        <is>
          <t>第10个产业解锁率（新增）</t>
        </is>
      </c>
      <c r="AJ1" s="279" t="inlineStr">
        <is>
          <t>人均claim次数(日活)</t>
        </is>
      </c>
      <c r="AK1" s="243" t="inlineStr">
        <is>
          <t>进入地图2的用户占比(日活)</t>
        </is>
      </c>
      <c r="AL1" s="243" t="inlineStr">
        <is>
          <t>进入地图3的用户占比(日活)</t>
        </is>
      </c>
      <c r="AM1" s="243" t="inlineStr">
        <is>
          <t>进入event的用户占比(日活)</t>
        </is>
      </c>
      <c r="AN1" s="323" t="inlineStr">
        <is>
          <t>美国facebook 24小时视频数</t>
        </is>
      </c>
    </row>
    <row customFormat="1" customHeight="1" ht="12" r="2" s="278">
      <c r="A2" s="225" t="n"/>
      <c r="B2" s="227" t="n"/>
      <c r="C2" s="227" t="n"/>
      <c r="D2" s="227" t="n"/>
      <c r="E2" s="227" t="n"/>
      <c r="F2" s="227" t="n"/>
      <c r="G2" s="227" t="n"/>
      <c r="H2" s="232" t="n"/>
      <c r="I2" s="227" t="n"/>
      <c r="J2" s="227" t="n"/>
      <c r="K2" s="227" t="n"/>
      <c r="L2" s="227" t="n"/>
      <c r="M2" s="227" t="n"/>
      <c r="N2" s="227" t="n"/>
      <c r="O2" s="232" t="n"/>
      <c r="P2" s="288" t="inlineStr">
        <is>
          <t>doublecash</t>
        </is>
      </c>
      <c r="Q2" s="288" t="inlineStr">
        <is>
          <t>offline</t>
        </is>
      </c>
      <c r="R2" s="288" t="inlineStr">
        <is>
          <t>claim</t>
        </is>
      </c>
      <c r="S2" s="288" t="inlineStr">
        <is>
          <t>freebonus</t>
        </is>
      </c>
      <c r="T2" s="288" t="inlineStr">
        <is>
          <t>speed</t>
        </is>
      </c>
      <c r="U2" s="288" t="inlineStr">
        <is>
          <t>spin</t>
        </is>
      </c>
      <c r="V2" s="288" t="inlineStr">
        <is>
          <t>skiptime</t>
        </is>
      </c>
      <c r="W2" s="288" t="inlineStr">
        <is>
          <t>50%discount</t>
        </is>
      </c>
      <c r="X2" s="227" t="n"/>
      <c r="Y2" s="227" t="n"/>
      <c r="Z2" s="227" t="n"/>
      <c r="AA2" s="227" t="n"/>
      <c r="AB2" s="227" t="n"/>
      <c r="AC2" s="227" t="n"/>
      <c r="AD2" s="227" t="n"/>
      <c r="AE2" s="227" t="n"/>
      <c r="AF2" s="227" t="n"/>
      <c r="AG2" s="227" t="n"/>
      <c r="AH2" s="227" t="n"/>
      <c r="AI2" s="227" t="n"/>
      <c r="AJ2" s="227" t="n"/>
      <c r="AK2" s="227" t="n"/>
      <c r="AL2" s="227" t="n"/>
      <c r="AM2" s="227" t="n"/>
      <c r="AN2" s="227" t="n"/>
    </row>
    <row collapsed="1" customHeight="1" ht="13.2" r="3" s="3">
      <c r="A3" s="117" t="n">
        <v>43344</v>
      </c>
      <c r="B3" s="267" t="inlineStr">
        <is>
          <t>安卓</t>
        </is>
      </c>
      <c r="C3" s="268" t="n">
        <v>4710</v>
      </c>
      <c r="D3" s="268" t="n">
        <v>14119</v>
      </c>
      <c r="E3" s="269">
        <f>D3/C3</f>
        <v/>
      </c>
      <c r="F3" s="270" t="n">
        <v>0.6655167813163479</v>
      </c>
      <c r="G3" s="271" t="n">
        <v>19.04</v>
      </c>
      <c r="I3" s="141" t="n">
        <v>0.459</v>
      </c>
      <c r="J3" s="141" t="n">
        <v>0.211</v>
      </c>
      <c r="K3" s="141" t="n">
        <v>0.111</v>
      </c>
      <c r="L3" s="270" t="n">
        <v>8.202422267866</v>
      </c>
      <c r="M3" s="272" t="n">
        <v>8.03180111905942</v>
      </c>
      <c r="N3" s="270" t="n">
        <v>11.2904221425727</v>
      </c>
      <c r="O3" s="273">
        <f>M3/N3</f>
        <v/>
      </c>
      <c r="P3" s="270" t="n">
        <v>2.39346873755476</v>
      </c>
      <c r="Q3" s="270" t="n">
        <v>2.38450816407806</v>
      </c>
      <c r="R3" s="270" t="n">
        <v>1.15929908403027</v>
      </c>
      <c r="S3" s="270" t="n">
        <v>1.39127837514934</v>
      </c>
      <c r="T3" s="270" t="n">
        <v>1.49452409398646</v>
      </c>
      <c r="U3" s="270" t="n">
        <v>0.623755475906014</v>
      </c>
      <c r="V3" s="270" t="n">
        <v>1.3805256869773</v>
      </c>
      <c r="W3" s="270" t="n">
        <v>0.463062524890482</v>
      </c>
      <c r="X3" s="270" t="n">
        <v>0.0432750194773001</v>
      </c>
      <c r="Y3" s="269">
        <f>M3+X3</f>
        <v/>
      </c>
      <c r="Z3" s="275" t="n">
        <v>253</v>
      </c>
      <c r="AA3" s="275" t="n">
        <v>176</v>
      </c>
      <c r="AB3" s="270" t="n">
        <v>1393.47</v>
      </c>
      <c r="AC3" s="270" t="n">
        <v>1051.316</v>
      </c>
      <c r="AD3" s="276">
        <f>Z3/D3</f>
        <v/>
      </c>
      <c r="AE3" s="142">
        <f>AA3/D3</f>
        <v/>
      </c>
      <c r="AF3" s="270">
        <f>AB3/Z3</f>
        <v/>
      </c>
      <c r="AG3" s="277">
        <f>AD3*AF3</f>
        <v/>
      </c>
      <c r="AH3" s="118">
        <f>3489/C3</f>
        <v/>
      </c>
      <c r="AI3" s="118">
        <f>2236/C3</f>
        <v/>
      </c>
      <c r="AJ3" s="270">
        <f>8501/D3</f>
        <v/>
      </c>
    </row>
    <row customHeight="1" hidden="1" ht="13.2" outlineLevel="1" r="4" s="3">
      <c r="A4" s="117" t="n">
        <v>43345</v>
      </c>
      <c r="B4" s="267" t="inlineStr">
        <is>
          <t>安卓</t>
        </is>
      </c>
      <c r="C4" s="268" t="n">
        <v>5277</v>
      </c>
      <c r="D4" s="268" t="n">
        <v>15370</v>
      </c>
      <c r="E4" s="269">
        <f>D4/C4</f>
        <v/>
      </c>
      <c r="F4" s="270" t="n">
        <v>0.521019859768808</v>
      </c>
      <c r="G4" s="271" t="n">
        <v>16.95</v>
      </c>
      <c r="I4" s="141" t="n">
        <v>0.443</v>
      </c>
      <c r="J4" s="141" t="n">
        <v>0.208</v>
      </c>
      <c r="K4" s="141" t="n">
        <v>0.115</v>
      </c>
      <c r="L4" s="270" t="n">
        <v>8.17872478854912</v>
      </c>
      <c r="M4" s="272" t="n">
        <v>7.96382563435264</v>
      </c>
      <c r="N4" s="270" t="n">
        <v>11.1509519905256</v>
      </c>
      <c r="O4" s="273">
        <f>M4/N4</f>
        <v/>
      </c>
      <c r="P4" s="270" t="n">
        <v>2.34107679693905</v>
      </c>
      <c r="Q4" s="270" t="n">
        <v>2.38471349184659</v>
      </c>
      <c r="R4" s="270" t="n">
        <v>1.24524004737178</v>
      </c>
      <c r="S4" s="270" t="n">
        <v>1.38498679056208</v>
      </c>
      <c r="T4" s="270" t="n">
        <v>1.44283501867541</v>
      </c>
      <c r="U4" s="270" t="n">
        <v>0.64780905529744</v>
      </c>
      <c r="V4" s="270" t="n">
        <v>1.26783274118612</v>
      </c>
      <c r="W4" s="270" t="n">
        <v>0.436458048647171</v>
      </c>
      <c r="X4" s="270" t="n">
        <v>0.0492517891997397</v>
      </c>
      <c r="Y4" s="269">
        <f>M4+X4</f>
        <v/>
      </c>
      <c r="Z4" s="275" t="n">
        <v>218</v>
      </c>
      <c r="AA4" s="275" t="n">
        <v>168</v>
      </c>
      <c r="AB4" s="270" t="n">
        <v>963.8200000000001</v>
      </c>
      <c r="AC4" s="270" t="n">
        <v>820.687</v>
      </c>
      <c r="AD4" s="276">
        <f>Z4/D4</f>
        <v/>
      </c>
      <c r="AE4" s="142">
        <f>AA4/D4</f>
        <v/>
      </c>
      <c r="AF4" s="270">
        <f>AB4/Z4</f>
        <v/>
      </c>
      <c r="AG4" s="277">
        <f>AD4*AF4</f>
        <v/>
      </c>
      <c r="AH4" s="118">
        <f>3879/C4</f>
        <v/>
      </c>
      <c r="AI4" s="118">
        <f>2523/C4</f>
        <v/>
      </c>
      <c r="AJ4" s="270">
        <f>9774/D4</f>
        <v/>
      </c>
    </row>
    <row customHeight="1" hidden="1" ht="13.2" outlineLevel="1" r="5" s="3">
      <c r="A5" s="117" t="n">
        <v>43346</v>
      </c>
      <c r="B5" s="267" t="inlineStr">
        <is>
          <t>安卓</t>
        </is>
      </c>
      <c r="C5" s="268" t="n">
        <v>5355</v>
      </c>
      <c r="D5" s="268" t="n">
        <v>15999</v>
      </c>
      <c r="E5" s="269">
        <f>D5/C5</f>
        <v/>
      </c>
      <c r="F5" s="270" t="n">
        <v>0.59101981512605</v>
      </c>
      <c r="G5" s="271" t="n">
        <v>18.01</v>
      </c>
      <c r="I5" s="141" t="n">
        <v>0.441</v>
      </c>
      <c r="J5" s="141" t="n">
        <v>0.211</v>
      </c>
      <c r="K5" s="141" t="n">
        <v>0.11</v>
      </c>
      <c r="L5" s="270" t="n">
        <v>8.199199949996871</v>
      </c>
      <c r="M5" s="272" t="n">
        <v>8.026189136821049</v>
      </c>
      <c r="N5" s="270" t="n">
        <v>11.1187981643432</v>
      </c>
      <c r="O5" s="273">
        <f>M5/N5</f>
        <v/>
      </c>
      <c r="P5" s="270" t="n">
        <v>2.25413455710451</v>
      </c>
      <c r="Q5" s="270" t="n">
        <v>2.33708546194476</v>
      </c>
      <c r="R5" s="270" t="n">
        <v>1.2908476924409</v>
      </c>
      <c r="S5" s="270" t="n">
        <v>1.38661355961555</v>
      </c>
      <c r="T5" s="270" t="n">
        <v>1.43761364620313</v>
      </c>
      <c r="U5" s="270" t="n">
        <v>0.64196034288683</v>
      </c>
      <c r="V5" s="270" t="n">
        <v>1.30946402285912</v>
      </c>
      <c r="W5" s="270" t="n">
        <v>0.461078881288423</v>
      </c>
      <c r="X5" s="270" t="n">
        <v>0.0691293205825364</v>
      </c>
      <c r="Y5" s="269">
        <f>M5+X5</f>
        <v/>
      </c>
      <c r="Z5" s="275" t="n">
        <v>253</v>
      </c>
      <c r="AA5" s="275" t="n">
        <v>167</v>
      </c>
      <c r="AB5" s="270" t="n">
        <v>1217.47</v>
      </c>
      <c r="AC5" s="270" t="n">
        <v>1045.926</v>
      </c>
      <c r="AD5" s="276">
        <f>Z5/D5</f>
        <v/>
      </c>
      <c r="AE5" s="142">
        <f>AA5/D5</f>
        <v/>
      </c>
      <c r="AF5" s="270">
        <f>AB5/Z5</f>
        <v/>
      </c>
      <c r="AG5" s="277">
        <f>AD5*AF5</f>
        <v/>
      </c>
      <c r="AH5" s="118">
        <f>3944/C5</f>
        <v/>
      </c>
      <c r="AI5" s="118">
        <f>2534/C5</f>
        <v/>
      </c>
      <c r="AJ5" s="270">
        <f>10343/D5</f>
        <v/>
      </c>
    </row>
    <row customHeight="1" hidden="1" ht="13.2" outlineLevel="1" r="6" s="3">
      <c r="A6" s="117" t="n">
        <v>43347</v>
      </c>
      <c r="B6" s="267" t="inlineStr">
        <is>
          <t>安卓</t>
        </is>
      </c>
      <c r="C6" s="268" t="n">
        <v>5209</v>
      </c>
      <c r="D6" s="268" t="n">
        <v>16336</v>
      </c>
      <c r="E6" s="269">
        <f>D6/C6</f>
        <v/>
      </c>
      <c r="F6" s="270" t="n">
        <v>0.62554292570551</v>
      </c>
      <c r="G6" s="271" t="n">
        <v>18.35</v>
      </c>
      <c r="I6" s="141" t="n">
        <v>0.438</v>
      </c>
      <c r="J6" s="141" t="n">
        <v>0.22</v>
      </c>
      <c r="K6" s="141" t="n">
        <v>0.113</v>
      </c>
      <c r="L6" s="270" t="n">
        <v>8.054664544564149</v>
      </c>
      <c r="M6" s="272" t="n">
        <v>8.0378305582762</v>
      </c>
      <c r="N6" s="270" t="n">
        <v>11.2150666211138</v>
      </c>
      <c r="O6" s="273">
        <f>M6/N6</f>
        <v/>
      </c>
      <c r="P6" s="270" t="n">
        <v>2.28134608814486</v>
      </c>
      <c r="Q6" s="270" t="n">
        <v>2.38307140416809</v>
      </c>
      <c r="R6" s="270" t="n">
        <v>1.26819268875982</v>
      </c>
      <c r="S6" s="270" t="n">
        <v>1.37794670310899</v>
      </c>
      <c r="T6" s="270" t="n">
        <v>1.48086778271268</v>
      </c>
      <c r="U6" s="270" t="n">
        <v>0.626665527844209</v>
      </c>
      <c r="V6" s="270" t="n">
        <v>1.32994533652204</v>
      </c>
      <c r="W6" s="270" t="n">
        <v>0.467031089853092</v>
      </c>
      <c r="X6" s="270" t="n">
        <v>0.0990450538687561</v>
      </c>
      <c r="Y6" s="269">
        <f>M6+X6</f>
        <v/>
      </c>
      <c r="Z6" s="275" t="n">
        <v>216</v>
      </c>
      <c r="AA6" s="275" t="n">
        <v>162</v>
      </c>
      <c r="AB6" s="270" t="n">
        <v>1212.84</v>
      </c>
      <c r="AC6" s="270" t="n">
        <v>790.279</v>
      </c>
      <c r="AD6" s="276">
        <f>Z6/D6</f>
        <v/>
      </c>
      <c r="AE6" s="142">
        <f>AA6/D6</f>
        <v/>
      </c>
      <c r="AF6" s="270">
        <f>AB6/Z6</f>
        <v/>
      </c>
      <c r="AG6" s="277">
        <f>AD6*AF6</f>
        <v/>
      </c>
      <c r="AH6" s="118">
        <f>3799/C6</f>
        <v/>
      </c>
      <c r="AI6" s="118">
        <f>2516/C6</f>
        <v/>
      </c>
      <c r="AJ6" s="270">
        <f>10985/D6</f>
        <v/>
      </c>
    </row>
    <row customHeight="1" hidden="1" ht="13.2" outlineLevel="1" r="7" s="3">
      <c r="A7" s="117" t="n">
        <v>43348</v>
      </c>
      <c r="B7" s="267" t="inlineStr">
        <is>
          <t>安卓</t>
        </is>
      </c>
      <c r="C7" s="268" t="n">
        <v>4728</v>
      </c>
      <c r="D7" s="268" t="n">
        <v>15848</v>
      </c>
      <c r="E7" s="269">
        <f>D7/C7</f>
        <v/>
      </c>
      <c r="F7" s="270" t="n">
        <v>0.585606823181049</v>
      </c>
      <c r="G7" s="271" t="n">
        <v>17.43</v>
      </c>
      <c r="I7" s="141" t="n">
        <v>0.437</v>
      </c>
      <c r="J7" s="141" t="n">
        <v>0.215</v>
      </c>
      <c r="K7" s="141" t="n">
        <v>0.096</v>
      </c>
      <c r="L7" s="270" t="n">
        <v>7.92794043412418</v>
      </c>
      <c r="M7" s="272" t="n">
        <v>7.79543160020192</v>
      </c>
      <c r="N7" s="270" t="n">
        <v>10.9873710423337</v>
      </c>
      <c r="O7" s="273">
        <f>M7/N7</f>
        <v/>
      </c>
      <c r="P7" s="270" t="n">
        <v>2.18507648523657</v>
      </c>
      <c r="Q7" s="270" t="n">
        <v>2.24893276414088</v>
      </c>
      <c r="R7" s="270" t="n">
        <v>1.24457488438278</v>
      </c>
      <c r="S7" s="270" t="n">
        <v>1.41648879402348</v>
      </c>
      <c r="T7" s="270" t="n">
        <v>1.48461401636428</v>
      </c>
      <c r="U7" s="270" t="n">
        <v>0.641408751334045</v>
      </c>
      <c r="V7" s="270" t="n">
        <v>1.29758093205265</v>
      </c>
      <c r="W7" s="270" t="n">
        <v>0.468694414799004</v>
      </c>
      <c r="X7" s="270" t="n">
        <v>0.0654972236244321</v>
      </c>
      <c r="Y7" s="269">
        <f>M7+X7</f>
        <v/>
      </c>
      <c r="Z7" s="275" t="n">
        <v>184</v>
      </c>
      <c r="AA7" s="275" t="n">
        <v>142</v>
      </c>
      <c r="AB7" s="270" t="n">
        <v>879.16</v>
      </c>
      <c r="AC7" s="270" t="n">
        <v>759.1079999999999</v>
      </c>
      <c r="AD7" s="276">
        <f>Z7/D7</f>
        <v/>
      </c>
      <c r="AE7" s="142">
        <f>AA7/D7</f>
        <v/>
      </c>
      <c r="AF7" s="270">
        <f>AB7/Z7</f>
        <v/>
      </c>
      <c r="AG7" s="277">
        <f>AD7*AF7</f>
        <v/>
      </c>
      <c r="AH7" s="118">
        <f>3491/C7</f>
        <v/>
      </c>
      <c r="AI7" s="118">
        <f>2433/C7</f>
        <v/>
      </c>
      <c r="AJ7" s="270">
        <f>11386/D7</f>
        <v/>
      </c>
    </row>
    <row customHeight="1" hidden="1" ht="13.2" outlineLevel="1" r="8" s="3">
      <c r="A8" s="117" t="n">
        <v>43349</v>
      </c>
      <c r="B8" s="267" t="inlineStr">
        <is>
          <t>安卓</t>
        </is>
      </c>
      <c r="C8" s="268" t="n">
        <v>4384</v>
      </c>
      <c r="D8" s="268" t="n">
        <v>15490</v>
      </c>
      <c r="E8" s="269">
        <f>D8/C8</f>
        <v/>
      </c>
      <c r="F8" s="270" t="n">
        <v>0.647199171989051</v>
      </c>
      <c r="G8" s="271" t="n">
        <v>18.71</v>
      </c>
      <c r="I8" s="141" t="n">
        <v>0.447</v>
      </c>
      <c r="J8" s="141" t="n">
        <v>0.214</v>
      </c>
      <c r="K8" s="141" t="n">
        <v>0.109</v>
      </c>
      <c r="L8" s="270" t="n">
        <v>7.970819883796</v>
      </c>
      <c r="M8" s="272" t="n">
        <v>7.8067785668173</v>
      </c>
      <c r="N8" s="270" t="n">
        <v>10.9436199095023</v>
      </c>
      <c r="O8" s="273">
        <f>M8/N8</f>
        <v/>
      </c>
      <c r="P8" s="270" t="n">
        <v>2.04280542986425</v>
      </c>
      <c r="Q8" s="270" t="n">
        <v>1.96787330316742</v>
      </c>
      <c r="R8" s="270" t="n">
        <v>1.18235294117647</v>
      </c>
      <c r="S8" s="270" t="n">
        <v>1.66054298642534</v>
      </c>
      <c r="T8" s="270" t="n">
        <v>1.37457013574661</v>
      </c>
      <c r="U8" s="270" t="n">
        <v>0.673755656108597</v>
      </c>
      <c r="V8" s="270" t="n">
        <v>1.43692307692308</v>
      </c>
      <c r="W8" s="270" t="n">
        <v>0.604796380090498</v>
      </c>
      <c r="X8" s="270" t="n">
        <v>0.0363460296965784</v>
      </c>
      <c r="Y8" s="269">
        <f>M8+X8</f>
        <v/>
      </c>
      <c r="Z8" s="275" t="n">
        <v>189</v>
      </c>
      <c r="AA8" s="275" t="n">
        <v>149</v>
      </c>
      <c r="AB8" s="270" t="n">
        <v>821.11</v>
      </c>
      <c r="AC8" s="270" t="n">
        <v>571.8579999999999</v>
      </c>
      <c r="AD8" s="276">
        <f>Z8/D8</f>
        <v/>
      </c>
      <c r="AE8" s="142">
        <f>AA8/D8</f>
        <v/>
      </c>
      <c r="AF8" s="270">
        <f>AB8/Z8</f>
        <v/>
      </c>
      <c r="AG8" s="277">
        <f>AD8*AF8</f>
        <v/>
      </c>
      <c r="AH8" s="118">
        <f>3316/C8</f>
        <v/>
      </c>
      <c r="AI8" s="118">
        <f>2229/C8</f>
        <v/>
      </c>
      <c r="AJ8" s="270">
        <f>12377/D8</f>
        <v/>
      </c>
    </row>
    <row customHeight="1" hidden="1" ht="13.2" outlineLevel="1" r="9" s="3">
      <c r="A9" s="120" t="n">
        <v>43350</v>
      </c>
      <c r="B9" s="267" t="inlineStr">
        <is>
          <t>安卓</t>
        </is>
      </c>
      <c r="C9" s="268" t="n">
        <v>4503</v>
      </c>
      <c r="D9" s="268" t="n">
        <v>15472</v>
      </c>
      <c r="E9" s="269">
        <f>D9/C9</f>
        <v/>
      </c>
      <c r="F9" s="270" t="n">
        <v>0.567302731512325</v>
      </c>
      <c r="G9" s="271" t="n">
        <v>17.6</v>
      </c>
      <c r="I9" s="141" t="n">
        <v>0.432</v>
      </c>
      <c r="J9" s="141" t="n">
        <v>0.225</v>
      </c>
      <c r="K9" s="141" t="n">
        <v>0.109</v>
      </c>
      <c r="L9" s="270" t="n">
        <v>7.96186659772492</v>
      </c>
      <c r="M9" s="272" t="n">
        <v>7.85302481902792</v>
      </c>
      <c r="N9" s="270" t="n">
        <v>10.937258079035</v>
      </c>
      <c r="O9" s="273">
        <f>M9/N9</f>
        <v/>
      </c>
      <c r="P9" s="270" t="n">
        <v>1.94274912233324</v>
      </c>
      <c r="Q9" s="270" t="n">
        <v>1.93815825006751</v>
      </c>
      <c r="R9" s="270" t="n">
        <v>1.10405977135656</v>
      </c>
      <c r="S9" s="270" t="n">
        <v>1.646952921055</v>
      </c>
      <c r="T9" s="270" t="n">
        <v>1.33954451345756</v>
      </c>
      <c r="U9" s="270" t="n">
        <v>0.627239175443334</v>
      </c>
      <c r="V9" s="270" t="n">
        <v>1.64407237375101</v>
      </c>
      <c r="W9" s="270" t="n">
        <v>0.694481951570798</v>
      </c>
      <c r="X9" s="270" t="n">
        <v>0.0392321613236815</v>
      </c>
      <c r="Y9" s="269">
        <f>M9+X9</f>
        <v/>
      </c>
      <c r="Z9" s="275" t="n">
        <v>153</v>
      </c>
      <c r="AA9" s="275" t="n">
        <v>112</v>
      </c>
      <c r="AB9" s="270" t="n">
        <v>594.47</v>
      </c>
      <c r="AC9" s="270" t="n">
        <v>573.258</v>
      </c>
      <c r="AD9" s="276">
        <f>Z9/D9</f>
        <v/>
      </c>
      <c r="AE9" s="142">
        <f>AA9/D9</f>
        <v/>
      </c>
      <c r="AF9" s="270">
        <f>AB9/Z9</f>
        <v/>
      </c>
      <c r="AG9" s="277">
        <f>AD9*AF9</f>
        <v/>
      </c>
      <c r="AH9" s="118">
        <f>3237/C9</f>
        <v/>
      </c>
      <c r="AI9" s="118">
        <f>2204/C9</f>
        <v/>
      </c>
      <c r="AJ9" s="270">
        <f>11648/D9</f>
        <v/>
      </c>
    </row>
    <row customHeight="1" hidden="1" ht="13.2" outlineLevel="1" r="10" s="3">
      <c r="A10" s="117" t="n">
        <v>43351</v>
      </c>
      <c r="B10" s="289" t="inlineStr">
        <is>
          <t>安卓</t>
        </is>
      </c>
      <c r="C10" s="268" t="n">
        <v>5636</v>
      </c>
      <c r="D10" s="268" t="n">
        <v>16652</v>
      </c>
      <c r="E10" s="269">
        <f>D10/C10</f>
        <v/>
      </c>
      <c r="F10" s="270" t="n">
        <v>0.555806902058197</v>
      </c>
      <c r="G10" s="271" t="n">
        <v>17.7</v>
      </c>
      <c r="I10" s="141" t="n">
        <v>0.422</v>
      </c>
      <c r="J10" s="141" t="n">
        <v>0.183</v>
      </c>
      <c r="K10" s="141" t="n">
        <v>0.093</v>
      </c>
      <c r="L10" s="270" t="n">
        <v>8.118544319000719</v>
      </c>
      <c r="M10" s="272" t="n">
        <v>8.6584794619265</v>
      </c>
      <c r="N10" s="270" t="n">
        <v>12.2853612815269</v>
      </c>
      <c r="O10" s="273">
        <f>M10/N10</f>
        <v/>
      </c>
      <c r="P10" s="270" t="n">
        <v>2.30913428766189</v>
      </c>
      <c r="Q10" s="270" t="n">
        <v>2.28450920245399</v>
      </c>
      <c r="R10" s="270" t="n">
        <v>1.28621336059986</v>
      </c>
      <c r="S10" s="270" t="n">
        <v>1.52479550102249</v>
      </c>
      <c r="T10" s="270" t="n">
        <v>1.55828220858896</v>
      </c>
      <c r="U10" s="270" t="n">
        <v>0.596796182685753</v>
      </c>
      <c r="V10" s="270" t="n">
        <v>1.97869802317655</v>
      </c>
      <c r="W10" s="270" t="n">
        <v>0.746932515337423</v>
      </c>
      <c r="X10" s="270" t="n">
        <v>0.06659860677396109</v>
      </c>
      <c r="Y10" s="269">
        <f>M10+X10</f>
        <v/>
      </c>
      <c r="Z10" s="275" t="n">
        <v>168</v>
      </c>
      <c r="AA10" s="275" t="n">
        <v>141</v>
      </c>
      <c r="AB10" s="270" t="n">
        <v>829.3200000000001</v>
      </c>
      <c r="AC10" s="270" t="n">
        <v>650.433</v>
      </c>
      <c r="AD10" s="276">
        <f>Z10/D10</f>
        <v/>
      </c>
      <c r="AE10" s="142">
        <f>AA10/D10</f>
        <v/>
      </c>
      <c r="AF10" s="270">
        <f>AB10/Z10</f>
        <v/>
      </c>
      <c r="AG10" s="277">
        <f>AD10*AF10</f>
        <v/>
      </c>
      <c r="AH10" s="118">
        <f>3852/C10</f>
        <v/>
      </c>
      <c r="AI10" s="118">
        <f>2346/C10</f>
        <v/>
      </c>
      <c r="AJ10" s="270">
        <f>9964/D10</f>
        <v/>
      </c>
    </row>
    <row customHeight="1" hidden="1" ht="13.2" outlineLevel="1" r="11" s="3">
      <c r="A11" s="117" t="n">
        <v>43352</v>
      </c>
      <c r="B11" s="289" t="inlineStr">
        <is>
          <t>安卓</t>
        </is>
      </c>
      <c r="C11" s="268" t="n">
        <v>5800</v>
      </c>
      <c r="D11" s="268" t="n">
        <v>17391</v>
      </c>
      <c r="E11" s="269">
        <f>D11/C11</f>
        <v/>
      </c>
      <c r="F11" s="270" t="n">
        <v>0.582038546551724</v>
      </c>
      <c r="G11" s="271" t="n">
        <v>17.53</v>
      </c>
      <c r="I11" s="141" t="n">
        <v>0.408</v>
      </c>
      <c r="J11" s="141" t="n">
        <v>0.205</v>
      </c>
      <c r="K11" s="141" t="n">
        <v>0.114</v>
      </c>
      <c r="L11" s="270" t="n">
        <v>8.145305042838251</v>
      </c>
      <c r="M11" s="272" t="n">
        <v>8.60036800644011</v>
      </c>
      <c r="N11" s="270" t="n">
        <v>12.0883375090924</v>
      </c>
      <c r="O11" s="273">
        <f>M11/N11</f>
        <v/>
      </c>
      <c r="P11" s="270" t="n">
        <v>2.18960640103451</v>
      </c>
      <c r="Q11" s="270" t="n">
        <v>2.23680594843611</v>
      </c>
      <c r="R11" s="270" t="n">
        <v>1.34607613351653</v>
      </c>
      <c r="S11" s="270" t="n">
        <v>1.53406611169482</v>
      </c>
      <c r="T11" s="270" t="n">
        <v>1.49131172714782</v>
      </c>
      <c r="U11" s="270" t="n">
        <v>0.617231067647297</v>
      </c>
      <c r="V11" s="270" t="n">
        <v>1.91966378404591</v>
      </c>
      <c r="W11" s="270" t="n">
        <v>0.753576335569385</v>
      </c>
      <c r="X11" s="270" t="n">
        <v>0.0263354608705652</v>
      </c>
      <c r="Y11" s="269">
        <f>M11+X11</f>
        <v/>
      </c>
      <c r="Z11" s="275" t="n">
        <v>203</v>
      </c>
      <c r="AA11" s="275" t="n">
        <v>163</v>
      </c>
      <c r="AB11" s="270" t="n">
        <v>1076.97</v>
      </c>
      <c r="AC11" s="270" t="n">
        <v>979.097</v>
      </c>
      <c r="AD11" s="276">
        <f>Z11/D11</f>
        <v/>
      </c>
      <c r="AE11" s="142">
        <f>AA11/D11</f>
        <v/>
      </c>
      <c r="AF11" s="270">
        <f>AB11/Z11</f>
        <v/>
      </c>
      <c r="AG11" s="277">
        <f>AD11*AF11</f>
        <v/>
      </c>
      <c r="AH11" s="118">
        <f>4110/C11</f>
        <v/>
      </c>
      <c r="AI11" s="118">
        <f>2561/C11</f>
        <v/>
      </c>
      <c r="AJ11" s="270">
        <f>10984/D11</f>
        <v/>
      </c>
    </row>
    <row customHeight="1" hidden="1" ht="13.2" outlineLevel="1" r="12" s="3">
      <c r="A12" s="117" t="n">
        <v>43353</v>
      </c>
      <c r="B12" s="289" t="inlineStr">
        <is>
          <t>安卓</t>
        </is>
      </c>
      <c r="C12" s="268" t="n">
        <v>5350</v>
      </c>
      <c r="D12" s="268" t="n">
        <v>17400</v>
      </c>
      <c r="E12" s="269">
        <f>D12/C12</f>
        <v/>
      </c>
      <c r="F12" s="270" t="n">
        <v>0.60224721682243</v>
      </c>
      <c r="G12" s="271" t="n">
        <v>16.67</v>
      </c>
      <c r="I12" s="141" t="n">
        <v>0.411</v>
      </c>
      <c r="J12" s="141" t="n">
        <v>0.2</v>
      </c>
      <c r="K12" s="141" t="n">
        <v>0.11</v>
      </c>
      <c r="L12" s="270" t="n">
        <v>8.258678160919541</v>
      </c>
      <c r="M12" s="272" t="n">
        <v>8.665689655172409</v>
      </c>
      <c r="N12" s="270" t="n">
        <v>12.1569781504475</v>
      </c>
      <c r="O12" s="273">
        <f>M12/N12</f>
        <v/>
      </c>
      <c r="P12" s="270" t="n">
        <v>2.19954849633153</v>
      </c>
      <c r="Q12" s="270" t="n">
        <v>2.3204869789567</v>
      </c>
      <c r="R12" s="270" t="n">
        <v>1.35902604208659</v>
      </c>
      <c r="S12" s="270" t="n">
        <v>1.49238087559461</v>
      </c>
      <c r="T12" s="270" t="n">
        <v>1.48802709022011</v>
      </c>
      <c r="U12" s="270" t="n">
        <v>0.585503507215996</v>
      </c>
      <c r="V12" s="270" t="n">
        <v>1.96234781907603</v>
      </c>
      <c r="W12" s="270" t="n">
        <v>0.749657340965895</v>
      </c>
      <c r="X12" s="270" t="n">
        <v>0.0712068965517241</v>
      </c>
      <c r="Y12" s="269">
        <f>M12+X12</f>
        <v/>
      </c>
      <c r="Z12" s="275" t="n">
        <v>190</v>
      </c>
      <c r="AA12" s="275" t="n">
        <v>141</v>
      </c>
      <c r="AB12" s="270" t="n">
        <v>1012.1</v>
      </c>
      <c r="AC12" s="270" t="n">
        <v>584.101</v>
      </c>
      <c r="AD12" s="276">
        <f>Z12/D12</f>
        <v/>
      </c>
      <c r="AE12" s="142">
        <f>AA12/D12</f>
        <v/>
      </c>
      <c r="AF12" s="270">
        <f>AB12/Z12</f>
        <v/>
      </c>
      <c r="AG12" s="277">
        <f>AD12*AF12</f>
        <v/>
      </c>
      <c r="AH12" s="118">
        <f>3774/C12</f>
        <v/>
      </c>
      <c r="AI12" s="118">
        <f>2424/C12</f>
        <v/>
      </c>
      <c r="AJ12" s="270">
        <f>11424/D12</f>
        <v/>
      </c>
    </row>
    <row customHeight="1" hidden="1" ht="13.2" outlineLevel="1" r="13" s="3">
      <c r="A13" s="120" t="n">
        <v>43354</v>
      </c>
      <c r="B13" s="289" t="inlineStr">
        <is>
          <t>安卓</t>
        </is>
      </c>
      <c r="C13" s="268" t="n">
        <v>4933</v>
      </c>
      <c r="D13" s="268" t="n">
        <v>16913</v>
      </c>
      <c r="E13" s="269">
        <f>D13/C13</f>
        <v/>
      </c>
      <c r="F13" s="270" t="n">
        <v>0.6472081491992701</v>
      </c>
      <c r="G13" s="271" t="n">
        <v>16.88</v>
      </c>
      <c r="I13" s="141" t="n">
        <v>0.447</v>
      </c>
      <c r="J13" s="141" t="n">
        <v>0.214</v>
      </c>
      <c r="K13" s="141" t="n">
        <v>0.104</v>
      </c>
      <c r="L13" s="270" t="n">
        <v>8.524093892272219</v>
      </c>
      <c r="M13" s="272" t="n">
        <v>8.85620528587477</v>
      </c>
      <c r="N13" s="270" t="n">
        <v>12.3239262794142</v>
      </c>
      <c r="O13" s="273">
        <f>M13/N13</f>
        <v/>
      </c>
      <c r="P13" s="270" t="n">
        <v>2.23037683067303</v>
      </c>
      <c r="Q13" s="270" t="n">
        <v>2.40628599637979</v>
      </c>
      <c r="R13" s="270" t="n">
        <v>1.31413526411058</v>
      </c>
      <c r="S13" s="270" t="n">
        <v>1.59108112555537</v>
      </c>
      <c r="T13" s="270" t="n">
        <v>1.52476550929735</v>
      </c>
      <c r="U13" s="270" t="n">
        <v>0.618479512917558</v>
      </c>
      <c r="V13" s="270" t="n">
        <v>1.89690636827382</v>
      </c>
      <c r="W13" s="270" t="n">
        <v>0.741895672206681</v>
      </c>
      <c r="X13" s="270" t="n">
        <v>0.07142434813457101</v>
      </c>
      <c r="Y13" s="269">
        <f>M13+X13</f>
        <v/>
      </c>
      <c r="Z13" s="275" t="n">
        <v>199</v>
      </c>
      <c r="AA13" s="275" t="n">
        <v>159</v>
      </c>
      <c r="AB13" s="270" t="n">
        <v>949.01</v>
      </c>
      <c r="AC13" s="270" t="n">
        <v>780.591</v>
      </c>
      <c r="AD13" s="276">
        <f>Z13/D13</f>
        <v/>
      </c>
      <c r="AE13" s="142">
        <f>AA13/D13</f>
        <v/>
      </c>
      <c r="AF13" s="270">
        <f>AB13/Z13</f>
        <v/>
      </c>
      <c r="AG13" s="277">
        <f>AD13*AF13</f>
        <v/>
      </c>
      <c r="AH13" s="118">
        <f>3606/C13</f>
        <v/>
      </c>
      <c r="AI13" s="118">
        <f>2528/C13</f>
        <v/>
      </c>
      <c r="AJ13" s="270">
        <f>11361/D13</f>
        <v/>
      </c>
    </row>
    <row customHeight="1" hidden="1" ht="13.2" outlineLevel="1" r="14" s="3">
      <c r="A14" s="117" t="n">
        <v>43355</v>
      </c>
      <c r="B14" s="267" t="inlineStr">
        <is>
          <t>安卓</t>
        </is>
      </c>
      <c r="C14" s="268" t="n">
        <v>4253</v>
      </c>
      <c r="D14" s="268" t="n">
        <v>16387</v>
      </c>
      <c r="E14" s="269">
        <f>D14/C14</f>
        <v/>
      </c>
      <c r="F14" s="270" t="n">
        <v>0.654523536327298</v>
      </c>
      <c r="G14" s="271" t="n">
        <v>15.97</v>
      </c>
      <c r="I14" s="141" t="n">
        <v>0.444</v>
      </c>
      <c r="J14" s="141" t="n">
        <v>0.207</v>
      </c>
      <c r="K14" s="141" t="n">
        <v>0.106</v>
      </c>
      <c r="L14" s="270" t="n">
        <v>8.293708427411969</v>
      </c>
      <c r="M14" s="272" t="n">
        <v>8.560444254592049</v>
      </c>
      <c r="N14" s="270" t="n">
        <v>12.0920610292216</v>
      </c>
      <c r="O14" s="273">
        <f>M14/N14</f>
        <v/>
      </c>
      <c r="P14" s="270" t="n">
        <v>2.06189121627446</v>
      </c>
      <c r="Q14" s="270" t="n">
        <v>2.26911473148866</v>
      </c>
      <c r="R14" s="270" t="n">
        <v>1.26885613309197</v>
      </c>
      <c r="S14" s="270" t="n">
        <v>1.9168175157314</v>
      </c>
      <c r="T14" s="270" t="n">
        <v>1.40867166623567</v>
      </c>
      <c r="U14" s="270" t="n">
        <v>0.620377553659167</v>
      </c>
      <c r="V14" s="270" t="n">
        <v>1.81587794155676</v>
      </c>
      <c r="W14" s="270" t="n">
        <v>0.730454271183519</v>
      </c>
      <c r="X14" s="270">
        <f>1004/D14</f>
        <v/>
      </c>
      <c r="Y14" s="269">
        <f>M14+X14</f>
        <v/>
      </c>
      <c r="Z14" s="275" t="n">
        <v>169</v>
      </c>
      <c r="AA14" s="275" t="n">
        <v>129</v>
      </c>
      <c r="AB14" s="270" t="n">
        <v>776.3099999999999</v>
      </c>
      <c r="AC14" s="270" t="n">
        <v>627.697</v>
      </c>
      <c r="AD14" s="276">
        <f>Z14/D14</f>
        <v/>
      </c>
      <c r="AE14" s="142">
        <f>AA14/D14</f>
        <v/>
      </c>
      <c r="AF14" s="270">
        <f>AB14/Z14</f>
        <v/>
      </c>
      <c r="AG14" s="277">
        <f>AD14*AF14</f>
        <v/>
      </c>
      <c r="AH14" s="118">
        <f>3152/C14</f>
        <v/>
      </c>
      <c r="AI14" s="118">
        <f>2188/C14</f>
        <v/>
      </c>
      <c r="AJ14" s="270">
        <f>11715/D14</f>
        <v/>
      </c>
    </row>
    <row customHeight="1" hidden="1" ht="13.2" outlineLevel="1" r="15" s="3">
      <c r="A15" s="117" t="n">
        <v>43356</v>
      </c>
      <c r="B15" s="267" t="inlineStr">
        <is>
          <t>安卓</t>
        </is>
      </c>
      <c r="C15" s="268" t="n">
        <v>4679</v>
      </c>
      <c r="D15" s="268" t="n">
        <v>16503</v>
      </c>
      <c r="E15" s="269">
        <f>D15/C15</f>
        <v/>
      </c>
      <c r="F15" s="270">
        <f>3.5*M15*G15/1000+AB15/D15*3.5*0.7</f>
        <v/>
      </c>
      <c r="G15" s="271" t="n">
        <v>17.1</v>
      </c>
      <c r="I15" s="141" t="n">
        <v>0.433</v>
      </c>
      <c r="J15" s="141" t="n">
        <v>0.197</v>
      </c>
      <c r="K15" s="141" t="n">
        <v>0.089</v>
      </c>
      <c r="L15" s="270">
        <f>128988/D15</f>
        <v/>
      </c>
      <c r="M15" s="272">
        <f>128740/D15</f>
        <v/>
      </c>
      <c r="N15" s="270">
        <f>128740/11623</f>
        <v/>
      </c>
      <c r="O15" s="273">
        <f>M15/N15</f>
        <v/>
      </c>
      <c r="P15" s="270">
        <f>22669/11623</f>
        <v/>
      </c>
      <c r="Q15" s="270">
        <f>23462/11623</f>
        <v/>
      </c>
      <c r="R15" s="270">
        <f>12733/11623</f>
        <v/>
      </c>
      <c r="S15" s="270">
        <f>20761/11623</f>
        <v/>
      </c>
      <c r="T15" s="270">
        <f>15158/11623</f>
        <v/>
      </c>
      <c r="U15" s="270">
        <f>7196/11623</f>
        <v/>
      </c>
      <c r="V15" s="270">
        <f>18971/11623</f>
        <v/>
      </c>
      <c r="W15" s="270">
        <f>7790/11623</f>
        <v/>
      </c>
      <c r="X15" s="270">
        <f>953/D15</f>
        <v/>
      </c>
      <c r="Y15" s="269">
        <f>M15+X15</f>
        <v/>
      </c>
      <c r="Z15" s="275" t="n">
        <v>200</v>
      </c>
      <c r="AA15" s="275" t="n">
        <v>137</v>
      </c>
      <c r="AB15" s="270" t="n">
        <v>919</v>
      </c>
      <c r="AC15" s="270" t="n">
        <v>891.62</v>
      </c>
      <c r="AD15" s="276">
        <f>Z15/D15</f>
        <v/>
      </c>
      <c r="AE15" s="142">
        <f>AA15/D15</f>
        <v/>
      </c>
      <c r="AF15" s="270">
        <f>AB15/Z15</f>
        <v/>
      </c>
      <c r="AG15" s="277">
        <f>AD15*AF15</f>
        <v/>
      </c>
      <c r="AH15" s="118">
        <f>3388/C15</f>
        <v/>
      </c>
      <c r="AI15" s="118">
        <f>2165/C15</f>
        <v/>
      </c>
      <c r="AJ15" s="270">
        <f>11998/D15</f>
        <v/>
      </c>
    </row>
    <row customHeight="1" hidden="1" ht="13.2" outlineLevel="1" r="16" s="3">
      <c r="A16" s="117" t="n">
        <v>43357</v>
      </c>
      <c r="B16" s="267" t="inlineStr">
        <is>
          <t>安卓</t>
        </is>
      </c>
      <c r="C16" s="268" t="n">
        <v>4591</v>
      </c>
      <c r="D16" s="268" t="n">
        <v>16347</v>
      </c>
      <c r="E16" s="269">
        <f>D16/C16</f>
        <v/>
      </c>
      <c r="F16" s="270">
        <f>3.5*M16*G16/1000+AB16/D16*3.5*0.7</f>
        <v/>
      </c>
      <c r="G16" s="271" t="n">
        <v>16.46</v>
      </c>
      <c r="I16" s="141" t="n">
        <v>0.428</v>
      </c>
      <c r="J16" s="141" t="n">
        <v>0.203</v>
      </c>
      <c r="K16" s="141" t="n">
        <v>0.096</v>
      </c>
      <c r="L16" s="270">
        <f>124646/D16</f>
        <v/>
      </c>
      <c r="M16" s="272">
        <f>125503/D16</f>
        <v/>
      </c>
      <c r="N16" s="270">
        <f>125503/11418</f>
        <v/>
      </c>
      <c r="O16" s="273">
        <f>M16/N16</f>
        <v/>
      </c>
      <c r="P16" s="270">
        <f>21884/11418</f>
        <v/>
      </c>
      <c r="Q16" s="270">
        <f>22763/11418</f>
        <v/>
      </c>
      <c r="R16" s="270">
        <f>12007/11418</f>
        <v/>
      </c>
      <c r="S16" s="270">
        <f>20998/11418</f>
        <v/>
      </c>
      <c r="T16" s="270">
        <f>14464/11418</f>
        <v/>
      </c>
      <c r="U16" s="270">
        <f>7302/11418</f>
        <v/>
      </c>
      <c r="V16" s="270">
        <f>18244/11418</f>
        <v/>
      </c>
      <c r="W16" s="270">
        <f>7841/11418</f>
        <v/>
      </c>
      <c r="X16" s="270">
        <f>1067/D16</f>
        <v/>
      </c>
      <c r="Y16" s="269">
        <f>M16+X16</f>
        <v/>
      </c>
      <c r="Z16" s="275" t="n">
        <v>163</v>
      </c>
      <c r="AA16" s="275" t="n">
        <v>126</v>
      </c>
      <c r="AB16" s="270" t="n">
        <v>594.37</v>
      </c>
      <c r="AC16" s="270" t="n">
        <v>712</v>
      </c>
      <c r="AD16" s="276">
        <f>Z16/D16</f>
        <v/>
      </c>
      <c r="AE16" s="142">
        <f>AA16/D16</f>
        <v/>
      </c>
      <c r="AF16" s="270">
        <f>AB16/Z16</f>
        <v/>
      </c>
      <c r="AG16" s="277">
        <f>AD16*AF16</f>
        <v/>
      </c>
      <c r="AH16" s="118">
        <f>3434/C16</f>
        <v/>
      </c>
      <c r="AI16" s="118">
        <f>2140/C16</f>
        <v/>
      </c>
      <c r="AJ16" s="270">
        <f>11736/D16</f>
        <v/>
      </c>
    </row>
    <row customHeight="1" hidden="1" ht="13.2" outlineLevel="1" r="17" s="3">
      <c r="A17" s="117" t="n">
        <v>43358</v>
      </c>
      <c r="B17" s="289" t="inlineStr">
        <is>
          <t>安卓</t>
        </is>
      </c>
      <c r="C17" s="268" t="n">
        <v>4732</v>
      </c>
      <c r="D17" s="268" t="n">
        <v>16349</v>
      </c>
      <c r="E17" s="269">
        <f>D17/C17</f>
        <v/>
      </c>
      <c r="F17" s="270">
        <f>3.5*M17*G17/1000+AB17/D17*3.5*0.7</f>
        <v/>
      </c>
      <c r="G17" s="271" t="n">
        <v>16.06</v>
      </c>
      <c r="I17" s="141" t="n">
        <v>0.433</v>
      </c>
      <c r="J17" s="141" t="n">
        <v>0.176</v>
      </c>
      <c r="K17" s="141" t="n">
        <v>0.08799999999999999</v>
      </c>
      <c r="L17" s="270">
        <f>141326/D17</f>
        <v/>
      </c>
      <c r="M17" s="272">
        <f>151896/D17</f>
        <v/>
      </c>
      <c r="N17" s="270">
        <f>151896/11534</f>
        <v/>
      </c>
      <c r="O17" s="273">
        <f>M17/N17</f>
        <v/>
      </c>
      <c r="P17" s="270">
        <f>25526/11534</f>
        <v/>
      </c>
      <c r="Q17" s="270">
        <f>28028/11534</f>
        <v/>
      </c>
      <c r="R17" s="270">
        <f>21598/11534</f>
        <v/>
      </c>
      <c r="S17" s="270">
        <f>21129/11534</f>
        <v/>
      </c>
      <c r="T17" s="270">
        <f>17550/11534</f>
        <v/>
      </c>
      <c r="U17" s="270">
        <f>6420/11534</f>
        <v/>
      </c>
      <c r="V17" s="270">
        <f>23011/11534</f>
        <v/>
      </c>
      <c r="W17" s="270">
        <f>8634/11534</f>
        <v/>
      </c>
      <c r="X17" s="270">
        <f>1627/D17</f>
        <v/>
      </c>
      <c r="Y17" s="269">
        <f>M17+X17</f>
        <v/>
      </c>
      <c r="Z17" s="275" t="n">
        <v>159</v>
      </c>
      <c r="AA17" s="275" t="n">
        <v>128</v>
      </c>
      <c r="AB17" s="270" t="n">
        <v>846.41</v>
      </c>
      <c r="AC17" s="270" t="n">
        <v>1117.36</v>
      </c>
      <c r="AD17" s="276">
        <f>Z17/D17</f>
        <v/>
      </c>
      <c r="AE17" s="142">
        <f>AA17/D17</f>
        <v/>
      </c>
      <c r="AF17" s="270">
        <f>AB17/Z17</f>
        <v/>
      </c>
      <c r="AG17" s="277">
        <f>AD17*AF17</f>
        <v/>
      </c>
      <c r="AH17" s="118">
        <f>3472/C17</f>
        <v/>
      </c>
      <c r="AI17" s="118">
        <f>2013/C17</f>
        <v/>
      </c>
      <c r="AJ17" s="270">
        <f>8603/D17</f>
        <v/>
      </c>
    </row>
    <row customHeight="1" hidden="1" ht="13.2" outlineLevel="1" r="18" s="3">
      <c r="A18" s="117" t="n">
        <v>43359</v>
      </c>
      <c r="B18" s="289" t="inlineStr">
        <is>
          <t>安卓</t>
        </is>
      </c>
      <c r="C18" s="268" t="n">
        <v>5462</v>
      </c>
      <c r="D18" s="268" t="n">
        <v>17376</v>
      </c>
      <c r="E18" s="269">
        <f>D18/C18</f>
        <v/>
      </c>
      <c r="F18" s="270">
        <f>3.5*M18*G18/1000+AB18/D18*3.5*0.7</f>
        <v/>
      </c>
      <c r="G18" s="271" t="n">
        <v>16.12</v>
      </c>
      <c r="I18" s="141" t="n">
        <v>0.381</v>
      </c>
      <c r="J18" s="141" t="n">
        <v>0.173</v>
      </c>
      <c r="K18" s="141" t="n">
        <v>0.091</v>
      </c>
      <c r="L18" s="270">
        <f>141087/D18</f>
        <v/>
      </c>
      <c r="M18" s="272">
        <f>151398/D18</f>
        <v/>
      </c>
      <c r="N18" s="270">
        <f>151398/12158</f>
        <v/>
      </c>
      <c r="O18" s="273">
        <f>M18/N18</f>
        <v/>
      </c>
      <c r="P18" s="270">
        <f>26489/12158</f>
        <v/>
      </c>
      <c r="Q18" s="270">
        <f>27664/12158</f>
        <v/>
      </c>
      <c r="R18" s="270">
        <f>19242/12158</f>
        <v/>
      </c>
      <c r="S18" s="270">
        <f>22059/12158</f>
        <v/>
      </c>
      <c r="T18" s="270">
        <f>17799/12158</f>
        <v/>
      </c>
      <c r="U18" s="270">
        <f>7200/12158</f>
        <v/>
      </c>
      <c r="V18" s="270">
        <f>22106/12158</f>
        <v/>
      </c>
      <c r="W18" s="270">
        <f>8839/12158</f>
        <v/>
      </c>
      <c r="X18" s="270">
        <f>2059/D18</f>
        <v/>
      </c>
      <c r="Y18" s="269">
        <f>M18+X18</f>
        <v/>
      </c>
      <c r="Z18" s="275" t="n">
        <v>165</v>
      </c>
      <c r="AA18" s="275" t="n">
        <v>109</v>
      </c>
      <c r="AB18" s="270" t="n">
        <v>813.35</v>
      </c>
      <c r="AC18" s="270" t="n">
        <v>691.87</v>
      </c>
      <c r="AD18" s="276">
        <f>Z18/D18</f>
        <v/>
      </c>
      <c r="AE18" s="142">
        <f>AA18/D18</f>
        <v/>
      </c>
      <c r="AF18" s="270">
        <f>AB18/Z18</f>
        <v/>
      </c>
      <c r="AG18" s="277">
        <f>AD18*AF18</f>
        <v/>
      </c>
      <c r="AH18" s="118">
        <f>3899/C18</f>
        <v/>
      </c>
      <c r="AI18" s="118">
        <f>2339/C18</f>
        <v/>
      </c>
      <c r="AJ18" s="270">
        <f>9810/D18</f>
        <v/>
      </c>
    </row>
    <row customHeight="1" hidden="1" ht="13.2" outlineLevel="1" r="19" s="3">
      <c r="A19" s="117" t="n">
        <v>43360</v>
      </c>
      <c r="B19" s="289" t="inlineStr">
        <is>
          <t>安卓</t>
        </is>
      </c>
      <c r="C19" s="268" t="n">
        <v>4818</v>
      </c>
      <c r="D19" s="268" t="n">
        <v>16876</v>
      </c>
      <c r="E19" s="269">
        <f>D19/C19</f>
        <v/>
      </c>
      <c r="F19" s="270">
        <f>3.5*M19*G19/1000+AB19/D19*3.5*0.7</f>
        <v/>
      </c>
      <c r="G19" s="271" t="n">
        <v>16.63</v>
      </c>
      <c r="I19" s="141" t="n">
        <v>0.421</v>
      </c>
      <c r="J19" s="141" t="n">
        <v>0.189</v>
      </c>
      <c r="K19" s="141" t="n">
        <v>0.089</v>
      </c>
      <c r="L19" s="270">
        <f>132667/D19</f>
        <v/>
      </c>
      <c r="M19" s="272">
        <f>137789/D19</f>
        <v/>
      </c>
      <c r="N19" s="270">
        <f>137789/11825</f>
        <v/>
      </c>
      <c r="O19" s="273">
        <f>M19/N19</f>
        <v/>
      </c>
      <c r="P19" s="270">
        <f>24559/11825</f>
        <v/>
      </c>
      <c r="Q19" s="270">
        <f>25629/11825</f>
        <v/>
      </c>
      <c r="R19" s="270">
        <f>16099/11825</f>
        <v/>
      </c>
      <c r="S19" s="270">
        <f>20637/11825</f>
        <v/>
      </c>
      <c r="T19" s="270">
        <f>16352/11825</f>
        <v/>
      </c>
      <c r="U19" s="270">
        <f>6759/11825</f>
        <v/>
      </c>
      <c r="V19" s="270">
        <f>19654/11825</f>
        <v/>
      </c>
      <c r="W19" s="270">
        <f>8099/11825</f>
        <v/>
      </c>
      <c r="X19" s="270">
        <f>6456/D19</f>
        <v/>
      </c>
      <c r="Y19" s="269">
        <f>M19+X19</f>
        <v/>
      </c>
      <c r="Z19" s="275" t="n">
        <v>154</v>
      </c>
      <c r="AA19" s="275" t="n">
        <v>117</v>
      </c>
      <c r="AB19" s="270" t="n">
        <v>772.46</v>
      </c>
      <c r="AD19" s="276">
        <f>Z19/D19</f>
        <v/>
      </c>
      <c r="AE19" s="142">
        <f>AA19/D19</f>
        <v/>
      </c>
      <c r="AF19" s="270">
        <f>AB19/Z19</f>
        <v/>
      </c>
      <c r="AG19" s="277">
        <f>AD19*AF19</f>
        <v/>
      </c>
      <c r="AH19" s="118">
        <f>3465/C19</f>
        <v/>
      </c>
      <c r="AI19" s="118">
        <f>2232/C19</f>
        <v/>
      </c>
      <c r="AJ19" s="270">
        <f>9854/D19</f>
        <v/>
      </c>
    </row>
    <row customHeight="1" hidden="1" ht="13.2" outlineLevel="1" r="20" s="3">
      <c r="A20" s="120" t="n">
        <v>43361</v>
      </c>
      <c r="B20" s="289" t="inlineStr">
        <is>
          <t>安卓</t>
        </is>
      </c>
      <c r="C20" s="268" t="n">
        <v>3969</v>
      </c>
      <c r="D20" s="268" t="n">
        <v>15801</v>
      </c>
      <c r="E20" s="269">
        <f>D20/C20</f>
        <v/>
      </c>
      <c r="F20" s="270">
        <f>3.5*M20*G20/1000+AB20/D20*3.5*0.7</f>
        <v/>
      </c>
      <c r="G20" s="271" t="n">
        <v>16.14</v>
      </c>
      <c r="I20" s="141" t="n">
        <v>0.432</v>
      </c>
      <c r="J20" s="141" t="n">
        <v>0.203</v>
      </c>
      <c r="K20" s="141" t="n">
        <v>0.09</v>
      </c>
      <c r="L20" s="270">
        <f>123292/D20</f>
        <v/>
      </c>
      <c r="M20" s="272">
        <f>129521/D20</f>
        <v/>
      </c>
      <c r="N20" s="270">
        <f>129521/11140</f>
        <v/>
      </c>
      <c r="O20" s="273">
        <f>M20/N20</f>
        <v/>
      </c>
      <c r="P20" s="270">
        <f>22888/11140</f>
        <v/>
      </c>
      <c r="Q20" s="270">
        <f>24671/11140</f>
        <v/>
      </c>
      <c r="R20" s="270">
        <f>14365/11140</f>
        <v/>
      </c>
      <c r="S20" s="270">
        <f>19216/11140</f>
        <v/>
      </c>
      <c r="T20" s="270">
        <f>15197/11141</f>
        <v/>
      </c>
      <c r="U20" s="270">
        <f>6296/11141</f>
        <v/>
      </c>
      <c r="V20" s="270">
        <f>18947/11140</f>
        <v/>
      </c>
      <c r="W20" s="270">
        <f>7940/11140</f>
        <v/>
      </c>
      <c r="X20" s="270">
        <f>1692/D20</f>
        <v/>
      </c>
      <c r="Y20" s="269">
        <f>M20+X20</f>
        <v/>
      </c>
      <c r="Z20" s="275">
        <f>73+25+23+14+12+12+9</f>
        <v/>
      </c>
      <c r="AA20" s="275" t="n">
        <v>120</v>
      </c>
      <c r="AB20" s="270" t="n">
        <v>890.3200000000001</v>
      </c>
      <c r="AD20" s="276">
        <f>Z20/D20</f>
        <v/>
      </c>
      <c r="AE20" s="142">
        <f>AA20/D20</f>
        <v/>
      </c>
      <c r="AF20" s="270">
        <f>AB20/Z20</f>
        <v/>
      </c>
      <c r="AG20" s="277">
        <f>AD20*AF20</f>
        <v/>
      </c>
      <c r="AH20" s="118">
        <f>2927/C20</f>
        <v/>
      </c>
      <c r="AI20" s="118">
        <f>1986/C20</f>
        <v/>
      </c>
      <c r="AJ20" s="270">
        <f>9374/D20</f>
        <v/>
      </c>
    </row>
    <row customHeight="1" hidden="1" ht="13.2" outlineLevel="1" r="21" s="3">
      <c r="A21" s="117" t="n">
        <v>43362</v>
      </c>
      <c r="B21" s="267" t="inlineStr">
        <is>
          <t>安卓</t>
        </is>
      </c>
      <c r="C21" s="268" t="n">
        <v>4442</v>
      </c>
      <c r="D21" s="268" t="n">
        <v>15993</v>
      </c>
      <c r="E21" s="269">
        <f>D21/C21</f>
        <v/>
      </c>
      <c r="F21" s="270">
        <f>3.5*M21*G21/1000+AB21/D21*3.5*0.7</f>
        <v/>
      </c>
      <c r="G21" s="271" t="n">
        <v>16.57</v>
      </c>
      <c r="I21" s="141" t="n">
        <v>0.417</v>
      </c>
      <c r="J21" s="141" t="n">
        <v>0.183</v>
      </c>
      <c r="K21" s="141" t="n">
        <v>0.079</v>
      </c>
      <c r="L21" s="270">
        <f>127634/D21</f>
        <v/>
      </c>
      <c r="M21" s="272">
        <f>126017/D21</f>
        <v/>
      </c>
      <c r="N21" s="270">
        <f>126017/11086</f>
        <v/>
      </c>
      <c r="O21" s="273">
        <f>M21/N21</f>
        <v/>
      </c>
      <c r="P21" s="270">
        <f>22044/11086</f>
        <v/>
      </c>
      <c r="Q21" s="270">
        <f>22422/11086</f>
        <v/>
      </c>
      <c r="R21" s="270">
        <f>14367/11086</f>
        <v/>
      </c>
      <c r="S21" s="270">
        <f>19890/11086</f>
        <v/>
      </c>
      <c r="T21" s="270">
        <f>14462/11086</f>
        <v/>
      </c>
      <c r="U21" s="270">
        <f>6940/11086</f>
        <v/>
      </c>
      <c r="V21" s="270">
        <f>18457/11086</f>
        <v/>
      </c>
      <c r="W21" s="270">
        <f>7435/11086</f>
        <v/>
      </c>
      <c r="X21" s="270">
        <f>1693/D21</f>
        <v/>
      </c>
      <c r="Y21" s="269">
        <f>M21+X21</f>
        <v/>
      </c>
      <c r="Z21" s="275">
        <f>73+37+31+21+14+6+4</f>
        <v/>
      </c>
      <c r="AA21" s="275" t="n">
        <v>133</v>
      </c>
      <c r="AB21" s="270" t="n">
        <v>905.14</v>
      </c>
      <c r="AD21" s="276">
        <f>Z21/D21</f>
        <v/>
      </c>
      <c r="AE21" s="142">
        <f>AA21/D21</f>
        <v/>
      </c>
      <c r="AF21" s="270">
        <f>AB21/Z21</f>
        <v/>
      </c>
      <c r="AG21" s="277">
        <f>AD21*AF21</f>
        <v/>
      </c>
      <c r="AH21" s="118">
        <f>3205/C21</f>
        <v/>
      </c>
      <c r="AI21" s="118">
        <f>1916/C21</f>
        <v/>
      </c>
      <c r="AJ21" s="270">
        <f>9973/D21</f>
        <v/>
      </c>
    </row>
    <row customHeight="1" hidden="1" ht="13.2" outlineLevel="1" r="22" s="3">
      <c r="A22" s="117" t="n">
        <v>43363</v>
      </c>
      <c r="B22" s="267" t="inlineStr">
        <is>
          <t>安卓</t>
        </is>
      </c>
      <c r="C22" s="268" t="n">
        <v>4297</v>
      </c>
      <c r="D22" s="268" t="n">
        <v>15485</v>
      </c>
      <c r="E22" s="269">
        <f>D22/C22</f>
        <v/>
      </c>
      <c r="F22" s="270">
        <f>3.5*M22*G22/1000+AB22/D22*3.5*0.7</f>
        <v/>
      </c>
      <c r="G22" s="271" t="n">
        <v>15.21</v>
      </c>
      <c r="I22" s="141" t="n">
        <v>0.407</v>
      </c>
      <c r="J22" s="141" t="n">
        <v>0.177</v>
      </c>
      <c r="K22" s="141" t="n">
        <v>0.074</v>
      </c>
      <c r="L22" s="270">
        <f>120458/D22</f>
        <v/>
      </c>
      <c r="M22" s="272">
        <f>111238/D22</f>
        <v/>
      </c>
      <c r="N22" s="270">
        <f>111238/10735</f>
        <v/>
      </c>
      <c r="O22" s="273">
        <f>M22/N22</f>
        <v/>
      </c>
      <c r="P22" s="270">
        <f>19172/10735</f>
        <v/>
      </c>
      <c r="Q22" s="270">
        <f>19809/10735</f>
        <v/>
      </c>
      <c r="R22" s="270">
        <f>10781/10735</f>
        <v/>
      </c>
      <c r="S22" s="270">
        <f>19394/10735</f>
        <v/>
      </c>
      <c r="T22" s="270">
        <f>12618/10735</f>
        <v/>
      </c>
      <c r="U22" s="270">
        <f>6935/10735</f>
        <v/>
      </c>
      <c r="V22" s="270">
        <f>15791/10735</f>
        <v/>
      </c>
      <c r="W22" s="270">
        <f>6738/10735</f>
        <v/>
      </c>
      <c r="X22" s="270">
        <f>3641/D22</f>
        <v/>
      </c>
      <c r="Y22" s="269">
        <f>M22+X22</f>
        <v/>
      </c>
      <c r="Z22" s="275">
        <f>59+27+18+16+12+10</f>
        <v/>
      </c>
      <c r="AA22" s="275" t="n">
        <v>107</v>
      </c>
      <c r="AB22" s="270" t="n">
        <v>691.58</v>
      </c>
      <c r="AD22" s="276">
        <f>Z22/D22</f>
        <v/>
      </c>
      <c r="AE22" s="142">
        <f>AA22/D22</f>
        <v/>
      </c>
      <c r="AF22" s="270">
        <f>AB22/Z22</f>
        <v/>
      </c>
      <c r="AG22" s="277">
        <f>AD22*AF22</f>
        <v/>
      </c>
      <c r="AH22" s="118">
        <f>3056/C22</f>
        <v/>
      </c>
      <c r="AI22" s="118">
        <f>1806/C22</f>
        <v/>
      </c>
      <c r="AJ22" s="270">
        <f>10335/D22</f>
        <v/>
      </c>
    </row>
    <row customHeight="1" hidden="1" ht="13.2" outlineLevel="1" r="23" s="3">
      <c r="A23" s="117" t="n">
        <v>43364</v>
      </c>
      <c r="B23" s="267" t="inlineStr">
        <is>
          <t>安卓</t>
        </is>
      </c>
      <c r="C23" s="268" t="n">
        <v>3940</v>
      </c>
      <c r="D23" s="268" t="n">
        <v>15028</v>
      </c>
      <c r="E23" s="269">
        <f>D23/C23</f>
        <v/>
      </c>
      <c r="F23" s="270">
        <f>3.5*M23*G23/1000+AB23/D23*3.5*0.7</f>
        <v/>
      </c>
      <c r="G23" s="271" t="n">
        <v>16.22</v>
      </c>
      <c r="I23" s="141" t="n">
        <v>0.38</v>
      </c>
      <c r="J23" s="141" t="n">
        <v>0.16</v>
      </c>
      <c r="K23" s="141" t="n">
        <v>0.077</v>
      </c>
      <c r="L23" s="270">
        <f>112857/D23</f>
        <v/>
      </c>
      <c r="M23" s="272">
        <f>103929/D23</f>
        <v/>
      </c>
      <c r="N23" s="270">
        <f>103929/10279</f>
        <v/>
      </c>
      <c r="O23" s="273">
        <f>M23/N23</f>
        <v/>
      </c>
      <c r="P23" s="270">
        <f>18181/10279</f>
        <v/>
      </c>
      <c r="Q23" s="270">
        <f>18221/10279</f>
        <v/>
      </c>
      <c r="R23" s="270">
        <f>10075/10279</f>
        <v/>
      </c>
      <c r="S23" s="270">
        <f>18086/10279</f>
        <v/>
      </c>
      <c r="T23" s="270">
        <f>12130/10279</f>
        <v/>
      </c>
      <c r="U23" s="270">
        <f>6450/10279</f>
        <v/>
      </c>
      <c r="V23" s="270">
        <f>14471/10279</f>
        <v/>
      </c>
      <c r="W23" s="270">
        <f>6315/10279</f>
        <v/>
      </c>
      <c r="X23" s="270">
        <f>3260/D23</f>
        <v/>
      </c>
      <c r="Y23" s="269">
        <f>M23+X23</f>
        <v/>
      </c>
      <c r="Z23" s="275" t="n">
        <v>172</v>
      </c>
      <c r="AA23" s="275" t="n">
        <v>119</v>
      </c>
      <c r="AB23" s="270" t="n">
        <v>868.28</v>
      </c>
      <c r="AD23" s="276">
        <f>Z23/D23</f>
        <v/>
      </c>
      <c r="AE23" s="142">
        <f>AA23/D23</f>
        <v/>
      </c>
      <c r="AF23" s="270">
        <f>AB23/Z23</f>
        <v/>
      </c>
      <c r="AG23" s="277">
        <f>AD23*AF23</f>
        <v/>
      </c>
      <c r="AH23" s="118">
        <f>2898/C23</f>
        <v/>
      </c>
      <c r="AI23" s="118">
        <f>1739/C23</f>
        <v/>
      </c>
      <c r="AJ23" s="270">
        <f>9960/D23</f>
        <v/>
      </c>
    </row>
    <row customHeight="1" hidden="1" ht="13.2" outlineLevel="1" r="24" s="3">
      <c r="A24" s="117" t="n">
        <v>43365</v>
      </c>
      <c r="B24" s="289" t="inlineStr">
        <is>
          <t>安卓</t>
        </is>
      </c>
      <c r="C24" s="268" t="n">
        <v>4409</v>
      </c>
      <c r="D24" s="268" t="n">
        <v>14699</v>
      </c>
      <c r="E24" s="269">
        <f>D24/C24</f>
        <v/>
      </c>
      <c r="F24" s="270">
        <f>3.5*M24*G24/1000+AB24/D24*3.5*0.7</f>
        <v/>
      </c>
      <c r="G24" s="271" t="n">
        <v>16.66</v>
      </c>
      <c r="I24" s="141" t="n">
        <v>0.395</v>
      </c>
      <c r="J24" s="141" t="n">
        <v>0.161</v>
      </c>
      <c r="K24" s="141" t="n">
        <v>0.078</v>
      </c>
      <c r="L24" s="270">
        <f>128113/D24</f>
        <v/>
      </c>
      <c r="M24" s="272">
        <f>118003/D24</f>
        <v/>
      </c>
      <c r="N24" s="270">
        <f>118003/10022</f>
        <v/>
      </c>
      <c r="O24" s="273">
        <f>M24/N24</f>
        <v/>
      </c>
      <c r="P24" s="270" t="n">
        <v>2.22929554979046</v>
      </c>
      <c r="Q24" s="270" t="n">
        <v>2.23079225703452</v>
      </c>
      <c r="R24" s="270" t="n">
        <v>1.04549990021952</v>
      </c>
      <c r="S24" s="270" t="n">
        <v>1.7618239872281</v>
      </c>
      <c r="T24" s="270" t="n">
        <v>1.43374575932947</v>
      </c>
      <c r="U24" s="270" t="n">
        <v>0.596986629415286</v>
      </c>
      <c r="V24" s="270" t="n">
        <v>1.77190181600479</v>
      </c>
      <c r="W24" s="270" t="n">
        <v>0.704350429056077</v>
      </c>
      <c r="X24" s="270">
        <f>4794/D24</f>
        <v/>
      </c>
      <c r="Y24" s="269">
        <f>M24+X24</f>
        <v/>
      </c>
      <c r="Z24" s="275">
        <f>72+53+21+17+12+16+6</f>
        <v/>
      </c>
      <c r="AA24" s="275" t="n">
        <v>138</v>
      </c>
      <c r="AB24" s="270" t="n">
        <v>1132.03</v>
      </c>
      <c r="AD24" s="276">
        <f>Z24/D24</f>
        <v/>
      </c>
      <c r="AE24" s="142">
        <f>AA24/D24</f>
        <v/>
      </c>
      <c r="AF24" s="270">
        <f>AB24/Z24</f>
        <v/>
      </c>
      <c r="AG24" s="277">
        <f>AD24*AF24</f>
        <v/>
      </c>
      <c r="AH24" s="118">
        <f>3109/C24</f>
        <v/>
      </c>
      <c r="AI24" s="118">
        <f>1620/C24</f>
        <v/>
      </c>
      <c r="AJ24" s="270">
        <f>7723/D24</f>
        <v/>
      </c>
    </row>
    <row customHeight="1" hidden="1" ht="13.2" outlineLevel="1" r="25" s="3">
      <c r="A25" s="117" t="n">
        <v>43366</v>
      </c>
      <c r="B25" s="289" t="inlineStr">
        <is>
          <t>安卓</t>
        </is>
      </c>
      <c r="C25" s="268" t="n">
        <v>4833</v>
      </c>
      <c r="D25" s="268" t="n">
        <v>15346</v>
      </c>
      <c r="E25" s="269">
        <f>D25/C25</f>
        <v/>
      </c>
      <c r="F25" s="270">
        <f>3.5*M25*G25/1000+AB25/D25*3.5*0.7</f>
        <v/>
      </c>
      <c r="G25" s="271" t="n">
        <v>15.53</v>
      </c>
      <c r="I25" s="141" t="n">
        <v>0.386</v>
      </c>
      <c r="J25" s="141" t="n">
        <v>0.17</v>
      </c>
      <c r="K25" s="141" t="n">
        <v>0.08500000000000001</v>
      </c>
      <c r="L25" s="270">
        <f>127770/D25</f>
        <v/>
      </c>
      <c r="M25" s="272">
        <f>131998/D25</f>
        <v/>
      </c>
      <c r="N25" s="270">
        <f>131998/10520</f>
        <v/>
      </c>
      <c r="O25" s="273">
        <f>M25/N25</f>
        <v/>
      </c>
      <c r="P25" s="270" t="n">
        <v>2.25893536121673</v>
      </c>
      <c r="Q25" s="270" t="n">
        <v>2.3504752851711</v>
      </c>
      <c r="R25" s="270" t="n">
        <v>1.17984790874525</v>
      </c>
      <c r="S25" s="270" t="n">
        <v>1.94933460076046</v>
      </c>
      <c r="T25" s="270" t="n">
        <v>1.46197718631179</v>
      </c>
      <c r="U25" s="270" t="n">
        <v>0.6673954372623569</v>
      </c>
      <c r="V25" s="270" t="n">
        <v>1.90598859315589</v>
      </c>
      <c r="W25" s="270" t="n">
        <v>0.773384030418251</v>
      </c>
      <c r="X25" s="270">
        <f>5785/D25</f>
        <v/>
      </c>
      <c r="Y25" s="269">
        <f>M25+X25</f>
        <v/>
      </c>
      <c r="Z25" s="275">
        <f>75+46+25+22+13+11+15</f>
        <v/>
      </c>
      <c r="AA25" s="275" t="n">
        <v>148</v>
      </c>
      <c r="AB25" s="270" t="n">
        <v>1215.93</v>
      </c>
      <c r="AD25" s="276">
        <f>Z25/D25</f>
        <v/>
      </c>
      <c r="AE25" s="142">
        <f>AA25/D25</f>
        <v/>
      </c>
      <c r="AF25" s="270">
        <f>AB25/Z25</f>
        <v/>
      </c>
      <c r="AG25" s="277">
        <f>AD25*AF25</f>
        <v/>
      </c>
      <c r="AH25" s="118">
        <f>3495/C25</f>
        <v/>
      </c>
      <c r="AI25" s="118">
        <f>1940/C25</f>
        <v/>
      </c>
      <c r="AJ25" s="270">
        <f>8321/D25</f>
        <v/>
      </c>
    </row>
    <row customHeight="1" hidden="1" ht="13.2" outlineLevel="1" r="26" s="3">
      <c r="A26" s="117" t="n">
        <v>43367</v>
      </c>
      <c r="B26" s="289" t="inlineStr">
        <is>
          <t>安卓</t>
        </is>
      </c>
      <c r="C26" s="268" t="n">
        <v>3848</v>
      </c>
      <c r="D26" s="268" t="n">
        <v>14324</v>
      </c>
      <c r="E26" s="269">
        <f>D26/C26</f>
        <v/>
      </c>
      <c r="F26" s="270">
        <f>3.5*M26*G26/1000+AB26/D26*3.5*0.7</f>
        <v/>
      </c>
      <c r="G26" s="271" t="n">
        <v>16.99</v>
      </c>
      <c r="I26" s="141" t="n">
        <v>0.418</v>
      </c>
      <c r="J26" s="141" t="n">
        <v>0.182</v>
      </c>
      <c r="K26" s="141" t="n">
        <v>0.08</v>
      </c>
      <c r="L26" s="270">
        <f>118116/D26</f>
        <v/>
      </c>
      <c r="M26" s="272">
        <f>121801/D26</f>
        <v/>
      </c>
      <c r="N26" s="270">
        <f>121801/9920</f>
        <v/>
      </c>
      <c r="O26" s="273">
        <f>M26/N26</f>
        <v/>
      </c>
      <c r="P26" s="270" t="n">
        <v>2.22469758064516</v>
      </c>
      <c r="Q26" s="270" t="n">
        <v>2.28870967741935</v>
      </c>
      <c r="R26" s="270" t="n">
        <v>1.35917338709677</v>
      </c>
      <c r="S26" s="270" t="n">
        <v>1.81683467741935</v>
      </c>
      <c r="T26" s="270" t="n">
        <v>1.48941532258065</v>
      </c>
      <c r="U26" s="270" t="n">
        <v>0.597983870967742</v>
      </c>
      <c r="V26" s="270" t="n">
        <v>1.7554435483871</v>
      </c>
      <c r="W26" s="270" t="n">
        <v>0.746068548387097</v>
      </c>
      <c r="X26" s="270">
        <f>5437/D26</f>
        <v/>
      </c>
      <c r="Y26" s="269">
        <f>M26+X26</f>
        <v/>
      </c>
      <c r="Z26" s="275">
        <f>60+34+19+18+14+16+9</f>
        <v/>
      </c>
      <c r="AA26" s="275" t="n">
        <v>115</v>
      </c>
      <c r="AB26" s="270" t="n">
        <v>1227.3</v>
      </c>
      <c r="AD26" s="276">
        <f>Z26/D26</f>
        <v/>
      </c>
      <c r="AE26" s="142">
        <f>AA26/D26</f>
        <v/>
      </c>
      <c r="AF26" s="270">
        <f>AB26/Z26</f>
        <v/>
      </c>
      <c r="AG26" s="277">
        <f>AD26*AF26</f>
        <v/>
      </c>
      <c r="AH26" s="118">
        <f>2817/C26</f>
        <v/>
      </c>
      <c r="AI26" s="118">
        <f>1656/C26</f>
        <v/>
      </c>
      <c r="AJ26" s="270">
        <f>8315/D26</f>
        <v/>
      </c>
    </row>
    <row customHeight="1" hidden="1" ht="13.2" outlineLevel="1" r="27" s="3">
      <c r="A27" s="117" t="n">
        <v>43368</v>
      </c>
      <c r="B27" s="289" t="inlineStr">
        <is>
          <t>安卓</t>
        </is>
      </c>
      <c r="C27" s="268" t="n">
        <v>3574</v>
      </c>
      <c r="D27" s="268" t="n">
        <v>13770</v>
      </c>
      <c r="E27" s="269">
        <f>D27/C27</f>
        <v/>
      </c>
      <c r="F27" s="270">
        <f>3.5*M27*G27/1000+AB27/D27*3.5*0.7</f>
        <v/>
      </c>
      <c r="G27" s="271" t="n">
        <v>16.21</v>
      </c>
      <c r="I27" s="141" t="n">
        <v>0.416</v>
      </c>
      <c r="J27" s="141" t="n">
        <v>0.192</v>
      </c>
      <c r="K27" s="141" t="n">
        <v>0.081</v>
      </c>
      <c r="L27" s="270">
        <f>112611/D27</f>
        <v/>
      </c>
      <c r="M27" s="272">
        <f>112033/D27</f>
        <v/>
      </c>
      <c r="N27" s="270">
        <f>112033/9573</f>
        <v/>
      </c>
      <c r="O27" s="273">
        <f>M27/N27</f>
        <v/>
      </c>
      <c r="P27" s="270">
        <f>19473/9573</f>
        <v/>
      </c>
      <c r="Q27" s="270">
        <f>20532/9573</f>
        <v/>
      </c>
      <c r="R27" s="270">
        <f>11778/9573</f>
        <v/>
      </c>
      <c r="S27" s="270">
        <f>18253/9573</f>
        <v/>
      </c>
      <c r="T27" s="270">
        <f>13438/9573</f>
        <v/>
      </c>
      <c r="U27" s="270">
        <f>5854/9573</f>
        <v/>
      </c>
      <c r="V27" s="270">
        <f>15846/9573</f>
        <v/>
      </c>
      <c r="W27" s="270">
        <f>6859/9573</f>
        <v/>
      </c>
      <c r="X27" s="270">
        <f>4240/D27</f>
        <v/>
      </c>
      <c r="Y27" s="269">
        <f>M27+X27</f>
        <v/>
      </c>
      <c r="Z27" s="275">
        <f>77+30+21+15+14+13+7</f>
        <v/>
      </c>
      <c r="AA27" s="275" t="n">
        <v>137</v>
      </c>
      <c r="AB27" s="270">
        <f>77*0.99+30*7.99+21*2.99+15*4.99+14*9.99+7*9.99+6*19.99+4*19.99+3*49.99</f>
        <v/>
      </c>
      <c r="AC27" s="290" t="n"/>
      <c r="AD27" s="276">
        <f>Z27/D27</f>
        <v/>
      </c>
      <c r="AE27" s="142">
        <f>AA27/D27</f>
        <v/>
      </c>
      <c r="AF27" s="270">
        <f>AB27/Z27</f>
        <v/>
      </c>
      <c r="AG27" s="277">
        <f>AD27*AF27</f>
        <v/>
      </c>
      <c r="AH27" s="118">
        <f>2711/C27</f>
        <v/>
      </c>
      <c r="AI27" s="118">
        <f>1712/C27</f>
        <v/>
      </c>
      <c r="AJ27" s="270">
        <f>8718/D27</f>
        <v/>
      </c>
    </row>
    <row customHeight="1" hidden="1" ht="13.2" outlineLevel="1" r="28" s="3">
      <c r="A28" s="117" t="n">
        <v>43369</v>
      </c>
      <c r="B28" s="267" t="inlineStr">
        <is>
          <t>安卓</t>
        </is>
      </c>
      <c r="C28" s="268" t="n">
        <v>4078</v>
      </c>
      <c r="D28" s="268" t="n">
        <v>13722</v>
      </c>
      <c r="E28" s="269">
        <f>D28/C28</f>
        <v/>
      </c>
      <c r="F28" s="270">
        <f>3.5*M28*G28/1000+AB28/D28*3.5*0.7</f>
        <v/>
      </c>
      <c r="G28" s="271" t="n">
        <v>14.49</v>
      </c>
      <c r="I28" s="141" t="n">
        <v>0.416</v>
      </c>
      <c r="J28" s="141" t="n">
        <v>0.176</v>
      </c>
      <c r="K28" s="141" t="n">
        <v>0.079</v>
      </c>
      <c r="L28" s="270">
        <f>108532/D28</f>
        <v/>
      </c>
      <c r="M28" s="272">
        <f>102425/D28</f>
        <v/>
      </c>
      <c r="N28" s="270">
        <f>102425/9462</f>
        <v/>
      </c>
      <c r="O28" s="273">
        <f>M28/N28</f>
        <v/>
      </c>
      <c r="P28" s="270">
        <f>18030/9462</f>
        <v/>
      </c>
      <c r="Q28" s="270">
        <f>17638/9462</f>
        <v/>
      </c>
      <c r="R28" s="270">
        <f>10655/9462</f>
        <v/>
      </c>
      <c r="S28" s="270">
        <f>17945/9462</f>
        <v/>
      </c>
      <c r="T28" s="270">
        <f>12113/9462</f>
        <v/>
      </c>
      <c r="U28" s="270">
        <f>6153/9462</f>
        <v/>
      </c>
      <c r="V28" s="270">
        <f>13630/9462</f>
        <v/>
      </c>
      <c r="W28" s="270">
        <f>6261/9462</f>
        <v/>
      </c>
      <c r="X28" s="270">
        <f>3562/C28</f>
        <v/>
      </c>
      <c r="Y28" s="269">
        <f>M28+X28</f>
        <v/>
      </c>
      <c r="Z28" s="275">
        <f>71+23+31+11+11</f>
        <v/>
      </c>
      <c r="AA28" s="275" t="n">
        <v>108</v>
      </c>
      <c r="AB28" s="270">
        <f>71*0.99+23*7.99+19*4.99+12*9.99+11*2.99+5*9.99+6*19.99</f>
        <v/>
      </c>
      <c r="AC28" s="290" t="n"/>
      <c r="AD28" s="276">
        <f>Z28/D28</f>
        <v/>
      </c>
      <c r="AE28" s="142">
        <f>AA28/D28</f>
        <v/>
      </c>
      <c r="AF28" s="270">
        <f>AB28/Z28</f>
        <v/>
      </c>
      <c r="AG28" s="277">
        <f>AD28*AF28</f>
        <v/>
      </c>
      <c r="AH28" s="118">
        <f>2991/C28</f>
        <v/>
      </c>
      <c r="AI28" s="118">
        <f>1698/C28</f>
        <v/>
      </c>
      <c r="AJ28" s="270">
        <f>9552/D28</f>
        <v/>
      </c>
    </row>
    <row customHeight="1" hidden="1" ht="13.2" outlineLevel="1" r="29" s="3">
      <c r="A29" s="117" t="n">
        <v>43370</v>
      </c>
      <c r="B29" s="267" t="inlineStr">
        <is>
          <t>安卓</t>
        </is>
      </c>
      <c r="C29" s="268" t="n">
        <v>4025</v>
      </c>
      <c r="D29" s="268" t="n">
        <v>13557</v>
      </c>
      <c r="E29" s="269">
        <f>D29/C29</f>
        <v/>
      </c>
      <c r="F29" s="270">
        <f>3.5*M29*G29/1000+AB29/D29*3.5*0.7</f>
        <v/>
      </c>
      <c r="G29" s="271" t="n">
        <v>15.47</v>
      </c>
      <c r="I29" s="141" t="n">
        <v>0.42</v>
      </c>
      <c r="J29" s="141" t="n">
        <v>0.178</v>
      </c>
      <c r="K29" s="141" t="n">
        <v>0.08400000000000001</v>
      </c>
      <c r="L29" s="270">
        <f>108336/D29</f>
        <v/>
      </c>
      <c r="M29" s="272">
        <f>98650/D29</f>
        <v/>
      </c>
      <c r="N29" s="270">
        <f>98650/9329</f>
        <v/>
      </c>
      <c r="O29" s="273">
        <f>M29/N29</f>
        <v/>
      </c>
      <c r="P29" s="270">
        <f>17587/9329</f>
        <v/>
      </c>
      <c r="Q29" s="270">
        <f>16833/9329</f>
        <v/>
      </c>
      <c r="R29" s="270">
        <f>9447/9329</f>
        <v/>
      </c>
      <c r="S29" s="270">
        <f>17532/9329</f>
        <v/>
      </c>
      <c r="T29" s="270">
        <f>11752/9329</f>
        <v/>
      </c>
      <c r="U29" s="270">
        <f>5948/9329</f>
        <v/>
      </c>
      <c r="V29" s="270">
        <f>13258/9329</f>
        <v/>
      </c>
      <c r="W29" s="270">
        <f>6293/9329</f>
        <v/>
      </c>
      <c r="X29" s="270">
        <f>3249/D29</f>
        <v/>
      </c>
      <c r="Y29" s="269">
        <f>M29+X29</f>
        <v/>
      </c>
      <c r="Z29" s="275">
        <f>67+24+23+18+20</f>
        <v/>
      </c>
      <c r="AA29" s="275" t="n">
        <v>116</v>
      </c>
      <c r="AB29" s="270">
        <f>67*0.99+24*4.99+23*7.99+18*2.99+9*9.99+6*9.99+5*19.99</f>
        <v/>
      </c>
      <c r="AC29" s="290" t="n"/>
      <c r="AD29" s="276">
        <f>Z29/D29</f>
        <v/>
      </c>
      <c r="AE29" s="142">
        <f>AA29/D29</f>
        <v/>
      </c>
      <c r="AF29" s="270">
        <f>AB29/Z29</f>
        <v/>
      </c>
      <c r="AG29" s="277">
        <f>AD29*AF29</f>
        <v/>
      </c>
      <c r="AH29" s="118">
        <f>2900/C29</f>
        <v/>
      </c>
      <c r="AI29" s="118">
        <f>1689/C29</f>
        <v/>
      </c>
      <c r="AJ29" s="270">
        <f>8979/D29</f>
        <v/>
      </c>
    </row>
    <row customHeight="1" hidden="1" ht="13.2" outlineLevel="1" r="30" s="3">
      <c r="A30" s="120" t="n">
        <v>43371</v>
      </c>
      <c r="B30" s="267" t="inlineStr">
        <is>
          <t>安卓</t>
        </is>
      </c>
      <c r="C30" s="268" t="n">
        <v>4044</v>
      </c>
      <c r="D30" s="268" t="n">
        <v>13691</v>
      </c>
      <c r="E30" s="269">
        <f>D30/C30</f>
        <v/>
      </c>
      <c r="F30" s="270">
        <f>3.5*M30*G30/1000+AB30/D30*3.5*0.7</f>
        <v/>
      </c>
      <c r="G30" s="271" t="n">
        <v>16.82</v>
      </c>
      <c r="I30" s="141" t="n">
        <v>0.4</v>
      </c>
      <c r="J30" s="141" t="n">
        <v>0.184</v>
      </c>
      <c r="K30" s="141" t="n">
        <v>0.08</v>
      </c>
      <c r="L30" s="270">
        <f>103676/D30</f>
        <v/>
      </c>
      <c r="M30" s="272">
        <f>95858/D30</f>
        <v/>
      </c>
      <c r="N30" s="270">
        <f>95858/9266</f>
        <v/>
      </c>
      <c r="O30" s="273">
        <f>M30/N30</f>
        <v/>
      </c>
      <c r="P30" s="270">
        <f>17261/9266</f>
        <v/>
      </c>
      <c r="Q30" s="270">
        <f>15894/9266</f>
        <v/>
      </c>
      <c r="R30" s="270">
        <f>9230/9266</f>
        <v/>
      </c>
      <c r="S30" s="270">
        <f>16699/9266</f>
        <v/>
      </c>
      <c r="T30" s="270">
        <f>11567/9266</f>
        <v/>
      </c>
      <c r="U30" s="270">
        <f>5818/9266</f>
        <v/>
      </c>
      <c r="V30" s="270">
        <f>13244/9266</f>
        <v/>
      </c>
      <c r="W30" s="270">
        <f>6145/9266</f>
        <v/>
      </c>
      <c r="X30" s="270">
        <f>2963/D30</f>
        <v/>
      </c>
      <c r="Y30" s="269">
        <f>M30+X30</f>
        <v/>
      </c>
      <c r="Z30" s="275">
        <f>78+27+22+21+11+12</f>
        <v/>
      </c>
      <c r="AA30" s="275" t="n">
        <v>119</v>
      </c>
      <c r="AB30" s="270">
        <f>78*0.99+27*7.99+22*2.99+21*4.99+11*9.99+6*9.99+4*19.99+2*19.99</f>
        <v/>
      </c>
      <c r="AC30" s="290" t="n"/>
      <c r="AD30" s="276">
        <f>Z30/D30</f>
        <v/>
      </c>
      <c r="AE30" s="142">
        <f>AA30/D30</f>
        <v/>
      </c>
      <c r="AF30" s="270">
        <f>AB30/Z30</f>
        <v/>
      </c>
      <c r="AG30" s="277">
        <f>AD30*AF30</f>
        <v/>
      </c>
      <c r="AH30" s="118">
        <f>2924/C30</f>
        <v/>
      </c>
      <c r="AI30" s="118">
        <f>1817/C30</f>
        <v/>
      </c>
      <c r="AJ30" s="270">
        <f>8699/D30</f>
        <v/>
      </c>
    </row>
    <row customHeight="1" hidden="1" ht="13.2" outlineLevel="1" r="31" s="3">
      <c r="A31" s="117" t="n">
        <v>43372</v>
      </c>
      <c r="B31" s="289" t="inlineStr">
        <is>
          <t>安卓</t>
        </is>
      </c>
      <c r="C31" s="268" t="n">
        <v>4693</v>
      </c>
      <c r="D31" s="268" t="n">
        <v>14304</v>
      </c>
      <c r="E31" s="269">
        <f>D31/C31</f>
        <v/>
      </c>
      <c r="F31" s="270">
        <f>3.5*M31*G31/1000+AB31/D31*3.5*0.7</f>
        <v/>
      </c>
      <c r="G31" s="271" t="n">
        <v>14.2</v>
      </c>
      <c r="I31" s="141" t="n">
        <v>0.408</v>
      </c>
      <c r="J31" s="141" t="n">
        <v>0.171</v>
      </c>
      <c r="K31" s="141" t="n">
        <v>0.08799999999999999</v>
      </c>
      <c r="L31" s="270">
        <f>119350/D31</f>
        <v/>
      </c>
      <c r="M31" s="272">
        <f>118622/D31</f>
        <v/>
      </c>
      <c r="N31" s="270">
        <f>118622/9678</f>
        <v/>
      </c>
      <c r="O31" s="273">
        <f>M31/N31</f>
        <v/>
      </c>
      <c r="P31" s="270">
        <f>21462/9678</f>
        <v/>
      </c>
      <c r="Q31" s="270">
        <f>21895/9678</f>
        <v/>
      </c>
      <c r="R31" s="270">
        <f>12165/9678</f>
        <v/>
      </c>
      <c r="S31" s="270">
        <f>18130/9678</f>
        <v/>
      </c>
      <c r="T31" s="270">
        <f>14536/9678</f>
        <v/>
      </c>
      <c r="U31" s="270">
        <f>5863/9678</f>
        <v/>
      </c>
      <c r="V31" s="270">
        <f>17082/9678</f>
        <v/>
      </c>
      <c r="W31" s="270">
        <f>7499/9678</f>
        <v/>
      </c>
      <c r="X31" s="270">
        <f>4685/D31</f>
        <v/>
      </c>
      <c r="Y31" s="269">
        <f>M31+X31</f>
        <v/>
      </c>
      <c r="Z31" s="275">
        <f>57+52+27+23+19+8</f>
        <v/>
      </c>
      <c r="AA31" s="275" t="n">
        <v>137</v>
      </c>
      <c r="AB31" s="270">
        <f>57*0.99+52*7.99+27*4.99+23*2.99+199.9+9*9.99+4*9.99+2*19.99+2*49.99</f>
        <v/>
      </c>
      <c r="AC31" s="290" t="n"/>
      <c r="AD31" s="276">
        <f>Z31/D31</f>
        <v/>
      </c>
      <c r="AE31" s="142">
        <f>AA31/D31</f>
        <v/>
      </c>
      <c r="AF31" s="270">
        <f>AB31/Z31</f>
        <v/>
      </c>
      <c r="AG31" s="277">
        <f>AD31*AF31</f>
        <v/>
      </c>
      <c r="AH31" s="118">
        <f>3310/C31</f>
        <v/>
      </c>
      <c r="AI31" s="118">
        <f>1992/C31</f>
        <v/>
      </c>
      <c r="AJ31" s="270">
        <f>7386/D31</f>
        <v/>
      </c>
    </row>
    <row customHeight="1" hidden="1" ht="13.2" outlineLevel="1" r="32" s="3">
      <c r="A32" s="117" t="n">
        <v>43373</v>
      </c>
      <c r="B32" s="289" t="inlineStr">
        <is>
          <t>安卓</t>
        </is>
      </c>
      <c r="C32" s="268" t="n">
        <v>5684</v>
      </c>
      <c r="D32" s="268" t="n">
        <v>15680</v>
      </c>
      <c r="E32" s="269">
        <f>D32/C32</f>
        <v/>
      </c>
      <c r="F32" s="270">
        <f>3.5*M32*G32/1000+AB32/D32*3.5*0.7</f>
        <v/>
      </c>
      <c r="G32" s="271" t="n">
        <v>15.91</v>
      </c>
      <c r="I32" s="141" t="n">
        <v>0.363</v>
      </c>
      <c r="J32" s="141" t="n">
        <v>0.163</v>
      </c>
      <c r="K32" s="141" t="n">
        <v>0.08699999999999999</v>
      </c>
      <c r="L32" s="270">
        <f>127182/D32</f>
        <v/>
      </c>
      <c r="M32" s="272" t="n">
        <v>7.94164540816327</v>
      </c>
      <c r="N32" s="270" t="n">
        <v>11.7820985902167</v>
      </c>
      <c r="O32" s="273">
        <f>M32/N32</f>
        <v/>
      </c>
      <c r="P32" s="270" t="n">
        <v>1.76308070773015</v>
      </c>
      <c r="Q32" s="270" t="n">
        <v>2.22641687955341</v>
      </c>
      <c r="R32" s="270" t="n">
        <v>1.40997256126407</v>
      </c>
      <c r="S32" s="270" t="n">
        <v>1.90169363232094</v>
      </c>
      <c r="T32" s="270" t="n">
        <v>1.25366638281767</v>
      </c>
      <c r="U32" s="270" t="n">
        <v>0.628630901693632</v>
      </c>
      <c r="V32" s="270" t="n">
        <v>1.7846532311477</v>
      </c>
      <c r="W32" s="270" t="n">
        <v>0.813984293689091</v>
      </c>
      <c r="X32" s="270">
        <f>4685/D32</f>
        <v/>
      </c>
      <c r="Y32" s="269">
        <f>M32+X32</f>
        <v/>
      </c>
      <c r="Z32" s="275" t="n">
        <v>216</v>
      </c>
      <c r="AA32" s="275" t="n">
        <v>148</v>
      </c>
      <c r="AB32" s="270" t="n">
        <v>1278.84</v>
      </c>
      <c r="AC32" s="290" t="n"/>
      <c r="AD32" s="276" t="n">
        <v>0.0137755102040816</v>
      </c>
      <c r="AE32" s="142">
        <f>AA32/D32</f>
        <v/>
      </c>
      <c r="AF32" s="270" t="n">
        <v>5.92055555555556</v>
      </c>
      <c r="AG32" s="277">
        <f>AD32*AF32</f>
        <v/>
      </c>
      <c r="AH32" s="118">
        <f>3310/C32</f>
        <v/>
      </c>
      <c r="AI32" s="118">
        <f>1992/C32</f>
        <v/>
      </c>
      <c r="AJ32" s="270">
        <f>7386/D32</f>
        <v/>
      </c>
    </row>
    <row collapsed="1" customHeight="1" ht="13.2" r="33" s="3">
      <c r="A33" s="117" t="n">
        <v>43374</v>
      </c>
      <c r="B33" s="289" t="inlineStr">
        <is>
          <t>安卓</t>
        </is>
      </c>
      <c r="C33" s="268" t="n">
        <v>5522</v>
      </c>
      <c r="D33" s="268" t="n">
        <v>15940</v>
      </c>
      <c r="E33" s="269">
        <f>D33/C33</f>
        <v/>
      </c>
      <c r="F33" s="270">
        <f>3.3*M33*G33/1000+AB33/D33*3.3*0.7</f>
        <v/>
      </c>
      <c r="G33" s="271" t="n">
        <v>16.59</v>
      </c>
      <c r="I33" s="141" t="n">
        <v>0.408</v>
      </c>
      <c r="J33" s="141" t="n">
        <v>0.179</v>
      </c>
      <c r="K33" s="141" t="n">
        <v>0.101</v>
      </c>
      <c r="L33" s="270">
        <f>129782/D33</f>
        <v/>
      </c>
      <c r="M33" s="272" t="n">
        <v>7.83789209535759</v>
      </c>
      <c r="N33" s="270" t="n">
        <v>11.3557534993638</v>
      </c>
      <c r="O33" s="273">
        <f>M33/N33</f>
        <v/>
      </c>
      <c r="P33" s="270" t="n">
        <v>1.63652063261225</v>
      </c>
      <c r="Q33" s="270" t="n">
        <v>2.1330667151427</v>
      </c>
      <c r="R33" s="270" t="n">
        <v>1.35938920196328</v>
      </c>
      <c r="S33" s="270" t="n">
        <v>1.85257225958917</v>
      </c>
      <c r="T33" s="270" t="n">
        <v>1.18987456826032</v>
      </c>
      <c r="U33" s="270" t="n">
        <v>0.619251045264497</v>
      </c>
      <c r="V33" s="270" t="n">
        <v>1.74259225595346</v>
      </c>
      <c r="W33" s="270" t="n">
        <v>0.822486820578077</v>
      </c>
      <c r="X33" s="270">
        <f>6159/D33</f>
        <v/>
      </c>
      <c r="Y33" s="269">
        <f>M33+X33</f>
        <v/>
      </c>
      <c r="Z33" s="275" t="n">
        <v>217</v>
      </c>
      <c r="AA33" s="275" t="n">
        <v>152</v>
      </c>
      <c r="AB33" s="270" t="n">
        <v>1207.83</v>
      </c>
      <c r="AC33" s="290" t="n"/>
      <c r="AD33" s="276" t="n">
        <v>0.0136135508155583</v>
      </c>
      <c r="AE33" s="142">
        <f>AA33/D33</f>
        <v/>
      </c>
      <c r="AF33" s="270" t="n">
        <v>5.56603686635945</v>
      </c>
      <c r="AG33" s="277">
        <f>AD33*AF33</f>
        <v/>
      </c>
      <c r="AH33" s="118">
        <f>4060/C33</f>
        <v/>
      </c>
      <c r="AI33" s="118">
        <f>2534/C33</f>
        <v/>
      </c>
      <c r="AJ33" s="270">
        <f>9053/D33</f>
        <v/>
      </c>
    </row>
    <row customHeight="1" hidden="1" ht="13.2" outlineLevel="1" r="34" s="3">
      <c r="A34" s="117" t="n">
        <v>43375</v>
      </c>
      <c r="B34" s="289" t="inlineStr">
        <is>
          <t>安卓</t>
        </is>
      </c>
      <c r="C34" s="268" t="n">
        <v>5348</v>
      </c>
      <c r="D34" s="268" t="n">
        <v>15909</v>
      </c>
      <c r="E34" s="269">
        <f>D34/C34</f>
        <v/>
      </c>
      <c r="F34" s="270">
        <f>3.3*M34*G34/1000+AB34/D34*3.3*0.7</f>
        <v/>
      </c>
      <c r="G34" s="271" t="n">
        <v>16.63</v>
      </c>
      <c r="I34" s="141" t="n">
        <v>0.43</v>
      </c>
      <c r="J34" s="141" t="n">
        <v>0.207</v>
      </c>
      <c r="K34" s="141" t="n">
        <v>0.11</v>
      </c>
      <c r="L34" s="270">
        <f>130668/D34</f>
        <v/>
      </c>
      <c r="M34" s="272" t="n">
        <v>7.59029480168458</v>
      </c>
      <c r="N34" s="270" t="n">
        <v>11.0237356216907</v>
      </c>
      <c r="O34" s="273">
        <f>M34/N34</f>
        <v/>
      </c>
      <c r="P34" s="270" t="n">
        <v>1.49716998356765</v>
      </c>
      <c r="Q34" s="270" t="n">
        <v>2.04975351469783</v>
      </c>
      <c r="R34" s="270" t="n">
        <v>1.31321891546467</v>
      </c>
      <c r="S34" s="270" t="n">
        <v>1.94814679569107</v>
      </c>
      <c r="T34" s="270" t="n">
        <v>1.05075771407705</v>
      </c>
      <c r="U34" s="270" t="n">
        <v>0.635019171079058</v>
      </c>
      <c r="V34" s="270" t="n">
        <v>1.72211064451342</v>
      </c>
      <c r="W34" s="270" t="n">
        <v>0.807558882599963</v>
      </c>
      <c r="Y34" s="269">
        <f>M34+X34</f>
        <v/>
      </c>
      <c r="Z34" s="275" t="n">
        <v>232</v>
      </c>
      <c r="AA34" s="275" t="n">
        <v>162</v>
      </c>
      <c r="AB34" s="270" t="n">
        <v>1353.68</v>
      </c>
      <c r="AC34" s="290" t="n"/>
      <c r="AD34" s="276" t="n">
        <v>0.0145829404739456</v>
      </c>
      <c r="AE34" s="142">
        <f>AA34/D34</f>
        <v/>
      </c>
      <c r="AF34" s="270" t="n">
        <v>5.8348275862069</v>
      </c>
      <c r="AG34" s="277">
        <f>AD34*AF34</f>
        <v/>
      </c>
    </row>
    <row customHeight="1" hidden="1" ht="13.2" outlineLevel="1" r="35" s="3">
      <c r="A35" s="117" t="n">
        <v>43376</v>
      </c>
      <c r="B35" s="267" t="inlineStr">
        <is>
          <t>安卓</t>
        </is>
      </c>
      <c r="C35" s="268" t="n">
        <v>4522</v>
      </c>
      <c r="D35" s="268" t="n">
        <v>15130</v>
      </c>
      <c r="E35" s="269">
        <f>D35/C35</f>
        <v/>
      </c>
      <c r="F35" s="270">
        <f>3.3*M35*G35/1000+AB35/D35*3.3*0.7</f>
        <v/>
      </c>
      <c r="G35" s="271" t="n">
        <v>17.91</v>
      </c>
      <c r="I35" s="141" t="n">
        <v>0.409</v>
      </c>
      <c r="J35" s="141" t="n">
        <v>0.187</v>
      </c>
      <c r="K35" s="141" t="n">
        <v>0.104</v>
      </c>
      <c r="L35" s="270">
        <f>119458/D35</f>
        <v/>
      </c>
      <c r="M35" s="272" t="n">
        <v>7.08916060806345</v>
      </c>
      <c r="N35" s="270" t="n">
        <v>10.2758191224372</v>
      </c>
      <c r="O35" s="273">
        <f>M35/N35</f>
        <v/>
      </c>
      <c r="P35" s="270" t="n">
        <v>1.32927763939452</v>
      </c>
      <c r="Q35" s="270" t="n">
        <v>1.8567733282238</v>
      </c>
      <c r="R35" s="270" t="n">
        <v>1.18605096761832</v>
      </c>
      <c r="S35" s="270" t="n">
        <v>2.01657405633263</v>
      </c>
      <c r="T35" s="270" t="n">
        <v>0.906878712397011</v>
      </c>
      <c r="U35" s="270" t="n">
        <v>0.656639202912435</v>
      </c>
      <c r="V35" s="270" t="n">
        <v>1.57060739605288</v>
      </c>
      <c r="W35" s="270" t="n">
        <v>0.7530178195056521</v>
      </c>
      <c r="Y35" s="269">
        <f>M35+X35</f>
        <v/>
      </c>
      <c r="Z35" s="275" t="n">
        <v>270</v>
      </c>
      <c r="AA35" s="275" t="n">
        <v>185</v>
      </c>
      <c r="AB35" s="270" t="n">
        <v>1528.3</v>
      </c>
      <c r="AC35" s="290" t="n"/>
      <c r="AD35" s="276" t="n">
        <v>0.0178453403833444</v>
      </c>
      <c r="AE35" s="142">
        <f>AA35/D35</f>
        <v/>
      </c>
      <c r="AF35" s="270" t="n">
        <v>5.66037037037037</v>
      </c>
      <c r="AG35" s="277">
        <f>AD35*AF35</f>
        <v/>
      </c>
    </row>
    <row customHeight="1" hidden="1" ht="13.2" outlineLevel="1" r="36" s="3">
      <c r="A36" s="117" t="n">
        <v>43377</v>
      </c>
      <c r="B36" s="267" t="inlineStr">
        <is>
          <t>安卓</t>
        </is>
      </c>
      <c r="C36" s="268" t="n">
        <v>4670</v>
      </c>
      <c r="D36" s="268" t="n">
        <v>15110</v>
      </c>
      <c r="E36" s="269">
        <f>D36/C36</f>
        <v/>
      </c>
      <c r="F36" s="270">
        <f>3.3*M36*G36/1000+AB36/D36*3.3*0.7</f>
        <v/>
      </c>
      <c r="G36" s="271" t="n">
        <v>18.11</v>
      </c>
      <c r="I36" s="141" t="n">
        <v>0.43</v>
      </c>
      <c r="J36" s="141" t="n">
        <v>0.193</v>
      </c>
      <c r="K36" s="141" t="n">
        <v>0.101</v>
      </c>
      <c r="L36" s="270">
        <f>115857/D36</f>
        <v/>
      </c>
      <c r="M36" s="272" t="n">
        <v>7.05327597617472</v>
      </c>
      <c r="N36" s="270" t="n">
        <v>10.2623976889745</v>
      </c>
      <c r="O36" s="273">
        <f>M36/N36</f>
        <v/>
      </c>
      <c r="P36" s="270" t="n">
        <v>1.32007703418392</v>
      </c>
      <c r="Q36" s="270" t="n">
        <v>1.88444872412133</v>
      </c>
      <c r="R36" s="270" t="n">
        <v>1.25739046701974</v>
      </c>
      <c r="S36" s="270" t="n">
        <v>1.93220991815118</v>
      </c>
      <c r="T36" s="270" t="n">
        <v>0.8975445353875779</v>
      </c>
      <c r="U36" s="270" t="n">
        <v>0.649975926817525</v>
      </c>
      <c r="V36" s="270" t="n">
        <v>1.53731343283582</v>
      </c>
      <c r="W36" s="270" t="n">
        <v>0.78343765045739</v>
      </c>
      <c r="Y36" s="269">
        <f>M36+X36</f>
        <v/>
      </c>
      <c r="Z36" s="275" t="n">
        <v>243</v>
      </c>
      <c r="AA36" s="275" t="n">
        <v>165</v>
      </c>
      <c r="AB36" s="270" t="n">
        <v>1390.57</v>
      </c>
      <c r="AC36" s="290" t="n"/>
      <c r="AD36" s="276" t="n">
        <v>0.0160820648577101</v>
      </c>
      <c r="AE36" s="142">
        <f>AA36/D36</f>
        <v/>
      </c>
      <c r="AF36" s="270" t="n">
        <v>5.72251028806584</v>
      </c>
      <c r="AG36" s="277">
        <f>AD36*AF36</f>
        <v/>
      </c>
    </row>
    <row customHeight="1" hidden="1" ht="13.2" outlineLevel="1" r="37" s="3">
      <c r="A37" s="120" t="n">
        <v>43378</v>
      </c>
      <c r="B37" s="267" t="inlineStr">
        <is>
          <t>安卓</t>
        </is>
      </c>
      <c r="C37" s="268" t="n">
        <v>6382</v>
      </c>
      <c r="D37" s="268" t="n">
        <v>16934</v>
      </c>
      <c r="E37" s="269">
        <f>D37/C37</f>
        <v/>
      </c>
      <c r="F37" s="270">
        <f>3.3*M37*G37/1000+AB37/D37*3.3*0.7</f>
        <v/>
      </c>
      <c r="G37" s="271" t="n">
        <v>16.11</v>
      </c>
      <c r="I37" s="141" t="n">
        <v>0.412</v>
      </c>
      <c r="J37" s="141" t="n">
        <v>0.21</v>
      </c>
      <c r="K37" s="141" t="n">
        <v>0.097</v>
      </c>
      <c r="L37" s="270">
        <f>128863/D37</f>
        <v/>
      </c>
      <c r="M37" s="272" t="n">
        <v>6.79573638833117</v>
      </c>
      <c r="N37" s="270" t="n">
        <v>10.0016513123588</v>
      </c>
      <c r="O37" s="273">
        <f>M37/N37</f>
        <v/>
      </c>
      <c r="P37" s="270" t="n">
        <v>1.34373370415435</v>
      </c>
      <c r="Q37" s="270" t="n">
        <v>1.82887189292543</v>
      </c>
      <c r="R37" s="270" t="n">
        <v>1.13140969928733</v>
      </c>
      <c r="S37" s="270" t="n">
        <v>1.91691291500087</v>
      </c>
      <c r="T37" s="270" t="n">
        <v>0.856162002433513</v>
      </c>
      <c r="U37" s="270" t="n">
        <v>0.65809143055797</v>
      </c>
      <c r="V37" s="270" t="n">
        <v>1.51477490005215</v>
      </c>
      <c r="W37" s="270" t="n">
        <v>0.7516947679471579</v>
      </c>
      <c r="Y37" s="269">
        <f>M37+X37</f>
        <v/>
      </c>
      <c r="Z37" s="275" t="n">
        <v>229</v>
      </c>
      <c r="AA37" s="275" t="n">
        <v>171</v>
      </c>
      <c r="AB37" s="270" t="n">
        <v>1406.71</v>
      </c>
      <c r="AC37" s="290" t="n"/>
      <c r="AD37" s="276" t="n">
        <v>0.0135143110061965</v>
      </c>
      <c r="AE37" s="142">
        <f>AA37/D37</f>
        <v/>
      </c>
      <c r="AF37" s="270" t="n">
        <v>6.1428384279476</v>
      </c>
      <c r="AG37" s="277">
        <f>AD37*AF37</f>
        <v/>
      </c>
    </row>
    <row customHeight="1" hidden="1" ht="13.2" outlineLevel="1" r="38" s="3">
      <c r="A38" s="117" t="n">
        <v>43379</v>
      </c>
      <c r="B38" s="289" t="inlineStr">
        <is>
          <t>安卓</t>
        </is>
      </c>
      <c r="C38" s="268" t="n">
        <v>5858</v>
      </c>
      <c r="D38" s="268" t="n">
        <v>17044</v>
      </c>
      <c r="E38" s="269">
        <f>D38/C38</f>
        <v/>
      </c>
      <c r="F38" s="270">
        <f>3.3*M38*G38/1000+AB38/D38*3.3*0.7</f>
        <v/>
      </c>
      <c r="G38" s="271" t="n">
        <v>14.28</v>
      </c>
      <c r="I38" s="141" t="n">
        <v>0.409</v>
      </c>
      <c r="J38" s="141" t="n">
        <v>0.207</v>
      </c>
      <c r="K38" s="141" t="n">
        <v>0.099</v>
      </c>
      <c r="L38" s="270">
        <f>157774/D38</f>
        <v/>
      </c>
      <c r="M38" s="272" t="n">
        <v>8.950891809434401</v>
      </c>
      <c r="N38" s="270" t="n">
        <v>12.8028700906344</v>
      </c>
      <c r="O38" s="273">
        <f>M38/N38</f>
        <v/>
      </c>
      <c r="P38" s="270" t="n">
        <v>1.60943269553541</v>
      </c>
      <c r="Q38" s="270" t="n">
        <v>2.66725411211816</v>
      </c>
      <c r="R38" s="270" t="n">
        <v>1.33190668009399</v>
      </c>
      <c r="S38" s="270" t="n">
        <v>2.22927156764015</v>
      </c>
      <c r="T38" s="270" t="n">
        <v>1.08291372943941</v>
      </c>
      <c r="U38" s="270" t="n">
        <v>0.623447465592481</v>
      </c>
      <c r="V38" s="270" t="n">
        <v>2.29162470627727</v>
      </c>
      <c r="W38" s="270" t="n">
        <v>0.967019133937563</v>
      </c>
      <c r="Y38" s="269">
        <f>M38+X38</f>
        <v/>
      </c>
      <c r="Z38" s="275" t="n">
        <v>303</v>
      </c>
      <c r="AA38" s="275" t="n">
        <v>209</v>
      </c>
      <c r="AB38" s="270" t="n">
        <v>1749.97</v>
      </c>
      <c r="AC38" s="290" t="n"/>
      <c r="AD38" s="276" t="n">
        <v>0.0177775170147853</v>
      </c>
      <c r="AE38" s="142">
        <f>AA38/D38</f>
        <v/>
      </c>
      <c r="AF38" s="270" t="n">
        <v>5.77547854785479</v>
      </c>
      <c r="AG38" s="277">
        <f>AD38*AF38</f>
        <v/>
      </c>
    </row>
    <row customHeight="1" hidden="1" ht="13.2" outlineLevel="1" r="39" s="3">
      <c r="A39" s="117" t="n">
        <v>43380</v>
      </c>
      <c r="B39" s="289" t="inlineStr">
        <is>
          <t>安卓</t>
        </is>
      </c>
      <c r="C39" s="268" t="n">
        <v>5420</v>
      </c>
      <c r="D39" s="268" t="n">
        <v>17246</v>
      </c>
      <c r="E39" s="269">
        <f>D39/C39</f>
        <v/>
      </c>
      <c r="F39" s="270">
        <f>3.3*M39*G39/1000+AB39/D39*3.3*0.7</f>
        <v/>
      </c>
      <c r="G39" s="271" t="n">
        <v>15.42</v>
      </c>
      <c r="I39" s="141" t="n">
        <v>0.427</v>
      </c>
      <c r="J39" s="141" t="n">
        <v>0.195</v>
      </c>
      <c r="K39" s="141" t="n">
        <v>0.1</v>
      </c>
      <c r="L39" s="270">
        <f>158757/D39</f>
        <v/>
      </c>
      <c r="M39" s="272" t="n">
        <v>9.055491128377589</v>
      </c>
      <c r="N39" s="270" t="n">
        <v>12.8705290918081</v>
      </c>
      <c r="O39" s="273">
        <f>M39/N39</f>
        <v/>
      </c>
      <c r="P39" s="270" t="n">
        <v>1.32610845557936</v>
      </c>
      <c r="Q39" s="270" t="n">
        <v>2.8558595681556</v>
      </c>
      <c r="R39" s="270" t="n">
        <v>1.63416845228284</v>
      </c>
      <c r="S39" s="270" t="n">
        <v>2.26784242624032</v>
      </c>
      <c r="T39" s="270" t="n">
        <v>0.888412724575573</v>
      </c>
      <c r="U39" s="270" t="n">
        <v>0.61373001483435</v>
      </c>
      <c r="V39" s="270" t="n">
        <v>2.30385693093786</v>
      </c>
      <c r="W39" s="270" t="n">
        <v>0.980550519202242</v>
      </c>
      <c r="Y39" s="269">
        <f>M39+X39</f>
        <v/>
      </c>
      <c r="Z39" s="275">
        <f>112+47+34+27+22+9+10</f>
        <v/>
      </c>
      <c r="AA39" s="275" t="n">
        <v>199</v>
      </c>
      <c r="AB39" s="270">
        <f>112*0.99+47*7.99+34*2.99+27*4.99+22*9.99+9*9.99+10*19.99</f>
        <v/>
      </c>
      <c r="AC39" s="290" t="n"/>
      <c r="AD39" s="276">
        <f>Z39/D39</f>
        <v/>
      </c>
      <c r="AE39" s="142">
        <f>AA39/D39</f>
        <v/>
      </c>
      <c r="AF39" s="270">
        <f>AB39/Z39</f>
        <v/>
      </c>
      <c r="AG39" s="277">
        <f>AD39*AF39</f>
        <v/>
      </c>
      <c r="AH39" s="118">
        <f>4028/C39</f>
        <v/>
      </c>
      <c r="AI39" s="118">
        <f>2871/C39</f>
        <v/>
      </c>
      <c r="AJ39" s="270">
        <f>12521/D39</f>
        <v/>
      </c>
    </row>
    <row customHeight="1" hidden="1" ht="13.2" outlineLevel="1" r="40" s="3">
      <c r="A40" s="117" t="n">
        <v>43381</v>
      </c>
      <c r="B40" s="289" t="inlineStr">
        <is>
          <t>安卓</t>
        </is>
      </c>
      <c r="C40" s="268" t="n">
        <v>5476</v>
      </c>
      <c r="D40" s="268" t="n">
        <v>18004</v>
      </c>
      <c r="E40" s="269" t="n">
        <v>3.28780131482834</v>
      </c>
      <c r="F40" s="270" t="n">
        <v>0.633994958898023</v>
      </c>
      <c r="G40" s="271" t="n">
        <v>14.41</v>
      </c>
      <c r="I40" s="141" t="n">
        <v>0.43</v>
      </c>
      <c r="J40" s="141" t="n">
        <v>0.214</v>
      </c>
      <c r="K40" s="141" t="n">
        <v>0.108</v>
      </c>
      <c r="L40" s="270" t="n">
        <v>9.15574316818485</v>
      </c>
      <c r="M40" s="272" t="n">
        <v>8.70806487447234</v>
      </c>
      <c r="N40" s="270" t="n">
        <v>12.3351691581432</v>
      </c>
      <c r="O40" s="273">
        <f>M40/N40</f>
        <v/>
      </c>
      <c r="P40" s="270" t="n">
        <v>1.20755310778914</v>
      </c>
      <c r="Q40" s="270" t="n">
        <v>2.74217151848938</v>
      </c>
      <c r="R40" s="270" t="n">
        <v>1.58945712037766</v>
      </c>
      <c r="S40" s="270" t="n">
        <v>2.21966955153422</v>
      </c>
      <c r="T40" s="270" t="n">
        <v>0.788355625491739</v>
      </c>
      <c r="U40" s="270" t="n">
        <v>0.610306845003934</v>
      </c>
      <c r="V40" s="270" t="n">
        <v>2.21856805664831</v>
      </c>
      <c r="W40" s="270" t="n">
        <v>0.959087332808812</v>
      </c>
      <c r="X40" s="270" t="n">
        <v>0.354087980448789</v>
      </c>
      <c r="Y40" s="269">
        <f>M40+X40</f>
        <v/>
      </c>
      <c r="Z40" s="275" t="n">
        <v>311</v>
      </c>
      <c r="AA40" s="275" t="n">
        <v>216</v>
      </c>
      <c r="AB40" s="270" t="n">
        <v>1713.89</v>
      </c>
      <c r="AC40" s="290" t="n"/>
      <c r="AD40" s="276" t="n">
        <v>0.017273939124639</v>
      </c>
      <c r="AE40" s="142">
        <f>AA40/D40</f>
        <v/>
      </c>
      <c r="AF40" s="270" t="n">
        <v>5.51090032154341</v>
      </c>
      <c r="AG40" s="277">
        <f>AD40*AF40</f>
        <v/>
      </c>
      <c r="AH40" s="118" t="n">
        <v>0.75</v>
      </c>
      <c r="AI40" s="118" t="n">
        <v>0.5403579254930611</v>
      </c>
      <c r="AJ40" s="270" t="n">
        <v>0.748778049322373</v>
      </c>
      <c r="AK40" s="64" t="n">
        <v>0.0909797822706065</v>
      </c>
      <c r="AL40" s="64" t="n">
        <v>0.0169962230615419</v>
      </c>
      <c r="AM40" s="119" t="n">
        <v>0.362697178404799</v>
      </c>
    </row>
    <row customHeight="1" hidden="1" ht="13.2" outlineLevel="1" r="41" s="3">
      <c r="A41" s="117" t="n">
        <v>43382</v>
      </c>
      <c r="B41" s="289" t="inlineStr">
        <is>
          <t>安卓</t>
        </is>
      </c>
      <c r="C41" s="268" t="n">
        <v>4052</v>
      </c>
      <c r="D41" s="268" t="n">
        <v>16873</v>
      </c>
      <c r="E41" s="269" t="n">
        <v>4.16411648568608</v>
      </c>
      <c r="F41" s="270" t="n">
        <v>0.593709964558762</v>
      </c>
      <c r="G41" s="271" t="n">
        <v>15.42</v>
      </c>
      <c r="I41" s="141" t="n">
        <v>0.421</v>
      </c>
      <c r="J41" s="141" t="n">
        <v>0.208</v>
      </c>
      <c r="K41" s="141" t="n">
        <v>0.103</v>
      </c>
      <c r="L41" s="270" t="n">
        <v>8.898773187933379</v>
      </c>
      <c r="M41" s="272" t="n">
        <v>8.46097315237362</v>
      </c>
      <c r="N41" s="270" t="n">
        <v>11.9786876992784</v>
      </c>
      <c r="O41" s="273">
        <f>M41/N41</f>
        <v/>
      </c>
      <c r="P41" s="270" t="n">
        <v>1.30172847793254</v>
      </c>
      <c r="Q41" s="270" t="n">
        <v>2.51812384628293</v>
      </c>
      <c r="R41" s="270" t="n">
        <v>1.58415841584158</v>
      </c>
      <c r="S41" s="270" t="n">
        <v>2.17368686021144</v>
      </c>
      <c r="T41" s="270" t="n">
        <v>0.85224030877664</v>
      </c>
      <c r="U41" s="270" t="n">
        <v>0.592884712200034</v>
      </c>
      <c r="V41" s="270" t="n">
        <v>2.06267830172848</v>
      </c>
      <c r="W41" s="270" t="n">
        <v>0.893186776304749</v>
      </c>
      <c r="X41" s="270" t="n">
        <v>0.336513957209743</v>
      </c>
      <c r="Y41" s="269">
        <f>M41+X41</f>
        <v/>
      </c>
      <c r="Z41" s="275" t="n">
        <v>219</v>
      </c>
      <c r="AA41" s="275" t="n">
        <v>164</v>
      </c>
      <c r="AB41" s="270" t="n">
        <v>1191.81</v>
      </c>
      <c r="AC41" s="290" t="n"/>
      <c r="AD41" s="276" t="n">
        <v>0.0129793160670894</v>
      </c>
      <c r="AE41" s="142">
        <f>AA41/D41</f>
        <v/>
      </c>
      <c r="AF41" s="270" t="n">
        <v>5.44205479452055</v>
      </c>
      <c r="AG41" s="277">
        <f>AD41*AF41</f>
        <v/>
      </c>
      <c r="AH41" s="118" t="n">
        <v>0.749753208292201</v>
      </c>
      <c r="AI41" s="118" t="n">
        <v>0.574777887462981</v>
      </c>
      <c r="AJ41" s="270" t="n">
        <v>0.766905707343092</v>
      </c>
      <c r="AK41" s="64" t="n">
        <v>0.101345344633438</v>
      </c>
      <c r="AL41" s="64" t="n">
        <v>0.0210395306110354</v>
      </c>
      <c r="AM41" s="119" t="n">
        <v>0.306525217803592</v>
      </c>
    </row>
    <row customHeight="1" hidden="1" ht="13.2" outlineLevel="1" r="42" s="3">
      <c r="A42" s="117" t="n">
        <v>43383</v>
      </c>
      <c r="B42" s="267" t="inlineStr">
        <is>
          <t>安卓</t>
        </is>
      </c>
      <c r="C42" s="268" t="n">
        <v>4397</v>
      </c>
      <c r="D42" s="268" t="n">
        <v>16384</v>
      </c>
      <c r="E42" s="269" t="n">
        <v>3.72617693882192</v>
      </c>
      <c r="F42" s="270" t="n">
        <v>0.5531726654663079</v>
      </c>
      <c r="G42" s="271" t="n">
        <v>16.21</v>
      </c>
      <c r="I42" s="141" t="n">
        <v>0.456</v>
      </c>
      <c r="J42" s="141" t="n">
        <v>0.195</v>
      </c>
      <c r="K42" s="141" t="n">
        <v>0.1</v>
      </c>
      <c r="L42" s="270" t="n">
        <v>8.21868896484375</v>
      </c>
      <c r="M42" s="272" t="n">
        <v>7.58709716796875</v>
      </c>
      <c r="N42" s="270" t="n">
        <v>10.9608500132263</v>
      </c>
      <c r="O42" s="273">
        <f>M42/N42</f>
        <v/>
      </c>
      <c r="P42" s="270" t="n">
        <v>1.32642624107222</v>
      </c>
      <c r="Q42" s="270" t="n">
        <v>2.15025130059078</v>
      </c>
      <c r="R42" s="270" t="n">
        <v>1.34088704699762</v>
      </c>
      <c r="S42" s="270" t="n">
        <v>2.14919319284014</v>
      </c>
      <c r="T42" s="270" t="n">
        <v>0.803721012256415</v>
      </c>
      <c r="U42" s="270" t="n">
        <v>0.620756547041707</v>
      </c>
      <c r="V42" s="270" t="n">
        <v>1.75663521735297</v>
      </c>
      <c r="W42" s="270" t="n">
        <v>0.812979455074508</v>
      </c>
      <c r="X42" s="270" t="n">
        <v>0.26666259765625</v>
      </c>
      <c r="Y42" s="269">
        <f>M42+X42</f>
        <v/>
      </c>
      <c r="Z42" s="275" t="n">
        <v>214</v>
      </c>
      <c r="AA42" s="275" t="n">
        <v>175</v>
      </c>
      <c r="AB42" s="270" t="n">
        <v>1044.86</v>
      </c>
      <c r="AC42" s="290" t="n"/>
      <c r="AD42" s="276" t="n">
        <v>0.0130615234375</v>
      </c>
      <c r="AE42" s="142">
        <f>AA42/D42</f>
        <v/>
      </c>
      <c r="AF42" s="270" t="n">
        <v>4.88252336448598</v>
      </c>
      <c r="AG42" s="277">
        <f>AD42*AF42</f>
        <v/>
      </c>
      <c r="AH42" s="118" t="n">
        <v>0.729133500113714</v>
      </c>
      <c r="AI42" s="118" t="n">
        <v>0.526722765521947</v>
      </c>
      <c r="AJ42" s="270" t="n">
        <v>0.8382568359375</v>
      </c>
      <c r="AK42" s="64" t="n">
        <v>0.11065673828125</v>
      </c>
      <c r="AL42" s="64" t="n">
        <v>0.023681640625</v>
      </c>
      <c r="AM42" s="119" t="n">
        <v>0</v>
      </c>
    </row>
    <row customHeight="1" hidden="1" ht="13.2" outlineLevel="1" r="43" s="3">
      <c r="A43" s="117" t="n">
        <v>43384</v>
      </c>
      <c r="B43" s="267" t="inlineStr">
        <is>
          <t>安卓</t>
        </is>
      </c>
      <c r="C43" s="268" t="n">
        <v>4414</v>
      </c>
      <c r="D43" s="268" t="n">
        <v>16485</v>
      </c>
      <c r="E43" s="269" t="n">
        <v>3.73470774807431</v>
      </c>
      <c r="F43" s="270" t="n">
        <v>0.499599905732484</v>
      </c>
      <c r="G43" s="271" t="n">
        <v>13.51</v>
      </c>
      <c r="I43" s="141" t="n">
        <v>0.442</v>
      </c>
      <c r="J43" s="141" t="n">
        <v>0.21</v>
      </c>
      <c r="K43" s="141" t="n">
        <v>0.095</v>
      </c>
      <c r="L43" s="270" t="n">
        <v>8.276857749469221</v>
      </c>
      <c r="M43" s="272" t="n">
        <v>7.61067637245981</v>
      </c>
      <c r="N43" s="270" t="n">
        <v>10.9144845585037</v>
      </c>
      <c r="O43" s="273">
        <f>M43/N43</f>
        <v/>
      </c>
      <c r="P43" s="270" t="n">
        <v>1.34684645498043</v>
      </c>
      <c r="Q43" s="270" t="n">
        <v>2.1115267507612</v>
      </c>
      <c r="R43" s="270" t="n">
        <v>1.31692040017399</v>
      </c>
      <c r="S43" s="270" t="n">
        <v>2.11587646802958</v>
      </c>
      <c r="T43" s="270" t="n">
        <v>0.874206176598521</v>
      </c>
      <c r="U43" s="270" t="n">
        <v>0.621835580687255</v>
      </c>
      <c r="V43" s="270" t="n">
        <v>1.71900826446281</v>
      </c>
      <c r="W43" s="270" t="n">
        <v>0.808264462809917</v>
      </c>
      <c r="X43" s="270" t="n">
        <v>0.275341219290264</v>
      </c>
      <c r="Y43" s="269">
        <f>M43+X43</f>
        <v/>
      </c>
      <c r="Z43" s="275" t="n">
        <v>209</v>
      </c>
      <c r="AA43" s="275" t="n">
        <v>167</v>
      </c>
      <c r="AB43" s="270" t="n">
        <v>1143.91</v>
      </c>
      <c r="AC43" s="290" t="n"/>
      <c r="AD43" s="276" t="n">
        <v>0.0126781922960267</v>
      </c>
      <c r="AE43" s="142">
        <f>AA43/D43</f>
        <v/>
      </c>
      <c r="AF43" s="270" t="n">
        <v>5.47325358851675</v>
      </c>
      <c r="AG43" s="277" t="n">
        <v>0.06939096148013341</v>
      </c>
      <c r="AH43" s="118" t="n">
        <v>0.7526053466243769</v>
      </c>
      <c r="AI43" s="118" t="n">
        <v>0.5394200271862259</v>
      </c>
      <c r="AJ43" s="270" t="n">
        <v>0.836396724294813</v>
      </c>
      <c r="AK43" s="64" t="n">
        <v>0.10706703063391</v>
      </c>
      <c r="AL43" s="64" t="n">
        <v>0.0231119199272066</v>
      </c>
      <c r="AM43" s="119" t="n">
        <v>0</v>
      </c>
    </row>
    <row customHeight="1" hidden="1" ht="13.2" outlineLevel="1" r="44" s="3">
      <c r="A44" s="117" t="n">
        <v>43385</v>
      </c>
      <c r="B44" s="267" t="inlineStr">
        <is>
          <t>安卓</t>
        </is>
      </c>
      <c r="C44" s="268" t="n">
        <v>4682</v>
      </c>
      <c r="D44" s="268" t="n">
        <v>16658</v>
      </c>
      <c r="E44" s="269" t="n">
        <v>3.5578812473302</v>
      </c>
      <c r="F44" s="270">
        <f>3.3*M44*G44/1000+AB44/D44*3.3*0.7</f>
        <v/>
      </c>
      <c r="G44" s="271" t="n">
        <v>14.24</v>
      </c>
      <c r="I44" s="141" t="n">
        <v>0.437</v>
      </c>
      <c r="J44" s="141" t="n">
        <v>0.199</v>
      </c>
      <c r="K44" s="141" t="n">
        <v>0.08599999999999999</v>
      </c>
      <c r="L44" s="270" t="n">
        <v>8.14833713531036</v>
      </c>
      <c r="M44" s="272" t="n">
        <v>7.67391043342538</v>
      </c>
      <c r="N44" s="270" t="n">
        <v>11.0801768223975</v>
      </c>
      <c r="O44" s="273">
        <f>M44/N44</f>
        <v/>
      </c>
      <c r="P44" s="270" t="n">
        <v>1.52552656669845</v>
      </c>
      <c r="Q44" s="270" t="n">
        <v>2.11640807835659</v>
      </c>
      <c r="R44" s="270" t="n">
        <v>1.27485481494323</v>
      </c>
      <c r="S44" s="270" t="n">
        <v>2.09309179162694</v>
      </c>
      <c r="T44" s="270" t="n">
        <v>0.952587327728179</v>
      </c>
      <c r="U44" s="270" t="n">
        <v>0.608563751408512</v>
      </c>
      <c r="V44" s="270" t="n">
        <v>1.69645488428534</v>
      </c>
      <c r="W44" s="270" t="n">
        <v>0.812689607350264</v>
      </c>
      <c r="X44" s="270" t="n">
        <v>0.287969744267019</v>
      </c>
      <c r="Y44" s="269">
        <f>M44+X44</f>
        <v/>
      </c>
      <c r="Z44" s="275" t="n">
        <v>214</v>
      </c>
      <c r="AA44" s="275" t="n">
        <v>158</v>
      </c>
      <c r="AB44" s="270" t="n">
        <v>969.86</v>
      </c>
      <c r="AC44" s="290" t="n"/>
      <c r="AD44" s="276" t="n">
        <v>0.0128466802737423</v>
      </c>
      <c r="AE44" s="142">
        <f>AA44/D44</f>
        <v/>
      </c>
      <c r="AF44" s="270" t="n">
        <v>4.53205607476636</v>
      </c>
      <c r="AG44" s="277" t="n">
        <v>0.0582218753751951</v>
      </c>
      <c r="AH44" s="118" t="n">
        <v>0.719777872703973</v>
      </c>
      <c r="AI44" s="118" t="n">
        <v>0.49700982486117</v>
      </c>
      <c r="AJ44" s="270" t="n">
        <v>0.824168567655181</v>
      </c>
      <c r="AK44" s="64" t="n">
        <v>0.100132068675711</v>
      </c>
      <c r="AL44" s="64" t="n">
        <v>0.0220914875735382</v>
      </c>
      <c r="AM44" s="119" t="n">
        <v>0</v>
      </c>
    </row>
    <row customHeight="1" hidden="1" ht="13.2" outlineLevel="1" r="45" s="3">
      <c r="A45" s="117" t="n">
        <v>43386</v>
      </c>
      <c r="B45" s="289" t="inlineStr">
        <is>
          <t>安卓</t>
        </is>
      </c>
      <c r="C45" s="268" t="n">
        <v>8067</v>
      </c>
      <c r="D45" s="268" t="n">
        <v>19886</v>
      </c>
      <c r="E45" s="269" t="n">
        <v>2.4651047477377</v>
      </c>
      <c r="F45" s="270">
        <f>3.3*M45*G45/1000+AB45/D45*3.3*0.7</f>
        <v/>
      </c>
      <c r="G45" s="271" t="n">
        <v>12.45</v>
      </c>
      <c r="I45" s="141" t="n">
        <v>0.367</v>
      </c>
      <c r="J45" s="141" t="n">
        <v>0.163</v>
      </c>
      <c r="K45" s="141" t="n">
        <v>0.07000000000000001</v>
      </c>
      <c r="L45" s="270" t="n">
        <v>9.08076033390325</v>
      </c>
      <c r="M45" s="272" t="n">
        <v>9.31233028261088</v>
      </c>
      <c r="N45" s="270" t="n">
        <v>13.8249346771183</v>
      </c>
      <c r="O45" s="273">
        <f>M45/N45</f>
        <v/>
      </c>
      <c r="P45" s="270" t="n">
        <v>2.2160507652109</v>
      </c>
      <c r="Q45" s="270" t="n">
        <v>2.55916386711459</v>
      </c>
      <c r="R45" s="270" t="n">
        <v>1.95349010824935</v>
      </c>
      <c r="S45" s="270" t="n">
        <v>2.18014184397163</v>
      </c>
      <c r="T45" s="270" t="n">
        <v>1.29040686823442</v>
      </c>
      <c r="U45" s="270" t="n">
        <v>0.591414706980216</v>
      </c>
      <c r="V45" s="270" t="n">
        <v>2.10160507652109</v>
      </c>
      <c r="W45" s="270" t="n">
        <v>0.932661440836133</v>
      </c>
      <c r="X45" s="270" t="n">
        <v>0.419189379462939</v>
      </c>
      <c r="Y45" s="269">
        <f>M45+X45</f>
        <v/>
      </c>
      <c r="Z45" s="275" t="n">
        <v>257</v>
      </c>
      <c r="AA45" s="275" t="n">
        <v>189</v>
      </c>
      <c r="AB45" s="270" t="n">
        <v>1445.43</v>
      </c>
      <c r="AC45" s="290" t="n"/>
      <c r="AD45" s="276" t="n">
        <v>0.0129236648898723</v>
      </c>
      <c r="AE45" s="142">
        <f>AA45/D45</f>
        <v/>
      </c>
      <c r="AF45" s="270" t="n">
        <v>5.62424124513619</v>
      </c>
      <c r="AG45" s="277" t="n">
        <v>0.0726858091119381</v>
      </c>
      <c r="AH45" s="118" t="n">
        <v>0.651419362836246</v>
      </c>
      <c r="AI45" s="118" t="n">
        <v>0.439320689227718</v>
      </c>
      <c r="AJ45" s="270" t="n">
        <v>0.5958463240470681</v>
      </c>
      <c r="AK45" s="64" t="n">
        <v>0.0776928492406718</v>
      </c>
      <c r="AL45" s="64" t="n">
        <v>0.0154379965805089</v>
      </c>
      <c r="AM45" s="119" t="n">
        <v>0.352911596097757</v>
      </c>
    </row>
    <row customHeight="1" hidden="1" ht="13.2" outlineLevel="1" r="46" s="3">
      <c r="A46" s="117" t="n">
        <v>43387</v>
      </c>
      <c r="B46" s="289" t="inlineStr">
        <is>
          <t>安卓</t>
        </is>
      </c>
      <c r="C46" s="268" t="n">
        <v>6499</v>
      </c>
      <c r="D46" s="268" t="n">
        <v>19630</v>
      </c>
      <c r="E46" s="269" t="n">
        <v>3.0204646868749</v>
      </c>
      <c r="F46" s="270" t="n">
        <v>0.587699397249108</v>
      </c>
      <c r="G46" s="271" t="n">
        <v>13.09</v>
      </c>
      <c r="I46" s="141" t="n">
        <v>0.4</v>
      </c>
      <c r="J46" s="141" t="n">
        <v>0.177</v>
      </c>
      <c r="K46" s="141" t="n">
        <v>0.093</v>
      </c>
      <c r="L46" s="270" t="n">
        <v>9.46897605705553</v>
      </c>
      <c r="M46" s="272" t="n">
        <v>9.76790626591951</v>
      </c>
      <c r="N46" s="270" t="n">
        <v>13.8553363682347</v>
      </c>
      <c r="O46" s="273">
        <f>M46/N46</f>
        <v/>
      </c>
      <c r="P46" s="270" t="n">
        <v>2.16316207818484</v>
      </c>
      <c r="Q46" s="270" t="n">
        <v>2.66811185779319</v>
      </c>
      <c r="R46" s="270" t="n">
        <v>1.83019004263314</v>
      </c>
      <c r="S46" s="270" t="n">
        <v>2.18924777801864</v>
      </c>
      <c r="T46" s="270" t="n">
        <v>1.35399956644266</v>
      </c>
      <c r="U46" s="270" t="n">
        <v>0.594334850784016</v>
      </c>
      <c r="V46" s="270" t="n">
        <v>2.08663920803526</v>
      </c>
      <c r="W46" s="270" t="n">
        <v>0.969650986342944</v>
      </c>
      <c r="X46" s="270" t="n">
        <v>0.53458991339786</v>
      </c>
      <c r="Y46" s="269">
        <f>M46+X46</f>
        <v/>
      </c>
      <c r="Z46" s="275" t="n">
        <v>244</v>
      </c>
      <c r="AA46" s="275" t="n">
        <v>184</v>
      </c>
      <c r="AB46" s="270" t="n">
        <v>1408.56</v>
      </c>
      <c r="AC46" s="290" t="n"/>
      <c r="AD46" s="276" t="n">
        <v>0.0124299541518085</v>
      </c>
      <c r="AE46" s="142">
        <f>AA46/D46</f>
        <v/>
      </c>
      <c r="AF46" s="270" t="n">
        <v>5.7727868852459</v>
      </c>
      <c r="AG46" s="277" t="n">
        <v>0.07175547631176769</v>
      </c>
      <c r="AH46" s="118" t="n">
        <v>0.725803969841514</v>
      </c>
      <c r="AI46" s="118" t="n">
        <v>0.5236190183105091</v>
      </c>
      <c r="AJ46" s="270" t="n">
        <v>0.608405501782985</v>
      </c>
      <c r="AK46" s="64" t="n">
        <v>0.0767702496179317</v>
      </c>
      <c r="AL46" s="64" t="n">
        <v>0.0140091696383087</v>
      </c>
      <c r="AM46" s="119" t="n">
        <v>0.377840040753948</v>
      </c>
    </row>
    <row customHeight="1" hidden="1" ht="13.2" outlineLevel="1" r="47" s="3">
      <c r="A47" s="117" t="n">
        <v>43388</v>
      </c>
      <c r="B47" s="289" t="inlineStr">
        <is>
          <t>安卓</t>
        </is>
      </c>
      <c r="C47" s="268" t="n">
        <v>3165</v>
      </c>
      <c r="D47" s="268" t="n">
        <v>16614</v>
      </c>
      <c r="E47" s="269" t="n">
        <v>5.24928909952607</v>
      </c>
      <c r="F47" s="270" t="n">
        <v>0.551853011375948</v>
      </c>
      <c r="G47" s="271" t="n">
        <v>12.87</v>
      </c>
      <c r="I47" s="141" t="n">
        <v>0.357</v>
      </c>
      <c r="J47" s="141" t="n">
        <v>0.165</v>
      </c>
      <c r="K47" s="141" t="n">
        <v>0.094</v>
      </c>
      <c r="L47" s="270" t="n">
        <v>9.54694835680751</v>
      </c>
      <c r="M47" s="272" t="n">
        <v>9.820693391115929</v>
      </c>
      <c r="N47" s="270" t="n">
        <v>13.6502133355643</v>
      </c>
      <c r="O47" s="273">
        <f>M47/N47</f>
        <v/>
      </c>
      <c r="P47" s="270" t="n">
        <v>2.11101815443822</v>
      </c>
      <c r="Q47" s="270" t="n">
        <v>2.73998159457877</v>
      </c>
      <c r="R47" s="270" t="n">
        <v>1.79862795950807</v>
      </c>
      <c r="S47" s="270" t="n">
        <v>2.10750439220279</v>
      </c>
      <c r="T47" s="270" t="n">
        <v>1.38350204969464</v>
      </c>
      <c r="U47" s="270" t="n">
        <v>0.5491508407931061</v>
      </c>
      <c r="V47" s="270" t="n">
        <v>2.02124989542374</v>
      </c>
      <c r="W47" s="270" t="n">
        <v>0.9391784489249561</v>
      </c>
      <c r="X47" s="270" t="n">
        <v>0.498435054773083</v>
      </c>
      <c r="Y47" s="269">
        <f>M47+X47</f>
        <v/>
      </c>
      <c r="Z47" s="275" t="n">
        <v>179</v>
      </c>
      <c r="AA47" s="275" t="n">
        <v>144</v>
      </c>
      <c r="AB47" s="270" t="n">
        <v>969.21</v>
      </c>
      <c r="AC47" s="290" t="n"/>
      <c r="AD47" s="276" t="n">
        <v>0.0107740459853136</v>
      </c>
      <c r="AE47" s="142">
        <f>AA47/D47</f>
        <v/>
      </c>
      <c r="AF47" s="270" t="n">
        <v>5.41458100558659</v>
      </c>
      <c r="AG47" s="277" t="n">
        <v>0.0583369447453955</v>
      </c>
      <c r="AH47" s="118" t="n">
        <v>0.814849921011058</v>
      </c>
      <c r="AI47" s="118" t="n">
        <v>0.719747235387046</v>
      </c>
      <c r="AJ47" s="270" t="n">
        <v>0.66179126038281</v>
      </c>
      <c r="AK47" s="64" t="n">
        <v>0.0846876128566269</v>
      </c>
      <c r="AL47" s="64" t="n">
        <v>0.0167328758878055</v>
      </c>
      <c r="AM47" s="119" t="n">
        <v>0.40796918261707</v>
      </c>
    </row>
    <row customHeight="1" hidden="1" ht="13.2" outlineLevel="1" r="48" s="3">
      <c r="A48" s="120" t="n">
        <v>43389</v>
      </c>
      <c r="B48" s="289" t="inlineStr">
        <is>
          <t>安卓</t>
        </is>
      </c>
      <c r="C48" s="268" t="n">
        <v>1533</v>
      </c>
      <c r="D48" s="268" t="n">
        <v>13712</v>
      </c>
      <c r="E48" s="269" t="n">
        <v>8.94455316373125</v>
      </c>
      <c r="F48" s="270">
        <f>3.3*M48*G48/1000+AB48/D48*3.3*0.7</f>
        <v/>
      </c>
      <c r="G48" s="271" t="n">
        <v>16.14</v>
      </c>
      <c r="I48" s="141" t="n">
        <v>0.474</v>
      </c>
      <c r="J48" s="141" t="n">
        <v>0.222</v>
      </c>
      <c r="K48" s="141" t="n">
        <v>0.1</v>
      </c>
      <c r="L48" s="270" t="n">
        <v>8.722287047841309</v>
      </c>
      <c r="M48" s="272" t="n">
        <v>8.986945740956831</v>
      </c>
      <c r="N48" s="270" t="n">
        <v>12.573104785226</v>
      </c>
      <c r="O48" s="273">
        <f>M48/N48</f>
        <v/>
      </c>
      <c r="P48" s="270" t="n">
        <v>1.98010407101316</v>
      </c>
      <c r="Q48" s="270" t="n">
        <v>2.5016835016835</v>
      </c>
      <c r="R48" s="270" t="n">
        <v>1.60422405876951</v>
      </c>
      <c r="S48" s="270" t="n">
        <v>1.96847260483624</v>
      </c>
      <c r="T48" s="270" t="n">
        <v>1.30813182328334</v>
      </c>
      <c r="U48" s="270" t="n">
        <v>0.506478930721355</v>
      </c>
      <c r="V48" s="270" t="n">
        <v>1.87480869299051</v>
      </c>
      <c r="W48" s="270" t="n">
        <v>0.829201101928375</v>
      </c>
      <c r="X48" s="270" t="n">
        <v>0.507584597432906</v>
      </c>
      <c r="Y48" s="269">
        <f>M48+X48</f>
        <v/>
      </c>
      <c r="Z48" s="275" t="n">
        <v>150</v>
      </c>
      <c r="AA48" s="275" t="n">
        <v>108</v>
      </c>
      <c r="AB48" s="270" t="n">
        <v>719.5</v>
      </c>
      <c r="AC48" s="290" t="n"/>
      <c r="AD48" s="276" t="n">
        <v>0.0109393232205368</v>
      </c>
      <c r="AE48" s="142">
        <f>AA48/D48</f>
        <v/>
      </c>
      <c r="AF48" s="270" t="n">
        <v>4.79666666666667</v>
      </c>
      <c r="AG48" s="277" t="n">
        <v>0.0524722870478413</v>
      </c>
      <c r="AH48" s="118" t="n">
        <v>0.784083496412263</v>
      </c>
      <c r="AI48" s="118" t="n">
        <v>0.7573385518591</v>
      </c>
      <c r="AJ48" s="270" t="n">
        <v>0.6839264877479579</v>
      </c>
      <c r="AK48" s="64" t="n">
        <v>0.0962660443407235</v>
      </c>
      <c r="AL48" s="64" t="n">
        <v>0.0234830805134189</v>
      </c>
      <c r="AM48" s="119" t="n">
        <v>0.494311551925321</v>
      </c>
    </row>
    <row customHeight="1" hidden="1" ht="13.2" outlineLevel="1" r="49" s="3">
      <c r="A49" s="117" t="n">
        <v>43390</v>
      </c>
      <c r="B49" s="267" t="inlineStr">
        <is>
          <t>安卓</t>
        </is>
      </c>
      <c r="C49" s="268" t="n">
        <v>2831</v>
      </c>
      <c r="D49" s="268" t="n">
        <v>13652</v>
      </c>
      <c r="E49" s="269" t="n">
        <v>4.82232426704345</v>
      </c>
      <c r="F49" s="270" t="n">
        <v>0.495230622912394</v>
      </c>
      <c r="G49" s="271" t="n">
        <v>13.07</v>
      </c>
      <c r="I49" s="141" t="n">
        <v>0.423</v>
      </c>
      <c r="J49" s="141" t="n">
        <v>0.2</v>
      </c>
      <c r="K49" s="141" t="n">
        <v>0.093</v>
      </c>
      <c r="L49" s="270" t="n">
        <v>7.956782888954</v>
      </c>
      <c r="M49" s="272" t="n">
        <v>7.7456782888954</v>
      </c>
      <c r="N49" s="270" t="n">
        <v>11.2986430174164</v>
      </c>
      <c r="O49" s="273">
        <f>M49/N49</f>
        <v/>
      </c>
      <c r="P49" s="270" t="n">
        <v>1.87584143605086</v>
      </c>
      <c r="Q49" s="270" t="n">
        <v>2.03045197136446</v>
      </c>
      <c r="R49" s="270" t="n">
        <v>1.2320760765039</v>
      </c>
      <c r="S49" s="270" t="n">
        <v>2.02425472806924</v>
      </c>
      <c r="T49" s="270" t="n">
        <v>1.13484346618228</v>
      </c>
      <c r="U49" s="270" t="n">
        <v>0.576984720589807</v>
      </c>
      <c r="V49" s="270" t="n">
        <v>1.64600918901592</v>
      </c>
      <c r="W49" s="270" t="n">
        <v>0.778181429639919</v>
      </c>
      <c r="X49" s="270" t="n">
        <v>0.321711104600059</v>
      </c>
      <c r="Y49" s="269">
        <f>M49+X49</f>
        <v/>
      </c>
      <c r="Z49" s="275" t="n">
        <v>160</v>
      </c>
      <c r="AA49" s="275" t="n">
        <v>112</v>
      </c>
      <c r="AB49" s="270" t="n">
        <v>952.4</v>
      </c>
      <c r="AC49" s="290" t="n"/>
      <c r="AD49" s="276" t="n">
        <v>0.0117198945209493</v>
      </c>
      <c r="AE49" s="142">
        <f>AA49/D49</f>
        <v/>
      </c>
      <c r="AF49" s="270" t="n">
        <v>5.9525</v>
      </c>
      <c r="AG49" s="277" t="n">
        <v>0.0697626721359508</v>
      </c>
      <c r="AH49" s="118" t="n">
        <v>0.723419286471212</v>
      </c>
      <c r="AI49" s="118" t="n">
        <v>0.510420346167432</v>
      </c>
      <c r="AJ49" s="270" t="n">
        <v>0.7709493114561971</v>
      </c>
      <c r="AK49" s="64" t="n">
        <v>0.104673307940229</v>
      </c>
      <c r="AL49" s="64" t="n">
        <v>0.027395253442719</v>
      </c>
      <c r="AM49" s="119" t="n">
        <v>0</v>
      </c>
    </row>
    <row customHeight="1" hidden="1" ht="13.2" outlineLevel="1" r="50" s="3">
      <c r="A50" s="117" t="n">
        <v>43391</v>
      </c>
      <c r="B50" s="267" t="inlineStr">
        <is>
          <t>安卓</t>
        </is>
      </c>
      <c r="C50" s="268" t="n">
        <v>2666</v>
      </c>
      <c r="D50" s="268" t="n">
        <v>12776</v>
      </c>
      <c r="E50" s="269" t="n">
        <v>4.79219804951238</v>
      </c>
      <c r="F50" s="270" t="n">
        <v>0.5148942266750161</v>
      </c>
      <c r="G50" s="271" t="n">
        <v>14.09</v>
      </c>
      <c r="I50" s="141" t="n">
        <v>0.435</v>
      </c>
      <c r="J50" s="141" t="n">
        <v>0.196</v>
      </c>
      <c r="K50" s="141" t="n">
        <v>0.092</v>
      </c>
      <c r="L50" s="270" t="n">
        <v>8.34447401377583</v>
      </c>
      <c r="M50" s="272" t="n">
        <v>8.360989355040701</v>
      </c>
      <c r="N50" s="270" t="n">
        <v>12.1386363636364</v>
      </c>
      <c r="O50" s="273">
        <f>M50/N50</f>
        <v/>
      </c>
      <c r="P50" s="270" t="n">
        <v>2.02420454545455</v>
      </c>
      <c r="Q50" s="270" t="n">
        <v>2.14113636363636</v>
      </c>
      <c r="R50" s="270" t="n">
        <v>1.27352272727273</v>
      </c>
      <c r="S50" s="270" t="n">
        <v>2.29454545454545</v>
      </c>
      <c r="T50" s="270" t="n">
        <v>1.23352272727273</v>
      </c>
      <c r="U50" s="270" t="n">
        <v>0.608522727272727</v>
      </c>
      <c r="V50" s="270" t="n">
        <v>1.75727272727273</v>
      </c>
      <c r="W50" s="270" t="n">
        <v>0.805909090909091</v>
      </c>
      <c r="X50" s="270" t="n">
        <v>0.377348152786475</v>
      </c>
      <c r="Y50" s="269">
        <f>M50+X50</f>
        <v/>
      </c>
      <c r="Z50" s="275" t="n">
        <v>139</v>
      </c>
      <c r="AA50" s="275" t="n">
        <v>107</v>
      </c>
      <c r="AB50" s="270" t="n">
        <v>697.61</v>
      </c>
      <c r="AC50" s="290" t="n"/>
      <c r="AD50" s="276" t="n">
        <v>0.0108797745773325</v>
      </c>
      <c r="AE50" s="142">
        <f>AA50/D50</f>
        <v/>
      </c>
      <c r="AF50" s="270" t="n">
        <v>5.01877697841727</v>
      </c>
      <c r="AG50" s="277" t="n">
        <v>0.0546031621790858</v>
      </c>
      <c r="AH50" s="118" t="n">
        <v>0.707426856714179</v>
      </c>
      <c r="AI50" s="118" t="n">
        <v>0.535633908477119</v>
      </c>
      <c r="AJ50" s="270" t="n">
        <v>0.797354414527239</v>
      </c>
      <c r="AK50" s="64" t="n">
        <v>0.106684408265498</v>
      </c>
      <c r="AL50" s="64" t="n">
        <v>0.0294301815904822</v>
      </c>
      <c r="AM50" s="119" t="n">
        <v>0</v>
      </c>
    </row>
    <row customHeight="1" hidden="1" ht="13.2" outlineLevel="1" r="51" s="3">
      <c r="A51" s="117" t="n">
        <v>43392</v>
      </c>
      <c r="B51" s="267" t="inlineStr">
        <is>
          <t>安卓</t>
        </is>
      </c>
      <c r="C51" s="268" t="n">
        <v>2399</v>
      </c>
      <c r="D51" s="268" t="n">
        <v>12112</v>
      </c>
      <c r="E51" s="269" t="n">
        <v>5.04877032096707</v>
      </c>
      <c r="F51" s="270" t="n">
        <v>0.522233059280053</v>
      </c>
      <c r="G51" s="271" t="n">
        <v>13.62</v>
      </c>
      <c r="I51" s="141" t="n">
        <v>0.431</v>
      </c>
      <c r="J51" s="141" t="n">
        <v>0.188</v>
      </c>
      <c r="K51" s="141" t="n">
        <v>0.08500000000000001</v>
      </c>
      <c r="L51" s="270" t="n">
        <v>8.287070673712019</v>
      </c>
      <c r="M51" s="272" t="n">
        <v>7.99694517833553</v>
      </c>
      <c r="N51" s="270" t="n">
        <v>11.7976857490865</v>
      </c>
      <c r="O51" s="273">
        <f>M51/N51</f>
        <v/>
      </c>
      <c r="P51" s="270" t="n">
        <v>1.97868453105968</v>
      </c>
      <c r="Q51" s="270" t="n">
        <v>2.08964677222899</v>
      </c>
      <c r="R51" s="270" t="n">
        <v>1.21473812423873</v>
      </c>
      <c r="S51" s="270" t="n">
        <v>2.30231425091352</v>
      </c>
      <c r="T51" s="270" t="n">
        <v>1.21096224116931</v>
      </c>
      <c r="U51" s="270" t="n">
        <v>0.560292326431181</v>
      </c>
      <c r="V51" s="270" t="n">
        <v>1.65834348355664</v>
      </c>
      <c r="W51" s="270" t="n">
        <v>0.782704019488429</v>
      </c>
      <c r="X51" s="270" t="n">
        <v>0.355019815059445</v>
      </c>
      <c r="Y51" s="269">
        <f>M51+X51</f>
        <v/>
      </c>
      <c r="Z51" s="275" t="n">
        <v>138</v>
      </c>
      <c r="AA51" s="275" t="n">
        <v>96</v>
      </c>
      <c r="AB51" s="270" t="n">
        <v>853.62</v>
      </c>
      <c r="AC51" s="290" t="n"/>
      <c r="AD51" s="276" t="n">
        <v>0.0113936591809775</v>
      </c>
      <c r="AE51" s="142">
        <f>AA51/D51</f>
        <v/>
      </c>
      <c r="AF51" s="270" t="n">
        <v>6.18565217391304</v>
      </c>
      <c r="AG51" s="277" t="n">
        <v>0.07047721268163799</v>
      </c>
      <c r="AH51" s="118" t="n">
        <v>0.722384326802834</v>
      </c>
      <c r="AI51" s="118" t="n">
        <v>0.537307211338057</v>
      </c>
      <c r="AJ51" s="270" t="n">
        <v>0.759990092470277</v>
      </c>
      <c r="AK51" s="64" t="n">
        <v>0.104029062087186</v>
      </c>
      <c r="AL51" s="64" t="n">
        <v>0.0286492734478203</v>
      </c>
      <c r="AM51" s="119" t="n">
        <v>0</v>
      </c>
    </row>
    <row customHeight="1" hidden="1" ht="13.2" outlineLevel="1" r="52" s="3">
      <c r="A52" s="117" t="n">
        <v>43393</v>
      </c>
      <c r="B52" s="289" t="inlineStr">
        <is>
          <t>安卓</t>
        </is>
      </c>
      <c r="C52" s="268" t="n">
        <v>3045</v>
      </c>
      <c r="D52" s="268" t="n">
        <v>12250</v>
      </c>
      <c r="E52" s="269" t="n">
        <v>4.02298850574713</v>
      </c>
      <c r="F52" s="270" t="n">
        <v>0.662091125142857</v>
      </c>
      <c r="G52" s="271" t="n">
        <v>14.49</v>
      </c>
      <c r="I52" s="141" t="n">
        <v>0.4</v>
      </c>
      <c r="J52" s="141" t="n">
        <v>0.177</v>
      </c>
      <c r="K52" s="141" t="n">
        <v>0.092</v>
      </c>
      <c r="L52" s="270" t="n">
        <v>9.323918367346939</v>
      </c>
      <c r="M52" s="272" t="n">
        <v>9.79583673469388</v>
      </c>
      <c r="N52" s="270" t="n">
        <v>14.2941036331149</v>
      </c>
      <c r="O52" s="273">
        <f>M52/N52</f>
        <v/>
      </c>
      <c r="P52" s="270" t="n">
        <v>2.47135199523526</v>
      </c>
      <c r="Q52" s="270" t="n">
        <v>2.77808219178082</v>
      </c>
      <c r="R52" s="270" t="n">
        <v>1.34746873138773</v>
      </c>
      <c r="S52" s="270" t="n">
        <v>2.39547349612865</v>
      </c>
      <c r="T52" s="270" t="n">
        <v>1.60941036331149</v>
      </c>
      <c r="U52" s="270" t="n">
        <v>0.525193567599762</v>
      </c>
      <c r="V52" s="270" t="n">
        <v>2.24026206075045</v>
      </c>
      <c r="W52" s="270" t="n">
        <v>0.926861226920786</v>
      </c>
      <c r="X52" s="270" t="n">
        <v>0.539918367346939</v>
      </c>
      <c r="Y52" s="269">
        <f>M52+X52</f>
        <v/>
      </c>
      <c r="Z52" s="275" t="n">
        <v>189</v>
      </c>
      <c r="AA52" s="275" t="n">
        <v>138</v>
      </c>
      <c r="AB52" s="270" t="n">
        <v>1027.11</v>
      </c>
      <c r="AC52" s="290" t="n"/>
      <c r="AD52" s="276" t="n">
        <v>0.0154285714285714</v>
      </c>
      <c r="AE52" s="142">
        <f>AA52/D52</f>
        <v/>
      </c>
      <c r="AF52" s="270" t="n">
        <v>5.43444444444444</v>
      </c>
      <c r="AG52" s="277" t="n">
        <v>0.0838457142857143</v>
      </c>
      <c r="AH52" s="118" t="n">
        <v>0.692282430213465</v>
      </c>
      <c r="AI52" s="118" t="n">
        <v>0.474548440065681</v>
      </c>
      <c r="AJ52" s="270" t="n">
        <v>0.631183673469388</v>
      </c>
      <c r="AK52" s="64" t="n">
        <v>0.0933877551020408</v>
      </c>
      <c r="AL52" s="64" t="n">
        <v>0.0266938775510204</v>
      </c>
      <c r="AM52" s="119" t="n">
        <v>0.389469387755102</v>
      </c>
    </row>
    <row customHeight="1" hidden="1" ht="13.2" outlineLevel="1" r="53" s="3">
      <c r="A53" s="117" t="n">
        <v>43394</v>
      </c>
      <c r="B53" s="289" t="inlineStr">
        <is>
          <t>安卓</t>
        </is>
      </c>
      <c r="C53" s="268" t="n">
        <v>3016</v>
      </c>
      <c r="D53" s="268" t="n">
        <v>12520</v>
      </c>
      <c r="E53" s="269" t="n">
        <v>4.15119363395225</v>
      </c>
      <c r="F53" s="270" t="n">
        <v>0.707873592891374</v>
      </c>
      <c r="G53" s="271" t="n">
        <v>14.37</v>
      </c>
      <c r="I53" s="141" t="n">
        <v>0.378</v>
      </c>
      <c r="J53" s="141" t="n">
        <v>0.173</v>
      </c>
      <c r="K53" s="141" t="n">
        <v>0.091</v>
      </c>
      <c r="L53" s="270" t="n">
        <v>9.52603833865815</v>
      </c>
      <c r="M53" s="272" t="n">
        <v>10.0976837060703</v>
      </c>
      <c r="N53" s="270" t="n">
        <v>14.5782979704797</v>
      </c>
      <c r="O53" s="273">
        <f>M53/N53</f>
        <v/>
      </c>
      <c r="P53" s="270" t="n">
        <v>2.34375</v>
      </c>
      <c r="Q53" s="270" t="n">
        <v>2.8244926199262</v>
      </c>
      <c r="R53" s="270" t="n">
        <v>1.51499077490775</v>
      </c>
      <c r="S53" s="270" t="n">
        <v>2.64817804428044</v>
      </c>
      <c r="T53" s="270" t="n">
        <v>1.49838560885609</v>
      </c>
      <c r="U53" s="270" t="n">
        <v>0.545087638376384</v>
      </c>
      <c r="V53" s="270" t="n">
        <v>2.26568265682657</v>
      </c>
      <c r="W53" s="270" t="n">
        <v>0.937730627306273</v>
      </c>
      <c r="X53" s="270" t="n">
        <v>0.523242811501597</v>
      </c>
      <c r="Y53" s="269">
        <f>M53+X53</f>
        <v/>
      </c>
      <c r="Z53" s="275" t="n">
        <v>167</v>
      </c>
      <c r="AA53" s="275" t="n">
        <v>135</v>
      </c>
      <c r="AB53" s="270" t="n">
        <v>1241.33</v>
      </c>
      <c r="AC53" s="290" t="n"/>
      <c r="AD53" s="276" t="n">
        <v>0.0133386581469649</v>
      </c>
      <c r="AE53" s="142">
        <f>AA53/D53</f>
        <v/>
      </c>
      <c r="AF53" s="270" t="n">
        <v>7.43311377245509</v>
      </c>
      <c r="AG53" s="277" t="n">
        <v>0.0991477635782748</v>
      </c>
      <c r="AH53" s="118" t="n">
        <v>0.711870026525199</v>
      </c>
      <c r="AI53" s="118" t="n">
        <v>0.469496021220159</v>
      </c>
      <c r="AJ53" s="270" t="n">
        <v>0.65223642172524</v>
      </c>
      <c r="AK53" s="64" t="n">
        <v>0.0872204472843451</v>
      </c>
      <c r="AL53" s="64" t="n">
        <v>0.0247603833865815</v>
      </c>
      <c r="AM53" s="119" t="n">
        <v>0.400079872204473</v>
      </c>
    </row>
    <row customHeight="1" hidden="1" ht="13.2" outlineLevel="1" r="54" s="3">
      <c r="A54" s="117" t="n">
        <v>43395</v>
      </c>
      <c r="B54" s="289" t="inlineStr">
        <is>
          <t>安卓</t>
        </is>
      </c>
      <c r="C54" s="268" t="n">
        <v>2986</v>
      </c>
      <c r="D54" s="268" t="n">
        <v>12467</v>
      </c>
      <c r="E54" s="269" t="n">
        <v>4.17515070328198</v>
      </c>
      <c r="F54" s="270" t="n">
        <v>0.642356792331756</v>
      </c>
      <c r="G54" s="271" t="n">
        <v>13.97</v>
      </c>
      <c r="I54" s="141" t="n">
        <v>0.389</v>
      </c>
      <c r="J54" s="141" t="n">
        <v>0.181</v>
      </c>
      <c r="K54" s="141" t="n">
        <v>0.09</v>
      </c>
      <c r="L54" s="270" t="n">
        <v>9.224272078286679</v>
      </c>
      <c r="M54" s="272" t="n">
        <v>9.619796262132031</v>
      </c>
      <c r="N54" s="270" t="n">
        <v>13.8936515291937</v>
      </c>
      <c r="O54" s="273">
        <f>M54/N54</f>
        <v/>
      </c>
      <c r="P54" s="270" t="n">
        <v>2.20678869323448</v>
      </c>
      <c r="Q54" s="270" t="n">
        <v>2.60530583873957</v>
      </c>
      <c r="R54" s="270" t="n">
        <v>1.54668674698795</v>
      </c>
      <c r="S54" s="270" t="n">
        <v>2.57147822057461</v>
      </c>
      <c r="T54" s="270" t="n">
        <v>1.46316033364226</v>
      </c>
      <c r="U54" s="270" t="n">
        <v>0.531047265987025</v>
      </c>
      <c r="V54" s="270" t="n">
        <v>2.08700185356812</v>
      </c>
      <c r="W54" s="270" t="n">
        <v>0.882182576459685</v>
      </c>
      <c r="X54" s="270" t="n">
        <v>0.582337370658539</v>
      </c>
      <c r="Y54" s="269">
        <f>M54+X54</f>
        <v/>
      </c>
      <c r="Z54" s="275" t="n">
        <v>168</v>
      </c>
      <c r="AA54" s="275" t="n">
        <v>126</v>
      </c>
      <c r="AB54" s="270" t="n">
        <v>1073.32</v>
      </c>
      <c r="AC54" s="290" t="n"/>
      <c r="AD54" s="276" t="n">
        <v>0.0134755755193711</v>
      </c>
      <c r="AE54" s="142">
        <f>AA54/D54</f>
        <v/>
      </c>
      <c r="AF54" s="270" t="n">
        <v>6.38880952380952</v>
      </c>
      <c r="AG54" s="277" t="n">
        <v>0.08609288521697279</v>
      </c>
      <c r="AH54" s="118" t="n">
        <v>0.676155391828533</v>
      </c>
      <c r="AI54" s="118" t="n">
        <v>0.462826523777629</v>
      </c>
      <c r="AJ54" s="270" t="n">
        <v>0.661907435630063</v>
      </c>
      <c r="AK54" s="64" t="n">
        <v>0.0815753589476217</v>
      </c>
      <c r="AL54" s="64" t="n">
        <v>0.0227801395684607</v>
      </c>
      <c r="AM54" s="119" t="n">
        <v>0.375872302879602</v>
      </c>
    </row>
    <row customHeight="1" hidden="1" ht="13.2" outlineLevel="1" r="55" s="3">
      <c r="A55" s="120" t="n">
        <v>43396</v>
      </c>
      <c r="B55" s="289" t="inlineStr">
        <is>
          <t>安卓</t>
        </is>
      </c>
      <c r="C55" s="268" t="n">
        <v>2445</v>
      </c>
      <c r="D55" s="268" t="n">
        <v>11678</v>
      </c>
      <c r="E55" s="269" t="n">
        <v>4.77627811860941</v>
      </c>
      <c r="F55" s="270" t="n">
        <v>0.806120490323686</v>
      </c>
      <c r="G55" s="271" t="n">
        <v>15.47</v>
      </c>
      <c r="I55" s="141" t="n">
        <v>0.411</v>
      </c>
      <c r="J55" s="141" t="n">
        <v>0.207</v>
      </c>
      <c r="K55" s="141" t="n">
        <v>0.094</v>
      </c>
      <c r="L55" s="270" t="n">
        <v>8.962493577667409</v>
      </c>
      <c r="M55" s="272" t="n">
        <v>9.06713478335331</v>
      </c>
      <c r="N55" s="270" t="n">
        <v>13.1160658986746</v>
      </c>
      <c r="O55" s="273">
        <f>M55/N55</f>
        <v/>
      </c>
      <c r="P55" s="270" t="n">
        <v>2.08472686733556</v>
      </c>
      <c r="Q55" s="270" t="n">
        <v>2.40864610429828</v>
      </c>
      <c r="R55" s="270" t="n">
        <v>1.43180973615756</v>
      </c>
      <c r="S55" s="270" t="n">
        <v>2.66418927288492</v>
      </c>
      <c r="T55" s="270" t="n">
        <v>1.2924563359346</v>
      </c>
      <c r="U55" s="270" t="n">
        <v>0.537346711259755</v>
      </c>
      <c r="V55" s="270" t="n">
        <v>1.88294314381271</v>
      </c>
      <c r="W55" s="270" t="n">
        <v>0.813947726991205</v>
      </c>
      <c r="X55" s="270" t="n">
        <v>0.425929097448193</v>
      </c>
      <c r="Y55" s="269">
        <f>M55+X55</f>
        <v/>
      </c>
      <c r="Z55" s="275" t="n">
        <v>181</v>
      </c>
      <c r="AA55" s="275" t="n">
        <v>108</v>
      </c>
      <c r="AB55" s="270" t="n">
        <v>1735.19</v>
      </c>
      <c r="AC55" s="290" t="n"/>
      <c r="AD55" s="276" t="n">
        <v>0.0154992293200891</v>
      </c>
      <c r="AE55" s="142">
        <f>AA55/D55</f>
        <v/>
      </c>
      <c r="AF55" s="270" t="n">
        <v>9.586685082872931</v>
      </c>
      <c r="AG55" s="277" t="n">
        <v>0.148586230518924</v>
      </c>
      <c r="AH55" s="118" t="n">
        <v>0.705112474437628</v>
      </c>
      <c r="AI55" s="118" t="n">
        <v>0.498977505112474</v>
      </c>
      <c r="AJ55" s="270" t="n">
        <v>0.707227264942627</v>
      </c>
      <c r="AK55" s="64" t="n">
        <v>0.087001198835417</v>
      </c>
      <c r="AL55" s="64" t="n">
        <v>0.0255180681623566</v>
      </c>
      <c r="AM55" s="119" t="n">
        <v>0.322486727179312</v>
      </c>
    </row>
    <row customHeight="1" hidden="1" ht="13.2" outlineLevel="1" r="56" s="3">
      <c r="A56" s="117" t="n">
        <v>43397</v>
      </c>
      <c r="B56" s="267" t="inlineStr">
        <is>
          <t>安卓</t>
        </is>
      </c>
      <c r="C56" s="268" t="n">
        <v>2288</v>
      </c>
      <c r="D56" s="268" t="n">
        <v>11188</v>
      </c>
      <c r="E56" s="269" t="n">
        <v>4.88986013986014</v>
      </c>
      <c r="F56" s="270" t="n">
        <v>0.6516077708258849</v>
      </c>
      <c r="G56" s="271" t="n">
        <v>19.44</v>
      </c>
      <c r="I56" s="141" t="n">
        <v>0.421</v>
      </c>
      <c r="J56" s="141" t="n">
        <v>0.197</v>
      </c>
      <c r="K56" s="141" t="n">
        <v>0.099</v>
      </c>
      <c r="L56" s="270" t="n">
        <v>8.47783339292099</v>
      </c>
      <c r="M56" s="272" t="n">
        <v>8.651680371826959</v>
      </c>
      <c r="N56" s="270" t="n">
        <v>12.7462470371346</v>
      </c>
      <c r="O56" s="273">
        <f>M56/N56</f>
        <v/>
      </c>
      <c r="P56" s="270" t="n">
        <v>1.90492494074269</v>
      </c>
      <c r="Q56" s="270" t="n">
        <v>2.0375296286542</v>
      </c>
      <c r="R56" s="270" t="n">
        <v>1.24743218330261</v>
      </c>
      <c r="S56" s="270" t="n">
        <v>3.24993415854622</v>
      </c>
      <c r="T56" s="270" t="n">
        <v>1.18501448511983</v>
      </c>
      <c r="U56" s="270" t="n">
        <v>0.5877008164340271</v>
      </c>
      <c r="V56" s="270" t="n">
        <v>1.71148274953911</v>
      </c>
      <c r="W56" s="270" t="n">
        <v>0.822228074795891</v>
      </c>
      <c r="X56" s="270" t="n">
        <v>0.34939220593493</v>
      </c>
      <c r="Y56" s="269">
        <f>M56+X56</f>
        <v/>
      </c>
      <c r="Z56" s="275" t="n">
        <v>121</v>
      </c>
      <c r="AA56" s="275" t="n">
        <v>97</v>
      </c>
      <c r="AB56" s="270" t="n">
        <v>467.79</v>
      </c>
      <c r="AC56" s="290" t="n"/>
      <c r="AD56" s="276" t="n">
        <v>0.0108151590990347</v>
      </c>
      <c r="AE56" s="142">
        <f>AA56/D56</f>
        <v/>
      </c>
      <c r="AF56" s="270" t="n">
        <v>3.86603305785124</v>
      </c>
      <c r="AG56" s="277" t="n">
        <v>0.0418117626027887</v>
      </c>
      <c r="AH56" s="118" t="n">
        <v>0.731206293706294</v>
      </c>
      <c r="AI56" s="118" t="n">
        <v>0.536713286713287</v>
      </c>
      <c r="AJ56" s="270" t="n">
        <v>0.780389703253486</v>
      </c>
      <c r="AK56" s="64" t="n">
        <v>0.10904540579192</v>
      </c>
      <c r="AL56" s="64" t="n">
        <v>0.0320879513764748</v>
      </c>
      <c r="AM56" s="119" t="n">
        <v>0</v>
      </c>
    </row>
    <row customHeight="1" hidden="1" ht="13.2" outlineLevel="1" r="57" s="3">
      <c r="A57" s="117" t="n">
        <v>43398</v>
      </c>
      <c r="B57" s="267" t="inlineStr">
        <is>
          <t>安卓</t>
        </is>
      </c>
      <c r="C57" s="268" t="n">
        <v>2588</v>
      </c>
      <c r="D57" s="268" t="n">
        <v>11047</v>
      </c>
      <c r="E57" s="269" t="n">
        <v>4.26854714064915</v>
      </c>
      <c r="F57" s="270" t="n">
        <v>0.730097651851181</v>
      </c>
      <c r="G57" s="271" t="n">
        <v>16.6</v>
      </c>
      <c r="I57" s="141" t="n">
        <v>0.418</v>
      </c>
      <c r="J57" s="141" t="n">
        <v>0.21</v>
      </c>
      <c r="K57" s="141" t="n">
        <v>0.1</v>
      </c>
      <c r="L57" s="270" t="n">
        <v>8.48800579342808</v>
      </c>
      <c r="M57" s="272" t="n">
        <v>8.9338281886485</v>
      </c>
      <c r="N57" s="270" t="n">
        <v>13.1519189765458</v>
      </c>
      <c r="O57" s="273">
        <f>M57/N57</f>
        <v/>
      </c>
      <c r="P57" s="270" t="n">
        <v>1.97321428571429</v>
      </c>
      <c r="Q57" s="270" t="n">
        <v>2.12113539445629</v>
      </c>
      <c r="R57" s="270" t="n">
        <v>1.21748400852878</v>
      </c>
      <c r="S57" s="270" t="n">
        <v>3.52745202558635</v>
      </c>
      <c r="T57" s="270" t="n">
        <v>1.22774520255864</v>
      </c>
      <c r="U57" s="270" t="n">
        <v>0.602078891257996</v>
      </c>
      <c r="V57" s="270" t="n">
        <v>1.70335820895522</v>
      </c>
      <c r="W57" s="270" t="n">
        <v>0.779450959488273</v>
      </c>
      <c r="X57" s="270" t="n">
        <v>0.399565492893998</v>
      </c>
      <c r="Y57" s="269">
        <f>M57+X57</f>
        <v/>
      </c>
      <c r="Z57" s="275" t="n">
        <v>190</v>
      </c>
      <c r="AA57" s="275" t="n">
        <v>131</v>
      </c>
      <c r="AB57" s="270" t="n">
        <v>1151.1</v>
      </c>
      <c r="AC57" s="290" t="n"/>
      <c r="AD57" s="276" t="n">
        <v>0.0171992396125645</v>
      </c>
      <c r="AE57" s="142">
        <f>AA57/D57</f>
        <v/>
      </c>
      <c r="AF57" s="270" t="n">
        <v>6.05842105263158</v>
      </c>
      <c r="AG57" s="277" t="n">
        <v>0.104200235358016</v>
      </c>
      <c r="AH57" s="118" t="n">
        <v>0.722565687789799</v>
      </c>
      <c r="AI57" s="118" t="n">
        <v>0.500772797527048</v>
      </c>
      <c r="AJ57" s="270" t="n">
        <v>0.787906218882955</v>
      </c>
      <c r="AK57" s="64" t="n">
        <v>0.105549017832896</v>
      </c>
      <c r="AL57" s="64" t="n">
        <v>0.0309586313026161</v>
      </c>
      <c r="AM57" s="119" t="n">
        <v>0</v>
      </c>
    </row>
    <row customHeight="1" hidden="1" ht="13.2" outlineLevel="1" r="58" s="3">
      <c r="A58" s="117" t="n">
        <v>43399</v>
      </c>
      <c r="B58" s="267" t="inlineStr">
        <is>
          <t>安卓</t>
        </is>
      </c>
      <c r="C58" s="268" t="n">
        <v>2440</v>
      </c>
      <c r="D58" s="268" t="n">
        <v>10887</v>
      </c>
      <c r="E58" s="269" t="n">
        <v>4.46188524590164</v>
      </c>
      <c r="F58" s="270" t="n">
        <v>0.667582816202811</v>
      </c>
      <c r="G58" s="271" t="n">
        <v>15.97</v>
      </c>
      <c r="I58" s="141" t="n">
        <v>0.4</v>
      </c>
      <c r="J58" s="141" t="n">
        <v>0.189</v>
      </c>
      <c r="K58" s="141" t="n">
        <v>0.089</v>
      </c>
      <c r="L58" s="270" t="n">
        <v>8.485349499402959</v>
      </c>
      <c r="M58" s="272" t="n">
        <v>8.893175346743821</v>
      </c>
      <c r="N58" s="270" t="n">
        <v>13.006448146158</v>
      </c>
      <c r="O58" s="273">
        <f>M58/N58</f>
        <v/>
      </c>
      <c r="P58" s="270" t="n">
        <v>1.97125201504567</v>
      </c>
      <c r="Q58" s="270" t="n">
        <v>2.1933100483611</v>
      </c>
      <c r="R58" s="270" t="n">
        <v>1.21493820526599</v>
      </c>
      <c r="S58" s="270" t="n">
        <v>3.34605051047824</v>
      </c>
      <c r="T58" s="270" t="n">
        <v>1.20298226759807</v>
      </c>
      <c r="U58" s="270" t="n">
        <v>0.57898979043525</v>
      </c>
      <c r="V58" s="270" t="n">
        <v>1.69142933906502</v>
      </c>
      <c r="W58" s="270" t="n">
        <v>0.807495969908651</v>
      </c>
      <c r="X58" s="270" t="n">
        <v>0.43602461651511</v>
      </c>
      <c r="Y58" s="269">
        <f>M58+X58</f>
        <v/>
      </c>
      <c r="Z58" s="275" t="n">
        <v>157</v>
      </c>
      <c r="AA58" s="275" t="n">
        <v>108</v>
      </c>
      <c r="AB58" s="270" t="n">
        <v>937.4299999999999</v>
      </c>
      <c r="AC58" s="290" t="n"/>
      <c r="AD58" s="276" t="n">
        <v>0.0144208689262423</v>
      </c>
      <c r="AE58" s="142">
        <f>AA58/D58</f>
        <v/>
      </c>
      <c r="AF58" s="270" t="n">
        <v>5.97089171974522</v>
      </c>
      <c r="AG58" s="277" t="n">
        <v>0.08610544686323141</v>
      </c>
      <c r="AH58" s="118" t="n">
        <v>0.695081967213115</v>
      </c>
      <c r="AI58" s="118" t="n">
        <v>0.49344262295082</v>
      </c>
      <c r="AJ58" s="270" t="n">
        <v>0.792045558923487</v>
      </c>
      <c r="AK58" s="64" t="n">
        <v>0.108202443280977</v>
      </c>
      <c r="AL58" s="64" t="n">
        <v>0.031138054560485</v>
      </c>
      <c r="AM58" s="119" t="n">
        <v>0</v>
      </c>
    </row>
    <row customHeight="1" hidden="1" ht="13.2" outlineLevel="1" r="59" s="3">
      <c r="A59" s="117" t="n">
        <v>43400</v>
      </c>
      <c r="B59" s="289" t="inlineStr">
        <is>
          <t>安卓</t>
        </is>
      </c>
      <c r="C59" s="268" t="n">
        <v>3103</v>
      </c>
      <c r="D59" s="268" t="n">
        <v>11214</v>
      </c>
      <c r="E59" s="269" t="n">
        <v>3.61392201095714</v>
      </c>
      <c r="F59" s="270" t="n">
        <v>0.915129232744783</v>
      </c>
      <c r="G59" s="271" t="n">
        <v>17.32</v>
      </c>
      <c r="I59" s="141" t="n">
        <v>0.355</v>
      </c>
      <c r="J59" s="141" t="n">
        <v>0.163</v>
      </c>
      <c r="K59" s="141" t="n">
        <v>0.08599999999999999</v>
      </c>
      <c r="L59" s="270" t="n">
        <v>9.6593543784555</v>
      </c>
      <c r="M59" s="272" t="n">
        <v>10.4499732477261</v>
      </c>
      <c r="N59" s="270" t="n">
        <v>15.5708211533351</v>
      </c>
      <c r="O59" s="273">
        <f>M59/N59</f>
        <v/>
      </c>
      <c r="P59" s="270" t="n">
        <v>2.45043847993622</v>
      </c>
      <c r="Q59" s="270" t="n">
        <v>2.90499601381876</v>
      </c>
      <c r="R59" s="270" t="n">
        <v>1.68349720967313</v>
      </c>
      <c r="S59" s="270" t="n">
        <v>3.27318628753654</v>
      </c>
      <c r="T59" s="270" t="n">
        <v>1.56377889981398</v>
      </c>
      <c r="U59" s="270" t="n">
        <v>0.525378687217645</v>
      </c>
      <c r="V59" s="270" t="n">
        <v>2.27889981397821</v>
      </c>
      <c r="W59" s="270" t="n">
        <v>0.890645761360617</v>
      </c>
      <c r="X59" s="270" t="n">
        <v>0.613964686998395</v>
      </c>
      <c r="Y59" s="269">
        <f>M59+X59</f>
        <v/>
      </c>
      <c r="Z59" s="275" t="n">
        <v>198</v>
      </c>
      <c r="AA59" s="275" t="n">
        <v>131</v>
      </c>
      <c r="AB59" s="270" t="n">
        <v>1543.02</v>
      </c>
      <c r="AC59" s="290" t="n"/>
      <c r="AD59" s="276" t="n">
        <v>0.0176565008025682</v>
      </c>
      <c r="AE59" s="142">
        <f>AA59/D59</f>
        <v/>
      </c>
      <c r="AF59" s="270" t="n">
        <v>7.7930303030303</v>
      </c>
      <c r="AG59" s="277" t="n">
        <v>0.137597645799893</v>
      </c>
      <c r="AH59" s="118" t="n">
        <v>0.610699323235579</v>
      </c>
      <c r="AI59" s="118" t="n">
        <v>0.409281340638092</v>
      </c>
      <c r="AJ59" s="270" t="n">
        <v>0.614588906723738</v>
      </c>
      <c r="AK59" s="64" t="n">
        <v>0.0958623149634386</v>
      </c>
      <c r="AL59" s="64" t="n">
        <v>0.0241662207954343</v>
      </c>
      <c r="AM59" s="119" t="n">
        <v>0.378723024790441</v>
      </c>
    </row>
    <row customHeight="1" hidden="1" ht="13.2" outlineLevel="1" r="60" s="3">
      <c r="A60" s="117" t="n">
        <v>43401</v>
      </c>
      <c r="B60" s="289" t="inlineStr">
        <is>
          <t>安卓</t>
        </is>
      </c>
      <c r="C60" s="268" t="n">
        <v>3199</v>
      </c>
      <c r="D60" s="268" t="n">
        <v>11615</v>
      </c>
      <c r="E60" s="269" t="n">
        <v>3.63082213191622</v>
      </c>
      <c r="F60" s="270" t="n">
        <v>0.714676570641412</v>
      </c>
      <c r="G60" s="271" t="n">
        <v>15.12</v>
      </c>
      <c r="I60" s="141" t="n">
        <v>0.313</v>
      </c>
      <c r="J60" s="141" t="n">
        <v>0.162</v>
      </c>
      <c r="K60" s="141" t="n">
        <v>0.094</v>
      </c>
      <c r="L60" s="270" t="n">
        <v>9.354713732242789</v>
      </c>
      <c r="M60" s="272" t="n">
        <v>10.1771846749892</v>
      </c>
      <c r="N60" s="270" t="n">
        <v>15.1840719332049</v>
      </c>
      <c r="O60" s="273">
        <f>M60/N60</f>
        <v/>
      </c>
      <c r="P60" s="270" t="n">
        <v>2.338856775851</v>
      </c>
      <c r="Q60" s="270" t="n">
        <v>2.84071933204881</v>
      </c>
      <c r="R60" s="270" t="n">
        <v>1.68773281952473</v>
      </c>
      <c r="S60" s="270" t="n">
        <v>3.18509955041747</v>
      </c>
      <c r="T60" s="270" t="n">
        <v>1.49672447013487</v>
      </c>
      <c r="U60" s="270" t="n">
        <v>0.524213230571612</v>
      </c>
      <c r="V60" s="270" t="n">
        <v>2.19165061014772</v>
      </c>
      <c r="W60" s="270" t="n">
        <v>0.919075144508671</v>
      </c>
      <c r="X60" s="270" t="n">
        <v>0.490916917778734</v>
      </c>
      <c r="Y60" s="269">
        <f>M60+X60</f>
        <v/>
      </c>
      <c r="Z60" s="275" t="n">
        <v>180</v>
      </c>
      <c r="AA60" s="275" t="n">
        <v>135</v>
      </c>
      <c r="AB60" s="270" t="n">
        <v>1040.2</v>
      </c>
      <c r="AC60" s="290" t="n"/>
      <c r="AD60" s="276" t="n">
        <v>0.0154972018941025</v>
      </c>
      <c r="AE60" s="142">
        <f>AA60/D60</f>
        <v/>
      </c>
      <c r="AF60" s="270" t="n">
        <v>5.77888888888889</v>
      </c>
      <c r="AG60" s="277" t="n">
        <v>0.0895566078346965</v>
      </c>
      <c r="AH60" s="118" t="n">
        <v>0.582056892778993</v>
      </c>
      <c r="AI60" s="118" t="n">
        <v>0.406376992810253</v>
      </c>
      <c r="AJ60" s="270" t="n">
        <v>0.596297890658631</v>
      </c>
      <c r="AK60" s="64" t="n">
        <v>0.0873869995695222</v>
      </c>
      <c r="AL60" s="64" t="n">
        <v>0.0248816185966423</v>
      </c>
      <c r="AM60" s="119" t="n">
        <v>0.368833405079638</v>
      </c>
    </row>
    <row customHeight="1" hidden="1" ht="13.2" outlineLevel="1" r="61" s="3">
      <c r="A61" s="120" t="n">
        <v>43402</v>
      </c>
      <c r="B61" s="289" t="inlineStr">
        <is>
          <t>安卓</t>
        </is>
      </c>
      <c r="C61" s="268" t="n">
        <v>3183</v>
      </c>
      <c r="D61" s="268" t="n">
        <v>11535</v>
      </c>
      <c r="E61" s="269" t="n">
        <v>3.6239396795476</v>
      </c>
      <c r="F61" s="270" t="n">
        <v>0.965370630949285</v>
      </c>
      <c r="G61" s="271" t="n">
        <v>23.34</v>
      </c>
      <c r="I61" s="141" t="n">
        <v>0.334</v>
      </c>
      <c r="J61" s="141" t="n">
        <v>0.16</v>
      </c>
      <c r="K61" s="141" t="n">
        <v>0.098</v>
      </c>
      <c r="L61" s="270" t="n">
        <v>9.240225400953619</v>
      </c>
      <c r="M61" s="272" t="n">
        <v>9.53827481577807</v>
      </c>
      <c r="N61" s="270" t="n">
        <v>14.4540199684708</v>
      </c>
      <c r="O61" s="273">
        <f>M61/N61</f>
        <v/>
      </c>
      <c r="P61" s="270" t="n">
        <v>2.17249080399369</v>
      </c>
      <c r="Q61" s="270" t="n">
        <v>2.74566473988439</v>
      </c>
      <c r="R61" s="270" t="n">
        <v>1.61757750919601</v>
      </c>
      <c r="S61" s="270" t="n">
        <v>3.14910667367315</v>
      </c>
      <c r="T61" s="270" t="n">
        <v>1.3783499737257</v>
      </c>
      <c r="U61" s="270" t="n">
        <v>0.507094062007357</v>
      </c>
      <c r="V61" s="270" t="n">
        <v>2.01287440882817</v>
      </c>
      <c r="W61" s="270" t="n">
        <v>0.870861797162375</v>
      </c>
      <c r="X61" s="270" t="n">
        <v>0.395491980927612</v>
      </c>
      <c r="Y61" s="269">
        <f>M61+X61</f>
        <v/>
      </c>
      <c r="Z61" s="275" t="n">
        <v>193</v>
      </c>
      <c r="AA61" s="275" t="n">
        <v>127</v>
      </c>
      <c r="AB61" s="270" t="n">
        <v>1152.07</v>
      </c>
      <c r="AC61" s="290" t="n"/>
      <c r="AD61" s="276" t="n">
        <v>0.0167316861725184</v>
      </c>
      <c r="AE61" s="142">
        <f>AA61/D61</f>
        <v/>
      </c>
      <c r="AF61" s="270" t="n">
        <v>5.96927461139896</v>
      </c>
      <c r="AG61" s="277" t="n">
        <v>0.0998760294755093</v>
      </c>
      <c r="AH61" s="118" t="n">
        <v>0.575871819038643</v>
      </c>
      <c r="AI61" s="118" t="n">
        <v>0.38956958843858</v>
      </c>
      <c r="AJ61" s="270" t="n">
        <v>0.6188990030342441</v>
      </c>
      <c r="AK61" s="64" t="n">
        <v>0.0874729085392284</v>
      </c>
      <c r="AL61" s="64" t="n">
        <v>0.0214130905938448</v>
      </c>
      <c r="AM61" s="119" t="n">
        <v>0.349718248807976</v>
      </c>
    </row>
    <row customHeight="1" hidden="1" ht="13.2" outlineLevel="1" r="62" s="3">
      <c r="A62" s="117" t="n">
        <v>43403</v>
      </c>
      <c r="B62" s="289" t="inlineStr">
        <is>
          <t>安卓</t>
        </is>
      </c>
      <c r="C62" s="268" t="n">
        <v>2088</v>
      </c>
      <c r="D62" s="268" t="n">
        <v>10579</v>
      </c>
      <c r="E62" s="269" t="n">
        <v>5.06657088122605</v>
      </c>
      <c r="F62" s="270" t="n">
        <v>0.825717028641649</v>
      </c>
      <c r="G62" s="271" t="n">
        <v>19.21</v>
      </c>
      <c r="I62" s="141" t="n">
        <v>0.393</v>
      </c>
      <c r="J62" s="141" t="n">
        <v>0.197</v>
      </c>
      <c r="K62" s="141" t="n">
        <v>0.112</v>
      </c>
      <c r="L62" s="270" t="n">
        <v>9.25276491161735</v>
      </c>
      <c r="M62" s="272" t="n">
        <v>9.738349560449951</v>
      </c>
      <c r="N62" s="270" t="n">
        <v>13.9671908893709</v>
      </c>
      <c r="O62" s="273">
        <f>M62/N62</f>
        <v/>
      </c>
      <c r="P62" s="270" t="n">
        <v>2.05639913232104</v>
      </c>
      <c r="Q62" s="270" t="n">
        <v>2.5173535791757</v>
      </c>
      <c r="R62" s="270" t="n">
        <v>1.49132321041215</v>
      </c>
      <c r="S62" s="270" t="n">
        <v>3.26084598698482</v>
      </c>
      <c r="T62" s="270" t="n">
        <v>1.31507592190889</v>
      </c>
      <c r="U62" s="270" t="n">
        <v>0.5325379609544471</v>
      </c>
      <c r="V62" s="270" t="n">
        <v>1.90197939262473</v>
      </c>
      <c r="W62" s="270" t="n">
        <v>0.891675704989154</v>
      </c>
      <c r="X62" s="270" t="n">
        <v>0.271859343983363</v>
      </c>
      <c r="Y62" s="269">
        <f>M62+X62</f>
        <v/>
      </c>
      <c r="Z62" s="275" t="n">
        <v>172</v>
      </c>
      <c r="AA62" s="275" t="n">
        <v>119</v>
      </c>
      <c r="AB62" s="270" t="n">
        <v>954.28</v>
      </c>
      <c r="AC62" s="290" t="n"/>
      <c r="AD62" s="276" t="n">
        <v>0.0162586255789772</v>
      </c>
      <c r="AE62" s="142">
        <f>AA62/D62</f>
        <v/>
      </c>
      <c r="AF62" s="270" t="n">
        <v>5.54813953488372</v>
      </c>
      <c r="AG62" s="277" t="n">
        <v>0.0902051233575953</v>
      </c>
      <c r="AH62" s="118" t="n">
        <v>0.722701149425287</v>
      </c>
      <c r="AI62" s="118" t="n">
        <v>0.523467432950192</v>
      </c>
      <c r="AJ62" s="270" t="n">
        <v>0.7124491917950661</v>
      </c>
      <c r="AK62" s="64" t="n">
        <v>0.118725777483694</v>
      </c>
      <c r="AL62" s="64" t="n">
        <v>0.0276963796200019</v>
      </c>
      <c r="AM62" s="119" t="n">
        <v>0.308441251536062</v>
      </c>
    </row>
    <row customHeight="1" hidden="1" ht="13.95" outlineLevel="1" r="63" s="3">
      <c r="A63" s="117" t="n">
        <v>43404</v>
      </c>
      <c r="B63" s="267" t="inlineStr">
        <is>
          <t>安卓</t>
        </is>
      </c>
      <c r="C63" s="268" t="n">
        <v>2110</v>
      </c>
      <c r="D63" s="268" t="n">
        <v>10003</v>
      </c>
      <c r="E63" s="269" t="n">
        <v>4.74075829383886</v>
      </c>
      <c r="F63" s="270" t="n">
        <v>0.631499087973608</v>
      </c>
      <c r="G63" s="291" t="n">
        <v>15.43</v>
      </c>
      <c r="H63" s="291" t="n"/>
      <c r="I63" s="141" t="n">
        <v>0.401</v>
      </c>
      <c r="J63" s="141" t="n">
        <v>0.198</v>
      </c>
      <c r="K63" s="141" t="n">
        <v>0.105</v>
      </c>
      <c r="L63" s="270" t="n">
        <v>8.597920623812859</v>
      </c>
      <c r="M63" s="272" t="n">
        <v>9.06558032590223</v>
      </c>
      <c r="N63" s="270" t="n">
        <v>13.3044307511737</v>
      </c>
      <c r="O63" s="273">
        <f>M63/N63</f>
        <v/>
      </c>
      <c r="P63" s="270" t="n">
        <v>1.92194835680751</v>
      </c>
      <c r="Q63" s="270" t="n">
        <v>2.2087734741784</v>
      </c>
      <c r="R63" s="270" t="n">
        <v>1.28653169014085</v>
      </c>
      <c r="S63" s="270" t="n">
        <v>3.66578638497653</v>
      </c>
      <c r="T63" s="270" t="n">
        <v>1.19028755868545</v>
      </c>
      <c r="U63" s="270" t="n">
        <v>0.54900234741784</v>
      </c>
      <c r="V63" s="270" t="n">
        <v>1.6949823943662</v>
      </c>
      <c r="W63" s="270" t="n">
        <v>0.787118544600939</v>
      </c>
      <c r="X63" s="270" t="n">
        <v>0.248925322403279</v>
      </c>
      <c r="Y63" s="269">
        <f>M63+X63</f>
        <v/>
      </c>
      <c r="Z63" s="275" t="n">
        <v>133</v>
      </c>
      <c r="AA63" s="275" t="n">
        <v>104</v>
      </c>
      <c r="AB63" s="270" t="n">
        <v>735.67</v>
      </c>
      <c r="AC63" s="290" t="n"/>
      <c r="AD63" s="276" t="n">
        <v>0.013296011196641</v>
      </c>
      <c r="AE63" s="142">
        <f>AA63/D63</f>
        <v/>
      </c>
      <c r="AF63" s="270" t="n">
        <v>5.53135338345865</v>
      </c>
      <c r="AG63" s="277" t="n">
        <v>0.0735449365190443</v>
      </c>
      <c r="AH63" s="118" t="n">
        <v>0.658767772511848</v>
      </c>
      <c r="AI63" s="118" t="n">
        <v>0.48436018957346</v>
      </c>
      <c r="AJ63" s="270" t="n">
        <v>0.798760371888434</v>
      </c>
      <c r="AK63" s="64" t="n">
        <v>0.1592522243327</v>
      </c>
      <c r="AL63" s="64" t="n">
        <v>0.0363890832750175</v>
      </c>
      <c r="AM63" s="119" t="n">
        <v>0</v>
      </c>
    </row>
    <row collapsed="1" customHeight="1" ht="13.2" r="64" s="3">
      <c r="A64" s="117" t="n">
        <v>43405</v>
      </c>
      <c r="B64" s="267" t="inlineStr">
        <is>
          <t>安卓</t>
        </is>
      </c>
      <c r="C64" s="268" t="n">
        <v>2468</v>
      </c>
      <c r="D64" s="268" t="n">
        <v>9959</v>
      </c>
      <c r="E64" s="269" t="n">
        <v>4.03525121555916</v>
      </c>
      <c r="F64" s="270" t="n">
        <v>0.629045526157245</v>
      </c>
      <c r="G64" s="292" t="n">
        <v>16.91</v>
      </c>
      <c r="H64" s="292" t="n">
        <v>28.94</v>
      </c>
      <c r="I64" s="141" t="n">
        <v>0.398</v>
      </c>
      <c r="J64" s="141" t="n">
        <v>0.203</v>
      </c>
      <c r="K64" s="141" t="n">
        <v>0.097</v>
      </c>
      <c r="L64" s="270" t="n">
        <v>8.2241188874385</v>
      </c>
      <c r="M64" s="272" t="n">
        <v>8.470027111155741</v>
      </c>
      <c r="N64" s="270" t="n">
        <v>12.6333682791673</v>
      </c>
      <c r="O64" s="273">
        <f>M64/N64</f>
        <v/>
      </c>
      <c r="P64" s="270" t="n">
        <v>1.89126853377265</v>
      </c>
      <c r="Q64" s="270" t="n">
        <v>1.98771903549498</v>
      </c>
      <c r="R64" s="270" t="n">
        <v>1.1499176276771</v>
      </c>
      <c r="S64" s="270" t="n">
        <v>3.53721731316459</v>
      </c>
      <c r="T64" s="270" t="n">
        <v>1.20862662872548</v>
      </c>
      <c r="U64" s="270" t="n">
        <v>0.575258349558185</v>
      </c>
      <c r="V64" s="270" t="n">
        <v>1.54635315261345</v>
      </c>
      <c r="W64" s="270" t="n">
        <v>0.737007638160851</v>
      </c>
      <c r="X64" s="270" t="n">
        <v>0.185661210964956</v>
      </c>
      <c r="Y64" s="269">
        <f>M64+X64</f>
        <v/>
      </c>
      <c r="Z64" s="275" t="n">
        <v>137</v>
      </c>
      <c r="AA64" s="275" t="n">
        <v>107</v>
      </c>
      <c r="AB64" s="270" t="n">
        <v>717.63</v>
      </c>
      <c r="AC64" s="290" t="n"/>
      <c r="AD64" s="276" t="n">
        <v>0.0137564012451049</v>
      </c>
      <c r="AE64" s="142">
        <f>AA64/D64</f>
        <v/>
      </c>
      <c r="AF64" s="270" t="n">
        <v>5.23817518248175</v>
      </c>
      <c r="AG64" s="277" t="n">
        <v>0.0720584396023697</v>
      </c>
      <c r="AH64" s="118" t="n">
        <v>0.63614262560778</v>
      </c>
      <c r="AI64" s="118" t="n">
        <v>0.454213938411669</v>
      </c>
      <c r="AJ64" s="270" t="n">
        <v>0.750878602269304</v>
      </c>
      <c r="AK64" s="64" t="n">
        <v>0.159353348729792</v>
      </c>
      <c r="AL64" s="64" t="n">
        <v>0.0359473842755297</v>
      </c>
      <c r="AM64" s="119" t="n">
        <v>0</v>
      </c>
    </row>
    <row customHeight="1" hidden="1" ht="13.2" outlineLevel="1" r="65" s="3">
      <c r="A65" s="117" t="n">
        <v>43406</v>
      </c>
      <c r="B65" s="267" t="inlineStr">
        <is>
          <t>安卓</t>
        </is>
      </c>
      <c r="C65" s="268" t="n">
        <v>2775</v>
      </c>
      <c r="D65" s="268" t="n">
        <v>10539</v>
      </c>
      <c r="E65" s="269" t="n">
        <v>3.79783783783784</v>
      </c>
      <c r="F65" s="270" t="n">
        <v>0.694073760318816</v>
      </c>
      <c r="G65" s="292" t="n">
        <v>15.86</v>
      </c>
      <c r="H65" s="292" t="n">
        <v>27.28</v>
      </c>
      <c r="I65" s="141" t="n">
        <v>0.402</v>
      </c>
      <c r="J65" s="141" t="n">
        <v>0.206</v>
      </c>
      <c r="K65" s="141" t="n">
        <v>0.103</v>
      </c>
      <c r="L65" s="270" t="n">
        <v>8.591991650061679</v>
      </c>
      <c r="M65" s="272" t="n">
        <v>8.87513046778632</v>
      </c>
      <c r="N65" s="270" t="n">
        <v>13.1369382022472</v>
      </c>
      <c r="O65" s="273">
        <f>M65/N65</f>
        <v/>
      </c>
      <c r="P65" s="270" t="n">
        <v>1.98089887640449</v>
      </c>
      <c r="Q65" s="270" t="n">
        <v>2.06952247191011</v>
      </c>
      <c r="R65" s="270" t="n">
        <v>1.15589887640449</v>
      </c>
      <c r="S65" s="270" t="n">
        <v>3.69199438202247</v>
      </c>
      <c r="T65" s="270" t="n">
        <v>1.2252808988764</v>
      </c>
      <c r="U65" s="270" t="n">
        <v>0.581179775280899</v>
      </c>
      <c r="V65" s="270" t="n">
        <v>1.64957865168539</v>
      </c>
      <c r="W65" s="270" t="n">
        <v>0.7825842696629211</v>
      </c>
      <c r="X65" s="270" t="n">
        <v>0.193471866400987</v>
      </c>
      <c r="Y65" s="269">
        <f>M65+X65</f>
        <v/>
      </c>
      <c r="Z65" s="275" t="n">
        <v>193</v>
      </c>
      <c r="AA65" s="275" t="n">
        <v>143</v>
      </c>
      <c r="AB65" s="270" t="n">
        <v>1066.07</v>
      </c>
      <c r="AC65" s="290" t="n"/>
      <c r="AD65" s="276" t="n">
        <v>0.0183129329158364</v>
      </c>
      <c r="AE65" s="142">
        <f>AA65/D65</f>
        <v/>
      </c>
      <c r="AF65" s="270" t="n">
        <v>5.52367875647668</v>
      </c>
      <c r="AG65" s="277" t="n">
        <v>0.101154758515988</v>
      </c>
      <c r="AH65" s="118" t="n">
        <v>0.658738738738739</v>
      </c>
      <c r="AI65" s="118" t="n">
        <v>0.470630630630631</v>
      </c>
      <c r="AJ65" s="270" t="n">
        <v>0.77512097922004</v>
      </c>
      <c r="AK65" s="64" t="n">
        <v>0.173450991555176</v>
      </c>
      <c r="AL65" s="64" t="n">
        <v>0.0366258658316728</v>
      </c>
      <c r="AM65" s="119" t="n">
        <v>0</v>
      </c>
    </row>
    <row customHeight="1" hidden="1" ht="13.2" outlineLevel="1" r="66" s="3">
      <c r="A66" s="120" t="n">
        <v>43407</v>
      </c>
      <c r="B66" s="289" t="inlineStr">
        <is>
          <t>安卓</t>
        </is>
      </c>
      <c r="C66" s="268" t="n">
        <v>2959</v>
      </c>
      <c r="D66" s="268" t="n">
        <v>10762</v>
      </c>
      <c r="E66" s="269" t="n">
        <v>3.63703954038526</v>
      </c>
      <c r="F66" s="270" t="n">
        <v>0.389632735551013</v>
      </c>
      <c r="G66" s="292" t="n">
        <v>15.54</v>
      </c>
      <c r="H66" s="292" t="n">
        <v>28.76</v>
      </c>
      <c r="I66" s="141" t="n">
        <v>0.396</v>
      </c>
      <c r="J66" s="141" t="n">
        <v>0.197</v>
      </c>
      <c r="K66" s="141" t="n">
        <v>0.103</v>
      </c>
      <c r="L66" s="270" t="n">
        <v>10.2843337669578</v>
      </c>
      <c r="M66" s="272" t="n">
        <v>10.8424084742613</v>
      </c>
      <c r="N66" s="270" t="n">
        <v>15.618524963191</v>
      </c>
      <c r="O66" s="273">
        <f>M66/N66</f>
        <v/>
      </c>
      <c r="P66" s="270" t="n">
        <v>2.41641011912729</v>
      </c>
      <c r="Q66" s="270" t="n">
        <v>2.78168919823317</v>
      </c>
      <c r="R66" s="270" t="n">
        <v>1.40516664435818</v>
      </c>
      <c r="S66" s="270" t="n">
        <v>3.60594297952081</v>
      </c>
      <c r="T66" s="270" t="n">
        <v>1.5485209476643</v>
      </c>
      <c r="U66" s="270" t="n">
        <v>0.526970954356846</v>
      </c>
      <c r="V66" s="270" t="n">
        <v>2.40744210949003</v>
      </c>
      <c r="W66" s="270" t="n">
        <v>0.9263820104403691</v>
      </c>
      <c r="X66" s="270" t="n">
        <v>0.240289908938859</v>
      </c>
      <c r="Y66" s="269">
        <f>M66+X66</f>
        <v/>
      </c>
      <c r="Z66" s="275" t="n">
        <v>275</v>
      </c>
      <c r="AA66" s="275" t="n">
        <v>175</v>
      </c>
      <c r="AB66" s="270" t="n">
        <v>1815.25</v>
      </c>
      <c r="AC66" s="290" t="n"/>
      <c r="AD66" s="276" t="n">
        <v>0.0255528712135291</v>
      </c>
      <c r="AE66" s="142">
        <f>AA66/D66</f>
        <v/>
      </c>
      <c r="AF66" s="270" t="n">
        <v>6.60090909090909</v>
      </c>
      <c r="AG66" s="277" t="n">
        <v>0.168672179892213</v>
      </c>
      <c r="AH66" s="118" t="n">
        <v>0.656978709023319</v>
      </c>
      <c r="AI66" s="118" t="n">
        <v>0.42244001351808</v>
      </c>
      <c r="AJ66" s="270" t="n">
        <v>0.648113733506783</v>
      </c>
      <c r="AK66" s="64" t="n">
        <v>0.170507340643003</v>
      </c>
      <c r="AL66" s="64" t="n">
        <v>0.0328935142166883</v>
      </c>
      <c r="AM66" s="119" t="n">
        <v>0.40373536517376</v>
      </c>
    </row>
    <row customHeight="1" hidden="1" ht="13.2" outlineLevel="1" r="67" s="3">
      <c r="A67" s="117" t="n">
        <v>43408</v>
      </c>
      <c r="B67" s="289" t="inlineStr">
        <is>
          <t>安卓</t>
        </is>
      </c>
      <c r="C67" s="268" t="n">
        <v>3200</v>
      </c>
      <c r="D67" s="268" t="n">
        <v>11520</v>
      </c>
      <c r="E67" s="269" t="n">
        <v>3.6</v>
      </c>
      <c r="F67" s="270" t="n">
        <v>0.807736325</v>
      </c>
      <c r="G67" s="292" t="n">
        <v>15.16</v>
      </c>
      <c r="H67" s="292" t="n">
        <v>25.98</v>
      </c>
      <c r="I67" s="141" t="n">
        <v>0.395</v>
      </c>
      <c r="J67" s="141" t="n">
        <v>0.198</v>
      </c>
      <c r="K67" s="141" t="n">
        <v>0.104</v>
      </c>
      <c r="L67" s="270" t="n">
        <v>10.4577256944444</v>
      </c>
      <c r="M67" s="272" t="n">
        <v>11.2822916666667</v>
      </c>
      <c r="N67" s="270" t="n">
        <v>16.0123198225946</v>
      </c>
      <c r="O67" s="273">
        <f>M67/N67</f>
        <v/>
      </c>
      <c r="P67" s="270" t="n">
        <v>2.40236540593815</v>
      </c>
      <c r="Q67" s="270" t="n">
        <v>2.97203400271036</v>
      </c>
      <c r="R67" s="270" t="n">
        <v>1.58112603178514</v>
      </c>
      <c r="S67" s="270" t="n">
        <v>3.72859430824196</v>
      </c>
      <c r="T67" s="270" t="n">
        <v>1.50659110508809</v>
      </c>
      <c r="U67" s="270" t="n">
        <v>0.554884809658741</v>
      </c>
      <c r="V67" s="270" t="n">
        <v>2.30725637550819</v>
      </c>
      <c r="W67" s="270" t="n">
        <v>0.9594677836639151</v>
      </c>
      <c r="X67" s="270" t="n">
        <v>0.295486111111111</v>
      </c>
      <c r="Y67" s="269">
        <f>M67+X67</f>
        <v/>
      </c>
      <c r="Z67" s="293" t="n">
        <v>208</v>
      </c>
      <c r="AA67" s="275" t="n">
        <v>154</v>
      </c>
      <c r="AB67" s="294" t="n">
        <v>1309.92</v>
      </c>
      <c r="AC67" s="290" t="n"/>
      <c r="AD67" s="276">
        <f>Z67/D67</f>
        <v/>
      </c>
      <c r="AE67" s="142">
        <f>AA67/D67</f>
        <v/>
      </c>
      <c r="AF67" s="270">
        <f>AB67/Z67</f>
        <v/>
      </c>
      <c r="AG67" s="277">
        <f>AD67*AF67</f>
        <v/>
      </c>
      <c r="AH67" s="118" t="n">
        <v>0.6828125</v>
      </c>
      <c r="AI67" s="118" t="n">
        <v>0.45</v>
      </c>
      <c r="AJ67" s="270" t="n">
        <v>0.628645833333333</v>
      </c>
      <c r="AK67" s="64" t="n">
        <v>0.169704861111111</v>
      </c>
      <c r="AL67" s="64" t="n">
        <v>0.0276909722222222</v>
      </c>
      <c r="AM67" s="119" t="n">
        <v>0.385503472222222</v>
      </c>
    </row>
    <row customHeight="1" hidden="1" ht="13.2" outlineLevel="1" r="68" s="3">
      <c r="A68" s="117" t="n">
        <v>43409</v>
      </c>
      <c r="B68" s="289" t="inlineStr">
        <is>
          <t>安卓</t>
        </is>
      </c>
      <c r="C68" s="268" t="n">
        <v>2646</v>
      </c>
      <c r="D68" s="268" t="n">
        <v>11527</v>
      </c>
      <c r="E68" s="269" t="n">
        <v>4.35638699924414</v>
      </c>
      <c r="F68" s="270" t="n">
        <v>0.848031200138804</v>
      </c>
      <c r="G68" s="292" t="n">
        <v>16.32</v>
      </c>
      <c r="H68" s="292" t="n">
        <v>27.9</v>
      </c>
      <c r="I68" s="141" t="n">
        <v>0.417</v>
      </c>
      <c r="J68" s="141" t="n">
        <v>0.221</v>
      </c>
      <c r="K68" s="141" t="n">
        <v>0.12</v>
      </c>
      <c r="L68" s="270" t="n">
        <v>10.1548538214627</v>
      </c>
      <c r="M68" s="272" t="n">
        <v>10.7778259738006</v>
      </c>
      <c r="N68" s="270" t="n">
        <v>15.5547765118317</v>
      </c>
      <c r="O68" s="273">
        <f>M68/N68</f>
        <v/>
      </c>
      <c r="P68" s="270" t="n">
        <v>2.2484036559409</v>
      </c>
      <c r="Q68" s="270" t="n">
        <v>2.8428696632027</v>
      </c>
      <c r="R68" s="270" t="n">
        <v>1.59096031050457</v>
      </c>
      <c r="S68" s="270" t="n">
        <v>3.82208588957055</v>
      </c>
      <c r="T68" s="270" t="n">
        <v>1.43696006009766</v>
      </c>
      <c r="U68" s="270" t="n">
        <v>0.502316263928884</v>
      </c>
      <c r="V68" s="270" t="n">
        <v>2.20783773632152</v>
      </c>
      <c r="W68" s="270" t="n">
        <v>0.903342932264931</v>
      </c>
      <c r="X68" s="270" t="n">
        <v>0.365142708423701</v>
      </c>
      <c r="Y68" s="269">
        <f>M68+X68</f>
        <v/>
      </c>
      <c r="Z68" s="293" t="n">
        <v>223</v>
      </c>
      <c r="AA68" s="275" t="n">
        <v>155</v>
      </c>
      <c r="AB68" s="294" t="n">
        <v>1459.77</v>
      </c>
      <c r="AC68" s="290" t="n"/>
      <c r="AD68" s="276" t="n">
        <v>0.0193458835776872</v>
      </c>
      <c r="AE68" s="142">
        <f>AA68/D68</f>
        <v/>
      </c>
      <c r="AF68" s="270" t="n">
        <v>6.54605381165919</v>
      </c>
      <c r="AG68" s="277" t="n">
        <v>0.126639194933634</v>
      </c>
      <c r="AH68" s="118" t="n">
        <v>0.696145124716553</v>
      </c>
      <c r="AI68" s="118" t="n">
        <v>0.49244142101285</v>
      </c>
      <c r="AJ68" s="270" t="n">
        <v>0.651860848442786</v>
      </c>
      <c r="AK68" s="64" t="n">
        <v>0.200919580116249</v>
      </c>
      <c r="AL68" s="64" t="n">
        <v>0.0320117983863972</v>
      </c>
      <c r="AM68" s="119" t="n">
        <v>0.366877765246812</v>
      </c>
    </row>
    <row customHeight="1" hidden="1" ht="13.2" outlineLevel="1" r="69" s="3">
      <c r="A69" s="117" t="n">
        <v>43410</v>
      </c>
      <c r="B69" s="289" t="inlineStr">
        <is>
          <t>安卓</t>
        </is>
      </c>
      <c r="C69" s="268" t="n">
        <v>3205</v>
      </c>
      <c r="D69" s="268" t="n">
        <v>11816</v>
      </c>
      <c r="E69" s="269" t="n">
        <v>3.68673946957878</v>
      </c>
      <c r="F69" s="270" t="n">
        <v>0.732061767095464</v>
      </c>
      <c r="G69" s="292" t="n">
        <v>17.37</v>
      </c>
      <c r="H69" s="292" t="n">
        <v>27.21</v>
      </c>
      <c r="I69" s="141" t="n">
        <v>0.432</v>
      </c>
      <c r="J69" s="141" t="n">
        <v>0.221</v>
      </c>
      <c r="K69" s="141" t="n">
        <v>0.125</v>
      </c>
      <c r="L69" s="270" t="n">
        <v>9.456076506431961</v>
      </c>
      <c r="M69" s="272" t="n">
        <v>10.0074475287745</v>
      </c>
      <c r="N69" s="270" t="n">
        <v>14.5733300468326</v>
      </c>
      <c r="O69" s="273">
        <f>M69/N69</f>
        <v/>
      </c>
      <c r="P69" s="270" t="n">
        <v>2.21358146413606</v>
      </c>
      <c r="Q69" s="270" t="n">
        <v>2.41348286911511</v>
      </c>
      <c r="R69" s="270" t="n">
        <v>1.39733793443431</v>
      </c>
      <c r="S69" s="270" t="n">
        <v>3.8617204831156</v>
      </c>
      <c r="T69" s="270" t="n">
        <v>1.33275819571112</v>
      </c>
      <c r="U69" s="270" t="n">
        <v>0.572590584175499</v>
      </c>
      <c r="V69" s="270" t="n">
        <v>1.93221592309588</v>
      </c>
      <c r="W69" s="270" t="n">
        <v>0.849519349272862</v>
      </c>
      <c r="X69" s="270" t="n">
        <v>0.359851049424509</v>
      </c>
      <c r="Y69" s="269">
        <f>M69+X69</f>
        <v/>
      </c>
      <c r="Z69" s="293" t="n">
        <v>187</v>
      </c>
      <c r="AA69" s="275" t="n">
        <v>147</v>
      </c>
      <c r="AB69" s="294" t="n">
        <v>1108.13</v>
      </c>
      <c r="AC69" s="290" t="n"/>
      <c r="AD69" s="276" t="n">
        <v>0.0158259986459039</v>
      </c>
      <c r="AE69" s="142">
        <f>AA69/D69</f>
        <v/>
      </c>
      <c r="AF69" s="270" t="n">
        <v>5.92582887700535</v>
      </c>
      <c r="AG69" s="277" t="n">
        <v>0.0937821597833446</v>
      </c>
      <c r="AH69" s="118" t="n">
        <v>0.677067082683307</v>
      </c>
      <c r="AI69" s="118" t="n">
        <v>0.478003120124805</v>
      </c>
      <c r="AJ69" s="270" t="n">
        <v>0.698798239675017</v>
      </c>
      <c r="AK69" s="64" t="n">
        <v>0.218601895734597</v>
      </c>
      <c r="AL69" s="64" t="n">
        <v>0.037914691943128</v>
      </c>
      <c r="AM69" s="119" t="n">
        <v>0.286391333784699</v>
      </c>
    </row>
    <row customHeight="1" hidden="1" ht="13.2" outlineLevel="1" r="70" s="3">
      <c r="A70" s="117" t="n">
        <v>43411</v>
      </c>
      <c r="B70" s="267" t="inlineStr">
        <is>
          <t>安卓</t>
        </is>
      </c>
      <c r="C70" s="268" t="n">
        <v>2952</v>
      </c>
      <c r="D70" s="268" t="n">
        <v>11566</v>
      </c>
      <c r="E70" s="269" t="n">
        <v>3.9180216802168</v>
      </c>
      <c r="F70" s="270" t="n">
        <v>0.653431099775203</v>
      </c>
      <c r="G70" s="292" t="n">
        <v>17.27</v>
      </c>
      <c r="H70" s="292" t="n">
        <v>30.92</v>
      </c>
      <c r="I70" s="141" t="n">
        <v>0.405</v>
      </c>
      <c r="J70" s="141" t="n">
        <v>0.208</v>
      </c>
      <c r="K70" s="141" t="n">
        <v>0.105</v>
      </c>
      <c r="L70" s="270" t="n">
        <v>8.84004841777624</v>
      </c>
      <c r="M70" s="272" t="n">
        <v>9.437143351201801</v>
      </c>
      <c r="N70" s="270" t="n">
        <v>13.7920141521355</v>
      </c>
      <c r="O70" s="273">
        <f>M70/N70</f>
        <v/>
      </c>
      <c r="P70" s="270" t="n">
        <v>1.960828910791</v>
      </c>
      <c r="Q70" s="270" t="n">
        <v>2.06659085165529</v>
      </c>
      <c r="R70" s="270" t="n">
        <v>1.1947182208744</v>
      </c>
      <c r="S70" s="270" t="n">
        <v>4.36416477129138</v>
      </c>
      <c r="T70" s="270" t="n">
        <v>1.19509729593126</v>
      </c>
      <c r="U70" s="270" t="n">
        <v>0.578721253474855</v>
      </c>
      <c r="V70" s="270" t="n">
        <v>1.64960828910791</v>
      </c>
      <c r="W70" s="270" t="n">
        <v>0.782284559009351</v>
      </c>
      <c r="X70" s="270" t="n">
        <v>0.370050146982535</v>
      </c>
      <c r="Y70" s="269">
        <f>M70+X70</f>
        <v/>
      </c>
      <c r="Z70" s="293" t="n">
        <v>186</v>
      </c>
      <c r="AA70" s="275" t="n">
        <v>135</v>
      </c>
      <c r="AB70" s="294" t="n">
        <v>886.14</v>
      </c>
      <c r="AC70" s="290" t="n"/>
      <c r="AD70" s="276" t="n">
        <v>0.0160816185370915</v>
      </c>
      <c r="AE70" s="142">
        <f>AA70/D70</f>
        <v/>
      </c>
      <c r="AF70" s="270" t="n">
        <v>4.7641935483871</v>
      </c>
      <c r="AG70" s="277" t="n">
        <v>0.0766159432820335</v>
      </c>
      <c r="AH70" s="118" t="n">
        <v>0.661585365853659</v>
      </c>
      <c r="AI70" s="118" t="n">
        <v>0.473577235772358</v>
      </c>
      <c r="AJ70" s="270" t="n">
        <v>0.773560435759986</v>
      </c>
      <c r="AK70" s="64" t="n">
        <v>0.253242261801833</v>
      </c>
      <c r="AL70" s="64" t="n">
        <v>0.0443541414490749</v>
      </c>
      <c r="AM70" s="119" t="n">
        <v>0</v>
      </c>
    </row>
    <row customHeight="1" hidden="1" ht="13.2" outlineLevel="1" r="71" s="3">
      <c r="A71" s="117" t="n">
        <v>43412</v>
      </c>
      <c r="B71" s="267" t="inlineStr">
        <is>
          <t>安卓</t>
        </is>
      </c>
      <c r="C71" s="268" t="n">
        <v>3954</v>
      </c>
      <c r="D71" s="268" t="n">
        <v>12449</v>
      </c>
      <c r="E71" s="269" t="n">
        <v>3.14845725847243</v>
      </c>
      <c r="F71" s="270" t="n">
        <v>0.671361028677002</v>
      </c>
      <c r="G71" s="292" t="n">
        <v>15.77</v>
      </c>
      <c r="H71" s="292" t="n">
        <v>31.81</v>
      </c>
      <c r="I71" s="141" t="n">
        <v>0.407</v>
      </c>
      <c r="J71" s="141" t="n">
        <v>0.204</v>
      </c>
      <c r="K71" s="141" t="n">
        <v>0.106</v>
      </c>
      <c r="L71" s="270" t="n">
        <v>8.532010603261311</v>
      </c>
      <c r="M71" s="272" t="n">
        <v>9.00787211824243</v>
      </c>
      <c r="N71" s="270" t="n">
        <v>13.6074505521175</v>
      </c>
      <c r="O71" s="273">
        <f>M71/N71</f>
        <v/>
      </c>
      <c r="P71" s="270" t="n">
        <v>2.0264531003519</v>
      </c>
      <c r="Q71" s="270" t="n">
        <v>2.1161266836549</v>
      </c>
      <c r="R71" s="270" t="n">
        <v>1.20264531003519</v>
      </c>
      <c r="S71" s="270" t="n">
        <v>4.02803057881325</v>
      </c>
      <c r="T71" s="270" t="n">
        <v>1.24086882659871</v>
      </c>
      <c r="U71" s="270" t="n">
        <v>0.600169882295838</v>
      </c>
      <c r="V71" s="270" t="n">
        <v>1.61861424584395</v>
      </c>
      <c r="W71" s="270" t="n">
        <v>0.7745419245237229</v>
      </c>
      <c r="X71" s="270" t="n">
        <v>0.308378182986585</v>
      </c>
      <c r="Y71" s="269">
        <f>M71+X71</f>
        <v/>
      </c>
      <c r="Z71" s="293" t="n">
        <v>181</v>
      </c>
      <c r="AA71" s="275" t="n">
        <v>136</v>
      </c>
      <c r="AB71" s="294" t="n">
        <v>1122.19</v>
      </c>
      <c r="AC71" s="290" t="n"/>
      <c r="AD71" s="276" t="n">
        <v>0.0145393204273436</v>
      </c>
      <c r="AE71" s="142">
        <f>AA71/D71</f>
        <v/>
      </c>
      <c r="AF71" s="270" t="n">
        <v>6.19994475138122</v>
      </c>
      <c r="AG71" s="277" t="n">
        <v>0.0901429833721584</v>
      </c>
      <c r="AH71" s="118" t="n">
        <v>0.6021750126454219</v>
      </c>
      <c r="AI71" s="118" t="n">
        <v>0.418816388467375</v>
      </c>
      <c r="AJ71" s="270" t="n">
        <v>0.752108603100651</v>
      </c>
      <c r="AK71" s="64" t="n">
        <v>0.237850429753394</v>
      </c>
      <c r="AL71" s="64" t="n">
        <v>0.0413687846413367</v>
      </c>
      <c r="AM71" s="119" t="n">
        <v>0</v>
      </c>
    </row>
    <row customHeight="1" hidden="1" ht="13.2" outlineLevel="1" r="72" s="3">
      <c r="A72" s="120" t="n">
        <v>43413</v>
      </c>
      <c r="B72" s="267" t="inlineStr">
        <is>
          <t>安卓</t>
        </is>
      </c>
      <c r="C72" s="268" t="n">
        <v>4282</v>
      </c>
      <c r="D72" s="268" t="n">
        <v>13216</v>
      </c>
      <c r="E72" s="269" t="n">
        <v>3.08640822045773</v>
      </c>
      <c r="F72" s="270" t="n">
        <v>0.747943007415254</v>
      </c>
      <c r="G72" s="292" t="n">
        <v>15.73</v>
      </c>
      <c r="H72" s="292" t="n">
        <v>26</v>
      </c>
      <c r="I72" s="141" t="n">
        <v>0.38</v>
      </c>
      <c r="J72" s="141" t="n">
        <v>0.196</v>
      </c>
      <c r="K72" s="141" t="n">
        <v>0.097</v>
      </c>
      <c r="L72" s="270" t="n">
        <v>8.93076573849879</v>
      </c>
      <c r="M72" s="272" t="n">
        <v>9.79668583535109</v>
      </c>
      <c r="N72" s="270" t="n">
        <v>14.5360952060177</v>
      </c>
      <c r="O72" s="273">
        <f>M72/N72</f>
        <v/>
      </c>
      <c r="P72" s="270" t="n">
        <v>2.12102840462558</v>
      </c>
      <c r="Q72" s="270" t="n">
        <v>2.35073537667003</v>
      </c>
      <c r="R72" s="270" t="n">
        <v>1.22746154709779</v>
      </c>
      <c r="S72" s="270" t="n">
        <v>4.3489390367127</v>
      </c>
      <c r="T72" s="270" t="n">
        <v>1.25384529022117</v>
      </c>
      <c r="U72" s="270" t="n">
        <v>0.6162568766138991</v>
      </c>
      <c r="V72" s="270" t="n">
        <v>1.77949927023689</v>
      </c>
      <c r="W72" s="270" t="n">
        <v>0.838329403839677</v>
      </c>
      <c r="X72" s="270" t="n">
        <v>0.408292978208232</v>
      </c>
      <c r="Y72" s="269">
        <f>M72+X72</f>
        <v/>
      </c>
      <c r="Z72" s="293" t="n">
        <v>140</v>
      </c>
      <c r="AA72" s="275" t="n">
        <v>150</v>
      </c>
      <c r="AB72" s="294" t="n">
        <v>1404.84</v>
      </c>
      <c r="AC72" s="290" t="n"/>
      <c r="AD72" s="276" t="n">
        <v>0.0105932203389831</v>
      </c>
      <c r="AE72" s="142">
        <f>AA72/D72</f>
        <v/>
      </c>
      <c r="AF72" s="270" t="n">
        <v>10.0345714285714</v>
      </c>
      <c r="AG72" s="277" t="n">
        <v>0.106298426150121</v>
      </c>
      <c r="AH72" s="118" t="n">
        <v>0.619803829985988</v>
      </c>
      <c r="AI72" s="118" t="n">
        <v>0.439047174217655</v>
      </c>
      <c r="AJ72" s="270" t="n">
        <v>0.750453995157385</v>
      </c>
      <c r="AK72" s="64" t="n">
        <v>0.238498789346247</v>
      </c>
      <c r="AL72" s="64" t="n">
        <v>0.0407082324455206</v>
      </c>
      <c r="AM72" s="119" t="n">
        <v>0</v>
      </c>
    </row>
    <row customHeight="1" hidden="1" ht="13.2" outlineLevel="1" r="73" s="3">
      <c r="A73" s="117" t="n">
        <v>43414</v>
      </c>
      <c r="B73" s="289" t="inlineStr">
        <is>
          <t>安卓</t>
        </is>
      </c>
      <c r="C73" s="268" t="n">
        <v>3606</v>
      </c>
      <c r="D73" s="268" t="n">
        <v>12840</v>
      </c>
      <c r="E73" s="269" t="n">
        <v>3.56073211314476</v>
      </c>
      <c r="F73" s="270" t="n">
        <v>0.961003113317757</v>
      </c>
      <c r="G73" s="292" t="n">
        <v>15.4</v>
      </c>
      <c r="H73" s="292" t="n">
        <v>25.6</v>
      </c>
      <c r="I73" s="141" t="n">
        <v>0.341</v>
      </c>
      <c r="J73" s="141" t="n">
        <v>0.177</v>
      </c>
      <c r="K73" s="141" t="n">
        <v>0.103</v>
      </c>
      <c r="L73" s="270" t="n">
        <v>10.9069314641745</v>
      </c>
      <c r="M73" s="272" t="n">
        <v>13.1639408099688</v>
      </c>
      <c r="N73" s="270" t="n">
        <v>18.9256522225955</v>
      </c>
      <c r="O73" s="273">
        <f>M73/N73</f>
        <v/>
      </c>
      <c r="P73" s="270" t="n">
        <v>2.45235695890718</v>
      </c>
      <c r="Q73" s="270" t="n">
        <v>2.82443175456276</v>
      </c>
      <c r="R73" s="270" t="n">
        <v>1.84055536893965</v>
      </c>
      <c r="S73" s="270" t="n">
        <v>6.64393684917702</v>
      </c>
      <c r="T73" s="270" t="n">
        <v>1.50184749748069</v>
      </c>
      <c r="U73" s="270" t="n">
        <v>0.525249132236032</v>
      </c>
      <c r="V73" s="270" t="n">
        <v>2.20322472287538</v>
      </c>
      <c r="W73" s="270" t="n">
        <v>0.934049938416751</v>
      </c>
      <c r="X73" s="270" t="n">
        <v>0.582398753894081</v>
      </c>
      <c r="Y73" s="269">
        <f>M73+X73</f>
        <v/>
      </c>
      <c r="Z73" s="293" t="n">
        <v>209</v>
      </c>
      <c r="AA73" s="275" t="n">
        <v>175</v>
      </c>
      <c r="AB73" s="294" t="n">
        <v>1654.52</v>
      </c>
      <c r="AC73" s="290" t="n"/>
      <c r="AD73" s="276" t="n">
        <v>0.0162772585669782</v>
      </c>
      <c r="AE73" s="142">
        <f>AA73/D73</f>
        <v/>
      </c>
      <c r="AF73" s="270" t="n">
        <v>7.91636363636364</v>
      </c>
      <c r="AG73" s="277" t="n">
        <v>0.128856697819315</v>
      </c>
      <c r="AH73" s="118" t="n">
        <v>0.616749861342207</v>
      </c>
      <c r="AI73" s="118" t="n">
        <v>0.450083194675541</v>
      </c>
      <c r="AJ73" s="270" t="n">
        <v>0.620327102803738</v>
      </c>
      <c r="AK73" s="64" t="n">
        <v>0.229906542056075</v>
      </c>
      <c r="AL73" s="64" t="n">
        <v>0.0351246105919003</v>
      </c>
      <c r="AM73" s="119" t="n">
        <v>0.429361370716511</v>
      </c>
    </row>
    <row customHeight="1" hidden="1" ht="13.2" outlineLevel="1" r="74" s="3">
      <c r="A74" s="117" t="n">
        <v>43415</v>
      </c>
      <c r="B74" s="289" t="inlineStr">
        <is>
          <t>安卓</t>
        </is>
      </c>
      <c r="C74" s="268" t="n">
        <v>4637</v>
      </c>
      <c r="D74" s="268" t="n">
        <v>13918</v>
      </c>
      <c r="E74" s="269" t="n">
        <v>3.00150959672202</v>
      </c>
      <c r="F74" s="270" t="n">
        <v>0.949422187095847</v>
      </c>
      <c r="G74" s="292" t="n">
        <v>16.99</v>
      </c>
      <c r="H74" s="292" t="n">
        <v>30.22</v>
      </c>
      <c r="I74" s="141" t="n">
        <v>0.359</v>
      </c>
      <c r="J74" s="141" t="n">
        <v>0.177</v>
      </c>
      <c r="K74" s="141" t="n">
        <v>0.099</v>
      </c>
      <c r="L74" s="270" t="n">
        <v>10.0511567753988</v>
      </c>
      <c r="M74" s="272" t="n">
        <v>12.3185802557839</v>
      </c>
      <c r="N74" s="270" t="n">
        <v>18.1409374669347</v>
      </c>
      <c r="O74" s="273">
        <f>M74/N74</f>
        <v/>
      </c>
      <c r="P74" s="270" t="n">
        <v>2.44757168553592</v>
      </c>
      <c r="Q74" s="270" t="n">
        <v>2.78817056396149</v>
      </c>
      <c r="R74" s="270" t="n">
        <v>1.73082213522379</v>
      </c>
      <c r="S74" s="270" t="n">
        <v>6.26399322822982</v>
      </c>
      <c r="T74" s="270" t="n">
        <v>1.44386837371707</v>
      </c>
      <c r="U74" s="270" t="n">
        <v>0.528092265368744</v>
      </c>
      <c r="V74" s="270" t="n">
        <v>2.04338165273516</v>
      </c>
      <c r="W74" s="270" t="n">
        <v>0.895037562162734</v>
      </c>
      <c r="X74" s="270" t="n">
        <v>0.616108636298319</v>
      </c>
      <c r="Y74" s="269">
        <f>M74+X74</f>
        <v/>
      </c>
      <c r="Z74" s="293" t="n">
        <v>282</v>
      </c>
      <c r="AA74" s="275" t="n">
        <v>200</v>
      </c>
      <c r="AB74" s="294" t="n">
        <v>1576.18</v>
      </c>
      <c r="AC74" s="290" t="n"/>
      <c r="AD74" s="276" t="n">
        <v>0.0202615318292858</v>
      </c>
      <c r="AE74" s="142">
        <f>AA74/D74</f>
        <v/>
      </c>
      <c r="AF74" s="270" t="n">
        <v>5.58929078014184</v>
      </c>
      <c r="AG74" s="277" t="n">
        <v>0.113247593044978</v>
      </c>
      <c r="AH74" s="118" t="n">
        <v>0.56847099417727</v>
      </c>
      <c r="AI74" s="118" t="n">
        <v>0.365322406728488</v>
      </c>
      <c r="AJ74" s="270" t="n">
        <v>0.584063802270441</v>
      </c>
      <c r="AK74" s="64" t="n">
        <v>0.21368012645495</v>
      </c>
      <c r="AL74" s="64" t="n">
        <v>0.0307515447621785</v>
      </c>
      <c r="AM74" s="119" t="n">
        <v>0.387340135076879</v>
      </c>
    </row>
    <row customHeight="1" hidden="1" ht="13.2" outlineLevel="1" r="75" s="3">
      <c r="A75" s="117" t="n">
        <v>43416</v>
      </c>
      <c r="B75" s="289" t="inlineStr">
        <is>
          <t>安卓</t>
        </is>
      </c>
      <c r="C75" s="268" t="n">
        <v>6669</v>
      </c>
      <c r="D75" s="268" t="n">
        <v>16582</v>
      </c>
      <c r="E75" s="269" t="n">
        <v>2.48642974958764</v>
      </c>
      <c r="F75" s="270" t="n">
        <v>0.828685563864431</v>
      </c>
      <c r="G75" s="292" t="n">
        <v>15.72</v>
      </c>
      <c r="H75" s="292" t="n">
        <v>28.11</v>
      </c>
      <c r="I75" s="141" t="n">
        <v>0.339</v>
      </c>
      <c r="J75" s="141" t="n">
        <v>0.168</v>
      </c>
      <c r="K75" s="122" t="n">
        <v>0.1</v>
      </c>
      <c r="L75" s="270" t="n">
        <v>9.493909058014721</v>
      </c>
      <c r="M75" s="272" t="n">
        <v>10.8459172596792</v>
      </c>
      <c r="N75" s="270" t="n">
        <v>16.8474941451991</v>
      </c>
      <c r="O75" s="273">
        <f>M75/N75</f>
        <v/>
      </c>
      <c r="P75" s="270" t="n">
        <v>2.3927868852459</v>
      </c>
      <c r="Q75" s="270" t="n">
        <v>2.76543325526932</v>
      </c>
      <c r="R75" s="270" t="n">
        <v>1.45470725995316</v>
      </c>
      <c r="S75" s="270" t="n">
        <v>5.51316159250585</v>
      </c>
      <c r="T75" s="270" t="n">
        <v>1.35606557377049</v>
      </c>
      <c r="U75" s="270" t="n">
        <v>0.562529274004684</v>
      </c>
      <c r="V75" s="270" t="n">
        <v>1.9367681498829</v>
      </c>
      <c r="W75" s="270" t="n">
        <v>0.866042154566745</v>
      </c>
      <c r="X75" s="270" t="n">
        <v>0.452056446749487</v>
      </c>
      <c r="Y75" s="269">
        <f>M75+X75</f>
        <v/>
      </c>
      <c r="Z75" s="293" t="n">
        <v>292</v>
      </c>
      <c r="AA75" s="275" t="n">
        <v>203</v>
      </c>
      <c r="AB75" s="294" t="n">
        <v>1877.08</v>
      </c>
      <c r="AC75" s="290" t="n"/>
      <c r="AD75" s="276" t="n">
        <v>0.0176094560366663</v>
      </c>
      <c r="AE75" s="142">
        <f>AA75/D75</f>
        <v/>
      </c>
      <c r="AF75" s="270" t="n">
        <v>6.42835616438356</v>
      </c>
      <c r="AG75" s="277" t="n">
        <v>0.113199855264745</v>
      </c>
      <c r="AH75" s="118" t="n">
        <v>0.512820512820513</v>
      </c>
      <c r="AI75" s="118" t="n">
        <v>0.336632178737442</v>
      </c>
      <c r="AJ75" s="270" t="n">
        <v>0.546858038837293</v>
      </c>
      <c r="AK75" s="64" t="n">
        <v>0.185442045591605</v>
      </c>
      <c r="AL75" s="64" t="n">
        <v>0.0254492823543601</v>
      </c>
      <c r="AM75" s="119" t="n">
        <v>0.34567603425401</v>
      </c>
    </row>
    <row customHeight="1" hidden="1" ht="13.2" outlineLevel="1" r="76" s="3">
      <c r="A76" s="117" t="n">
        <v>43417</v>
      </c>
      <c r="B76" s="289" t="inlineStr">
        <is>
          <t>安卓</t>
        </is>
      </c>
      <c r="C76" s="268" t="n">
        <v>8170</v>
      </c>
      <c r="D76" s="268" t="n">
        <v>18857</v>
      </c>
      <c r="E76" s="269" t="n">
        <v>2.30807833537332</v>
      </c>
      <c r="F76" s="270" t="n">
        <v>0.8004596865885349</v>
      </c>
      <c r="G76" s="292" t="n">
        <v>17</v>
      </c>
      <c r="H76" s="292" t="n">
        <v>32.74</v>
      </c>
      <c r="I76" s="141" t="n">
        <v>0.335</v>
      </c>
      <c r="J76" s="141" t="n">
        <v>0.167</v>
      </c>
      <c r="K76" s="141" t="n">
        <v>0.096</v>
      </c>
      <c r="L76" s="270" t="n">
        <v>8.989393859044389</v>
      </c>
      <c r="M76" s="272" t="n">
        <v>9.90560534549504</v>
      </c>
      <c r="N76" s="270" t="n">
        <v>15.8484642796538</v>
      </c>
      <c r="O76" s="273">
        <f>M76/N76</f>
        <v/>
      </c>
      <c r="P76" s="270" t="n">
        <v>2.26769048023078</v>
      </c>
      <c r="Q76" s="270" t="n">
        <v>2.61988800271509</v>
      </c>
      <c r="R76" s="270" t="n">
        <v>1.2882233157984</v>
      </c>
      <c r="S76" s="270" t="n">
        <v>5.09451892075344</v>
      </c>
      <c r="T76" s="270" t="n">
        <v>1.25275750890887</v>
      </c>
      <c r="U76" s="270" t="n">
        <v>0.593076531478025</v>
      </c>
      <c r="V76" s="270" t="n">
        <v>1.86000339385712</v>
      </c>
      <c r="W76" s="270" t="n">
        <v>0.872306125912099</v>
      </c>
      <c r="X76" s="270" t="n">
        <v>0.391737816195577</v>
      </c>
      <c r="Y76" s="269">
        <f>M76+X76</f>
        <v/>
      </c>
      <c r="Z76" s="293" t="n">
        <v>365</v>
      </c>
      <c r="AA76" s="275" t="n">
        <v>246</v>
      </c>
      <c r="AB76" s="294" t="n">
        <v>2043.35</v>
      </c>
      <c r="AC76" s="290" t="n"/>
      <c r="AD76" s="276" t="n">
        <v>0.0193562072439943</v>
      </c>
      <c r="AE76" s="142">
        <f>AA76/D76</f>
        <v/>
      </c>
      <c r="AF76" s="270" t="n">
        <v>5.59821917808219</v>
      </c>
      <c r="AG76" s="277" t="n">
        <v>0.108360290608262</v>
      </c>
      <c r="AH76" s="118" t="n">
        <v>0.485067319461444</v>
      </c>
      <c r="AI76" s="118" t="n">
        <v>0.322766217870257</v>
      </c>
      <c r="AJ76" s="270" t="n">
        <v>0.56636792702975</v>
      </c>
      <c r="AK76" s="64" t="n">
        <v>0.185978681656679</v>
      </c>
      <c r="AL76" s="64" t="n">
        <v>0.0273108129607042</v>
      </c>
      <c r="AM76" s="119" t="n">
        <v>0.262289865832317</v>
      </c>
    </row>
    <row customHeight="1" hidden="1" ht="13.2" outlineLevel="1" r="77" s="3">
      <c r="A77" s="117" t="n">
        <v>43418</v>
      </c>
      <c r="B77" s="267" t="inlineStr">
        <is>
          <t>安卓</t>
        </is>
      </c>
      <c r="C77" s="268" t="n">
        <v>9043</v>
      </c>
      <c r="D77" s="268" t="n">
        <v>20482</v>
      </c>
      <c r="E77" s="269" t="n">
        <v>2.26495631980537</v>
      </c>
      <c r="F77" s="270" t="n">
        <v>0.763093804511278</v>
      </c>
      <c r="G77" s="292" t="n">
        <v>16.06</v>
      </c>
      <c r="H77" s="292" t="n">
        <v>33.55</v>
      </c>
      <c r="I77" s="141" t="n">
        <v>0.332</v>
      </c>
      <c r="J77" s="141" t="n">
        <v>0.169</v>
      </c>
      <c r="K77" s="141" t="n">
        <v>0.089</v>
      </c>
      <c r="L77" s="270" t="n">
        <v>8.94756371448101</v>
      </c>
      <c r="M77" s="272" t="n">
        <v>9.2740943267259</v>
      </c>
      <c r="N77" s="270" t="n">
        <v>15.0421286031042</v>
      </c>
      <c r="O77" s="273">
        <f>M77/N77</f>
        <v/>
      </c>
      <c r="P77" s="270" t="n">
        <v>2.09304719670573</v>
      </c>
      <c r="Q77" s="270" t="n">
        <v>2.48796325625594</v>
      </c>
      <c r="R77" s="270" t="n">
        <v>1.11292366170415</v>
      </c>
      <c r="S77" s="270" t="n">
        <v>5.01781754830535</v>
      </c>
      <c r="T77" s="270" t="n">
        <v>1.17587899904973</v>
      </c>
      <c r="U77" s="270" t="n">
        <v>0.628048780487805</v>
      </c>
      <c r="V77" s="270" t="n">
        <v>1.71412733607856</v>
      </c>
      <c r="W77" s="270" t="n">
        <v>0.812321824516946</v>
      </c>
      <c r="X77" s="270" t="n">
        <v>0.304999511766429</v>
      </c>
      <c r="Y77" s="269">
        <f>M77+X77</f>
        <v/>
      </c>
      <c r="Z77" s="293" t="n">
        <v>338</v>
      </c>
      <c r="AA77" s="275" t="n">
        <v>230</v>
      </c>
      <c r="AB77" s="294" t="n">
        <v>2440.62</v>
      </c>
      <c r="AC77" s="290" t="n"/>
      <c r="AD77" s="276" t="n">
        <v>0.0165022946977834</v>
      </c>
      <c r="AE77" s="142">
        <f>AA77/D77</f>
        <v/>
      </c>
      <c r="AF77" s="270" t="n">
        <v>7.22076923076923</v>
      </c>
      <c r="AG77" s="277" t="n">
        <v>0.119159261790841</v>
      </c>
      <c r="AH77" s="118" t="n">
        <v>0.508680747539533</v>
      </c>
      <c r="AI77" s="118" t="n">
        <v>0.353090788455159</v>
      </c>
      <c r="AJ77" s="270" t="n">
        <v>0.653451811346548</v>
      </c>
      <c r="AK77" s="64" t="n">
        <v>0.200273410799727</v>
      </c>
      <c r="AL77" s="64" t="n">
        <v>0.0263646128307782</v>
      </c>
      <c r="AM77" s="119" t="n">
        <v>0</v>
      </c>
    </row>
    <row customHeight="1" hidden="1" ht="13.2" outlineLevel="1" r="78" s="3">
      <c r="A78" s="117" t="n">
        <v>43419</v>
      </c>
      <c r="B78" s="267" t="inlineStr">
        <is>
          <t>安卓</t>
        </is>
      </c>
      <c r="C78" s="268" t="n">
        <v>10775</v>
      </c>
      <c r="D78" s="268" t="n">
        <v>23209</v>
      </c>
      <c r="E78" s="269" t="n">
        <v>2.15396751740139</v>
      </c>
      <c r="F78" s="270" t="n">
        <v>0.661043899952604</v>
      </c>
      <c r="G78" s="292" t="n">
        <v>16.36</v>
      </c>
      <c r="H78" s="292" t="n">
        <v>35.54</v>
      </c>
      <c r="I78" s="141" t="n">
        <v>0.31</v>
      </c>
      <c r="J78" s="141" t="n">
        <v>0.15</v>
      </c>
      <c r="K78" s="141" t="n">
        <v>0.075</v>
      </c>
      <c r="L78" s="270" t="n">
        <v>8.64901546813736</v>
      </c>
      <c r="M78" s="272" t="n">
        <v>8.866474212589941</v>
      </c>
      <c r="N78" s="270" t="n">
        <v>14.899862428499</v>
      </c>
      <c r="O78" s="273">
        <f>M78/N78</f>
        <v/>
      </c>
      <c r="P78" s="270" t="n">
        <v>2.0786329737166</v>
      </c>
      <c r="Q78" s="270" t="n">
        <v>2.50814568097893</v>
      </c>
      <c r="R78" s="270" t="n">
        <v>1.0522047643183</v>
      </c>
      <c r="S78" s="270" t="n">
        <v>4.9468539569908</v>
      </c>
      <c r="T78" s="270" t="n">
        <v>1.16182752878141</v>
      </c>
      <c r="U78" s="270" t="n">
        <v>0.631308377380349</v>
      </c>
      <c r="V78" s="270" t="n">
        <v>1.69191224386359</v>
      </c>
      <c r="W78" s="270" t="n">
        <v>0.828976902469046</v>
      </c>
      <c r="X78" s="270" t="n">
        <v>0.163255633590418</v>
      </c>
      <c r="Y78" s="269">
        <f>M78+X78</f>
        <v/>
      </c>
      <c r="Z78" s="293" t="n">
        <v>321</v>
      </c>
      <c r="AA78" s="275" t="n">
        <v>231</v>
      </c>
      <c r="AB78" s="294" t="n">
        <v>1852.79</v>
      </c>
      <c r="AC78" s="290" t="n"/>
      <c r="AD78" s="276" t="n">
        <v>0.0138308414839071</v>
      </c>
      <c r="AE78" s="142">
        <f>AA78/D78</f>
        <v/>
      </c>
      <c r="AF78" s="270" t="n">
        <v>5.77193146417446</v>
      </c>
      <c r="AG78" s="277" t="n">
        <v>0.0798306691369727</v>
      </c>
      <c r="AH78" s="118" t="n">
        <v>0.452343387470998</v>
      </c>
      <c r="AI78" s="118" t="n">
        <v>0.315638051044084</v>
      </c>
      <c r="AJ78" s="270" t="n">
        <v>0.60498082640355</v>
      </c>
      <c r="AK78" s="64" t="n">
        <v>0.194407341979405</v>
      </c>
      <c r="AL78" s="64" t="n">
        <v>0.0228790555387996</v>
      </c>
      <c r="AM78" s="119" t="n">
        <v>0</v>
      </c>
    </row>
    <row customHeight="1" hidden="1" ht="13.2" outlineLevel="1" r="79" s="3">
      <c r="A79" s="117" t="n">
        <v>43420</v>
      </c>
      <c r="B79" s="267" t="inlineStr">
        <is>
          <t>安卓</t>
        </is>
      </c>
      <c r="C79" s="268" t="n">
        <v>11058</v>
      </c>
      <c r="D79" s="268" t="n">
        <v>24704</v>
      </c>
      <c r="E79" s="269" t="n">
        <v>2.23403870500995</v>
      </c>
      <c r="F79" s="270" t="n">
        <v>0.255613880343264</v>
      </c>
      <c r="G79" s="292" t="n">
        <v>15.88</v>
      </c>
      <c r="H79" s="292" t="n">
        <v>32.68</v>
      </c>
      <c r="I79" s="141" t="n">
        <v>0.287</v>
      </c>
      <c r="J79" s="141" t="n">
        <v>0.143</v>
      </c>
      <c r="K79" s="141" t="n">
        <v>0.067</v>
      </c>
      <c r="L79" s="270" t="n">
        <v>8.572053108808291</v>
      </c>
      <c r="M79" s="272" t="n">
        <v>9.23599417098446</v>
      </c>
      <c r="N79" s="270" t="n">
        <v>15.0406064601187</v>
      </c>
      <c r="O79" s="273">
        <f>M79/N79</f>
        <v/>
      </c>
      <c r="P79" s="270" t="n">
        <v>2.13111404087014</v>
      </c>
      <c r="Q79" s="270" t="n">
        <v>2.55484508899143</v>
      </c>
      <c r="R79" s="270" t="n">
        <v>1.01595253790376</v>
      </c>
      <c r="S79" s="270" t="n">
        <v>4.98549769281477</v>
      </c>
      <c r="T79" s="270" t="n">
        <v>1.16697429136454</v>
      </c>
      <c r="U79" s="270" t="n">
        <v>0.633157547791694</v>
      </c>
      <c r="V79" s="270" t="n">
        <v>1.70006591957811</v>
      </c>
      <c r="W79" s="270" t="n">
        <v>0.852999340804219</v>
      </c>
      <c r="X79" s="270" t="n">
        <v>0.13337920984456</v>
      </c>
      <c r="Y79" s="269">
        <f>M79+X79</f>
        <v/>
      </c>
      <c r="Z79" s="293" t="n">
        <v>437</v>
      </c>
      <c r="AA79" s="275" t="n">
        <v>288</v>
      </c>
      <c r="AB79" s="294" t="n">
        <v>2733.63</v>
      </c>
      <c r="AC79" s="290" t="n"/>
      <c r="AD79" s="276" t="n">
        <v>0.0176894430051813</v>
      </c>
      <c r="AE79" s="142">
        <f>AA79/D79</f>
        <v/>
      </c>
      <c r="AF79" s="270" t="n">
        <v>6.25544622425629</v>
      </c>
      <c r="AG79" s="277" t="n">
        <v>0.110655359455959</v>
      </c>
      <c r="AH79" s="118" t="n">
        <v>0.479924036896365</v>
      </c>
      <c r="AI79" s="118" t="n">
        <v>0.340658346898173</v>
      </c>
      <c r="AJ79" s="270" t="n">
        <v>0.614515867875648</v>
      </c>
      <c r="AK79" s="64" t="n">
        <v>0.196850712435233</v>
      </c>
      <c r="AL79" s="64" t="n">
        <v>0.0226683937823834</v>
      </c>
      <c r="AM79" s="119" t="n">
        <v>0</v>
      </c>
    </row>
    <row customHeight="1" hidden="1" ht="13.2" outlineLevel="1" r="80" s="3">
      <c r="A80" s="117" t="n">
        <v>43421</v>
      </c>
      <c r="B80" s="289" t="inlineStr">
        <is>
          <t>安卓</t>
        </is>
      </c>
      <c r="C80" s="268" t="n">
        <v>7567</v>
      </c>
      <c r="D80" s="268" t="n">
        <v>21870</v>
      </c>
      <c r="E80" s="269" t="n">
        <v>2.89018104929298</v>
      </c>
      <c r="F80" s="270" t="n">
        <v>0.9592203598079559</v>
      </c>
      <c r="G80" s="292" t="n">
        <v>15.95</v>
      </c>
      <c r="H80" s="292" t="n">
        <v>31.18</v>
      </c>
      <c r="I80" s="141" t="n">
        <v>0.277</v>
      </c>
      <c r="J80" s="141" t="n">
        <v>0.143</v>
      </c>
      <c r="K80" s="141" t="n">
        <v>0.07199999999999999</v>
      </c>
      <c r="L80" s="270" t="n">
        <v>10.3212620027435</v>
      </c>
      <c r="M80" s="272" t="n">
        <v>12.3290809327846</v>
      </c>
      <c r="N80" s="270" t="n">
        <v>18.397721069869</v>
      </c>
      <c r="O80" s="273">
        <f>M80/N80</f>
        <v/>
      </c>
      <c r="P80" s="270" t="n">
        <v>2.47093340611354</v>
      </c>
      <c r="Q80" s="270" t="n">
        <v>3.35773744541485</v>
      </c>
      <c r="R80" s="270" t="n">
        <v>1.12274836244541</v>
      </c>
      <c r="S80" s="270" t="n">
        <v>6.35575873362445</v>
      </c>
      <c r="T80" s="270" t="n">
        <v>1.42153384279476</v>
      </c>
      <c r="U80" s="270" t="n">
        <v>0.531181768558952</v>
      </c>
      <c r="V80" s="270" t="n">
        <v>2.14560589519651</v>
      </c>
      <c r="W80" s="270" t="n">
        <v>0.992221615720524</v>
      </c>
      <c r="X80" s="270" t="n">
        <v>0.265660722450846</v>
      </c>
      <c r="Y80" s="269">
        <f>M80+X80</f>
        <v/>
      </c>
      <c r="Z80" s="293" t="n">
        <v>431</v>
      </c>
      <c r="AA80" s="275" t="n">
        <v>285</v>
      </c>
      <c r="AB80" s="294" t="n">
        <v>2960.69</v>
      </c>
      <c r="AC80" s="290" t="n"/>
      <c r="AD80" s="276" t="n">
        <v>0.0197073616826703</v>
      </c>
      <c r="AE80" s="142">
        <f>AA80/D80</f>
        <v/>
      </c>
      <c r="AF80" s="270" t="n">
        <v>6.86935034802784</v>
      </c>
      <c r="AG80" s="277" t="n">
        <v>0.135376771833562</v>
      </c>
      <c r="AH80" s="118" t="n">
        <v>0.513677811550152</v>
      </c>
      <c r="AI80" s="118" t="n">
        <v>0.399101361173517</v>
      </c>
      <c r="AJ80" s="270" t="n">
        <v>0.552857796067673</v>
      </c>
      <c r="AK80" s="64" t="n">
        <v>0.220850480109739</v>
      </c>
      <c r="AL80" s="64" t="n">
        <v>0.0235025148605396</v>
      </c>
      <c r="AM80" s="119" t="n">
        <v>0.455372656607225</v>
      </c>
    </row>
    <row customHeight="1" hidden="1" ht="13.2" outlineLevel="1" r="81" s="3">
      <c r="A81" s="120" t="n">
        <v>43422</v>
      </c>
      <c r="B81" s="289" t="inlineStr">
        <is>
          <t>安卓</t>
        </is>
      </c>
      <c r="C81" s="268" t="n">
        <v>7490</v>
      </c>
      <c r="D81" s="268" t="n">
        <v>21622</v>
      </c>
      <c r="E81" s="269">
        <f>D81/C81</f>
        <v/>
      </c>
      <c r="F81" s="270">
        <f>3.3*M81*G81/1000+AB81/D81*3.3*0.7</f>
        <v/>
      </c>
      <c r="G81" s="292" t="n">
        <v>14.92</v>
      </c>
      <c r="H81" s="292" t="n">
        <v>29.22</v>
      </c>
      <c r="I81" s="141" t="n">
        <v>0.299</v>
      </c>
      <c r="J81" s="141" t="n">
        <v>0.146</v>
      </c>
      <c r="K81" s="141" t="n">
        <v>0.083</v>
      </c>
      <c r="L81" s="270" t="n">
        <v>10.0641476274165</v>
      </c>
      <c r="M81" s="272" t="n">
        <v>12.3642123762834</v>
      </c>
      <c r="N81" s="270" t="n">
        <v>18.6454875156926</v>
      </c>
      <c r="O81" s="273">
        <f>M81/N81</f>
        <v/>
      </c>
      <c r="P81" s="270" t="n">
        <v>2.43834565490306</v>
      </c>
      <c r="Q81" s="270" t="n">
        <v>3.33379829822849</v>
      </c>
      <c r="R81" s="270" t="n">
        <v>1.40814618496304</v>
      </c>
      <c r="S81" s="270" t="n">
        <v>6.37969033337984</v>
      </c>
      <c r="T81" s="270" t="n">
        <v>1.40661180080904</v>
      </c>
      <c r="U81" s="270" t="n">
        <v>0.547217185102526</v>
      </c>
      <c r="V81" s="270" t="n">
        <v>2.13767610545404</v>
      </c>
      <c r="W81" s="270" t="n">
        <v>0.994001952852562</v>
      </c>
      <c r="X81" s="270" t="n">
        <v>0.270095273332717</v>
      </c>
      <c r="Y81" s="269">
        <f>M81+X81</f>
        <v/>
      </c>
      <c r="Z81" s="275" t="n">
        <v>374</v>
      </c>
      <c r="AA81" s="32" t="n">
        <v>259</v>
      </c>
      <c r="AB81" s="270" t="n">
        <v>2610.26</v>
      </c>
      <c r="AC81" s="290" t="n"/>
      <c r="AD81" s="276">
        <f>Z81/D81</f>
        <v/>
      </c>
      <c r="AE81" s="142">
        <f>AA81/D81</f>
        <v/>
      </c>
      <c r="AF81" s="270">
        <f>AB81/Z81</f>
        <v/>
      </c>
      <c r="AG81" s="277">
        <f>AD81*AF81</f>
        <v/>
      </c>
      <c r="AH81" s="118" t="n">
        <v>0.530574098798398</v>
      </c>
      <c r="AI81" s="118" t="n">
        <v>0.378771695594125</v>
      </c>
      <c r="AJ81" s="270" t="n">
        <v>0.5597539543058</v>
      </c>
      <c r="AK81" s="64" t="n">
        <v>0.219128665248358</v>
      </c>
      <c r="AL81" s="64" t="n">
        <v>0.0231708445102211</v>
      </c>
      <c r="AM81" s="119" t="n">
        <v>0.418416427712515</v>
      </c>
    </row>
    <row customHeight="1" hidden="1" ht="13.2" outlineLevel="1" r="82" s="3">
      <c r="A82" s="117" t="n">
        <v>43423</v>
      </c>
      <c r="B82" s="289" t="inlineStr">
        <is>
          <t>安卓</t>
        </is>
      </c>
      <c r="C82" s="268" t="n">
        <v>9225</v>
      </c>
      <c r="D82" s="268" t="n">
        <v>23793</v>
      </c>
      <c r="E82" s="269">
        <f>D82/C82</f>
        <v/>
      </c>
      <c r="F82" s="270">
        <f>3.3*M82*G82/1000+AB82/D82*3.3*0.7</f>
        <v/>
      </c>
      <c r="G82" s="292" t="n">
        <v>14.69</v>
      </c>
      <c r="H82" s="292" t="n">
        <v>32.06</v>
      </c>
      <c r="I82" s="141" t="n">
        <v>0.319</v>
      </c>
      <c r="J82" s="141" t="n">
        <v>0.158</v>
      </c>
      <c r="K82" s="141" t="n">
        <v>0.09</v>
      </c>
      <c r="L82" s="270" t="n">
        <v>9.785230950279489</v>
      </c>
      <c r="M82" s="272" t="n">
        <v>11.5153616609927</v>
      </c>
      <c r="N82" s="270" t="n">
        <v>17.5417760420001</v>
      </c>
      <c r="O82" s="273">
        <f>M82/N82</f>
        <v/>
      </c>
      <c r="P82" s="270" t="n">
        <v>2.32614123823548</v>
      </c>
      <c r="Q82" s="270" t="n">
        <v>3.25104039951341</v>
      </c>
      <c r="R82" s="270" t="n">
        <v>1.16697611882963</v>
      </c>
      <c r="S82" s="270" t="n">
        <v>5.92080158780972</v>
      </c>
      <c r="T82" s="270" t="n">
        <v>1.30738203470133</v>
      </c>
      <c r="U82" s="270" t="n">
        <v>0.545681541712017</v>
      </c>
      <c r="V82" s="270" t="n">
        <v>2.04782636532428</v>
      </c>
      <c r="W82" s="270" t="n">
        <v>0.975926755874256</v>
      </c>
      <c r="X82" s="270" t="n">
        <v>0.19077039465389</v>
      </c>
      <c r="Y82" s="269">
        <f>M82+X82</f>
        <v/>
      </c>
      <c r="Z82" s="275" t="n">
        <v>402</v>
      </c>
      <c r="AA82" s="275" t="n">
        <v>273</v>
      </c>
      <c r="AB82" s="270" t="n">
        <v>2157.98</v>
      </c>
      <c r="AC82" s="290" t="n"/>
      <c r="AD82" s="276">
        <f>Z82/D82</f>
        <v/>
      </c>
      <c r="AE82" s="142">
        <f>AA82/D82</f>
        <v/>
      </c>
      <c r="AF82" s="270">
        <f>AB82/Z82</f>
        <v/>
      </c>
      <c r="AG82" s="277">
        <f>AD82*AF82</f>
        <v/>
      </c>
      <c r="AH82" s="118" t="n">
        <v>0.528021680216802</v>
      </c>
      <c r="AI82" s="118" t="n">
        <v>0.353929539295393</v>
      </c>
      <c r="AJ82" s="270" t="n">
        <v>0.582103980162233</v>
      </c>
      <c r="AK82" s="64" t="n">
        <v>0.204345815996301</v>
      </c>
      <c r="AL82" s="64" t="n">
        <v>0.0235363342159459</v>
      </c>
      <c r="AM82" s="119" t="n">
        <v>0.407640902786534</v>
      </c>
    </row>
    <row customHeight="1" hidden="1" ht="13.2" outlineLevel="1" r="83" s="3">
      <c r="A83" s="117" t="n">
        <v>43424</v>
      </c>
      <c r="B83" s="289" t="inlineStr">
        <is>
          <t>安卓</t>
        </is>
      </c>
      <c r="C83" s="268" t="n">
        <v>9567</v>
      </c>
      <c r="D83" s="268" t="n">
        <v>24934</v>
      </c>
      <c r="E83" s="269">
        <f>D83/C83</f>
        <v/>
      </c>
      <c r="F83" s="270">
        <f>3.3*M83*G83/1000+AB83/D83*3.3*0.7</f>
        <v/>
      </c>
      <c r="G83" s="292" t="n">
        <v>15.08</v>
      </c>
      <c r="H83" s="292" t="n">
        <v>34.09</v>
      </c>
      <c r="I83" s="141" t="n">
        <v>0.338</v>
      </c>
      <c r="J83" s="141" t="n">
        <v>0.166</v>
      </c>
      <c r="K83" s="141" t="n">
        <v>0.08</v>
      </c>
      <c r="L83" s="270" t="n">
        <v>9.392676666399289</v>
      </c>
      <c r="M83" s="272" t="n">
        <v>10.7327745247453</v>
      </c>
      <c r="N83" s="270" t="n">
        <v>16.2050987041298</v>
      </c>
      <c r="O83" s="273">
        <f>M83/N83</f>
        <v/>
      </c>
      <c r="P83" s="270" t="n">
        <v>2.1975899237011</v>
      </c>
      <c r="Q83" s="270" t="n">
        <v>2.8949376286787</v>
      </c>
      <c r="R83" s="270" t="n">
        <v>1.10003633280853</v>
      </c>
      <c r="S83" s="270" t="n">
        <v>5.39645149570062</v>
      </c>
      <c r="T83" s="270" t="n">
        <v>1.23507327116386</v>
      </c>
      <c r="U83" s="270" t="n">
        <v>0.571938960881676</v>
      </c>
      <c r="V83" s="270" t="n">
        <v>1.87628678696863</v>
      </c>
      <c r="W83" s="270" t="n">
        <v>0.932784304226717</v>
      </c>
      <c r="X83" s="270" t="n">
        <v>0.159581294617791</v>
      </c>
      <c r="Y83" s="269">
        <f>M83+X83</f>
        <v/>
      </c>
      <c r="Z83" s="275" t="n">
        <v>338</v>
      </c>
      <c r="AA83" s="275" t="n">
        <v>235</v>
      </c>
      <c r="AB83" s="270" t="n">
        <v>1833.62</v>
      </c>
      <c r="AC83" s="290" t="n"/>
      <c r="AD83" s="276">
        <f>Z83/D83</f>
        <v/>
      </c>
      <c r="AE83" s="142">
        <f>AA83/D83</f>
        <v/>
      </c>
      <c r="AF83" s="270">
        <f>AB83/Z83</f>
        <v/>
      </c>
      <c r="AG83" s="277">
        <f>AD83*AF83</f>
        <v/>
      </c>
      <c r="AH83" s="118" t="n">
        <v>0.549283997073273</v>
      </c>
      <c r="AI83" s="118" t="n">
        <v>0.376816138810494</v>
      </c>
      <c r="AJ83" s="270" t="n">
        <v>0.6268950028074119</v>
      </c>
      <c r="AK83" s="64" t="n">
        <v>0.215368573032807</v>
      </c>
      <c r="AL83" s="64" t="n">
        <v>0.0236624689179434</v>
      </c>
      <c r="AM83" s="119" t="n">
        <v>0.310098660463624</v>
      </c>
    </row>
    <row customHeight="1" hidden="1" ht="13.2" outlineLevel="1" r="84" s="3">
      <c r="A84" s="117" t="n">
        <v>43425</v>
      </c>
      <c r="B84" s="267" t="inlineStr">
        <is>
          <t>安卓</t>
        </is>
      </c>
      <c r="C84" s="268" t="n">
        <v>7419</v>
      </c>
      <c r="D84" s="268" t="n">
        <v>23040</v>
      </c>
      <c r="E84" s="269">
        <f>D84/C84</f>
        <v/>
      </c>
      <c r="F84" s="270">
        <f>3.3*M84*G84/1000+AB84/D84*3.3*0.7</f>
        <v/>
      </c>
      <c r="G84" s="292" t="n">
        <v>14.8</v>
      </c>
      <c r="H84" s="292" t="n">
        <v>33.92</v>
      </c>
      <c r="I84" s="141" t="n">
        <v>0.352</v>
      </c>
      <c r="J84" s="141" t="n">
        <v>0.169</v>
      </c>
      <c r="K84" s="141" t="n">
        <v>0.081</v>
      </c>
      <c r="L84" s="270" t="n">
        <v>9.367795138888891</v>
      </c>
      <c r="M84" s="272" t="n">
        <v>10.4149305555556</v>
      </c>
      <c r="N84" s="270" t="n">
        <v>15.3368273041033</v>
      </c>
      <c r="O84" s="273">
        <f>M84/N84</f>
        <v/>
      </c>
      <c r="P84" s="270" t="n">
        <v>2.056627892113</v>
      </c>
      <c r="Q84" s="270" t="n">
        <v>2.622906813243</v>
      </c>
      <c r="R84" s="270" t="n">
        <v>1.07497123865525</v>
      </c>
      <c r="S84" s="270" t="n">
        <v>5.12942605138694</v>
      </c>
      <c r="T84" s="270" t="n">
        <v>1.19033618816311</v>
      </c>
      <c r="U84" s="270" t="n">
        <v>0.5982998849546211</v>
      </c>
      <c r="V84" s="270" t="n">
        <v>1.77802633260897</v>
      </c>
      <c r="W84" s="270" t="n">
        <v>0.886232902978397</v>
      </c>
      <c r="X84" s="270" t="n">
        <v>0.0825086805555556</v>
      </c>
      <c r="Y84" s="269">
        <f>M84+X84</f>
        <v/>
      </c>
      <c r="Z84" s="275" t="n">
        <v>314</v>
      </c>
      <c r="AA84" s="275" t="n">
        <v>225</v>
      </c>
      <c r="AB84" s="270" t="n">
        <v>1448.86</v>
      </c>
      <c r="AC84" s="290" t="n"/>
      <c r="AD84" s="276">
        <f>Z84/D84</f>
        <v/>
      </c>
      <c r="AE84" s="142">
        <f>AA84/D84</f>
        <v/>
      </c>
      <c r="AF84" s="270">
        <f>AB84/Z84</f>
        <v/>
      </c>
      <c r="AG84" s="277">
        <f>AD84*AF84</f>
        <v/>
      </c>
      <c r="AH84" s="118" t="n">
        <v>0.620703598867772</v>
      </c>
      <c r="AI84" s="118" t="n">
        <v>0.480522981533899</v>
      </c>
      <c r="AJ84" s="270" t="n">
        <v>0.729166666666667</v>
      </c>
      <c r="AK84" s="64" t="n">
        <v>0.247829861111111</v>
      </c>
      <c r="AL84" s="64" t="n">
        <v>0.028515625</v>
      </c>
      <c r="AM84" s="119" t="n">
        <v>0</v>
      </c>
    </row>
    <row customHeight="1" hidden="1" ht="13.2" outlineLevel="1" r="85" s="3">
      <c r="A85" s="117" t="n">
        <v>43426</v>
      </c>
      <c r="B85" s="267" t="inlineStr">
        <is>
          <t>安卓</t>
        </is>
      </c>
      <c r="C85" s="268" t="n">
        <v>6317</v>
      </c>
      <c r="D85" s="268" t="n">
        <v>21690</v>
      </c>
      <c r="E85" s="269">
        <f>D85/C85</f>
        <v/>
      </c>
      <c r="F85" s="270">
        <f>3.3*M85*G85/1000+AB85/D85*3.3*0.7</f>
        <v/>
      </c>
      <c r="G85" s="292" t="n">
        <v>14.33</v>
      </c>
      <c r="H85" s="292" t="n">
        <v>34.45</v>
      </c>
      <c r="I85" s="141" t="n">
        <v>0.357</v>
      </c>
      <c r="J85" s="141" t="n">
        <v>0.171</v>
      </c>
      <c r="K85" s="141" t="n">
        <v>0.08799999999999999</v>
      </c>
      <c r="L85" s="270" t="n">
        <v>9.460073766712769</v>
      </c>
      <c r="M85" s="272" t="n">
        <v>10.3449054863993</v>
      </c>
      <c r="N85" s="270" t="n">
        <v>14.8734588360069</v>
      </c>
      <c r="O85" s="273">
        <f>M85/N85</f>
        <v/>
      </c>
      <c r="P85" s="270" t="n">
        <v>2.04646692297494</v>
      </c>
      <c r="Q85" s="270" t="n">
        <v>2.57603075699324</v>
      </c>
      <c r="R85" s="270" t="n">
        <v>1.0292324009015</v>
      </c>
      <c r="S85" s="270" t="n">
        <v>4.90527641521941</v>
      </c>
      <c r="T85" s="270" t="n">
        <v>1.16372795969773</v>
      </c>
      <c r="U85" s="270" t="n">
        <v>0.575367890759645</v>
      </c>
      <c r="V85" s="270" t="n">
        <v>1.69687127137744</v>
      </c>
      <c r="W85" s="270" t="n">
        <v>0.880485218082991</v>
      </c>
      <c r="X85" s="270" t="n">
        <v>0.085799907791609</v>
      </c>
      <c r="Y85" s="269">
        <f>M85+X85</f>
        <v/>
      </c>
      <c r="Z85" s="275" t="n">
        <v>283</v>
      </c>
      <c r="AA85" s="275" t="n">
        <v>211</v>
      </c>
      <c r="AB85" s="270" t="n">
        <v>1509.17</v>
      </c>
      <c r="AC85" s="290" t="n"/>
      <c r="AD85" s="276">
        <f>Z85/D85</f>
        <v/>
      </c>
      <c r="AE85" s="142">
        <f>AA85/D85</f>
        <v/>
      </c>
      <c r="AF85" s="270">
        <f>AB85/Z85</f>
        <v/>
      </c>
      <c r="AG85" s="277">
        <f>AD85*AF85</f>
        <v/>
      </c>
      <c r="AH85" s="118" t="n">
        <v>0.639544087383252</v>
      </c>
      <c r="AI85" s="118" t="n">
        <v>0.47775842963432</v>
      </c>
      <c r="AJ85" s="270" t="n">
        <v>0.7088981097279849</v>
      </c>
      <c r="AK85" s="64" t="n">
        <v>0.25463347164592</v>
      </c>
      <c r="AL85" s="64" t="n">
        <v>0.0293222683264177</v>
      </c>
      <c r="AM85" s="119" t="n">
        <v>0</v>
      </c>
    </row>
    <row customHeight="1" hidden="1" ht="13.2" outlineLevel="1" r="86" s="3">
      <c r="A86" s="117" t="n">
        <v>43427</v>
      </c>
      <c r="B86" s="267" t="inlineStr">
        <is>
          <t>安卓</t>
        </is>
      </c>
      <c r="C86" s="268" t="n">
        <v>6399</v>
      </c>
      <c r="D86" s="268" t="n">
        <v>21450</v>
      </c>
      <c r="E86" s="269">
        <f>D86/C86</f>
        <v/>
      </c>
      <c r="F86" s="270">
        <f>3.3*M86*G86/1000+AB86/D86*3.3*0.7</f>
        <v/>
      </c>
      <c r="G86" s="292" t="n">
        <v>14.85</v>
      </c>
      <c r="H86" s="292" t="n">
        <v>34.29</v>
      </c>
      <c r="I86" s="141" t="n">
        <v>0.368</v>
      </c>
      <c r="J86" s="141" t="n">
        <v>0.175</v>
      </c>
      <c r="K86" s="141" t="n">
        <v>0.08400000000000001</v>
      </c>
      <c r="L86" s="270" t="n">
        <v>9.01934731934732</v>
      </c>
      <c r="M86" s="272" t="n">
        <v>9.90871794871795</v>
      </c>
      <c r="N86" s="270" t="n">
        <v>14.3823250778184</v>
      </c>
      <c r="O86" s="273">
        <f>M86/N86</f>
        <v/>
      </c>
      <c r="P86" s="270" t="n">
        <v>2.02212748680471</v>
      </c>
      <c r="Q86" s="270" t="n">
        <v>2.4417377182298</v>
      </c>
      <c r="R86" s="270" t="n">
        <v>0.987278386791176</v>
      </c>
      <c r="S86" s="270" t="n">
        <v>4.70936527270267</v>
      </c>
      <c r="T86" s="270" t="n">
        <v>1.14325348491</v>
      </c>
      <c r="U86" s="270" t="n">
        <v>0.5609690079848419</v>
      </c>
      <c r="V86" s="270" t="n">
        <v>1.66145621870348</v>
      </c>
      <c r="W86" s="270" t="n">
        <v>0.856137501691704</v>
      </c>
      <c r="X86" s="270" t="n">
        <v>0.07459207459207461</v>
      </c>
      <c r="Y86" s="269">
        <f>M86+X86</f>
        <v/>
      </c>
      <c r="Z86" s="275" t="n">
        <v>287</v>
      </c>
      <c r="AA86" s="275" t="n">
        <v>205</v>
      </c>
      <c r="AB86" s="270" t="n">
        <v>1523.13</v>
      </c>
      <c r="AC86" s="290" t="n"/>
      <c r="AD86" s="276">
        <f>Z86/D86</f>
        <v/>
      </c>
      <c r="AE86" s="142">
        <f>AA86/D86</f>
        <v/>
      </c>
      <c r="AF86" s="270">
        <f>AB86/Z86</f>
        <v/>
      </c>
      <c r="AG86" s="277">
        <f>AD86*AF86</f>
        <v/>
      </c>
      <c r="AH86" s="118" t="n">
        <v>0.631973745897797</v>
      </c>
      <c r="AI86" s="118" t="n">
        <v>0.4447569932802</v>
      </c>
      <c r="AJ86" s="270" t="n">
        <v>0.686666666666667</v>
      </c>
      <c r="AK86" s="64" t="n">
        <v>0.252214452214452</v>
      </c>
      <c r="AL86" s="64" t="n">
        <v>0.0312354312354312</v>
      </c>
      <c r="AM86" s="119" t="n">
        <v>0</v>
      </c>
    </row>
    <row customHeight="1" hidden="1" ht="13.2" outlineLevel="1" r="87" s="3">
      <c r="A87" s="117" t="n">
        <v>43428</v>
      </c>
      <c r="B87" s="289" t="inlineStr">
        <is>
          <t>安卓</t>
        </is>
      </c>
      <c r="C87" s="268" t="n">
        <v>7416</v>
      </c>
      <c r="D87" s="268" t="n">
        <v>22271</v>
      </c>
      <c r="E87" s="269">
        <f>D87/C87</f>
        <v/>
      </c>
      <c r="F87" s="270">
        <f>3.3*M87*G87/1000+AB87/D87*3.3*0.7</f>
        <v/>
      </c>
      <c r="G87" s="292" t="n">
        <v>13.64</v>
      </c>
      <c r="H87" s="292" t="n">
        <v>30.62</v>
      </c>
      <c r="I87" s="141" t="n">
        <v>0.34</v>
      </c>
      <c r="J87" s="141" t="n">
        <v>0.163</v>
      </c>
      <c r="K87" s="141" t="n">
        <v>0.078</v>
      </c>
      <c r="L87" s="270" t="n">
        <v>10.2396389924117</v>
      </c>
      <c r="M87" s="272" t="n">
        <v>11.8580665439361</v>
      </c>
      <c r="N87" s="270" t="n">
        <v>17.3755510230936</v>
      </c>
      <c r="O87" s="273">
        <f>M87/N87</f>
        <v/>
      </c>
      <c r="P87" s="270" t="n">
        <v>2.46167511020462</v>
      </c>
      <c r="Q87" s="270" t="n">
        <v>3.0577011645503</v>
      </c>
      <c r="R87" s="270" t="n">
        <v>1.12303441015856</v>
      </c>
      <c r="S87" s="270" t="n">
        <v>5.8230146720179</v>
      </c>
      <c r="T87" s="270" t="n">
        <v>1.39364431870518</v>
      </c>
      <c r="U87" s="270" t="n">
        <v>0.520165800381604</v>
      </c>
      <c r="V87" s="270" t="n">
        <v>2.02506743864728</v>
      </c>
      <c r="W87" s="270" t="n">
        <v>0.971248108428186</v>
      </c>
      <c r="X87" s="270" t="n">
        <v>0.115217098468861</v>
      </c>
      <c r="Y87" s="269">
        <f>M87+X87</f>
        <v/>
      </c>
      <c r="Z87" s="275" t="n">
        <v>298</v>
      </c>
      <c r="AA87" s="275" t="n">
        <v>223</v>
      </c>
      <c r="AB87" s="270" t="n">
        <v>1835.02</v>
      </c>
      <c r="AC87" s="290" t="n"/>
      <c r="AD87" s="276">
        <f>Z87/D87</f>
        <v/>
      </c>
      <c r="AE87" s="142">
        <f>AA87/D87</f>
        <v/>
      </c>
      <c r="AF87" s="270">
        <f>AB87/Z87</f>
        <v/>
      </c>
      <c r="AG87" s="277">
        <f>AD87*AF87</f>
        <v/>
      </c>
      <c r="AH87" s="118" t="n">
        <v>0.616774541531823</v>
      </c>
      <c r="AI87" s="118" t="n">
        <v>0.421655879180151</v>
      </c>
      <c r="AJ87" s="270" t="n">
        <v>0.5850208791702211</v>
      </c>
      <c r="AK87" s="64" t="n">
        <v>0.232230254591172</v>
      </c>
      <c r="AL87" s="64" t="n">
        <v>0.0268510619190876</v>
      </c>
      <c r="AM87" s="119" t="n">
        <v>0.441650576983521</v>
      </c>
    </row>
    <row customHeight="1" hidden="1" ht="13.2" outlineLevel="1" r="88" s="3">
      <c r="A88" s="117" t="n">
        <v>43429</v>
      </c>
      <c r="B88" s="289" t="inlineStr">
        <is>
          <t>安卓</t>
        </is>
      </c>
      <c r="C88" s="268" t="n">
        <v>6707</v>
      </c>
      <c r="D88" s="268" t="n">
        <v>21995</v>
      </c>
      <c r="E88" s="269">
        <f>D88/C88</f>
        <v/>
      </c>
      <c r="F88" s="270">
        <f>3.3*M88*G88/1000+AB88/D88*3.3*0.7</f>
        <v/>
      </c>
      <c r="G88" s="292" t="n">
        <v>13.44</v>
      </c>
      <c r="H88" s="292" t="n">
        <v>29.06</v>
      </c>
      <c r="I88" s="141" t="n">
        <v>0.34</v>
      </c>
      <c r="J88" s="141" t="n">
        <v>0.17</v>
      </c>
      <c r="K88" s="141" t="n">
        <v>0.094</v>
      </c>
      <c r="L88" s="270" t="n">
        <v>10.27247101614</v>
      </c>
      <c r="M88" s="272" t="n">
        <v>12.0321891338941</v>
      </c>
      <c r="N88" s="270" t="n">
        <v>17.2218390056615</v>
      </c>
      <c r="O88" s="273">
        <f>M88/N88</f>
        <v/>
      </c>
      <c r="P88" s="270" t="n">
        <v>2.32153315546301</v>
      </c>
      <c r="Q88" s="270" t="n">
        <v>3.09845773410555</v>
      </c>
      <c r="R88" s="270" t="n">
        <v>1.20446411140756</v>
      </c>
      <c r="S88" s="270" t="n">
        <v>5.78948395913321</v>
      </c>
      <c r="T88" s="270" t="n">
        <v>1.32914687316978</v>
      </c>
      <c r="U88" s="270" t="n">
        <v>0.534717251252684</v>
      </c>
      <c r="V88" s="270" t="n">
        <v>1.97436064293616</v>
      </c>
      <c r="W88" s="270" t="n">
        <v>0.9696752781935321</v>
      </c>
      <c r="X88" s="270" t="n">
        <v>0.135030688792907</v>
      </c>
      <c r="Y88" s="269">
        <f>M88+X88</f>
        <v/>
      </c>
      <c r="Z88" s="275" t="n">
        <v>260</v>
      </c>
      <c r="AA88" s="275" t="n">
        <v>196</v>
      </c>
      <c r="AB88" s="270" t="n">
        <v>1335.4</v>
      </c>
      <c r="AC88" s="290" t="n"/>
      <c r="AD88" s="276">
        <f>Z88/D88</f>
        <v/>
      </c>
      <c r="AE88" s="142">
        <f>AA88/D88</f>
        <v/>
      </c>
      <c r="AF88" s="270">
        <f>AB88/Z88</f>
        <v/>
      </c>
      <c r="AG88" s="277">
        <f>AD88*AF88</f>
        <v/>
      </c>
      <c r="AH88" s="118" t="n">
        <v>0.636499179961235</v>
      </c>
      <c r="AI88" s="118" t="n">
        <v>0.458774414790517</v>
      </c>
      <c r="AJ88" s="270" t="n">
        <v>0.618958854285065</v>
      </c>
      <c r="AK88" s="64" t="n">
        <v>0.233280290975222</v>
      </c>
      <c r="AL88" s="64" t="n">
        <v>0.0258695157990452</v>
      </c>
      <c r="AM88" s="119" t="n">
        <v>0.404637417594908</v>
      </c>
    </row>
    <row customHeight="1" hidden="1" ht="13.2" outlineLevel="1" r="89" s="3">
      <c r="A89" s="117" t="n">
        <v>43430</v>
      </c>
      <c r="B89" s="289" t="inlineStr">
        <is>
          <t>安卓</t>
        </is>
      </c>
      <c r="C89" s="268" t="n">
        <v>6677</v>
      </c>
      <c r="D89" s="268" t="n">
        <v>22307</v>
      </c>
      <c r="E89" s="269" t="n">
        <v>3.34087164894414</v>
      </c>
      <c r="F89" s="270" t="n">
        <v>0.7186117738378091</v>
      </c>
      <c r="G89" s="292" t="n">
        <v>13.7</v>
      </c>
      <c r="H89" s="292" t="n">
        <v>30.96</v>
      </c>
      <c r="I89" s="141" t="n">
        <v>0.363</v>
      </c>
      <c r="J89" s="141" t="n">
        <v>0.18</v>
      </c>
      <c r="K89" s="141" t="n">
        <v>0.101</v>
      </c>
      <c r="L89" s="270" t="n">
        <v>10.2921952750258</v>
      </c>
      <c r="M89" s="272" t="n">
        <v>11.6784417447438</v>
      </c>
      <c r="N89" s="270" t="n">
        <v>16.8495569497445</v>
      </c>
      <c r="O89" s="273">
        <f>M89/N89</f>
        <v/>
      </c>
      <c r="P89" s="270" t="n">
        <v>2.24649117133432</v>
      </c>
      <c r="Q89" s="270" t="n">
        <v>3.01235366405795</v>
      </c>
      <c r="R89" s="270" t="n">
        <v>1.18912101416467</v>
      </c>
      <c r="S89" s="270" t="n">
        <v>5.67175473772719</v>
      </c>
      <c r="T89" s="270" t="n">
        <v>1.32462324558567</v>
      </c>
      <c r="U89" s="270" t="n">
        <v>0.528491041976586</v>
      </c>
      <c r="V89" s="270" t="n">
        <v>1.93363947998189</v>
      </c>
      <c r="W89" s="270" t="n">
        <v>0.943082594916241</v>
      </c>
      <c r="X89" s="270" t="n">
        <v>0.128748823239342</v>
      </c>
      <c r="Y89" s="269">
        <f>M89+X89</f>
        <v/>
      </c>
      <c r="Z89" s="275" t="n">
        <v>293</v>
      </c>
      <c r="AA89" s="275" t="n">
        <v>216</v>
      </c>
      <c r="AB89" s="270" t="n">
        <v>1904.12</v>
      </c>
      <c r="AC89" s="290" t="n"/>
      <c r="AD89" s="276" t="n">
        <v>0.0131348903931501</v>
      </c>
      <c r="AE89" s="142">
        <f>AA89/D89</f>
        <v/>
      </c>
      <c r="AF89" s="270" t="n">
        <v>6.49870307167236</v>
      </c>
      <c r="AG89" s="277" t="n">
        <v>0.0853597525440445</v>
      </c>
      <c r="AH89" s="118" t="n">
        <v>0.626628725475513</v>
      </c>
      <c r="AI89" s="118" t="n">
        <v>0.448404972292946</v>
      </c>
      <c r="AJ89" s="270" t="n">
        <v>0.680907338503609</v>
      </c>
      <c r="AK89" s="64" t="n">
        <v>0.236965974806115</v>
      </c>
      <c r="AL89" s="64" t="n">
        <v>0.027659479087282</v>
      </c>
      <c r="AM89" s="119" t="n">
        <v>0.379970412874882</v>
      </c>
    </row>
    <row customHeight="1" hidden="1" ht="13.2" outlineLevel="1" r="90" s="3">
      <c r="A90" s="117" t="n">
        <v>43431</v>
      </c>
      <c r="B90" s="289" t="inlineStr">
        <is>
          <t>安卓</t>
        </is>
      </c>
      <c r="C90" s="268" t="n">
        <v>6906</v>
      </c>
      <c r="D90" s="268" t="n">
        <v>22310</v>
      </c>
      <c r="E90" s="269" t="n">
        <v>3.23052418187084</v>
      </c>
      <c r="F90" s="270" t="n">
        <v>0.727554900537875</v>
      </c>
      <c r="G90" s="292" t="n">
        <v>14.77</v>
      </c>
      <c r="H90" s="292" t="n">
        <v>34.38</v>
      </c>
      <c r="I90" s="141" t="n">
        <v>0.36</v>
      </c>
      <c r="J90" s="141" t="n">
        <v>0.176</v>
      </c>
      <c r="K90" s="141" t="n">
        <v>0.09</v>
      </c>
      <c r="L90" s="270" t="n">
        <v>9.72375616315554</v>
      </c>
      <c r="M90" s="272" t="n">
        <v>11.0162707306141</v>
      </c>
      <c r="N90" s="270" t="n">
        <v>16.1480289093298</v>
      </c>
      <c r="O90" s="273">
        <f>M90/N90</f>
        <v/>
      </c>
      <c r="P90" s="270" t="n">
        <v>2.17299605781866</v>
      </c>
      <c r="Q90" s="270" t="n">
        <v>2.81714848883049</v>
      </c>
      <c r="R90" s="270" t="n">
        <v>1.13777923784494</v>
      </c>
      <c r="S90" s="270" t="n">
        <v>5.44067017082786</v>
      </c>
      <c r="T90" s="270" t="n">
        <v>1.24980289093298</v>
      </c>
      <c r="U90" s="270" t="n">
        <v>0.561235216819974</v>
      </c>
      <c r="V90" s="270" t="n">
        <v>1.84336399474376</v>
      </c>
      <c r="W90" s="270" t="n">
        <v>0.925032851511169</v>
      </c>
      <c r="X90" s="270" t="n">
        <v>0.122142536978933</v>
      </c>
      <c r="Y90" s="269">
        <f>M90+X90</f>
        <v/>
      </c>
      <c r="Z90" s="275" t="n">
        <v>288</v>
      </c>
      <c r="AA90" s="275" t="n">
        <v>195</v>
      </c>
      <c r="AB90" s="270" t="n">
        <v>1904.12</v>
      </c>
      <c r="AC90" s="290" t="n"/>
      <c r="AD90" s="276" t="n">
        <v>0.0129090094128194</v>
      </c>
      <c r="AE90" s="142">
        <f>AA90/D90</f>
        <v/>
      </c>
      <c r="AF90" s="270" t="n">
        <v>6.61152777777778</v>
      </c>
      <c r="AG90" s="277" t="n">
        <v>0.08534827431645001</v>
      </c>
      <c r="AH90" s="118" t="n">
        <v>0.6088908195771791</v>
      </c>
      <c r="AI90" s="118" t="n">
        <v>0.429481610194034</v>
      </c>
      <c r="AJ90" s="270" t="n">
        <v>0.670103092783505</v>
      </c>
      <c r="AK90" s="64" t="n">
        <v>0.242940385477364</v>
      </c>
      <c r="AL90" s="64" t="n">
        <v>0.0305692514567459</v>
      </c>
      <c r="AM90" s="119" t="n">
        <v>0.27350963693411</v>
      </c>
    </row>
    <row customFormat="1" customHeight="1" hidden="1" ht="12.45" outlineLevel="1" r="91" s="294">
      <c r="A91" s="121" t="n">
        <v>43432</v>
      </c>
      <c r="B91" s="295" t="inlineStr">
        <is>
          <t>安卓</t>
        </is>
      </c>
      <c r="C91" s="296" t="n">
        <v>8151</v>
      </c>
      <c r="D91" s="296" t="n">
        <v>23510</v>
      </c>
      <c r="E91" s="297" t="n">
        <v>2.88430867378236</v>
      </c>
      <c r="F91" s="294" t="n">
        <v>0.641016648234794</v>
      </c>
      <c r="G91" s="298" t="n">
        <v>15.61</v>
      </c>
      <c r="H91" s="298" t="n">
        <v>36.78</v>
      </c>
      <c r="I91" s="123" t="n">
        <v>0.361</v>
      </c>
      <c r="J91" s="123" t="n">
        <v>0.178</v>
      </c>
      <c r="K91" s="123" t="n">
        <v>0.092</v>
      </c>
      <c r="L91" s="294" t="n">
        <v>9.39698000850702</v>
      </c>
      <c r="M91" s="299" t="n">
        <v>10.2091025095704</v>
      </c>
      <c r="N91" s="294" t="n">
        <v>15.1076981179581</v>
      </c>
      <c r="O91" s="300">
        <f>M91/N91</f>
        <v/>
      </c>
      <c r="P91" s="294" t="n">
        <v>2.06816894316108</v>
      </c>
      <c r="Q91" s="294" t="n">
        <v>2.49738780134701</v>
      </c>
      <c r="R91" s="294" t="n">
        <v>1.06898722225719</v>
      </c>
      <c r="S91" s="294" t="n">
        <v>5.08617108327563</v>
      </c>
      <c r="T91" s="294" t="n">
        <v>1.19002958393655</v>
      </c>
      <c r="U91" s="294" t="n">
        <v>0.589790394662303</v>
      </c>
      <c r="V91" s="294" t="n">
        <v>1.72719833826399</v>
      </c>
      <c r="W91" s="294" t="n">
        <v>0.879964751054321</v>
      </c>
      <c r="X91" s="294" t="n">
        <v>0.0772862611654615</v>
      </c>
      <c r="Y91" s="297">
        <f>M91+X91</f>
        <v/>
      </c>
      <c r="Z91" s="293" t="n">
        <v>242</v>
      </c>
      <c r="AA91" s="293" t="n">
        <v>170</v>
      </c>
      <c r="AB91" s="294" t="n">
        <v>1123.58</v>
      </c>
      <c r="AC91" s="302" t="n"/>
      <c r="AD91" s="303" t="n">
        <v>0.0102934921310081</v>
      </c>
      <c r="AE91" s="124">
        <f>AA91/D91</f>
        <v/>
      </c>
      <c r="AF91" s="294" t="n">
        <v>4.64289256198347</v>
      </c>
      <c r="AG91" s="304" t="n">
        <v>0.0477915780518928</v>
      </c>
      <c r="AH91" s="125" t="n">
        <v>0.6085142927248191</v>
      </c>
      <c r="AI91" s="125" t="n">
        <v>0.441786283891547</v>
      </c>
      <c r="AJ91" s="294" t="n">
        <v>0.751637601020842</v>
      </c>
      <c r="AK91" s="126" t="n">
        <v>0.248319863887707</v>
      </c>
      <c r="AL91" s="126" t="n">
        <v>0.0315185027647809</v>
      </c>
      <c r="AM91" s="127" t="n">
        <v>0</v>
      </c>
      <c r="AN91" s="303" t="n"/>
    </row>
    <row customHeight="1" hidden="1" ht="13.2" outlineLevel="1" r="92" s="3">
      <c r="A92" s="117" t="n">
        <v>43433</v>
      </c>
      <c r="B92" s="267" t="inlineStr">
        <is>
          <t>安卓</t>
        </is>
      </c>
      <c r="C92" s="268" t="n">
        <v>7198</v>
      </c>
      <c r="D92" s="268" t="n">
        <v>23229</v>
      </c>
      <c r="E92" s="269" t="n">
        <v>3.22714642956377</v>
      </c>
      <c r="F92" s="270" t="n">
        <v>0.632979115846571</v>
      </c>
      <c r="G92" s="292" t="n">
        <v>15.41</v>
      </c>
      <c r="H92" s="292" t="n">
        <v>34.77</v>
      </c>
      <c r="I92" s="141" t="n">
        <v>0.374</v>
      </c>
      <c r="J92" s="141" t="n">
        <v>0.178</v>
      </c>
      <c r="K92" s="141" t="n">
        <v>0.097</v>
      </c>
      <c r="L92" s="270" t="n">
        <v>9.40729260837746</v>
      </c>
      <c r="M92" s="272" t="n">
        <v>10.030436092815</v>
      </c>
      <c r="N92" s="270" t="n">
        <v>14.9376202077189</v>
      </c>
      <c r="O92" s="273">
        <f>M92/N92</f>
        <v/>
      </c>
      <c r="P92" s="270" t="n">
        <v>2.02506731632261</v>
      </c>
      <c r="Q92" s="270" t="n">
        <v>2.5104500576997</v>
      </c>
      <c r="R92" s="270" t="n">
        <v>1.0626362354148</v>
      </c>
      <c r="S92" s="270" t="n">
        <v>5.07680471855366</v>
      </c>
      <c r="T92" s="270" t="n">
        <v>1.18380561610463</v>
      </c>
      <c r="U92" s="270" t="n">
        <v>0.5748813950506479</v>
      </c>
      <c r="V92" s="270" t="n">
        <v>1.65918707526606</v>
      </c>
      <c r="W92" s="270" t="n">
        <v>0.844787793306834</v>
      </c>
      <c r="X92" s="270" t="n">
        <v>0.09548409315941279</v>
      </c>
      <c r="Y92" s="269">
        <f>M92+X92</f>
        <v/>
      </c>
      <c r="Z92" s="275" t="n">
        <v>274</v>
      </c>
      <c r="AA92" s="275" t="n">
        <v>205</v>
      </c>
      <c r="AB92" s="270" t="n">
        <v>1432.26</v>
      </c>
      <c r="AC92" s="290" t="n"/>
      <c r="AD92" s="276" t="n">
        <v>0.0117956003271772</v>
      </c>
      <c r="AE92" s="142">
        <f>AA92/D92</f>
        <v/>
      </c>
      <c r="AF92" s="270" t="n">
        <v>5.22722627737226</v>
      </c>
      <c r="AG92" s="277" t="n">
        <v>0.0616582719876017</v>
      </c>
      <c r="AH92" s="118" t="n">
        <v>0.615170880800222</v>
      </c>
      <c r="AI92" s="118" t="n">
        <v>0.438316198944151</v>
      </c>
      <c r="AJ92" s="270" t="n">
        <v>0.74493090533385</v>
      </c>
      <c r="AK92" s="64" t="n">
        <v>0.255456541392225</v>
      </c>
      <c r="AL92" s="64" t="n">
        <v>0.032932971716389</v>
      </c>
      <c r="AM92" s="119" t="n">
        <v>0</v>
      </c>
    </row>
    <row customHeight="1" hidden="1" ht="13.2" outlineLevel="1" r="93" s="3">
      <c r="A93" s="117" t="n">
        <v>43434</v>
      </c>
      <c r="B93" s="267" t="inlineStr">
        <is>
          <t>安卓</t>
        </is>
      </c>
      <c r="C93" s="268" t="n">
        <v>8180</v>
      </c>
      <c r="D93" s="268" t="n">
        <v>24479</v>
      </c>
      <c r="E93" s="269" t="n">
        <v>2.99254278728606</v>
      </c>
      <c r="F93" s="270" t="n">
        <v>0.183217472118959</v>
      </c>
      <c r="G93" s="292" t="n">
        <v>15.5</v>
      </c>
      <c r="H93" s="292" t="n">
        <v>34.02</v>
      </c>
      <c r="I93" s="141" t="n">
        <v>0.402</v>
      </c>
      <c r="J93" s="141" t="n">
        <v>0.198</v>
      </c>
      <c r="K93" s="141" t="n">
        <v>0.102</v>
      </c>
      <c r="L93" s="270" t="n">
        <v>8.85089260182197</v>
      </c>
      <c r="M93" s="272" t="n">
        <v>9.47857347113853</v>
      </c>
      <c r="N93" s="270" t="n">
        <v>14.4537469631845</v>
      </c>
      <c r="O93" s="273">
        <f>M93/N93</f>
        <v/>
      </c>
      <c r="P93" s="270" t="n">
        <v>2.01301937332586</v>
      </c>
      <c r="Q93" s="270" t="n">
        <v>2.39344670778048</v>
      </c>
      <c r="R93" s="270" t="n">
        <v>1.02940260387467</v>
      </c>
      <c r="S93" s="270" t="n">
        <v>4.72871114433439</v>
      </c>
      <c r="T93" s="270" t="n">
        <v>1.19566436180153</v>
      </c>
      <c r="U93" s="270" t="n">
        <v>0.590979879150315</v>
      </c>
      <c r="V93" s="270" t="n">
        <v>1.65427022986358</v>
      </c>
      <c r="W93" s="270" t="n">
        <v>0.8481903694013579</v>
      </c>
      <c r="X93" s="270" t="n">
        <v>0.0837452510314964</v>
      </c>
      <c r="Y93" s="269">
        <f>M93+X93</f>
        <v/>
      </c>
      <c r="Z93" s="275" t="n">
        <v>345</v>
      </c>
      <c r="AA93" s="275" t="n">
        <v>245</v>
      </c>
      <c r="AB93" s="270" t="n">
        <v>1941.55</v>
      </c>
      <c r="AC93" s="290" t="n"/>
      <c r="AD93" s="276" t="n">
        <v>0.0140937129784713</v>
      </c>
      <c r="AE93" s="142">
        <f>AA93/D93</f>
        <v/>
      </c>
      <c r="AF93" s="270" t="n">
        <v>5.62768115942029</v>
      </c>
      <c r="AG93" s="277" t="n">
        <v>0.0793149229952204</v>
      </c>
      <c r="AH93" s="118" t="n">
        <v>0.6206601466992669</v>
      </c>
      <c r="AI93" s="118" t="n">
        <v>0.430073349633252</v>
      </c>
      <c r="AJ93" s="270" t="n">
        <v>0.716941051513542</v>
      </c>
      <c r="AK93" s="64" t="n">
        <v>0.246374443400466</v>
      </c>
      <c r="AL93" s="64" t="n">
        <v>0.0309244658687038</v>
      </c>
      <c r="AM93" s="119" t="n">
        <v>0</v>
      </c>
    </row>
    <row collapsed="1" customHeight="1" ht="13.2" r="94" s="3">
      <c r="A94" s="117" t="n">
        <v>43435</v>
      </c>
      <c r="B94" s="289" t="inlineStr">
        <is>
          <t>安卓</t>
        </is>
      </c>
      <c r="C94" s="268" t="n">
        <v>10809</v>
      </c>
      <c r="D94" s="268" t="n">
        <v>27521</v>
      </c>
      <c r="E94" s="269" t="n">
        <v>2.5461189749283</v>
      </c>
      <c r="F94" s="270" t="n">
        <v>0.228211649286</v>
      </c>
      <c r="G94" s="292" t="n">
        <v>13.89</v>
      </c>
      <c r="H94" s="292" t="n">
        <v>30.85</v>
      </c>
      <c r="I94" s="141" t="n">
        <v>0.368</v>
      </c>
      <c r="J94" s="141" t="n">
        <v>0.178</v>
      </c>
      <c r="K94" s="141" t="n">
        <v>0.096</v>
      </c>
      <c r="L94" s="270" t="n">
        <v>9.714726935794481</v>
      </c>
      <c r="M94" s="272" t="n">
        <v>10.8500054503833</v>
      </c>
      <c r="N94" s="270" t="n">
        <v>16.5890555555556</v>
      </c>
      <c r="O94" s="273">
        <f>M94/N94</f>
        <v/>
      </c>
      <c r="P94" s="270" t="n">
        <v>2.34688888888889</v>
      </c>
      <c r="Q94" s="270" t="n">
        <v>2.77166666666667</v>
      </c>
      <c r="R94" s="270" t="n">
        <v>1.03</v>
      </c>
      <c r="S94" s="270" t="n">
        <v>5.69433333333333</v>
      </c>
      <c r="T94" s="270" t="n">
        <v>1.32588888888889</v>
      </c>
      <c r="U94" s="270" t="n">
        <v>0.519055555555556</v>
      </c>
      <c r="V94" s="270" t="n">
        <v>1.97283333333333</v>
      </c>
      <c r="W94" s="270" t="n">
        <v>0.928388888888889</v>
      </c>
      <c r="X94" s="270" t="n">
        <v>0.100105374077977</v>
      </c>
      <c r="Y94" s="269">
        <f>M94+X94</f>
        <v/>
      </c>
      <c r="Z94" s="275" t="n">
        <v>412</v>
      </c>
      <c r="AA94" s="275" t="n">
        <v>278</v>
      </c>
      <c r="AB94" s="270" t="n">
        <v>2718.88</v>
      </c>
      <c r="AC94" s="290" t="n"/>
      <c r="AD94" s="276" t="n">
        <v>0.0149703862504996</v>
      </c>
      <c r="AE94" s="142">
        <f>AA94/D94</f>
        <v/>
      </c>
      <c r="AF94" s="270" t="n">
        <v>6.59922330097087</v>
      </c>
      <c r="AG94" s="277" t="n">
        <v>0.098792921768831</v>
      </c>
      <c r="AH94" s="118" t="n">
        <v>0.592931816079193</v>
      </c>
      <c r="AI94" s="118" t="n">
        <v>0.370987140346008</v>
      </c>
      <c r="AJ94" s="270" t="n">
        <v>0.574034373750954</v>
      </c>
      <c r="AK94" s="64" t="n">
        <v>0.20686021583518</v>
      </c>
      <c r="AL94" s="64" t="n">
        <v>0.0231822971548999</v>
      </c>
      <c r="AM94" s="119" t="n">
        <v>0.401874931870208</v>
      </c>
    </row>
    <row customHeight="1" hidden="1" ht="13.2" outlineLevel="1" r="95" s="3">
      <c r="A95" s="117" t="n">
        <v>43436</v>
      </c>
      <c r="B95" s="289" t="inlineStr">
        <is>
          <t>安卓</t>
        </is>
      </c>
      <c r="C95" s="268" t="n">
        <v>10906</v>
      </c>
      <c r="D95" s="268" t="n">
        <v>29254</v>
      </c>
      <c r="E95" s="269" t="n">
        <v>2.68237667339079</v>
      </c>
      <c r="F95" s="270" t="n">
        <v>0.6606762980788951</v>
      </c>
      <c r="G95" s="292" t="n">
        <v>13.36</v>
      </c>
      <c r="H95" s="292" t="n">
        <v>29.17</v>
      </c>
      <c r="I95" s="141" t="n">
        <v>0.371</v>
      </c>
      <c r="J95" s="141" t="n">
        <v>0.187</v>
      </c>
      <c r="K95" s="141" t="n">
        <v>0.105</v>
      </c>
      <c r="L95" s="270" t="n">
        <v>9.80655636835988</v>
      </c>
      <c r="M95" s="272" t="n">
        <v>10.9504341286662</v>
      </c>
      <c r="N95" s="270" t="n">
        <v>16.3816926617233</v>
      </c>
      <c r="O95" s="273">
        <f>M95/N95</f>
        <v/>
      </c>
      <c r="P95" s="270" t="n">
        <v>2.23814881104577</v>
      </c>
      <c r="Q95" s="270" t="n">
        <v>2.77320378419841</v>
      </c>
      <c r="R95" s="270" t="n">
        <v>1.0983380209665</v>
      </c>
      <c r="S95" s="270" t="n">
        <v>5.57458450524163</v>
      </c>
      <c r="T95" s="270" t="n">
        <v>1.29301968805932</v>
      </c>
      <c r="U95" s="270" t="n">
        <v>0.54553822551777</v>
      </c>
      <c r="V95" s="270" t="n">
        <v>1.92728202505753</v>
      </c>
      <c r="W95" s="270" t="n">
        <v>0.93157760163641</v>
      </c>
      <c r="X95" s="270" t="n">
        <v>0.100635810487455</v>
      </c>
      <c r="Y95" s="269">
        <f>M95+X95</f>
        <v/>
      </c>
      <c r="Z95" s="275" t="n">
        <v>372</v>
      </c>
      <c r="AA95" s="275" t="n">
        <v>268</v>
      </c>
      <c r="AB95" s="270" t="n">
        <v>2248.28</v>
      </c>
      <c r="AC95" s="290" t="n"/>
      <c r="AD95" s="276" t="n">
        <v>0.0127162097490941</v>
      </c>
      <c r="AE95" s="142">
        <f>AA95/D95</f>
        <v/>
      </c>
      <c r="AF95" s="270" t="n">
        <v>6.04376344086021</v>
      </c>
      <c r="AG95" s="277" t="n">
        <v>0.0768537635878854</v>
      </c>
      <c r="AH95" s="118" t="n">
        <v>0.629653401797176</v>
      </c>
      <c r="AI95" s="118" t="n">
        <v>0.402897487621493</v>
      </c>
      <c r="AJ95" s="270" t="n">
        <v>0.610514801394681</v>
      </c>
      <c r="AK95" s="64" t="n">
        <v>0.204997607164832</v>
      </c>
      <c r="AL95" s="64" t="n">
        <v>0.0224242838586176</v>
      </c>
      <c r="AM95" s="119" t="n">
        <v>0.381007725439256</v>
      </c>
    </row>
    <row customHeight="1" hidden="1" ht="13.2" outlineLevel="1" r="96" s="3">
      <c r="A96" s="117" t="n">
        <v>43437</v>
      </c>
      <c r="B96" s="289" t="inlineStr">
        <is>
          <t>安卓</t>
        </is>
      </c>
      <c r="C96" s="268" t="n">
        <v>12224</v>
      </c>
      <c r="D96" s="268" t="n">
        <v>31857</v>
      </c>
      <c r="E96" s="269" t="n">
        <v>2.6061027486911</v>
      </c>
      <c r="F96" s="270" t="n">
        <v>0.630811717016668</v>
      </c>
      <c r="G96" s="292" t="n">
        <v>13.78</v>
      </c>
      <c r="H96" s="292" t="n">
        <v>30.13</v>
      </c>
      <c r="I96" s="141" t="n">
        <v>0.369</v>
      </c>
      <c r="J96" s="141" t="n">
        <v>0.188</v>
      </c>
      <c r="K96" s="141" t="n">
        <v>0.103</v>
      </c>
      <c r="L96" s="270" t="n">
        <v>9.35295225539128</v>
      </c>
      <c r="M96" s="272" t="n">
        <v>10.2147408732775</v>
      </c>
      <c r="N96" s="270" t="n">
        <v>15.828153120288</v>
      </c>
      <c r="O96" s="273">
        <f>M96/N96</f>
        <v/>
      </c>
      <c r="P96" s="270" t="n">
        <v>2.18347195875286</v>
      </c>
      <c r="Q96" s="270" t="n">
        <v>2.74804221995233</v>
      </c>
      <c r="R96" s="270" t="n">
        <v>1.11639671190233</v>
      </c>
      <c r="S96" s="270" t="n">
        <v>5.2569191108517</v>
      </c>
      <c r="T96" s="270" t="n">
        <v>1.24830974269177</v>
      </c>
      <c r="U96" s="270" t="n">
        <v>0.5301814290578341</v>
      </c>
      <c r="V96" s="270" t="n">
        <v>1.84508001361934</v>
      </c>
      <c r="W96" s="270" t="n">
        <v>0.899751933459799</v>
      </c>
      <c r="X96" s="270" t="n">
        <v>0.105188812505886</v>
      </c>
      <c r="Y96" s="269">
        <f>M96+X96</f>
        <v/>
      </c>
      <c r="Z96" s="275" t="n">
        <v>375</v>
      </c>
      <c r="AA96" s="275" t="n">
        <v>268</v>
      </c>
      <c r="AB96" s="270" t="n">
        <v>2363.25</v>
      </c>
      <c r="AC96" s="290" t="n"/>
      <c r="AD96" s="276" t="n">
        <v>0.0117713532347679</v>
      </c>
      <c r="AE96" s="142">
        <f>AA96/D96</f>
        <v/>
      </c>
      <c r="AF96" s="270" t="n">
        <v>6.302</v>
      </c>
      <c r="AG96" s="277" t="n">
        <v>0.07418306808550711</v>
      </c>
      <c r="AH96" s="118" t="n">
        <v>0.572725785340314</v>
      </c>
      <c r="AI96" s="118" t="n">
        <v>0.383671465968586</v>
      </c>
      <c r="AJ96" s="270" t="n">
        <v>0.604639482688263</v>
      </c>
      <c r="AK96" s="64" t="n">
        <v>0.201054713249835</v>
      </c>
      <c r="AL96" s="64" t="n">
        <v>0.0224754371095835</v>
      </c>
      <c r="AM96" s="119" t="n">
        <v>0.346109175377468</v>
      </c>
      <c r="AN96" s="324" t="n"/>
    </row>
    <row customHeight="1" hidden="1" ht="13.2" outlineLevel="1" r="97" s="3">
      <c r="A97" s="117" t="n">
        <v>43438</v>
      </c>
      <c r="B97" s="289" t="inlineStr">
        <is>
          <t>安卓</t>
        </is>
      </c>
      <c r="C97" s="268" t="n">
        <v>11520</v>
      </c>
      <c r="D97" s="268" t="n">
        <v>32158</v>
      </c>
      <c r="E97" s="269" t="n">
        <v>2.79149305555556</v>
      </c>
      <c r="F97" s="270" t="n">
        <v>0.664094742987748</v>
      </c>
      <c r="G97" s="292" t="n">
        <v>14.71</v>
      </c>
      <c r="H97" s="292" t="n">
        <v>35.01</v>
      </c>
      <c r="I97" s="141" t="n">
        <v>0.372</v>
      </c>
      <c r="J97" s="141" t="n">
        <v>0.193</v>
      </c>
      <c r="K97" s="141" t="n">
        <v>0.102</v>
      </c>
      <c r="L97" s="270" t="n">
        <v>9.38861247590024</v>
      </c>
      <c r="M97" s="272" t="n">
        <v>9.885098575782081</v>
      </c>
      <c r="N97" s="270" t="n">
        <v>15.0799335863378</v>
      </c>
      <c r="O97" s="273">
        <f>M97/N97</f>
        <v/>
      </c>
      <c r="P97" s="270" t="n">
        <v>2.13092979127135</v>
      </c>
      <c r="Q97" s="270" t="n">
        <v>2.57367172675522</v>
      </c>
      <c r="R97" s="270" t="n">
        <v>1.07481024667932</v>
      </c>
      <c r="S97" s="270" t="n">
        <v>4.85260910815939</v>
      </c>
      <c r="T97" s="270" t="n">
        <v>1.23624288425047</v>
      </c>
      <c r="U97" s="270" t="n">
        <v>0.560199240986717</v>
      </c>
      <c r="V97" s="270" t="n">
        <v>1.77917457305503</v>
      </c>
      <c r="W97" s="270" t="n">
        <v>0.872296015180266</v>
      </c>
      <c r="X97" s="270" t="n">
        <v>0.0866658374277007</v>
      </c>
      <c r="Y97" s="269">
        <f>M97+X97</f>
        <v/>
      </c>
      <c r="Z97" s="275" t="n">
        <v>404</v>
      </c>
      <c r="AA97" s="275" t="n">
        <v>282</v>
      </c>
      <c r="AB97" s="270" t="n">
        <v>2573.96</v>
      </c>
      <c r="AC97" s="290" t="n"/>
      <c r="AD97" s="276" t="n">
        <v>0.012562970333976</v>
      </c>
      <c r="AE97" s="142">
        <f>AA97/D97</f>
        <v/>
      </c>
      <c r="AF97" s="270" t="n">
        <v>6.37118811881188</v>
      </c>
      <c r="AG97" s="277" t="n">
        <v>0.08004104732881399</v>
      </c>
      <c r="AH97" s="118" t="n">
        <v>0.609809027777778</v>
      </c>
      <c r="AI97" s="118" t="n">
        <v>0.427256944444444</v>
      </c>
      <c r="AJ97" s="270" t="n">
        <v>0.650227004166926</v>
      </c>
      <c r="AK97" s="64" t="n">
        <v>0.215436283350955</v>
      </c>
      <c r="AL97" s="64" t="n">
        <v>0.0242241432924933</v>
      </c>
      <c r="AM97" s="119" t="n">
        <v>0.269823994029479</v>
      </c>
      <c r="AN97" s="324" t="n"/>
    </row>
    <row customFormat="1" customHeight="1" hidden="1" ht="13.2" outlineLevel="1" r="98" s="294">
      <c r="A98" s="121" t="n">
        <v>43439</v>
      </c>
      <c r="B98" s="295" t="inlineStr">
        <is>
          <t>安卓</t>
        </is>
      </c>
      <c r="C98" s="296" t="n">
        <v>9077</v>
      </c>
      <c r="D98" s="296" t="n">
        <v>30676</v>
      </c>
      <c r="E98" s="297" t="n">
        <v>3.37953068194337</v>
      </c>
      <c r="F98" s="294" t="n">
        <v>0.618605618007563</v>
      </c>
      <c r="G98" s="298" t="n">
        <v>14.69</v>
      </c>
      <c r="H98" s="298" t="n">
        <v>32.48</v>
      </c>
      <c r="I98" s="123" t="n">
        <v>0.376</v>
      </c>
      <c r="J98" s="123" t="n">
        <v>0.189</v>
      </c>
      <c r="K98" s="123" t="n">
        <v>0.097</v>
      </c>
      <c r="L98" s="294" t="n">
        <v>9.406278523927501</v>
      </c>
      <c r="M98" s="299" t="n">
        <v>9.7310275133655</v>
      </c>
      <c r="N98" s="294" t="n">
        <v>14.5344726847794</v>
      </c>
      <c r="O98" s="300">
        <f>M98/N98</f>
        <v/>
      </c>
      <c r="P98" s="294" t="n">
        <v>2.03632291362353</v>
      </c>
      <c r="Q98" s="294" t="n">
        <v>2.36629662089785</v>
      </c>
      <c r="R98" s="294" t="n">
        <v>1.09017431103321</v>
      </c>
      <c r="S98" s="294" t="n">
        <v>4.78381536663745</v>
      </c>
      <c r="T98" s="294" t="n">
        <v>1.15483494011101</v>
      </c>
      <c r="U98" s="294" t="n">
        <v>0.5713798811958321</v>
      </c>
      <c r="V98" s="294" t="n">
        <v>1.6956860453793</v>
      </c>
      <c r="W98" s="294" t="n">
        <v>0.835962605901256</v>
      </c>
      <c r="X98" s="294" t="n">
        <v>0.0781066631894641</v>
      </c>
      <c r="Y98" s="297">
        <f>M98+X98</f>
        <v/>
      </c>
      <c r="Z98" s="293" t="n">
        <v>359</v>
      </c>
      <c r="AA98" s="293" t="n">
        <v>263</v>
      </c>
      <c r="AB98" s="294" t="n">
        <v>2014.41</v>
      </c>
      <c r="AC98" s="302" t="n"/>
      <c r="AD98" s="303" t="n">
        <v>0.0117029599687052</v>
      </c>
      <c r="AE98" s="124" t="n">
        <v>0.008573477637240839</v>
      </c>
      <c r="AF98" s="294" t="n">
        <v>5.61116991643454</v>
      </c>
      <c r="AG98" s="304" t="n">
        <v>0.0656672969096362</v>
      </c>
      <c r="AH98" s="125" t="n">
        <v>0.6390878043406411</v>
      </c>
      <c r="AI98" s="125" t="n">
        <v>0.493224633689545</v>
      </c>
      <c r="AJ98" s="294" t="n">
        <v>0.7748728647802841</v>
      </c>
      <c r="AK98" s="126" t="n">
        <v>0.256258964662929</v>
      </c>
      <c r="AL98" s="126" t="n">
        <v>0.0295018907289086</v>
      </c>
      <c r="AM98" s="127" t="n">
        <v>0</v>
      </c>
      <c r="AN98" s="325" t="n"/>
    </row>
    <row customHeight="1" hidden="1" ht="13.2" outlineLevel="1" r="99" s="3">
      <c r="A99" s="117" t="n">
        <v>43440</v>
      </c>
      <c r="B99" s="267" t="inlineStr">
        <is>
          <t>安卓</t>
        </is>
      </c>
      <c r="C99" s="268" t="n">
        <v>9353</v>
      </c>
      <c r="D99" s="268" t="n">
        <v>31605</v>
      </c>
      <c r="E99" s="269" t="n">
        <v>3.37912969100823</v>
      </c>
      <c r="F99" s="270" t="n">
        <v>0.6275143677266251</v>
      </c>
      <c r="G99" s="292" t="n">
        <v>15.16</v>
      </c>
      <c r="H99" s="292" t="n">
        <v>32.76</v>
      </c>
      <c r="I99" s="141" t="n">
        <v>0.366</v>
      </c>
      <c r="J99" s="141" t="n">
        <v>0.184</v>
      </c>
      <c r="K99" s="141" t="n">
        <v>0.094</v>
      </c>
      <c r="L99" s="270" t="n">
        <v>8.769530137636449</v>
      </c>
      <c r="M99" s="272" t="n">
        <v>9.228856193640249</v>
      </c>
      <c r="N99" s="270" t="n">
        <v>14.0669399565951</v>
      </c>
      <c r="O99" s="273">
        <f>M99/N99</f>
        <v/>
      </c>
      <c r="P99" s="270" t="n">
        <v>2.01205690860863</v>
      </c>
      <c r="Q99" s="270" t="n">
        <v>2.31294911984567</v>
      </c>
      <c r="R99" s="270" t="n">
        <v>1.083240897034</v>
      </c>
      <c r="S99" s="270" t="n">
        <v>4.56011574632264</v>
      </c>
      <c r="T99" s="270" t="n">
        <v>1.13450687243791</v>
      </c>
      <c r="U99" s="270" t="n">
        <v>0.550132625994695</v>
      </c>
      <c r="V99" s="270" t="n">
        <v>1.61027248613455</v>
      </c>
      <c r="W99" s="270" t="n">
        <v>0.803665300217024</v>
      </c>
      <c r="X99" s="270" t="n">
        <v>0.07384907451352631</v>
      </c>
      <c r="Y99" s="269">
        <f>M99+X99</f>
        <v/>
      </c>
      <c r="Z99" s="275" t="n">
        <v>404</v>
      </c>
      <c r="AA99" s="275" t="n">
        <v>293</v>
      </c>
      <c r="AB99" s="270" t="n">
        <v>2301.96</v>
      </c>
      <c r="AC99" s="290" t="n"/>
      <c r="AD99" s="276" t="n">
        <v>0.0127827875336181</v>
      </c>
      <c r="AE99" s="142" t="n">
        <v>0.009270685018193321</v>
      </c>
      <c r="AF99" s="270" t="n">
        <v>5.69792079207921</v>
      </c>
      <c r="AG99" s="277" t="n">
        <v>0.0728353108685335</v>
      </c>
      <c r="AH99" s="118" t="n">
        <v>0.575216508072276</v>
      </c>
      <c r="AI99" s="118" t="n">
        <v>0.414305570405218</v>
      </c>
      <c r="AJ99" s="270" t="n">
        <v>0.739186837525708</v>
      </c>
      <c r="AK99" s="64" t="n">
        <v>0.293814269894004</v>
      </c>
      <c r="AL99" s="64" t="n">
        <v>0.0340136054421769</v>
      </c>
      <c r="AM99" s="119" t="n">
        <v>0</v>
      </c>
      <c r="AN99" s="324" t="n"/>
    </row>
    <row customHeight="1" hidden="1" ht="13.2" outlineLevel="1" r="100" s="3">
      <c r="A100" s="117" t="n">
        <v>43441</v>
      </c>
      <c r="B100" s="267" t="inlineStr">
        <is>
          <t>安卓</t>
        </is>
      </c>
      <c r="C100" s="268" t="n">
        <v>10533</v>
      </c>
      <c r="D100" s="268" t="n">
        <v>32896</v>
      </c>
      <c r="E100" s="269" t="n">
        <v>3.12313680812684</v>
      </c>
      <c r="F100" s="270" t="n">
        <v>0.575947908560311</v>
      </c>
      <c r="G100" s="292" t="n">
        <v>14.22</v>
      </c>
      <c r="H100" s="292" t="n">
        <v>29.92</v>
      </c>
      <c r="I100" s="141" t="n">
        <v>0.336</v>
      </c>
      <c r="J100" s="141" t="n">
        <v>0.17</v>
      </c>
      <c r="K100" s="141" t="n">
        <v>0.08799999999999999</v>
      </c>
      <c r="L100" s="270" t="n">
        <v>8.426890807393001</v>
      </c>
      <c r="M100" s="272" t="n">
        <v>8.80198200389105</v>
      </c>
      <c r="N100" s="270" t="n">
        <v>13.6734982999622</v>
      </c>
      <c r="O100" s="273">
        <f>M100/N100</f>
        <v/>
      </c>
      <c r="P100" s="270" t="n">
        <v>1.99763883641859</v>
      </c>
      <c r="Q100" s="270" t="n">
        <v>2.27630336229694</v>
      </c>
      <c r="R100" s="270" t="n">
        <v>1.08627691726483</v>
      </c>
      <c r="S100" s="270" t="n">
        <v>4.31677370608236</v>
      </c>
      <c r="T100" s="270" t="n">
        <v>1.10833018511522</v>
      </c>
      <c r="U100" s="270" t="n">
        <v>0.542784284095202</v>
      </c>
      <c r="V100" s="270" t="n">
        <v>1.55407064601436</v>
      </c>
      <c r="W100" s="270" t="n">
        <v>0.7913203626747261</v>
      </c>
      <c r="X100" s="270" t="n">
        <v>0.0567242217898833</v>
      </c>
      <c r="Y100" s="269">
        <f>M100+X100</f>
        <v/>
      </c>
      <c r="Z100" s="275" t="n">
        <v>374</v>
      </c>
      <c r="AA100" s="275" t="n">
        <v>269</v>
      </c>
      <c r="AB100" s="270" t="n">
        <v>2361.26</v>
      </c>
      <c r="AC100" s="290" t="n"/>
      <c r="AD100" s="276" t="n">
        <v>0.0113691634241245</v>
      </c>
      <c r="AE100" s="142" t="n">
        <v>0.008177285992217899</v>
      </c>
      <c r="AF100" s="270" t="n">
        <v>6.3135294117647</v>
      </c>
      <c r="AG100" s="277" t="n">
        <v>0.07177954766536961</v>
      </c>
      <c r="AH100" s="118" t="n">
        <v>0.579322130447166</v>
      </c>
      <c r="AI100" s="118" t="n">
        <v>0.393904870407291</v>
      </c>
      <c r="AJ100" s="270" t="n">
        <v>0.738266050583658</v>
      </c>
      <c r="AK100" s="64" t="n">
        <v>0.299246108949416</v>
      </c>
      <c r="AL100" s="64">
        <f>1105/D100</f>
        <v/>
      </c>
      <c r="AM100" s="119" t="n">
        <v>0</v>
      </c>
      <c r="AN100" s="324" t="n"/>
    </row>
    <row customHeight="1" hidden="1" ht="13.2" outlineLevel="1" r="101" s="3">
      <c r="A101" s="117" t="n">
        <v>43442</v>
      </c>
      <c r="B101" s="289" t="inlineStr">
        <is>
          <t>安卓</t>
        </is>
      </c>
      <c r="C101" s="268" t="n">
        <v>11015</v>
      </c>
      <c r="D101" s="268" t="n">
        <v>33059</v>
      </c>
      <c r="E101" s="269" t="n">
        <v>3.00127099409896</v>
      </c>
      <c r="F101" s="270" t="n">
        <v>0.673751249432832</v>
      </c>
      <c r="G101" s="292" t="n">
        <v>13.15</v>
      </c>
      <c r="H101" s="292" t="n">
        <v>26.41</v>
      </c>
      <c r="I101" s="141" t="n">
        <v>0.322</v>
      </c>
      <c r="J101" s="141" t="n">
        <v>0.152</v>
      </c>
      <c r="K101" s="141" t="n">
        <v>0.08400000000000001</v>
      </c>
      <c r="L101" s="270" t="n">
        <v>9.658005384312901</v>
      </c>
      <c r="M101" s="272" t="n">
        <v>10.884993496476</v>
      </c>
      <c r="N101" s="270" t="n">
        <v>16.9124876627344</v>
      </c>
      <c r="O101" s="273">
        <f>M101/N101</f>
        <v/>
      </c>
      <c r="P101" s="270" t="n">
        <v>2.33308267142924</v>
      </c>
      <c r="Q101" s="270" t="n">
        <v>2.72016731682098</v>
      </c>
      <c r="R101" s="270" t="n">
        <v>1.13361846124924</v>
      </c>
      <c r="S101" s="270" t="n">
        <v>6.08375240870423</v>
      </c>
      <c r="T101" s="270" t="n">
        <v>1.31071109648917</v>
      </c>
      <c r="U101" s="270" t="n">
        <v>0.477980918362551</v>
      </c>
      <c r="V101" s="270" t="n">
        <v>1.95614983315317</v>
      </c>
      <c r="W101" s="270" t="n">
        <v>0.897024956525826</v>
      </c>
      <c r="X101" s="270" t="n">
        <v>0.0939834840739284</v>
      </c>
      <c r="Y101" s="269">
        <f>M101+X101</f>
        <v/>
      </c>
      <c r="Z101" s="275" t="n">
        <v>435</v>
      </c>
      <c r="AA101" s="275" t="n">
        <v>298</v>
      </c>
      <c r="AB101" s="270" t="n">
        <v>2933.65</v>
      </c>
      <c r="AC101" s="290" t="n"/>
      <c r="AD101" s="276" t="n">
        <v>0.013158292749327</v>
      </c>
      <c r="AE101" s="142" t="n">
        <v>0.009014186757010189</v>
      </c>
      <c r="AF101" s="270" t="n">
        <v>6.74402298850575</v>
      </c>
      <c r="AG101" s="277" t="n">
        <v>0.08873982879094949</v>
      </c>
      <c r="AH101" s="118" t="n">
        <v>0.555696777122106</v>
      </c>
      <c r="AI101" s="118" t="n">
        <v>0.395642305946437</v>
      </c>
      <c r="AJ101" s="270" t="n">
        <v>0.610968268852657</v>
      </c>
      <c r="AK101" s="64" t="n">
        <v>0.253244199764058</v>
      </c>
      <c r="AL101" s="64" t="n">
        <v>0.0277382860945582</v>
      </c>
      <c r="AM101" s="119" t="n">
        <v>0.353458967300886</v>
      </c>
      <c r="AN101" s="324" t="n"/>
    </row>
    <row customHeight="1" hidden="1" ht="13.2" outlineLevel="1" r="102" s="3">
      <c r="A102" s="117" t="n">
        <v>43443</v>
      </c>
      <c r="B102" s="289" t="inlineStr">
        <is>
          <t>安卓</t>
        </is>
      </c>
      <c r="C102" s="268" t="n">
        <v>12518</v>
      </c>
      <c r="D102" s="268" t="n">
        <v>34970</v>
      </c>
      <c r="E102" s="269" t="n">
        <v>2.79357724876178</v>
      </c>
      <c r="F102" s="270" t="n">
        <v>0.653131560051473</v>
      </c>
      <c r="G102" s="292" t="n">
        <v>12.96</v>
      </c>
      <c r="H102" s="292" t="n">
        <v>27.2</v>
      </c>
      <c r="I102" s="141" t="n">
        <v>0.311</v>
      </c>
      <c r="J102" s="141" t="n">
        <v>0.152</v>
      </c>
      <c r="K102" s="141" t="n">
        <v>0.08599999999999999</v>
      </c>
      <c r="L102" s="270" t="n">
        <v>9.44586788676008</v>
      </c>
      <c r="M102" s="272" t="n">
        <v>10.7410065770661</v>
      </c>
      <c r="N102" s="270" t="n">
        <v>16.8217564602087</v>
      </c>
      <c r="O102" s="273">
        <f>M102/N102</f>
        <v/>
      </c>
      <c r="P102" s="270" t="n">
        <v>2.29450490393658</v>
      </c>
      <c r="Q102" s="270" t="n">
        <v>2.85427023153746</v>
      </c>
      <c r="R102" s="270" t="n">
        <v>1.21236956424381</v>
      </c>
      <c r="S102" s="270" t="n">
        <v>5.8192485109051</v>
      </c>
      <c r="T102" s="270" t="n">
        <v>1.28917551166644</v>
      </c>
      <c r="U102" s="270" t="n">
        <v>0.498902772179677</v>
      </c>
      <c r="V102" s="270" t="n">
        <v>1.93837610282592</v>
      </c>
      <c r="W102" s="270" t="n">
        <v>0.9149088629137</v>
      </c>
      <c r="X102" s="270" t="n">
        <v>0.0879897054618244</v>
      </c>
      <c r="Y102" s="269">
        <f>M102+X102</f>
        <v/>
      </c>
      <c r="Z102" s="275" t="n">
        <v>439</v>
      </c>
      <c r="AA102" s="275" t="n">
        <v>303</v>
      </c>
      <c r="AB102" s="270" t="n">
        <v>2938.61</v>
      </c>
      <c r="AC102" s="290" t="n"/>
      <c r="AD102" s="276" t="n">
        <v>0.0125536173863311</v>
      </c>
      <c r="AE102" s="142" t="n">
        <v>0.00866456963111238</v>
      </c>
      <c r="AF102" s="270" t="n">
        <v>6.69387243735763</v>
      </c>
      <c r="AG102" s="277" t="n">
        <v>0.0840323134114955</v>
      </c>
      <c r="AH102" s="118" t="n">
        <v>0.535149384885764</v>
      </c>
      <c r="AI102" s="118" t="n">
        <v>0.379853011663205</v>
      </c>
      <c r="AJ102" s="270" t="n">
        <v>0.625593365742065</v>
      </c>
      <c r="AK102" s="64" t="n">
        <v>0.241721475550472</v>
      </c>
      <c r="AL102" s="64" t="n">
        <v>0.0257649413783243</v>
      </c>
      <c r="AM102" s="119" t="n">
        <v>0.343723191306834</v>
      </c>
      <c r="AN102" s="324" t="n"/>
    </row>
    <row customHeight="1" hidden="1" ht="13.2" outlineLevel="1" r="103" s="3">
      <c r="A103" s="117" t="n">
        <v>43444</v>
      </c>
      <c r="B103" s="289" t="inlineStr">
        <is>
          <t>安卓</t>
        </is>
      </c>
      <c r="C103" s="268" t="n">
        <v>11745</v>
      </c>
      <c r="D103" s="268" t="n">
        <v>35253</v>
      </c>
      <c r="E103" s="269" t="n">
        <v>3.00153256704981</v>
      </c>
      <c r="F103" s="270" t="n">
        <v>0.639668109607693</v>
      </c>
      <c r="G103" s="292" t="n">
        <v>13.24</v>
      </c>
      <c r="H103" s="292" t="n">
        <v>26.57</v>
      </c>
      <c r="I103" s="141" t="n">
        <v>0.32</v>
      </c>
      <c r="J103" s="141" t="n">
        <v>0.162</v>
      </c>
      <c r="K103" s="141" t="n">
        <v>0.094</v>
      </c>
      <c r="L103" s="270" t="n">
        <v>9.60462939324313</v>
      </c>
      <c r="M103" s="272" t="n">
        <v>10.8553598275324</v>
      </c>
      <c r="N103" s="270" t="n">
        <v>16.6957811613804</v>
      </c>
      <c r="O103" s="273">
        <f>M103/N103</f>
        <v/>
      </c>
      <c r="P103" s="270" t="n">
        <v>2.24514637232232</v>
      </c>
      <c r="Q103" s="270" t="n">
        <v>2.89633960123904</v>
      </c>
      <c r="R103" s="270" t="n">
        <v>1.18293268182016</v>
      </c>
      <c r="S103" s="270" t="n">
        <v>5.80672745517211</v>
      </c>
      <c r="T103" s="270" t="n">
        <v>1.25230138301121</v>
      </c>
      <c r="U103" s="270" t="n">
        <v>0.493477596963483</v>
      </c>
      <c r="V103" s="270" t="n">
        <v>1.90755202652589</v>
      </c>
      <c r="W103" s="270" t="n">
        <v>0.911304044326164</v>
      </c>
      <c r="X103" s="270" t="n">
        <v>0.0932402916063881</v>
      </c>
      <c r="Y103" s="269" t="n">
        <v>10.9486001191388</v>
      </c>
      <c r="Z103" s="275" t="n">
        <v>386</v>
      </c>
      <c r="AA103" s="275" t="n">
        <v>272</v>
      </c>
      <c r="AB103" s="270" t="n">
        <v>2551.14</v>
      </c>
      <c r="AC103" s="290" t="n"/>
      <c r="AD103" s="276" t="n">
        <v>0.0109494227441636</v>
      </c>
      <c r="AE103" s="142" t="n">
        <v>0.00771565540521374</v>
      </c>
      <c r="AF103" s="270" t="n">
        <v>6.60917098445596</v>
      </c>
      <c r="AG103" s="277" t="n">
        <v>0.0723666070972683</v>
      </c>
      <c r="AH103" s="118" t="n">
        <v>0.543891017454236</v>
      </c>
      <c r="AI103" s="118" t="n">
        <v>0.385270327799063</v>
      </c>
      <c r="AJ103" s="270" t="n">
        <v>0.643746631492355</v>
      </c>
      <c r="AK103" s="64" t="n">
        <v>0.251297761892605</v>
      </c>
      <c r="AL103" s="64" t="n">
        <v>0.02623890165376</v>
      </c>
      <c r="AM103" s="119" t="n">
        <v>0.335092048903639</v>
      </c>
      <c r="AN103" s="324" t="n"/>
    </row>
    <row customHeight="1" hidden="1" ht="13.2" outlineLevel="1" r="104" s="3">
      <c r="A104" s="117" t="n">
        <v>43445</v>
      </c>
      <c r="B104" s="289" t="inlineStr">
        <is>
          <t>安卓</t>
        </is>
      </c>
      <c r="C104" s="268" t="n">
        <v>11503</v>
      </c>
      <c r="D104" s="268" t="n">
        <v>34701</v>
      </c>
      <c r="E104" s="269" t="n">
        <v>3.01669129792228</v>
      </c>
      <c r="F104" s="270" t="n">
        <v>0.647862493299905</v>
      </c>
      <c r="G104" s="292" t="n">
        <v>14.47</v>
      </c>
      <c r="H104" s="292" t="n">
        <v>29.08</v>
      </c>
      <c r="I104" s="141" t="n">
        <v>0.33</v>
      </c>
      <c r="J104" s="141" t="n">
        <v>0.169</v>
      </c>
      <c r="K104" s="141" t="n">
        <v>0.094</v>
      </c>
      <c r="L104" s="270" t="n">
        <v>9.221031094204781</v>
      </c>
      <c r="M104" s="272" t="n">
        <v>10.3466758883029</v>
      </c>
      <c r="N104" s="270" t="n">
        <v>16.1948579161028</v>
      </c>
      <c r="O104" s="273">
        <f>M104/N104</f>
        <v/>
      </c>
      <c r="P104" s="270" t="n">
        <v>2.19093369418133</v>
      </c>
      <c r="Q104" s="270" t="n">
        <v>2.79508344609833</v>
      </c>
      <c r="R104" s="270" t="n">
        <v>1.18479927830401</v>
      </c>
      <c r="S104" s="270" t="n">
        <v>5.51885430762291</v>
      </c>
      <c r="T104" s="270" t="n">
        <v>1.23946774921064</v>
      </c>
      <c r="U104" s="270" t="n">
        <v>0.51659900766802</v>
      </c>
      <c r="V104" s="270" t="n">
        <v>1.85732972485341</v>
      </c>
      <c r="W104" s="270" t="n">
        <v>0.891790708164186</v>
      </c>
      <c r="X104" s="270" t="n">
        <v>0.0843779718163742</v>
      </c>
      <c r="Y104" s="269" t="n">
        <v>10.4310538601193</v>
      </c>
      <c r="Z104" s="275" t="n">
        <v>395</v>
      </c>
      <c r="AA104" s="275" t="n">
        <v>285</v>
      </c>
      <c r="AB104" s="270" t="n">
        <v>2377.05</v>
      </c>
      <c r="AC104" s="290" t="n"/>
      <c r="AD104" s="276" t="n">
        <v>0.0113829572634794</v>
      </c>
      <c r="AE104" s="142" t="n">
        <v>0.00821301979770035</v>
      </c>
      <c r="AF104" s="270" t="n">
        <v>6.01784810126582</v>
      </c>
      <c r="AG104" s="277" t="n">
        <v>0.06850090775481971</v>
      </c>
      <c r="AH104" s="118" t="n">
        <v>0.520646787794488</v>
      </c>
      <c r="AI104" s="118" t="n">
        <v>0.386507867512823</v>
      </c>
      <c r="AJ104" s="270" t="n">
        <v>0.670701132532204</v>
      </c>
      <c r="AK104" s="64" t="n">
        <v>0.271721276043918</v>
      </c>
      <c r="AL104" s="64" t="n">
        <v>0.0309789343246592</v>
      </c>
      <c r="AM104" s="119" t="n">
        <v>0.267312181205153</v>
      </c>
      <c r="AN104" s="324" t="n"/>
    </row>
    <row customFormat="1" customHeight="1" hidden="1" ht="12.45" outlineLevel="1" r="105" s="294">
      <c r="A105" s="121" t="n">
        <v>43446</v>
      </c>
      <c r="B105" s="295" t="inlineStr">
        <is>
          <t>安卓</t>
        </is>
      </c>
      <c r="C105" s="296" t="n">
        <v>12834</v>
      </c>
      <c r="D105" s="296" t="n">
        <v>35929</v>
      </c>
      <c r="E105" s="297" t="n">
        <v>2.79951690821256</v>
      </c>
      <c r="F105" s="294" t="n">
        <v>0.6628516348075369</v>
      </c>
      <c r="G105" s="298" t="n">
        <v>13.33</v>
      </c>
      <c r="H105" s="298" t="n">
        <v>25.96</v>
      </c>
      <c r="I105" s="123" t="n">
        <v>0.312</v>
      </c>
      <c r="J105" s="123" t="n">
        <v>0.157</v>
      </c>
      <c r="K105" s="123" t="n">
        <v>0.08799999999999999</v>
      </c>
      <c r="L105" s="294" t="n">
        <v>8.9137187230371</v>
      </c>
      <c r="M105" s="299" t="n">
        <v>9.891536085056639</v>
      </c>
      <c r="N105" s="294" t="n">
        <v>15.8205573361823</v>
      </c>
      <c r="O105" s="300">
        <f>M105/N105</f>
        <v/>
      </c>
      <c r="P105" s="294" t="n">
        <v>2.09655448717949</v>
      </c>
      <c r="Q105" s="294" t="n">
        <v>2.62455484330484</v>
      </c>
      <c r="R105" s="294" t="n">
        <v>1.18647613960114</v>
      </c>
      <c r="S105" s="294" t="n">
        <v>5.4857995014245</v>
      </c>
      <c r="T105" s="294" t="n">
        <v>1.19123931623932</v>
      </c>
      <c r="U105" s="294" t="n">
        <v>0.561565170940171</v>
      </c>
      <c r="V105" s="294" t="n">
        <v>1.79095441595442</v>
      </c>
      <c r="W105" s="294" t="n">
        <v>0.883413461538461</v>
      </c>
      <c r="X105" s="294" t="n">
        <v>0.0613432046536224</v>
      </c>
      <c r="Y105" s="297" t="n">
        <v>9.95287928971026</v>
      </c>
      <c r="Z105" s="293" t="n">
        <v>485</v>
      </c>
      <c r="AA105" s="293" t="n">
        <v>328</v>
      </c>
      <c r="AB105" s="294" t="n">
        <v>3085.15</v>
      </c>
      <c r="AC105" s="302" t="n"/>
      <c r="AD105" s="303" t="n">
        <v>0.0134988449441955</v>
      </c>
      <c r="AE105" s="124" t="n">
        <v>0.009129115756074479</v>
      </c>
      <c r="AF105" s="294" t="n">
        <v>6.36113402061856</v>
      </c>
      <c r="AG105" s="304" t="n">
        <v>0.0858679618135768</v>
      </c>
      <c r="AH105" s="125" t="n">
        <v>0.497350786972105</v>
      </c>
      <c r="AI105" s="125" t="n">
        <v>0.36481221754714</v>
      </c>
      <c r="AJ105" s="294" t="n">
        <v>0.762587325002087</v>
      </c>
      <c r="AK105" s="126" t="n">
        <v>0.291519385454647</v>
      </c>
      <c r="AL105" s="126" t="n">
        <v>0.0318127417963205</v>
      </c>
      <c r="AM105" s="127" t="n">
        <v>0</v>
      </c>
      <c r="AN105" s="303" t="n"/>
    </row>
    <row customHeight="1" hidden="1" ht="13.2" outlineLevel="1" r="106" s="3">
      <c r="A106" s="117" t="n">
        <v>43447</v>
      </c>
      <c r="B106" s="267" t="inlineStr">
        <is>
          <t>安卓</t>
        </is>
      </c>
      <c r="C106" s="268" t="n">
        <v>14890</v>
      </c>
      <c r="D106" s="268" t="n">
        <v>38287</v>
      </c>
      <c r="E106" s="269" t="n">
        <v>2.57132303559436</v>
      </c>
      <c r="F106" s="270" t="n">
        <v>0.628616118264685</v>
      </c>
      <c r="G106" s="292" t="n">
        <v>13.87</v>
      </c>
      <c r="H106" s="292" t="n">
        <v>31.65</v>
      </c>
      <c r="I106" s="141" t="n">
        <v>0.289</v>
      </c>
      <c r="J106" s="141" t="n">
        <v>0.146</v>
      </c>
      <c r="K106" s="141" t="n">
        <v>0.079</v>
      </c>
      <c r="L106" s="270" t="n">
        <v>8.700786167628699</v>
      </c>
      <c r="M106" s="272" t="n">
        <v>9.62049781910309</v>
      </c>
      <c r="N106" s="270" t="n">
        <v>16.0308134221178</v>
      </c>
      <c r="O106" s="273">
        <f>M106/N106</f>
        <v/>
      </c>
      <c r="P106" s="270" t="n">
        <v>2.13900857379118</v>
      </c>
      <c r="Q106" s="270" t="n">
        <v>2.71175523349436</v>
      </c>
      <c r="R106" s="270" t="n">
        <v>1.14906210558384</v>
      </c>
      <c r="S106" s="270" t="n">
        <v>5.55046350698525</v>
      </c>
      <c r="T106" s="270" t="n">
        <v>1.20294207250729</v>
      </c>
      <c r="U106" s="270" t="n">
        <v>0.5577316446881661</v>
      </c>
      <c r="V106" s="270" t="n">
        <v>1.81429255342299</v>
      </c>
      <c r="W106" s="270" t="n">
        <v>0.905514209862036</v>
      </c>
      <c r="X106" s="270" t="n">
        <v>0.0715908794107661</v>
      </c>
      <c r="Y106" s="269" t="n">
        <v>9.69208869851386</v>
      </c>
      <c r="Z106" s="275" t="n">
        <v>516</v>
      </c>
      <c r="AA106" s="275" t="n">
        <v>349</v>
      </c>
      <c r="AB106" s="270" t="n">
        <v>3125.84</v>
      </c>
      <c r="AC106" s="290" t="n"/>
      <c r="AD106" s="276" t="n">
        <v>0.0134771593491263</v>
      </c>
      <c r="AE106" s="142" t="n">
        <v>0.00911536552876956</v>
      </c>
      <c r="AF106" s="270" t="n">
        <v>6.05782945736434</v>
      </c>
      <c r="AG106" s="277" t="n">
        <v>0.0816423329067307</v>
      </c>
      <c r="AH106" s="118" t="n">
        <v>0.437071860308932</v>
      </c>
      <c r="AI106" s="118" t="n">
        <v>0.31443922095366</v>
      </c>
      <c r="AJ106" s="270" t="n">
        <v>0.707498628777392</v>
      </c>
      <c r="AK106" s="64" t="n">
        <v>0.278527959881944</v>
      </c>
      <c r="AL106" s="64" t="n">
        <v>0.0289393266644031</v>
      </c>
      <c r="AM106" s="119" t="n">
        <v>0</v>
      </c>
    </row>
    <row customHeight="1" hidden="1" ht="13.2" outlineLevel="1" r="107" s="3">
      <c r="A107" s="117" t="n">
        <v>43448</v>
      </c>
      <c r="B107" s="267" t="inlineStr">
        <is>
          <t>安卓</t>
        </is>
      </c>
      <c r="C107" s="268" t="n">
        <v>15911</v>
      </c>
      <c r="D107" s="268" t="n">
        <v>40104</v>
      </c>
      <c r="E107" s="269" t="n">
        <v>2.52052039469549</v>
      </c>
      <c r="F107" s="270" t="n">
        <v>0.572619184470377</v>
      </c>
      <c r="G107" s="292" t="n">
        <v>12.31</v>
      </c>
      <c r="H107" s="292" t="n">
        <v>25.67</v>
      </c>
      <c r="I107" s="141" t="n">
        <v>0.267</v>
      </c>
      <c r="J107" s="141" t="n">
        <v>0.141</v>
      </c>
      <c r="K107" s="141" t="n">
        <v>0.079</v>
      </c>
      <c r="L107" s="270" t="n">
        <v>8.636569918212651</v>
      </c>
      <c r="M107" s="272" t="n">
        <v>9.340739078396171</v>
      </c>
      <c r="N107" s="270" t="n">
        <v>15.7448301950235</v>
      </c>
      <c r="O107" s="273">
        <f>M107/N107</f>
        <v/>
      </c>
      <c r="P107" s="270" t="n">
        <v>2.12424344317418</v>
      </c>
      <c r="Q107" s="270" t="n">
        <v>2.72831203765972</v>
      </c>
      <c r="R107" s="270" t="n">
        <v>1.09936112979153</v>
      </c>
      <c r="S107" s="270" t="n">
        <v>5.33460827168796</v>
      </c>
      <c r="T107" s="270" t="n">
        <v>1.19607431069267</v>
      </c>
      <c r="U107" s="270" t="n">
        <v>0.546948554135844</v>
      </c>
      <c r="V107" s="270" t="n">
        <v>1.81010423671822</v>
      </c>
      <c r="W107" s="270" t="n">
        <v>0.9051361802286479</v>
      </c>
      <c r="X107" s="270" t="n">
        <v>0.0689208059046479</v>
      </c>
      <c r="Y107" s="269" t="n">
        <v>9.409659884300821</v>
      </c>
      <c r="Z107" s="275" t="n">
        <v>488</v>
      </c>
      <c r="AA107" s="275" t="n">
        <v>345</v>
      </c>
      <c r="AB107" s="270" t="n">
        <v>3102.12</v>
      </c>
      <c r="AC107" s="290" t="n"/>
      <c r="AD107" s="276" t="n">
        <v>0.0121683622581289</v>
      </c>
      <c r="AE107" s="142" t="n">
        <v>0.00860263315380012</v>
      </c>
      <c r="AF107" s="270" t="n">
        <v>6.35680327868852</v>
      </c>
      <c r="AG107" s="277" t="n">
        <v>0.0773518850987433</v>
      </c>
      <c r="AH107" s="118" t="n">
        <v>0.423732009301741</v>
      </c>
      <c r="AI107" s="118" t="n">
        <v>0.305260511595751</v>
      </c>
      <c r="AJ107" s="270" t="n">
        <v>0.682675044883303</v>
      </c>
      <c r="AK107" s="64" t="n">
        <v>0.272067624177139</v>
      </c>
      <c r="AL107" s="64" t="n">
        <v>0.0284510273289447</v>
      </c>
      <c r="AM107" s="119" t="n">
        <v>0</v>
      </c>
    </row>
    <row customHeight="1" hidden="1" ht="13.2" outlineLevel="1" r="108" s="3">
      <c r="A108" s="117" t="n">
        <v>43449</v>
      </c>
      <c r="B108" s="289" t="inlineStr">
        <is>
          <t>安卓</t>
        </is>
      </c>
      <c r="C108" s="268" t="n">
        <v>14420</v>
      </c>
      <c r="D108" s="268" t="n">
        <v>38684</v>
      </c>
      <c r="E108" s="269" t="n">
        <v>2.68266296809986</v>
      </c>
      <c r="F108" s="270" t="n">
        <v>0.720555293454658</v>
      </c>
      <c r="G108" s="292" t="n">
        <v>12.17</v>
      </c>
      <c r="H108" s="292" t="n">
        <v>24.53</v>
      </c>
      <c r="I108" s="141" t="n">
        <v>0.273</v>
      </c>
      <c r="J108" s="141" t="n">
        <v>0.143</v>
      </c>
      <c r="K108" s="141" t="n">
        <v>0.075</v>
      </c>
      <c r="L108" s="270" t="n">
        <v>10.0461431082618</v>
      </c>
      <c r="M108" s="272" t="n">
        <v>11.9299193464998</v>
      </c>
      <c r="N108" s="270" t="n">
        <v>19.2877084465248</v>
      </c>
      <c r="O108" s="273">
        <f>M108/N108</f>
        <v/>
      </c>
      <c r="P108" s="270" t="n">
        <v>2.49266518995277</v>
      </c>
      <c r="Q108" s="270" t="n">
        <v>3.32770510302169</v>
      </c>
      <c r="R108" s="270" t="n">
        <v>1.1348685585322</v>
      </c>
      <c r="S108" s="270" t="n">
        <v>7.07853053036319</v>
      </c>
      <c r="T108" s="270" t="n">
        <v>1.43035064989343</v>
      </c>
      <c r="U108" s="270" t="n">
        <v>0.504283863417896</v>
      </c>
      <c r="V108" s="270" t="n">
        <v>2.28423956200109</v>
      </c>
      <c r="W108" s="270" t="n">
        <v>1.03506498934258</v>
      </c>
      <c r="X108" s="270" t="n">
        <v>0.123746251680281</v>
      </c>
      <c r="Y108" s="269" t="n">
        <v>12.0536655981801</v>
      </c>
      <c r="Z108" s="275" t="n">
        <v>541</v>
      </c>
      <c r="AA108" s="275" t="n">
        <v>374</v>
      </c>
      <c r="AB108" s="270" t="n">
        <v>3680.59</v>
      </c>
      <c r="AC108" s="290" t="n"/>
      <c r="AD108" s="276" t="n">
        <v>0.0139851101230483</v>
      </c>
      <c r="AE108" s="142" t="n">
        <v>0.009668079826284769</v>
      </c>
      <c r="AF108" s="270" t="n">
        <v>6.80330868761553</v>
      </c>
      <c r="AG108" s="277" t="n">
        <v>0.09514502119739431</v>
      </c>
      <c r="AH108" s="118" t="n">
        <v>0.450762829403606</v>
      </c>
      <c r="AI108" s="118" t="n">
        <v>0.33252427184466</v>
      </c>
      <c r="AJ108" s="270" t="n">
        <v>0.581403164098852</v>
      </c>
      <c r="AK108" s="64" t="n">
        <v>0.248009512976941</v>
      </c>
      <c r="AL108" s="64" t="n">
        <v>0.0253851721642023</v>
      </c>
      <c r="AM108" s="119" t="n">
        <v>0.325250749663944</v>
      </c>
    </row>
    <row customHeight="1" hidden="1" ht="13.2" outlineLevel="1" r="109" s="3">
      <c r="A109" s="117" t="n">
        <v>43450</v>
      </c>
      <c r="B109" s="289" t="inlineStr">
        <is>
          <t>安卓</t>
        </is>
      </c>
      <c r="C109" s="268" t="n">
        <v>16254</v>
      </c>
      <c r="D109" s="268" t="n">
        <v>41483</v>
      </c>
      <c r="E109" s="269" t="n">
        <v>2.55217177310201</v>
      </c>
      <c r="F109" s="270" t="n">
        <v>0.667619279415664</v>
      </c>
      <c r="G109" s="292" t="n">
        <v>12.09</v>
      </c>
      <c r="H109" s="292" t="n">
        <v>24.13</v>
      </c>
      <c r="I109" s="141" t="n">
        <v>0.267</v>
      </c>
      <c r="J109" s="141" t="n">
        <v>0.138</v>
      </c>
      <c r="K109" s="141" t="n">
        <v>0.08400000000000001</v>
      </c>
      <c r="L109" s="270" t="n">
        <v>9.790034471952371</v>
      </c>
      <c r="M109" s="272" t="n">
        <v>11.713521201456</v>
      </c>
      <c r="N109" s="270" t="n">
        <v>18.9757488186824</v>
      </c>
      <c r="O109" s="273">
        <f>M109/N109</f>
        <v/>
      </c>
      <c r="P109" s="270" t="n">
        <v>2.4212129495841</v>
      </c>
      <c r="Q109" s="270" t="n">
        <v>3.41098137228102</v>
      </c>
      <c r="R109" s="270" t="n">
        <v>1.22603194439021</v>
      </c>
      <c r="S109" s="270" t="n">
        <v>6.77142968719491</v>
      </c>
      <c r="T109" s="270" t="n">
        <v>1.38056000312415</v>
      </c>
      <c r="U109" s="270" t="n">
        <v>0.506697387433124</v>
      </c>
      <c r="V109" s="270" t="n">
        <v>2.21615183348303</v>
      </c>
      <c r="W109" s="270" t="n">
        <v>1.04268364119186</v>
      </c>
      <c r="X109" s="270" t="n">
        <v>0.143842055781887</v>
      </c>
      <c r="Y109" s="269" t="n">
        <v>11.8573632572379</v>
      </c>
      <c r="Z109" s="275" t="n">
        <v>534</v>
      </c>
      <c r="AA109" s="275" t="n">
        <v>374</v>
      </c>
      <c r="AB109" s="270" t="n">
        <v>3603.66</v>
      </c>
      <c r="AC109" s="290" t="n"/>
      <c r="AD109" s="276" t="n">
        <v>0.0128727430513704</v>
      </c>
      <c r="AE109" s="142" t="n">
        <v>0.00901574138803847</v>
      </c>
      <c r="AF109" s="270" t="n">
        <v>6.74842696629213</v>
      </c>
      <c r="AG109" s="277" t="n">
        <v>0.086870766338018</v>
      </c>
      <c r="AH109" s="118" t="n">
        <v>0.451212009351544</v>
      </c>
      <c r="AI109" s="118" t="n">
        <v>0.317829457364341</v>
      </c>
      <c r="AJ109" s="270" t="n">
        <v>0.585541065014584</v>
      </c>
      <c r="AK109" s="64" t="n">
        <v>0.235759226671166</v>
      </c>
      <c r="AL109" s="64" t="n">
        <v>0.0241785791770123</v>
      </c>
      <c r="AM109" s="119" t="n">
        <v>0.317889255839742</v>
      </c>
    </row>
    <row customHeight="1" hidden="1" ht="13.2" outlineLevel="1" r="110" s="3">
      <c r="A110" s="117" t="n">
        <v>43451</v>
      </c>
      <c r="B110" s="289" t="inlineStr">
        <is>
          <t>安卓</t>
        </is>
      </c>
      <c r="C110" s="268" t="n">
        <v>15865</v>
      </c>
      <c r="D110" s="268" t="n">
        <v>42330</v>
      </c>
      <c r="E110" s="269" t="n">
        <v>2.66813740939174</v>
      </c>
      <c r="F110" s="270" t="n">
        <v>0.6504153827073</v>
      </c>
      <c r="G110" s="292" t="n">
        <v>12.05</v>
      </c>
      <c r="H110" s="292" t="n">
        <v>24.21</v>
      </c>
      <c r="I110" s="141" t="n">
        <v>0.277</v>
      </c>
      <c r="J110" s="141" t="n">
        <v>0.143</v>
      </c>
      <c r="K110" s="141" t="n">
        <v>0.082</v>
      </c>
      <c r="L110" s="270" t="n">
        <v>9.829104653909759</v>
      </c>
      <c r="M110" s="272" t="n">
        <v>11.414197968344</v>
      </c>
      <c r="N110" s="270" t="n">
        <v>29.5729587464806</v>
      </c>
      <c r="O110" s="273">
        <f>M110/N110</f>
        <v/>
      </c>
      <c r="P110" s="270" t="n">
        <v>3.76833149712327</v>
      </c>
      <c r="Q110" s="270" t="n">
        <v>5.43273350471294</v>
      </c>
      <c r="R110" s="270" t="n">
        <v>1.94197576202718</v>
      </c>
      <c r="S110" s="270" t="n">
        <v>10.4476068062186</v>
      </c>
      <c r="T110" s="270" t="n">
        <v>2.1213734851267</v>
      </c>
      <c r="U110" s="270" t="n">
        <v>0.8021789692740851</v>
      </c>
      <c r="V110" s="270" t="n">
        <v>3.42618435549027</v>
      </c>
      <c r="W110" s="270" t="n">
        <v>1.63257436650753</v>
      </c>
      <c r="X110" s="270" t="n">
        <v>0.116394991731632</v>
      </c>
      <c r="Y110" s="269" t="n">
        <v>11.5305929600756</v>
      </c>
      <c r="Z110" s="275" t="n">
        <v>526</v>
      </c>
      <c r="AA110" s="275" t="n">
        <v>355</v>
      </c>
      <c r="AB110" s="270" t="n">
        <v>3290.74</v>
      </c>
      <c r="AC110" s="290" t="n"/>
      <c r="AD110" s="276" t="n">
        <v>0.0124261752893929</v>
      </c>
      <c r="AE110" s="142" t="n">
        <v>0.008386487124970469</v>
      </c>
      <c r="AF110" s="270" t="n">
        <v>6.25615969581749</v>
      </c>
      <c r="AG110" s="277" t="n">
        <v>0.07774013701866291</v>
      </c>
      <c r="AH110" s="118" t="n">
        <v>0.43491963441538</v>
      </c>
      <c r="AI110" s="118" t="n">
        <v>0.301607311692405</v>
      </c>
      <c r="AJ110" s="270" t="n">
        <v>0.600543349870069</v>
      </c>
      <c r="AK110" s="64" t="n">
        <v>0.24760217339948</v>
      </c>
      <c r="AL110" s="64" t="n">
        <v>0.0254193243562485</v>
      </c>
      <c r="AM110" s="119" t="n">
        <v>0.304795653201039</v>
      </c>
    </row>
    <row customHeight="1" hidden="1" ht="13.2" outlineLevel="1" r="111" s="3">
      <c r="A111" s="117" t="n">
        <v>43452</v>
      </c>
      <c r="B111" s="289" t="inlineStr">
        <is>
          <t>安卓</t>
        </is>
      </c>
      <c r="C111" s="268" t="n">
        <v>18732</v>
      </c>
      <c r="D111" s="268" t="n">
        <v>45499</v>
      </c>
      <c r="E111" s="269" t="n">
        <v>2.42894512064916</v>
      </c>
      <c r="F111" s="270" t="n">
        <v>0.64416082828194</v>
      </c>
      <c r="G111" s="292" t="n">
        <v>13.38</v>
      </c>
      <c r="H111" s="292" t="n">
        <v>30.19</v>
      </c>
      <c r="I111" s="141" t="n">
        <v>0.268</v>
      </c>
      <c r="J111" s="141" t="n">
        <v>0.132</v>
      </c>
      <c r="K111" s="141" t="n">
        <v>0.068</v>
      </c>
      <c r="L111" s="270" t="n">
        <v>9.235895294402081</v>
      </c>
      <c r="M111" s="272" t="n">
        <v>10.3841622892811</v>
      </c>
      <c r="N111" s="270" t="n">
        <v>17.415643776033</v>
      </c>
      <c r="O111" s="273">
        <f>M111/N111</f>
        <v/>
      </c>
      <c r="P111" s="270" t="n">
        <v>2.31007409045671</v>
      </c>
      <c r="Q111" s="270" t="n">
        <v>3.14530576136238</v>
      </c>
      <c r="R111" s="270" t="n">
        <v>1.16233550812783</v>
      </c>
      <c r="S111" s="270" t="n">
        <v>5.99948394706771</v>
      </c>
      <c r="T111" s="270" t="n">
        <v>1.29986361458218</v>
      </c>
      <c r="U111" s="270" t="n">
        <v>0.532787791662059</v>
      </c>
      <c r="V111" s="270" t="n">
        <v>1.99653507316893</v>
      </c>
      <c r="W111" s="270" t="n">
        <v>0.96925798960522</v>
      </c>
      <c r="X111" s="270" t="n">
        <v>0.110595837271149</v>
      </c>
      <c r="Y111" s="269" t="n">
        <v>10.4947581265522</v>
      </c>
      <c r="Z111" s="275" t="n">
        <v>617</v>
      </c>
      <c r="AA111" s="275" t="n">
        <v>406</v>
      </c>
      <c r="AB111" s="270" t="n">
        <v>3656.83</v>
      </c>
      <c r="AC111" s="290" t="n"/>
      <c r="AD111" s="276" t="n">
        <v>0.0135607375986285</v>
      </c>
      <c r="AE111" s="142" t="n">
        <v>0.00892327303896789</v>
      </c>
      <c r="AF111" s="270" t="n">
        <v>5.92679092382496</v>
      </c>
      <c r="AG111" s="277" t="n">
        <v>0.08037165651992351</v>
      </c>
      <c r="AH111" s="118" t="n">
        <v>0.411968823403801</v>
      </c>
      <c r="AI111" s="118" t="n">
        <v>0.282724749092462</v>
      </c>
      <c r="AJ111" s="270" t="n">
        <v>0.617486098595574</v>
      </c>
      <c r="AK111" s="64" t="n">
        <v>0.24363172816985</v>
      </c>
      <c r="AL111" s="64" t="n">
        <v>0.0265500340666828</v>
      </c>
      <c r="AM111" s="119" t="n">
        <v>0.235565616826743</v>
      </c>
    </row>
    <row customFormat="1" customHeight="1" hidden="1" ht="12.45" outlineLevel="1" r="112" s="294">
      <c r="A112" s="121" t="n">
        <v>43453</v>
      </c>
      <c r="B112" s="295" t="inlineStr">
        <is>
          <t>安卓</t>
        </is>
      </c>
      <c r="C112" s="296" t="n">
        <v>15371</v>
      </c>
      <c r="D112" s="296" t="n">
        <v>43115</v>
      </c>
      <c r="E112" s="297" t="n">
        <v>2.80495738728775</v>
      </c>
      <c r="F112" s="294" t="n">
        <v>0.581471614101821</v>
      </c>
      <c r="G112" s="298" t="n">
        <v>13.46</v>
      </c>
      <c r="H112" s="298" t="n">
        <v>30.64</v>
      </c>
      <c r="I112" s="123" t="n">
        <v>0.27</v>
      </c>
      <c r="J112" s="123" t="n">
        <v>0.137</v>
      </c>
      <c r="K112" s="123" t="n">
        <v>0.07099999999999999</v>
      </c>
      <c r="L112" s="294">
        <f>381805/D112</f>
        <v/>
      </c>
      <c r="M112" s="299" t="n">
        <v>9.33371216513974</v>
      </c>
      <c r="N112" s="294" t="n">
        <v>15.5279749961414</v>
      </c>
      <c r="O112" s="300">
        <f>M112/N112</f>
        <v/>
      </c>
      <c r="P112" s="294" t="n">
        <v>2.05336471677728</v>
      </c>
      <c r="Q112" s="294" t="n">
        <v>2.73290631270258</v>
      </c>
      <c r="R112" s="294" t="n">
        <v>1.0848896434635</v>
      </c>
      <c r="S112" s="294" t="n">
        <v>5.33249729896589</v>
      </c>
      <c r="T112" s="294" t="n">
        <v>1.16144466738694</v>
      </c>
      <c r="U112" s="294" t="n">
        <v>0.528630961568143</v>
      </c>
      <c r="V112" s="294" t="n">
        <v>1.76458558419509</v>
      </c>
      <c r="W112" s="294" t="n">
        <v>0.869655811081957</v>
      </c>
      <c r="X112" s="294" t="n">
        <v>0.0702075843673895</v>
      </c>
      <c r="Y112" s="297" t="n">
        <v>9.40391974950713</v>
      </c>
      <c r="Z112" s="293" t="n">
        <v>515</v>
      </c>
      <c r="AA112" s="293" t="n">
        <v>373</v>
      </c>
      <c r="AB112" s="294" t="n">
        <v>3160.85</v>
      </c>
      <c r="AC112" s="302" t="n"/>
      <c r="AD112" s="303" t="n">
        <v>0.0119447987939232</v>
      </c>
      <c r="AE112" s="124" t="n">
        <v>0.00865128145656964</v>
      </c>
      <c r="AF112" s="294" t="n">
        <v>6.13757281553398</v>
      </c>
      <c r="AG112" s="304" t="n">
        <v>0.0733120723646063</v>
      </c>
      <c r="AH112" s="125" t="n">
        <v>0.430030577060699</v>
      </c>
      <c r="AI112" s="125" t="n">
        <v>0.323856613102596</v>
      </c>
      <c r="AJ112" s="294" t="n">
        <v>0.699199814449727</v>
      </c>
      <c r="AK112" s="126" t="n">
        <v>0.2815493447756</v>
      </c>
      <c r="AL112" s="126" t="n">
        <v>0.0310332830801345</v>
      </c>
      <c r="AM112" s="127" t="n">
        <v>0</v>
      </c>
      <c r="AN112" s="303" t="n"/>
    </row>
    <row customHeight="1" hidden="1" ht="13.2" outlineLevel="1" r="113" s="3">
      <c r="A113" s="117" t="n">
        <v>43454</v>
      </c>
      <c r="B113" s="267" t="inlineStr">
        <is>
          <t>安卓</t>
        </is>
      </c>
      <c r="C113" s="268" t="n">
        <v>14620</v>
      </c>
      <c r="D113" s="268" t="n">
        <v>41891</v>
      </c>
      <c r="E113" s="269" t="n">
        <v>2.86532147742818</v>
      </c>
      <c r="F113" s="270" t="n">
        <v>0.597583980711847</v>
      </c>
      <c r="G113" s="292" t="n">
        <v>12.89</v>
      </c>
      <c r="H113" s="292" t="n">
        <v>26.16</v>
      </c>
      <c r="I113" s="141" t="n">
        <v>0.249</v>
      </c>
      <c r="J113" s="141" t="n">
        <v>0.123</v>
      </c>
      <c r="K113" s="141" t="n">
        <v>0.063</v>
      </c>
      <c r="L113" s="270" t="n">
        <v>8.83488100069227</v>
      </c>
      <c r="M113" s="272" t="n">
        <v>9.97865890047982</v>
      </c>
      <c r="N113" s="270" t="n">
        <v>16.4631562364617</v>
      </c>
      <c r="O113" s="273">
        <f>M113/N113</f>
        <v/>
      </c>
      <c r="P113" s="270" t="n">
        <v>2.16482218108779</v>
      </c>
      <c r="Q113" s="270" t="n">
        <v>2.92351620652987</v>
      </c>
      <c r="R113" s="270" t="n">
        <v>1.15603954156985</v>
      </c>
      <c r="S113" s="270" t="n">
        <v>5.65751644283408</v>
      </c>
      <c r="T113" s="270" t="n">
        <v>1.21995982828561</v>
      </c>
      <c r="U113" s="270" t="n">
        <v>0.551652160214249</v>
      </c>
      <c r="V113" s="270" t="n">
        <v>1.86152573746603</v>
      </c>
      <c r="W113" s="270" t="n">
        <v>0.928124138474263</v>
      </c>
      <c r="X113" s="270" t="n">
        <v>0.07187701415578519</v>
      </c>
      <c r="Y113" s="269" t="n">
        <v>10.0505359146356</v>
      </c>
      <c r="Z113" s="275" t="n">
        <v>514</v>
      </c>
      <c r="AA113" s="275" t="n">
        <v>360</v>
      </c>
      <c r="AB113" s="270" t="n">
        <v>2852.86</v>
      </c>
      <c r="AC113" s="290" t="n"/>
      <c r="AD113" s="276" t="n">
        <v>0.0122699386503067</v>
      </c>
      <c r="AE113" s="142" t="n">
        <v>0.0085937313504094</v>
      </c>
      <c r="AF113" s="270" t="n">
        <v>5.55031128404669</v>
      </c>
      <c r="AG113" s="277" t="n">
        <v>0.0681019789453582</v>
      </c>
      <c r="AH113" s="118" t="n">
        <v>0.413337893296854</v>
      </c>
      <c r="AI113" s="118" t="n">
        <v>0.293160054719562</v>
      </c>
      <c r="AJ113" s="270" t="n">
        <v>0.709746723639923</v>
      </c>
      <c r="AK113" s="64" t="n">
        <v>0.287866128762741</v>
      </c>
      <c r="AL113" s="64" t="n">
        <v>0.0308419469575804</v>
      </c>
      <c r="AM113" s="119" t="n">
        <v>0</v>
      </c>
    </row>
    <row customHeight="1" hidden="1" ht="13.2" outlineLevel="1" r="114" s="3">
      <c r="A114" s="117" t="n">
        <v>43455</v>
      </c>
      <c r="B114" s="267" t="inlineStr">
        <is>
          <t>安卓</t>
        </is>
      </c>
      <c r="C114" s="268" t="n">
        <v>15397</v>
      </c>
      <c r="D114" s="268" t="n">
        <v>42196</v>
      </c>
      <c r="E114" s="269" t="n">
        <v>2.74053387023446</v>
      </c>
      <c r="F114" s="270" t="n">
        <v>0.55598134645464</v>
      </c>
      <c r="G114" s="292" t="n">
        <v>12.35</v>
      </c>
      <c r="H114" s="292" t="n">
        <v>24.09</v>
      </c>
      <c r="I114" s="141" t="n">
        <v>0.234</v>
      </c>
      <c r="J114" s="141" t="n">
        <v>0.115</v>
      </c>
      <c r="K114" s="141" t="n">
        <v>0.058</v>
      </c>
      <c r="L114" s="270" t="n">
        <v>8.305171106266</v>
      </c>
      <c r="M114" s="272" t="n">
        <v>9.230614276234711</v>
      </c>
      <c r="N114" s="270" t="n">
        <v>15.5338198931164</v>
      </c>
      <c r="O114" s="273">
        <f>M114/N114</f>
        <v/>
      </c>
      <c r="P114" s="270" t="n">
        <v>2.10624551328069</v>
      </c>
      <c r="Q114" s="270" t="n">
        <v>2.73853393953896</v>
      </c>
      <c r="R114" s="270" t="n">
        <v>1.07725133604531</v>
      </c>
      <c r="S114" s="270" t="n">
        <v>5.31710137991545</v>
      </c>
      <c r="T114" s="270" t="n">
        <v>1.15430326234346</v>
      </c>
      <c r="U114" s="270" t="n">
        <v>0.525245273988993</v>
      </c>
      <c r="V114" s="270" t="n">
        <v>1.73163436228763</v>
      </c>
      <c r="W114" s="270" t="n">
        <v>0.883504825715881</v>
      </c>
      <c r="X114" s="270" t="n">
        <v>0.0824485733244857</v>
      </c>
      <c r="Y114" s="269" t="n">
        <v>9.3130628495592</v>
      </c>
      <c r="Z114" s="275" t="n">
        <v>486</v>
      </c>
      <c r="AA114" s="275" t="n">
        <v>338</v>
      </c>
      <c r="AB114" s="270" t="n">
        <v>2939.14</v>
      </c>
      <c r="AC114" s="290" t="n"/>
      <c r="AD114" s="276" t="n">
        <v>0.0115176794008911</v>
      </c>
      <c r="AE114" s="142" t="n">
        <v>0.00801023793724524</v>
      </c>
      <c r="AF114" s="270" t="n">
        <v>6.04761316872428</v>
      </c>
      <c r="AG114" s="277" t="n">
        <v>0.06965446961797329</v>
      </c>
      <c r="AH114" s="118" t="n">
        <v>0.38468532831071</v>
      </c>
      <c r="AI114" s="118" t="n">
        <v>0.258816652594661</v>
      </c>
      <c r="AJ114" s="270" t="n">
        <v>0.648070907194995</v>
      </c>
      <c r="AK114" s="64" t="n">
        <v>0.278320219926059</v>
      </c>
      <c r="AL114" s="64" t="n">
        <v>0.0306901128069011</v>
      </c>
      <c r="AM114" s="119" t="n">
        <v>0</v>
      </c>
    </row>
    <row customHeight="1" hidden="1" ht="13.2" outlineLevel="1" r="115" s="3">
      <c r="A115" s="117" t="n">
        <v>43456</v>
      </c>
      <c r="B115" s="289" t="inlineStr">
        <is>
          <t>安卓</t>
        </is>
      </c>
      <c r="C115" s="268" t="n">
        <v>16186</v>
      </c>
      <c r="D115" s="268" t="n">
        <v>42552</v>
      </c>
      <c r="E115" s="269" t="n">
        <v>2.62893858890399</v>
      </c>
      <c r="F115" s="270" t="n">
        <v>0.71483608107727</v>
      </c>
      <c r="G115" s="292" t="n">
        <v>12.42</v>
      </c>
      <c r="H115" s="292" t="n">
        <v>23.33</v>
      </c>
      <c r="I115" s="141" t="n">
        <v>0.274</v>
      </c>
      <c r="J115" s="141" t="n">
        <v>0.124</v>
      </c>
      <c r="K115" s="141" t="n">
        <v>0.062</v>
      </c>
      <c r="L115" s="270" t="n">
        <v>9.182952622673429</v>
      </c>
      <c r="M115" s="272" t="n">
        <v>10.7036802030457</v>
      </c>
      <c r="N115" s="270" t="n">
        <v>17.6851362895084</v>
      </c>
      <c r="O115" s="273">
        <f>M115/N115</f>
        <v/>
      </c>
      <c r="P115" s="270" t="n">
        <v>2.40696590820843</v>
      </c>
      <c r="Q115" s="270" t="n">
        <v>3.08942300225208</v>
      </c>
      <c r="R115" s="270" t="n">
        <v>1.20722994486293</v>
      </c>
      <c r="S115" s="270" t="n">
        <v>6.19938650306748</v>
      </c>
      <c r="T115" s="270" t="n">
        <v>1.32756076725945</v>
      </c>
      <c r="U115" s="270" t="n">
        <v>0.465830550594082</v>
      </c>
      <c r="V115" s="270" t="n">
        <v>2.04290595635629</v>
      </c>
      <c r="W115" s="270" t="n">
        <v>0.945833656907665</v>
      </c>
      <c r="X115" s="270" t="n">
        <v>0.120628877608573</v>
      </c>
      <c r="Y115" s="269" t="n">
        <v>10.8243090806543</v>
      </c>
      <c r="Z115" s="275" t="n">
        <v>588</v>
      </c>
      <c r="AA115" s="275" t="n">
        <v>394</v>
      </c>
      <c r="AB115" s="270" t="n">
        <v>4592.12</v>
      </c>
      <c r="AC115" s="290" t="n"/>
      <c r="AD115" s="276">
        <f>Z115/D115</f>
        <v/>
      </c>
      <c r="AE115" s="142">
        <f>AA115/D115</f>
        <v/>
      </c>
      <c r="AF115" s="270">
        <f>AB115/Z115</f>
        <v/>
      </c>
      <c r="AG115" s="277">
        <f>AD115*AF115</f>
        <v/>
      </c>
      <c r="AH115" s="118" t="n">
        <v>0.439453849005313</v>
      </c>
      <c r="AI115" s="118" t="n">
        <v>0.260966267144446</v>
      </c>
      <c r="AJ115" s="270" t="n">
        <v>0.510246286896033</v>
      </c>
      <c r="AK115" s="64" t="n">
        <v>0.239941718368114</v>
      </c>
      <c r="AL115" s="64" t="n">
        <v>0.0264147396127092</v>
      </c>
      <c r="AM115" s="119" t="n">
        <v>0.293194209437864</v>
      </c>
    </row>
    <row customHeight="1" hidden="1" ht="13.2" outlineLevel="1" r="116" s="3">
      <c r="A116" s="117" t="n">
        <v>43457</v>
      </c>
      <c r="B116" s="289" t="inlineStr">
        <is>
          <t>安卓</t>
        </is>
      </c>
      <c r="C116" s="268" t="n">
        <v>16048</v>
      </c>
      <c r="D116" s="268" t="n">
        <v>43874</v>
      </c>
      <c r="E116" s="269" t="n">
        <v>2.73392323030907</v>
      </c>
      <c r="F116" s="270" t="n">
        <v>0.704178875233624</v>
      </c>
      <c r="G116" s="292" t="n">
        <v>12.1</v>
      </c>
      <c r="H116" s="292" t="n">
        <v>23.13</v>
      </c>
      <c r="I116" s="141" t="n">
        <v>0.292</v>
      </c>
      <c r="J116" s="141" t="n">
        <v>0.136</v>
      </c>
      <c r="K116" s="141" t="n">
        <v>0.074</v>
      </c>
      <c r="L116" s="270" t="n">
        <v>9.61280029174454</v>
      </c>
      <c r="M116" s="272" t="n">
        <v>11.3133974563523</v>
      </c>
      <c r="N116" s="270" t="n">
        <v>18.0410714934758</v>
      </c>
      <c r="O116" s="273">
        <f>M116/N116</f>
        <v/>
      </c>
      <c r="P116" s="270" t="n">
        <v>2.3491440409988</v>
      </c>
      <c r="Q116" s="270" t="n">
        <v>3.14731217969687</v>
      </c>
      <c r="R116" s="270" t="n">
        <v>1.28670083233381</v>
      </c>
      <c r="S116" s="270" t="n">
        <v>6.459092065569</v>
      </c>
      <c r="T116" s="270" t="n">
        <v>1.31592338167412</v>
      </c>
      <c r="U116" s="270" t="n">
        <v>0.487478646458038</v>
      </c>
      <c r="V116" s="270" t="n">
        <v>2.02871369897866</v>
      </c>
      <c r="W116" s="270" t="n">
        <v>0.9667066477665101</v>
      </c>
      <c r="X116" s="270" t="n">
        <v>0.12772940693805</v>
      </c>
      <c r="Y116" s="269" t="n">
        <v>11.4411268632903</v>
      </c>
      <c r="Z116" s="275" t="n">
        <v>594</v>
      </c>
      <c r="AA116" s="275" t="n">
        <v>418</v>
      </c>
      <c r="AB116" s="270" t="n">
        <v>4291.06</v>
      </c>
      <c r="AC116" s="290" t="n"/>
      <c r="AD116" s="276">
        <f>Z116/D116</f>
        <v/>
      </c>
      <c r="AE116" s="142">
        <f>AA116/D116</f>
        <v/>
      </c>
      <c r="AF116" s="270">
        <f>AB116/Z116</f>
        <v/>
      </c>
      <c r="AG116" s="277">
        <f>AD116*AF116</f>
        <v/>
      </c>
      <c r="AH116" s="118" t="n">
        <v>0.49059072781655</v>
      </c>
      <c r="AI116" s="118" t="n">
        <v>0.321722333000997</v>
      </c>
      <c r="AJ116" s="270" t="n">
        <v>0.558212152983544</v>
      </c>
      <c r="AK116" s="64" t="n">
        <v>0.235150658704472</v>
      </c>
      <c r="AL116" s="64" t="n">
        <v>0.025960705657109</v>
      </c>
      <c r="AM116" s="119" t="n">
        <v>0.306491316041391</v>
      </c>
    </row>
    <row customHeight="1" hidden="1" ht="13.2" outlineLevel="1" r="117" s="3">
      <c r="A117" s="117" t="n">
        <v>43458</v>
      </c>
      <c r="B117" s="289" t="inlineStr">
        <is>
          <t>安卓</t>
        </is>
      </c>
      <c r="C117" s="268" t="n">
        <v>16781</v>
      </c>
      <c r="D117" s="268" t="n">
        <v>45818</v>
      </c>
      <c r="E117" s="269" t="n">
        <v>2.73034980036947</v>
      </c>
      <c r="F117" s="270" t="n">
        <v>0.686719217272687</v>
      </c>
      <c r="G117" s="292" t="n">
        <v>12.08</v>
      </c>
      <c r="H117" s="292" t="n">
        <v>23.71</v>
      </c>
      <c r="I117" s="141" t="n">
        <v>0.287</v>
      </c>
      <c r="J117" s="141" t="n">
        <v>0.137</v>
      </c>
      <c r="K117" s="141" t="n">
        <v>0.074</v>
      </c>
      <c r="L117" s="270" t="n">
        <v>9.616591732506871</v>
      </c>
      <c r="M117" s="272" t="n">
        <v>11.0422323104457</v>
      </c>
      <c r="N117" s="270" t="n">
        <v>17.6751327557295</v>
      </c>
      <c r="O117" s="273">
        <f>M117/N117</f>
        <v/>
      </c>
      <c r="P117" s="270" t="n">
        <v>2.29754751257686</v>
      </c>
      <c r="Q117" s="270" t="n">
        <v>3.15259921743991</v>
      </c>
      <c r="R117" s="270" t="n">
        <v>1.27200950251537</v>
      </c>
      <c r="S117" s="270" t="n">
        <v>6.19836500838457</v>
      </c>
      <c r="T117" s="270" t="n">
        <v>1.29237702627166</v>
      </c>
      <c r="U117" s="270" t="n">
        <v>0.484418669647848</v>
      </c>
      <c r="V117" s="270" t="n">
        <v>2.00918809390721</v>
      </c>
      <c r="W117" s="270" t="n">
        <v>0.968627724986026</v>
      </c>
      <c r="X117" s="270" t="n">
        <v>0.108232572351478</v>
      </c>
      <c r="Y117" s="269" t="n">
        <v>11.1504648827972</v>
      </c>
      <c r="Z117" s="275" t="n">
        <v>593</v>
      </c>
      <c r="AA117" s="275" t="n">
        <v>406</v>
      </c>
      <c r="AB117" s="270" t="n">
        <v>4420.07</v>
      </c>
      <c r="AC117" s="290" t="n"/>
      <c r="AD117" s="276">
        <f>Z117/D117</f>
        <v/>
      </c>
      <c r="AE117" s="142">
        <f>AA117/D117</f>
        <v/>
      </c>
      <c r="AF117" s="270">
        <f>AB117/Z117</f>
        <v/>
      </c>
      <c r="AG117" s="277">
        <f>AD117*AF117</f>
        <v/>
      </c>
      <c r="AH117" s="118" t="n">
        <v>0.478457779631726</v>
      </c>
      <c r="AI117" s="118" t="n">
        <v>0.315118288540611</v>
      </c>
      <c r="AJ117" s="270" t="n">
        <v>0.575123313981405</v>
      </c>
      <c r="AK117" s="64" t="n">
        <v>0.232288620192937</v>
      </c>
      <c r="AL117" s="64" t="n">
        <v>0.0256012920686193</v>
      </c>
      <c r="AM117" s="119" t="n">
        <v>0.29643371600681</v>
      </c>
    </row>
    <row customHeight="1" hidden="1" ht="13.2" outlineLevel="1" r="118" s="3">
      <c r="A118" s="117" t="n">
        <v>43459</v>
      </c>
      <c r="B118" s="289" t="inlineStr">
        <is>
          <t>安卓</t>
        </is>
      </c>
      <c r="C118" s="268" t="n">
        <v>19657</v>
      </c>
      <c r="D118" s="268" t="n">
        <v>48110</v>
      </c>
      <c r="E118" s="269" t="n">
        <v>2.44747418222516</v>
      </c>
      <c r="F118" s="270" t="n">
        <v>0.212565134067761</v>
      </c>
      <c r="G118" s="292" t="n">
        <v>11.69</v>
      </c>
      <c r="H118" s="292" t="n">
        <v>23.81</v>
      </c>
      <c r="I118" s="141" t="n">
        <v>0.273</v>
      </c>
      <c r="J118" s="141" t="n">
        <v>0.133</v>
      </c>
      <c r="K118" s="141" t="n">
        <v>0.065</v>
      </c>
      <c r="L118" s="270" t="n">
        <v>8.41082934940761</v>
      </c>
      <c r="M118" s="272" t="n">
        <v>9.42685512367491</v>
      </c>
      <c r="N118" s="270" t="n">
        <v>15.917661097852</v>
      </c>
      <c r="O118" s="273">
        <f>M118/N118</f>
        <v/>
      </c>
      <c r="P118" s="270" t="n">
        <v>2.17468061210164</v>
      </c>
      <c r="Q118" s="270" t="n">
        <v>2.84585146707848</v>
      </c>
      <c r="R118" s="270" t="n">
        <v>1.08956900182507</v>
      </c>
      <c r="S118" s="270" t="n">
        <v>5.45521549908746</v>
      </c>
      <c r="T118" s="270" t="n">
        <v>1.19517759371052</v>
      </c>
      <c r="U118" s="270" t="n">
        <v>0.480450652814825</v>
      </c>
      <c r="V118" s="270" t="n">
        <v>1.79373157377509</v>
      </c>
      <c r="W118" s="270" t="n">
        <v>0.882984697458936</v>
      </c>
      <c r="X118" s="270" t="n">
        <v>0.0996258574101019</v>
      </c>
      <c r="Y118" s="269" t="n">
        <v>9.52648098108501</v>
      </c>
      <c r="Z118" s="275" t="n">
        <v>594</v>
      </c>
      <c r="AA118" s="275" t="n">
        <v>379</v>
      </c>
      <c r="AB118" s="270" t="n">
        <v>4427.06</v>
      </c>
      <c r="AC118" s="290" t="n"/>
      <c r="AD118" s="276">
        <f>Z118/D118</f>
        <v/>
      </c>
      <c r="AE118" s="142">
        <f>AA118/D118</f>
        <v/>
      </c>
      <c r="AF118" s="270">
        <f>AB118/Z118</f>
        <v/>
      </c>
      <c r="AG118" s="277">
        <f>AD118*AF118</f>
        <v/>
      </c>
      <c r="AH118" s="118" t="n">
        <v>0.436994454901562</v>
      </c>
      <c r="AI118" s="118" t="n">
        <v>0.284834918858422</v>
      </c>
      <c r="AJ118" s="270" t="n">
        <v>0.500748285179796</v>
      </c>
      <c r="AK118" s="64" t="n">
        <v>0.206983995011432</v>
      </c>
      <c r="AL118" s="64" t="n">
        <v>0.0836832259405529</v>
      </c>
      <c r="AM118" s="119" t="n">
        <v>0.265537310330493</v>
      </c>
    </row>
    <row customFormat="1" customHeight="1" hidden="1" ht="12.45" outlineLevel="1" r="119" s="294">
      <c r="A119" s="121" t="n">
        <v>43460</v>
      </c>
      <c r="B119" s="289" t="inlineStr">
        <is>
          <t>安卓</t>
        </is>
      </c>
      <c r="C119" s="296" t="n">
        <v>23616</v>
      </c>
      <c r="D119" s="296" t="n">
        <v>53309</v>
      </c>
      <c r="E119" s="297" t="n">
        <v>2.25732554200542</v>
      </c>
      <c r="F119" s="294" t="n">
        <v>0.191834560768351</v>
      </c>
      <c r="G119" s="298" t="n">
        <v>12.17</v>
      </c>
      <c r="H119" s="298" t="n">
        <v>24.47</v>
      </c>
      <c r="I119" s="123" t="n">
        <v>0.268</v>
      </c>
      <c r="J119" s="123" t="n">
        <v>0.129</v>
      </c>
      <c r="K119" s="123" t="n">
        <v>0.06900000000000001</v>
      </c>
      <c r="L119" s="294" t="n">
        <v>8.939391097188089</v>
      </c>
      <c r="M119" s="299" t="n">
        <v>9.85799771145585</v>
      </c>
      <c r="N119" s="294" t="n">
        <v>16.8955761316872</v>
      </c>
      <c r="O119" s="300">
        <f>M119/N119</f>
        <v/>
      </c>
      <c r="P119" s="294" t="n">
        <v>2.25546553497942</v>
      </c>
      <c r="Q119" s="294" t="n">
        <v>2.90444958847737</v>
      </c>
      <c r="R119" s="294" t="n">
        <v>1.15493184156379</v>
      </c>
      <c r="S119" s="294" t="n">
        <v>5.97903806584362</v>
      </c>
      <c r="T119" s="294" t="n">
        <v>1.23852237654321</v>
      </c>
      <c r="U119" s="294" t="n">
        <v>0.536811985596708</v>
      </c>
      <c r="V119" s="294" t="n">
        <v>1.90367798353909</v>
      </c>
      <c r="W119" s="294" t="n">
        <v>0.922678755144033</v>
      </c>
      <c r="X119" s="294" t="n">
        <v>0.119060571385695</v>
      </c>
      <c r="Y119" s="297" t="n">
        <v>9.977058282841551</v>
      </c>
      <c r="Z119" s="293" t="n">
        <v>610</v>
      </c>
      <c r="AA119" s="293" t="n">
        <v>404</v>
      </c>
      <c r="AB119" s="294" t="n">
        <v>4528.9</v>
      </c>
      <c r="AC119" s="302" t="n"/>
      <c r="AD119" s="303">
        <f>Z119/D119</f>
        <v/>
      </c>
      <c r="AE119" s="124">
        <f>AA119/D119</f>
        <v/>
      </c>
      <c r="AF119" s="294">
        <f>AB119/Z119</f>
        <v/>
      </c>
      <c r="AG119" s="304">
        <f>AD119*AF119</f>
        <v/>
      </c>
      <c r="AH119" s="125" t="n">
        <v>0.427591463414634</v>
      </c>
      <c r="AI119" s="125" t="n">
        <v>0.287855691056911</v>
      </c>
      <c r="AJ119" s="294" t="n">
        <v>0.57570016319946</v>
      </c>
      <c r="AK119" s="126" t="n">
        <v>0.217036522913579</v>
      </c>
      <c r="AL119" s="126" t="n">
        <v>0.0952559605319927</v>
      </c>
      <c r="AM119" s="127" t="n">
        <v>0.21107130128121</v>
      </c>
      <c r="AN119" s="303" t="n"/>
    </row>
    <row customHeight="1" hidden="1" ht="13.2" outlineLevel="1" r="120" s="3">
      <c r="A120" s="117" t="n">
        <v>43461</v>
      </c>
      <c r="B120" s="267" t="inlineStr">
        <is>
          <t>安卓</t>
        </is>
      </c>
      <c r="C120" s="268" t="n">
        <v>22227</v>
      </c>
      <c r="D120" s="268" t="n">
        <v>53562</v>
      </c>
      <c r="E120" s="269" t="n">
        <v>2.40977189904171</v>
      </c>
      <c r="F120" s="270" t="n">
        <v>0.190928430603786</v>
      </c>
      <c r="G120" s="292" t="n">
        <v>12.84</v>
      </c>
      <c r="H120" s="292" t="n">
        <v>25.12</v>
      </c>
      <c r="I120" s="141" t="n">
        <v>0.27</v>
      </c>
      <c r="J120" s="141" t="n">
        <v>0.127</v>
      </c>
      <c r="K120" s="141" t="n">
        <v>0.06900000000000001</v>
      </c>
      <c r="L120" s="270" t="n">
        <v>9.093125723460661</v>
      </c>
      <c r="M120" s="272" t="n">
        <v>10.0183525633845</v>
      </c>
      <c r="N120" s="270" t="n">
        <v>16.8224653583297</v>
      </c>
      <c r="O120" s="273">
        <f>M120/N120</f>
        <v/>
      </c>
      <c r="P120" s="270" t="n">
        <v>2.15449244466738</v>
      </c>
      <c r="Q120" s="270" t="n">
        <v>2.83654147595461</v>
      </c>
      <c r="R120" s="270" t="n">
        <v>1.15016615461784</v>
      </c>
      <c r="S120" s="270" t="n">
        <v>6.14806570944887</v>
      </c>
      <c r="T120" s="270" t="n">
        <v>1.17530879678977</v>
      </c>
      <c r="U120" s="270" t="n">
        <v>0.556085021004452</v>
      </c>
      <c r="V120" s="270" t="n">
        <v>1.88594896231739</v>
      </c>
      <c r="W120" s="270" t="n">
        <v>0.915856793529375</v>
      </c>
      <c r="X120" s="270" t="n">
        <v>0.116481834136141</v>
      </c>
      <c r="Y120" s="269" t="n">
        <v>10.1348343975206</v>
      </c>
      <c r="Z120" s="275" t="n">
        <v>651</v>
      </c>
      <c r="AA120" s="275" t="n">
        <v>448</v>
      </c>
      <c r="AB120" s="270" t="n">
        <v>4183.49</v>
      </c>
      <c r="AC120" s="290" t="n"/>
      <c r="AD120" s="276">
        <f>Z120/D120</f>
        <v/>
      </c>
      <c r="AE120" s="142">
        <f>AA120/D120</f>
        <v/>
      </c>
      <c r="AF120" s="270">
        <f>AB120/Z120</f>
        <v/>
      </c>
      <c r="AG120" s="277">
        <f>AD120*AF120</f>
        <v/>
      </c>
      <c r="AH120" s="118" t="n">
        <v>0.427992981508976</v>
      </c>
      <c r="AI120" s="118" t="n">
        <v>0.299050704098619</v>
      </c>
      <c r="AJ120" s="270" t="n">
        <v>0.69286061013405</v>
      </c>
      <c r="AK120" s="64" t="n">
        <v>0.250084014786602</v>
      </c>
      <c r="AL120" s="64" t="n">
        <v>0.116089765131997</v>
      </c>
      <c r="AM120" s="119" t="n">
        <v>0</v>
      </c>
    </row>
    <row customHeight="1" hidden="1" ht="13.2" outlineLevel="1" r="121" s="3">
      <c r="A121" s="117" t="n">
        <v>43462</v>
      </c>
      <c r="B121" s="267" t="inlineStr">
        <is>
          <t>安卓</t>
        </is>
      </c>
      <c r="C121" s="268" t="n">
        <v>19903</v>
      </c>
      <c r="D121" s="268" t="n">
        <v>52024</v>
      </c>
      <c r="E121" s="269" t="n">
        <v>2.61387730492891</v>
      </c>
      <c r="F121" s="270" t="n">
        <v>0.196572900968784</v>
      </c>
      <c r="G121" s="292" t="n">
        <v>13.39</v>
      </c>
      <c r="H121" s="292" t="n">
        <v>26.31</v>
      </c>
      <c r="I121" s="141" t="n">
        <v>0.279</v>
      </c>
      <c r="J121" s="141" t="n">
        <v>0.138</v>
      </c>
      <c r="K121" s="141" t="n">
        <v>0.07099999999999999</v>
      </c>
      <c r="L121" s="270" t="n">
        <v>9.554705520528991</v>
      </c>
      <c r="M121" s="272" t="n">
        <v>10.4402006766108</v>
      </c>
      <c r="N121" s="270" t="n">
        <v>16.9435051160469</v>
      </c>
      <c r="O121" s="273">
        <f>M121/N121</f>
        <v/>
      </c>
      <c r="P121" s="270" t="n">
        <v>2.18105814824058</v>
      </c>
      <c r="Q121" s="270" t="n">
        <v>2.94465934614425</v>
      </c>
      <c r="R121" s="270" t="n">
        <v>1.11529822810082</v>
      </c>
      <c r="S121" s="270" t="n">
        <v>6.14265660094834</v>
      </c>
      <c r="T121" s="270" t="n">
        <v>1.18838906912902</v>
      </c>
      <c r="U121" s="270" t="n">
        <v>0.556838033441477</v>
      </c>
      <c r="V121" s="270" t="n">
        <v>1.87425131020714</v>
      </c>
      <c r="W121" s="270" t="n">
        <v>0.940354379835288</v>
      </c>
      <c r="X121" s="270" t="n">
        <v>0.116138705212979</v>
      </c>
      <c r="Y121" s="269" t="n">
        <v>10.5563393818238</v>
      </c>
      <c r="Z121" s="275" t="n">
        <v>719</v>
      </c>
      <c r="AA121" s="275" t="n">
        <v>464</v>
      </c>
      <c r="AB121" s="270" t="n">
        <v>4538.81</v>
      </c>
      <c r="AC121" s="290" t="n"/>
      <c r="AD121" s="276">
        <f>Z121/D121</f>
        <v/>
      </c>
      <c r="AE121" s="142">
        <f>AA121/D121</f>
        <v/>
      </c>
      <c r="AF121" s="270">
        <f>AB121/Z121</f>
        <v/>
      </c>
      <c r="AG121" s="277">
        <f>AD121*AF121</f>
        <v/>
      </c>
      <c r="AH121" s="118" t="n">
        <v>0.459478470582324</v>
      </c>
      <c r="AI121" s="118" t="n">
        <v>0.321911269657841</v>
      </c>
      <c r="AJ121" s="270" t="n">
        <v>0.692641857604183</v>
      </c>
      <c r="AK121" s="64" t="n">
        <v>0.270855758880517</v>
      </c>
      <c r="AL121" s="64" t="n">
        <v>0.113370751960634</v>
      </c>
      <c r="AM121" s="119" t="n">
        <v>0</v>
      </c>
    </row>
    <row customHeight="1" hidden="1" ht="13.2" outlineLevel="1" r="122" s="3">
      <c r="A122" s="117" t="n">
        <v>43463</v>
      </c>
      <c r="B122" s="305" t="inlineStr">
        <is>
          <t>安卓</t>
        </is>
      </c>
      <c r="C122" s="268" t="n">
        <v>22424</v>
      </c>
      <c r="D122" s="268" t="n">
        <v>54420</v>
      </c>
      <c r="E122" s="269" t="n">
        <v>2.42686407420621</v>
      </c>
      <c r="F122" s="270" t="n">
        <v>0.187918202866593</v>
      </c>
      <c r="G122" s="292" t="n">
        <v>12.85</v>
      </c>
      <c r="H122" s="292" t="n">
        <v>25.53</v>
      </c>
      <c r="I122" s="141" t="n">
        <v>0.282</v>
      </c>
      <c r="J122" s="141" t="n">
        <v>0.125</v>
      </c>
      <c r="K122" s="141" t="n">
        <v>0.07000000000000001</v>
      </c>
      <c r="L122" s="270" t="n">
        <v>9.2949467107681</v>
      </c>
      <c r="M122" s="272" t="n">
        <v>10.1157111356119</v>
      </c>
      <c r="N122" s="270" t="n">
        <v>16.6348472486629</v>
      </c>
      <c r="O122" s="273">
        <f>M122/N122</f>
        <v/>
      </c>
      <c r="P122" s="270" t="n">
        <v>2.18635360952467</v>
      </c>
      <c r="Q122" s="270" t="n">
        <v>2.85712990662678</v>
      </c>
      <c r="R122" s="270" t="n">
        <v>1.07472879460913</v>
      </c>
      <c r="S122" s="270" t="n">
        <v>6.03239355754993</v>
      </c>
      <c r="T122" s="270" t="n">
        <v>1.16725591514822</v>
      </c>
      <c r="U122" s="270" t="n">
        <v>0.554044662013115</v>
      </c>
      <c r="V122" s="270" t="n">
        <v>1.84591907654187</v>
      </c>
      <c r="W122" s="270" t="n">
        <v>0.9170217266491399</v>
      </c>
      <c r="X122" s="270" t="n">
        <v>0.105861815509004</v>
      </c>
      <c r="Y122" s="269" t="n">
        <v>10.2215729511209</v>
      </c>
      <c r="Z122" s="275" t="n">
        <v>749</v>
      </c>
      <c r="AA122" s="275" t="n">
        <v>492</v>
      </c>
      <c r="AB122" s="270" t="n">
        <v>5144.51</v>
      </c>
      <c r="AC122" s="290" t="n"/>
      <c r="AD122" s="276">
        <f>Z122/D122</f>
        <v/>
      </c>
      <c r="AE122" s="142">
        <f>AA122/D122</f>
        <v/>
      </c>
      <c r="AF122" s="270">
        <f>AB122/Z122</f>
        <v/>
      </c>
      <c r="AG122" s="277">
        <f>AD122*AF122</f>
        <v/>
      </c>
      <c r="AH122" s="118" t="n">
        <v>0.455672493756689</v>
      </c>
      <c r="AI122" s="118" t="n">
        <v>0.305030324652158</v>
      </c>
      <c r="AJ122" s="270" t="n">
        <v>0.666188901139287</v>
      </c>
      <c r="AK122" s="64" t="n">
        <v>0.262862918044836</v>
      </c>
      <c r="AL122" s="64" t="n">
        <v>0.112091142962146</v>
      </c>
      <c r="AM122" s="119" t="n">
        <v>0</v>
      </c>
    </row>
    <row customHeight="1" hidden="1" ht="13.2" outlineLevel="1" r="123" s="3">
      <c r="A123" s="117" t="n">
        <v>43464</v>
      </c>
      <c r="B123" s="289" t="inlineStr">
        <is>
          <t>安卓</t>
        </is>
      </c>
      <c r="C123" s="268" t="n">
        <v>27558</v>
      </c>
      <c r="D123" s="268" t="n">
        <v>61135</v>
      </c>
      <c r="E123" s="269" t="n">
        <v>2.21841207634807</v>
      </c>
      <c r="F123" s="270" t="n">
        <v>0.167277477713257</v>
      </c>
      <c r="G123" s="292" t="n">
        <v>12.23</v>
      </c>
      <c r="H123" s="292" t="n">
        <v>24.92</v>
      </c>
      <c r="I123" s="141" t="n">
        <v>0.28</v>
      </c>
      <c r="J123" s="141" t="n">
        <v>0.136</v>
      </c>
      <c r="K123" s="141" t="n">
        <v>0.075</v>
      </c>
      <c r="L123" s="270" t="n">
        <v>10.1889588615359</v>
      </c>
      <c r="M123" s="272" t="n">
        <v>11.6343502085548</v>
      </c>
      <c r="N123" s="270" t="n">
        <v>19.3604986662312</v>
      </c>
      <c r="O123" s="273">
        <f>M123/N123</f>
        <v/>
      </c>
      <c r="P123" s="270" t="n">
        <v>2.55351407262235</v>
      </c>
      <c r="Q123" s="270" t="n">
        <v>3.43265828297675</v>
      </c>
      <c r="R123" s="270" t="n">
        <v>1.15659535086287</v>
      </c>
      <c r="S123" s="270" t="n">
        <v>7.06949207904622</v>
      </c>
      <c r="T123" s="270" t="n">
        <v>1.37644945288257</v>
      </c>
      <c r="U123" s="270" t="n">
        <v>0.519353258206761</v>
      </c>
      <c r="V123" s="270" t="n">
        <v>2.21944580543307</v>
      </c>
      <c r="W123" s="270" t="n">
        <v>1.03296314442811</v>
      </c>
      <c r="X123" s="270" t="n">
        <v>0.161298765028216</v>
      </c>
      <c r="Y123" s="269" t="n">
        <v>11.7956489735831</v>
      </c>
      <c r="Z123" s="275" t="n">
        <v>906</v>
      </c>
      <c r="AA123" s="275" t="n">
        <v>585</v>
      </c>
      <c r="AB123" s="270" t="n">
        <v>6549.94</v>
      </c>
      <c r="AC123" s="290" t="n"/>
      <c r="AD123" s="276">
        <f>Z123/D123</f>
        <v/>
      </c>
      <c r="AE123" s="142">
        <f>AA123/D123</f>
        <v/>
      </c>
      <c r="AF123" s="270">
        <f>AB123/Z123</f>
        <v/>
      </c>
      <c r="AG123" s="277">
        <f>AD123*AF123</f>
        <v/>
      </c>
      <c r="AH123" s="118" t="n">
        <v>0.452536468539081</v>
      </c>
      <c r="AI123" s="118" t="n">
        <v>0.301545830611801</v>
      </c>
      <c r="AJ123" s="270" t="n">
        <v>0.554183364684714</v>
      </c>
      <c r="AK123" s="64" t="n">
        <v>0.222278563834138</v>
      </c>
      <c r="AL123" s="64" t="n">
        <v>0.079316267277337</v>
      </c>
      <c r="AM123" s="119" t="n">
        <v>0.287331315940133</v>
      </c>
    </row>
    <row customHeight="1" hidden="1" ht="13.2" outlineLevel="1" r="124" s="3">
      <c r="A124" s="117" t="n">
        <v>43465</v>
      </c>
      <c r="B124" s="289" t="inlineStr">
        <is>
          <t>安卓</t>
        </is>
      </c>
      <c r="C124" s="268" t="n">
        <v>32808</v>
      </c>
      <c r="D124" s="268" t="n">
        <v>69398</v>
      </c>
      <c r="E124" s="269" t="n">
        <v>2.11527676176542</v>
      </c>
      <c r="F124" s="270" t="n">
        <v>0.701227857978616</v>
      </c>
      <c r="G124" s="292" t="n">
        <v>12.68</v>
      </c>
      <c r="H124" s="292" t="n">
        <v>25.58</v>
      </c>
      <c r="I124" s="141" t="n">
        <v>0.264</v>
      </c>
      <c r="J124" s="141" t="n">
        <v>0.135</v>
      </c>
      <c r="K124" s="141" t="n">
        <v>0.074</v>
      </c>
      <c r="L124" s="270" t="n">
        <v>9.7953111040664</v>
      </c>
      <c r="M124" s="272" t="n">
        <v>11.0081270353612</v>
      </c>
      <c r="N124" s="270" t="n">
        <v>18.5382319396248</v>
      </c>
      <c r="O124" s="273">
        <f>M124/N124</f>
        <v/>
      </c>
      <c r="P124" s="270" t="n">
        <v>2.42985755538839</v>
      </c>
      <c r="Q124" s="270" t="n">
        <v>3.42563517678177</v>
      </c>
      <c r="R124" s="270" t="n">
        <v>1.13407265403189</v>
      </c>
      <c r="S124" s="270" t="n">
        <v>6.57346696110073</v>
      </c>
      <c r="T124" s="270" t="n">
        <v>1.32798660486787</v>
      </c>
      <c r="U124" s="270" t="n">
        <v>0.528088524351477</v>
      </c>
      <c r="V124" s="270" t="n">
        <v>2.10488000194132</v>
      </c>
      <c r="W124" s="270" t="n">
        <v>1.0142444611614</v>
      </c>
      <c r="X124" s="270" t="n">
        <v>0.17447188679789</v>
      </c>
      <c r="Y124" s="269" t="n">
        <v>11.1825989221591</v>
      </c>
      <c r="Z124" s="275" t="n">
        <v>889</v>
      </c>
      <c r="AA124" s="275" t="n">
        <v>583</v>
      </c>
      <c r="AB124" s="270" t="n">
        <v>6246.11</v>
      </c>
      <c r="AC124" s="290" t="n"/>
      <c r="AD124" s="276" t="n">
        <v>0.0128101674399839</v>
      </c>
      <c r="AE124" s="142" t="n">
        <v>0.00840081846739099</v>
      </c>
      <c r="AF124" s="270" t="n">
        <v>7.02599550056243</v>
      </c>
      <c r="AG124" s="277" t="n">
        <v>0.0900041787947779</v>
      </c>
      <c r="AH124" s="118" t="n">
        <v>0.443580833942941</v>
      </c>
      <c r="AI124" s="118" t="n">
        <v>0.295781516703243</v>
      </c>
      <c r="AJ124" s="270" t="n">
        <v>0.526629009481541</v>
      </c>
      <c r="AK124" s="64" t="n">
        <v>0.205438197066198</v>
      </c>
      <c r="AL124" s="64" t="n">
        <v>0.07573705294100699</v>
      </c>
      <c r="AM124" s="119" t="n">
        <v>0.279546961007522</v>
      </c>
    </row>
    <row collapsed="1" customHeight="1" ht="13.2" r="125" s="3">
      <c r="A125" s="117" t="n">
        <v>43466</v>
      </c>
      <c r="B125" s="289" t="inlineStr">
        <is>
          <t>安卓</t>
        </is>
      </c>
      <c r="C125" s="268" t="n">
        <v>36923</v>
      </c>
      <c r="D125" s="268" t="n">
        <v>73799</v>
      </c>
      <c r="E125" s="269" t="n">
        <v>1.99872708068142</v>
      </c>
      <c r="F125" s="270" t="n">
        <v>0.188323893277687</v>
      </c>
      <c r="G125" s="292" t="n">
        <v>12.9</v>
      </c>
      <c r="H125" s="292" t="n">
        <v>27.98</v>
      </c>
      <c r="I125" s="141" t="n">
        <v>0.272</v>
      </c>
      <c r="J125" s="141" t="n">
        <v>0.127</v>
      </c>
      <c r="K125" s="141" t="n">
        <v>0.064</v>
      </c>
      <c r="L125" s="270" t="n">
        <v>8.5401157197252</v>
      </c>
      <c r="M125" s="272" t="n">
        <v>8.88394151682272</v>
      </c>
      <c r="N125" s="270" t="n">
        <v>15.9667332326725</v>
      </c>
      <c r="O125" s="273">
        <f>M125/N125</f>
        <v/>
      </c>
      <c r="P125" s="270" t="n">
        <v>2.27787248550972</v>
      </c>
      <c r="Q125" s="270" t="n">
        <v>3.03139155423506</v>
      </c>
      <c r="R125" s="270" t="n">
        <v>0.897131167502801</v>
      </c>
      <c r="S125" s="270" t="n">
        <v>5.35212605328528</v>
      </c>
      <c r="T125" s="270" t="n">
        <v>1.19399931810433</v>
      </c>
      <c r="U125" s="270" t="n">
        <v>0.508304515123472</v>
      </c>
      <c r="V125" s="270" t="n">
        <v>1.80186060104233</v>
      </c>
      <c r="W125" s="270" t="n">
        <v>0.904047537869563</v>
      </c>
      <c r="X125" s="270" t="n">
        <v>0.119093754657922</v>
      </c>
      <c r="Y125" s="269" t="n">
        <v>9.003035271480639</v>
      </c>
      <c r="Z125" s="275" t="n">
        <v>750</v>
      </c>
      <c r="AA125" s="275" t="n">
        <v>472</v>
      </c>
      <c r="AB125" s="270" t="n">
        <v>6016.5</v>
      </c>
      <c r="AC125" s="290" t="n"/>
      <c r="AD125" s="276" t="n">
        <v>0.0101627393325113</v>
      </c>
      <c r="AE125" s="142" t="n">
        <v>0.0063957506199271</v>
      </c>
      <c r="AF125" s="270" t="n">
        <v>8.022</v>
      </c>
      <c r="AG125" s="277" t="n">
        <v>0.08152549492540551</v>
      </c>
      <c r="AH125" s="118" t="n">
        <v>0.406575847033015</v>
      </c>
      <c r="AI125" s="118" t="n">
        <v>0.259919291498524</v>
      </c>
      <c r="AJ125" s="270" t="n">
        <v>0.437539804062386</v>
      </c>
      <c r="AK125" s="64" t="n">
        <v>0.179189419910839</v>
      </c>
      <c r="AL125" s="64" t="n">
        <v>0.0166533421862085</v>
      </c>
      <c r="AM125" s="119" t="n">
        <v>0.238634669846475</v>
      </c>
    </row>
    <row customFormat="1" customHeight="1" hidden="1" ht="12.45" outlineLevel="1" r="126" s="294">
      <c r="A126" s="121" t="n">
        <v>43467</v>
      </c>
      <c r="B126" s="289" t="inlineStr">
        <is>
          <t>安卓</t>
        </is>
      </c>
      <c r="C126" s="296" t="n">
        <v>44210</v>
      </c>
      <c r="D126" s="296" t="n">
        <v>87453</v>
      </c>
      <c r="E126" s="297" t="n">
        <v>1.97812712056096</v>
      </c>
      <c r="F126" s="294" t="n">
        <v>0.183638832287057</v>
      </c>
      <c r="G126" s="298" t="n">
        <v>13.18</v>
      </c>
      <c r="H126" s="298" t="n">
        <v>29.57</v>
      </c>
      <c r="I126" s="123" t="n">
        <v>0.279</v>
      </c>
      <c r="J126" s="123" t="n">
        <v>0.138</v>
      </c>
      <c r="K126" s="123" t="n">
        <v>0.06900000000000001</v>
      </c>
      <c r="L126" s="294" t="n">
        <v>9.422546968085721</v>
      </c>
      <c r="M126" s="299" t="n">
        <v>10.2881662149955</v>
      </c>
      <c r="N126" s="294" t="n">
        <v>17.6833922955975</v>
      </c>
      <c r="O126" s="300">
        <f>M126/N126</f>
        <v/>
      </c>
      <c r="P126" s="294" t="n">
        <v>2.35658411949686</v>
      </c>
      <c r="Q126" s="294" t="n">
        <v>3.20033411949686</v>
      </c>
      <c r="R126" s="294" t="n">
        <v>1.02069575471698</v>
      </c>
      <c r="S126" s="294" t="n">
        <v>6.26477987421384</v>
      </c>
      <c r="T126" s="294" t="n">
        <v>1.27061713836478</v>
      </c>
      <c r="U126" s="294" t="n">
        <v>0.5801886792452829</v>
      </c>
      <c r="V126" s="294" t="n">
        <v>2.00440251572327</v>
      </c>
      <c r="W126" s="294" t="n">
        <v>0.9857900943396229</v>
      </c>
      <c r="X126" s="294" t="n">
        <v>0.136747738785405</v>
      </c>
      <c r="Y126" s="297" t="n">
        <v>10.4249139537809</v>
      </c>
      <c r="Z126" s="293" t="n">
        <v>1072</v>
      </c>
      <c r="AA126" s="293" t="n">
        <v>681</v>
      </c>
      <c r="AB126" s="294" t="n">
        <v>6952.28</v>
      </c>
      <c r="AC126" s="302" t="n"/>
      <c r="AD126" s="303" t="n">
        <v>0.0122580128754874</v>
      </c>
      <c r="AE126" s="124" t="n">
        <v>0.00778703989571541</v>
      </c>
      <c r="AF126" s="294" t="n">
        <v>6.48533582089552</v>
      </c>
      <c r="AG126" s="304" t="n">
        <v>0.079497329994397</v>
      </c>
      <c r="AH126" s="125" t="n">
        <v>0.455824474100882</v>
      </c>
      <c r="AI126" s="125" t="n">
        <v>0.309092965392445</v>
      </c>
      <c r="AJ126" s="294" t="n">
        <v>0.541673813362606</v>
      </c>
      <c r="AK126" s="126" t="n">
        <v>0.20063348312808</v>
      </c>
      <c r="AL126" s="126" t="n">
        <v>0.0182726721781986</v>
      </c>
      <c r="AM126" s="127" t="n">
        <v>0.204029593038546</v>
      </c>
      <c r="AN126" s="303" t="n"/>
    </row>
    <row customHeight="1" hidden="1" ht="13.2" outlineLevel="1" r="127" s="3">
      <c r="A127" s="117" t="n">
        <v>43468</v>
      </c>
      <c r="B127" s="267" t="inlineStr">
        <is>
          <t>安卓</t>
        </is>
      </c>
      <c r="C127" s="268" t="n">
        <v>27544</v>
      </c>
      <c r="D127" s="268" t="n">
        <v>74598</v>
      </c>
      <c r="E127" s="269" t="n">
        <v>2.70832123148417</v>
      </c>
      <c r="F127" s="270" t="n">
        <v>0.213648833748894</v>
      </c>
      <c r="G127" s="292" t="n">
        <v>13.11</v>
      </c>
      <c r="H127" s="292" t="n">
        <v>26.62</v>
      </c>
      <c r="I127" s="141" t="n">
        <v>0.322</v>
      </c>
      <c r="J127" s="141" t="n">
        <v>0.159</v>
      </c>
      <c r="K127" s="141" t="n">
        <v>0.08</v>
      </c>
      <c r="L127" s="270" t="n">
        <v>10.5638891123086</v>
      </c>
      <c r="M127" s="272" t="n">
        <v>11.6723906807153</v>
      </c>
      <c r="N127" s="270" t="n">
        <v>17.7509428577253</v>
      </c>
      <c r="O127" s="273">
        <f>M127/N127</f>
        <v/>
      </c>
      <c r="P127" s="270" t="n">
        <v>2.22290175932155</v>
      </c>
      <c r="Q127" s="270" t="n">
        <v>3.18166065276334</v>
      </c>
      <c r="R127" s="270" t="n">
        <v>1.07371618453509</v>
      </c>
      <c r="S127" s="270" t="n">
        <v>6.43662976780217</v>
      </c>
      <c r="T127" s="270" t="n">
        <v>1.22555195400893</v>
      </c>
      <c r="U127" s="270" t="n">
        <v>0.583939820194484</v>
      </c>
      <c r="V127" s="270" t="n">
        <v>2.02617576906611</v>
      </c>
      <c r="W127" s="270" t="n">
        <v>1.00036695003364</v>
      </c>
      <c r="X127" s="270" t="n">
        <v>0.1508217378482</v>
      </c>
      <c r="Y127" s="269" t="n">
        <v>11.8232124185635</v>
      </c>
      <c r="Z127" s="275" t="n">
        <v>1053</v>
      </c>
      <c r="AA127" s="275" t="n">
        <v>704</v>
      </c>
      <c r="AB127" s="270" t="n">
        <v>6899.47</v>
      </c>
      <c r="AC127" s="290" t="n"/>
      <c r="AD127" s="276" t="n">
        <v>0.0141156599372637</v>
      </c>
      <c r="AE127" s="142" t="n">
        <v>0.00943725032842704</v>
      </c>
      <c r="AF127" s="270" t="n">
        <v>6.5522032288699</v>
      </c>
      <c r="AG127" s="277" t="n">
        <v>0.0924886726185689</v>
      </c>
      <c r="AH127" s="118" t="n">
        <v>0.550065349985478</v>
      </c>
      <c r="AI127" s="118" t="n">
        <v>0.426953238454836</v>
      </c>
      <c r="AJ127" s="270" t="n">
        <v>0.731024960454704</v>
      </c>
      <c r="AK127" s="64" t="n">
        <v>0.281817206895627</v>
      </c>
      <c r="AL127" s="64" t="n">
        <v>0.0238746347087053</v>
      </c>
      <c r="AM127" s="119" t="n">
        <v>0</v>
      </c>
    </row>
    <row customHeight="1" hidden="1" ht="13.2" outlineLevel="1" r="128" s="3">
      <c r="A128" s="117" t="n">
        <v>43469</v>
      </c>
      <c r="B128" s="267" t="inlineStr">
        <is>
          <t>安卓</t>
        </is>
      </c>
      <c r="C128" s="268" t="n">
        <v>21387</v>
      </c>
      <c r="D128" s="268" t="n">
        <v>68718</v>
      </c>
      <c r="E128" s="269" t="n">
        <v>3.21307336232291</v>
      </c>
      <c r="F128" s="270" t="n">
        <v>0.240940482842923</v>
      </c>
      <c r="G128" s="292" t="n">
        <v>12.98</v>
      </c>
      <c r="H128" s="292" t="n">
        <v>26.01</v>
      </c>
      <c r="I128" s="141" t="n">
        <v>0.324</v>
      </c>
      <c r="J128" s="141" t="n">
        <v>0.159</v>
      </c>
      <c r="K128" s="141" t="n">
        <v>0.083</v>
      </c>
      <c r="L128" s="270" t="n">
        <v>10.4123664833086</v>
      </c>
      <c r="M128" s="272" t="n">
        <v>11.8276725166623</v>
      </c>
      <c r="N128" s="270" t="n">
        <v>17.3284581272386</v>
      </c>
      <c r="O128" s="273">
        <f>M128/N128</f>
        <v/>
      </c>
      <c r="P128" s="270" t="n">
        <v>2.20456677468873</v>
      </c>
      <c r="Q128" s="270" t="n">
        <v>3.14896384103701</v>
      </c>
      <c r="R128" s="270" t="n">
        <v>1.08423588606515</v>
      </c>
      <c r="S128" s="270" t="n">
        <v>6.16514582977998</v>
      </c>
      <c r="T128" s="270" t="n">
        <v>1.21318011257036</v>
      </c>
      <c r="U128" s="270" t="n">
        <v>0.563470066518847</v>
      </c>
      <c r="V128" s="270" t="n">
        <v>1.96196486440389</v>
      </c>
      <c r="W128" s="270" t="n">
        <v>0.986930752174655</v>
      </c>
      <c r="X128" s="270" t="n">
        <v>0.142015192525976</v>
      </c>
      <c r="Y128" s="269" t="n">
        <v>11.9696877091883</v>
      </c>
      <c r="Z128" s="275" t="n">
        <v>1049</v>
      </c>
      <c r="AA128" s="275" t="n">
        <v>688</v>
      </c>
      <c r="AB128" s="270" t="n">
        <v>7167.51</v>
      </c>
      <c r="AC128" s="290" t="n"/>
      <c r="AD128" s="276" t="n">
        <v>0.0152652871154574</v>
      </c>
      <c r="AE128" s="142" t="n">
        <v>0.0100119328269158</v>
      </c>
      <c r="AF128" s="270" t="n">
        <v>6.83270734032412</v>
      </c>
      <c r="AG128" s="277" t="n">
        <v>0.104303239325941</v>
      </c>
      <c r="AH128" s="118" t="n">
        <v>0.566372095198017</v>
      </c>
      <c r="AI128" s="118" t="n">
        <v>0.444615888156357</v>
      </c>
      <c r="AJ128" s="270" t="n">
        <v>0.736226316249018</v>
      </c>
      <c r="AK128" s="64" t="n">
        <v>0.312014319392299</v>
      </c>
      <c r="AL128" s="64" t="n">
        <v>0.0261066969353008</v>
      </c>
      <c r="AM128" s="119" t="n">
        <v>0</v>
      </c>
    </row>
    <row customHeight="1" hidden="1" ht="13.2" outlineLevel="1" r="129" s="3">
      <c r="A129" s="117" t="n">
        <v>43470</v>
      </c>
      <c r="B129" s="289" t="inlineStr">
        <is>
          <t>安卓</t>
        </is>
      </c>
      <c r="C129" s="268" t="n">
        <v>20979</v>
      </c>
      <c r="D129" s="268" t="n">
        <v>66568</v>
      </c>
      <c r="E129" s="269" t="n">
        <v>3.17307783974451</v>
      </c>
      <c r="F129" s="270" t="n">
        <v>0.369971651544285</v>
      </c>
      <c r="G129" s="292" t="n">
        <v>12.39</v>
      </c>
      <c r="H129" s="292" t="n">
        <v>24.44</v>
      </c>
      <c r="I129" s="141" t="n">
        <v>0.323</v>
      </c>
      <c r="J129" s="141" t="n">
        <v>0.155</v>
      </c>
      <c r="K129" s="141" t="n">
        <v>0.08500000000000001</v>
      </c>
      <c r="L129" s="270" t="n">
        <v>11.7368855906742</v>
      </c>
      <c r="M129" s="272" t="n">
        <v>13.9086047350078</v>
      </c>
      <c r="N129" s="270" t="n">
        <v>20.3523256836367</v>
      </c>
      <c r="O129" s="273">
        <f>M129/N129</f>
        <v/>
      </c>
      <c r="P129" s="270" t="n">
        <v>2.55354787654972</v>
      </c>
      <c r="Q129" s="270" t="n">
        <v>3.66332541985404</v>
      </c>
      <c r="R129" s="270" t="n">
        <v>1.10195199155896</v>
      </c>
      <c r="S129" s="270" t="n">
        <v>7.59759957794777</v>
      </c>
      <c r="T129" s="270" t="n">
        <v>1.42510771124593</v>
      </c>
      <c r="U129" s="270" t="n">
        <v>0.502747735865647</v>
      </c>
      <c r="V129" s="270" t="n">
        <v>2.39525630880155</v>
      </c>
      <c r="W129" s="270" t="n">
        <v>1.11278906181307</v>
      </c>
      <c r="X129" s="270" t="n">
        <v>0.18439790890518</v>
      </c>
      <c r="Y129" s="269" t="n">
        <v>14.093002643913</v>
      </c>
      <c r="Z129" s="275" t="n">
        <v>1241</v>
      </c>
      <c r="AA129" s="275" t="n">
        <v>778</v>
      </c>
      <c r="AB129" s="270" t="n">
        <v>10661.59</v>
      </c>
      <c r="AC129" s="290" t="n"/>
      <c r="AD129" s="276" t="n">
        <v>0.0186425910347314</v>
      </c>
      <c r="AE129" s="142" t="n">
        <v>0.0116872971998558</v>
      </c>
      <c r="AF129" s="270" t="n">
        <v>8.591128122481869</v>
      </c>
      <c r="AG129" s="277" t="n">
        <v>0.160160888114409</v>
      </c>
      <c r="AH129" s="118" t="n">
        <v>0.546641879975213</v>
      </c>
      <c r="AI129" s="118" t="n">
        <v>0.404833404833405</v>
      </c>
      <c r="AJ129" s="270" t="n">
        <v>0.591094820334094</v>
      </c>
      <c r="AK129" s="64" t="n">
        <v>0.282433000841245</v>
      </c>
      <c r="AL129" s="64" t="n">
        <v>0.0248167287585627</v>
      </c>
      <c r="AM129" s="119" t="n">
        <v>0.348861314745824</v>
      </c>
    </row>
    <row customHeight="1" hidden="1" ht="13.2" outlineLevel="1" r="130" s="3">
      <c r="A130" s="117" t="n">
        <v>43471</v>
      </c>
      <c r="B130" s="289" t="inlineStr">
        <is>
          <t>安卓</t>
        </is>
      </c>
      <c r="C130" s="268" t="n">
        <v>26972</v>
      </c>
      <c r="D130" s="268" t="n">
        <v>73068</v>
      </c>
      <c r="E130" s="269" t="n">
        <v>2.70903158831381</v>
      </c>
      <c r="F130" s="270" t="n">
        <v>0.262358942355066</v>
      </c>
      <c r="G130" s="292" t="n">
        <v>12.69</v>
      </c>
      <c r="H130" s="292" t="n">
        <v>24.79</v>
      </c>
      <c r="I130" s="141" t="n">
        <v>0.316</v>
      </c>
      <c r="J130" s="141" t="n">
        <v>0.153</v>
      </c>
      <c r="K130" s="141" t="n">
        <v>0.09</v>
      </c>
      <c r="L130" s="270" t="n">
        <v>10.9180489407128</v>
      </c>
      <c r="M130" s="272" t="n">
        <v>13.0852904144085</v>
      </c>
      <c r="N130" s="270" t="n">
        <v>19.7511981490663</v>
      </c>
      <c r="O130" s="273">
        <f>M130/N130</f>
        <v/>
      </c>
      <c r="P130" s="270" t="n">
        <v>2.50640390018179</v>
      </c>
      <c r="Q130" s="270" t="n">
        <v>3.63758056519584</v>
      </c>
      <c r="R130" s="270" t="n">
        <v>1.15617253346554</v>
      </c>
      <c r="S130" s="270" t="n">
        <v>7.13691951743513</v>
      </c>
      <c r="T130" s="270" t="n">
        <v>1.40361097339283</v>
      </c>
      <c r="U130" s="270" t="n">
        <v>0.5177656585688321</v>
      </c>
      <c r="V130" s="270" t="n">
        <v>2.29449677739217</v>
      </c>
      <c r="W130" s="270" t="n">
        <v>1.09824822343414</v>
      </c>
      <c r="X130" s="270" t="n">
        <v>0.202578420101823</v>
      </c>
      <c r="Y130" s="269" t="n">
        <v>13.2878688345103</v>
      </c>
      <c r="Z130" s="275" t="n">
        <v>1128</v>
      </c>
      <c r="AA130" s="275" t="n">
        <v>755</v>
      </c>
      <c r="AB130" s="270" t="n">
        <v>8298.719999999999</v>
      </c>
      <c r="AC130" s="290" t="n"/>
      <c r="AD130" s="276" t="n">
        <v>0.015437674494991</v>
      </c>
      <c r="AE130" s="142" t="n">
        <v>0.0103328406415941</v>
      </c>
      <c r="AF130" s="270" t="n">
        <v>7.35702127659574</v>
      </c>
      <c r="AG130" s="277" t="n">
        <v>0.113575299720808</v>
      </c>
      <c r="AH130" s="118" t="n">
        <v>0.52476642444016</v>
      </c>
      <c r="AI130" s="118" t="n">
        <v>0.365564288892185</v>
      </c>
      <c r="AJ130" s="270" t="n">
        <v>0.59184595171621</v>
      </c>
      <c r="AK130" s="64" t="n">
        <v>0.259005310122078</v>
      </c>
      <c r="AL130" s="64" t="n">
        <v>0.0242787540373351</v>
      </c>
      <c r="AM130" s="119" t="n">
        <v>0.331061476980347</v>
      </c>
    </row>
    <row customHeight="1" hidden="1" ht="13.2" outlineLevel="1" r="131" s="3">
      <c r="A131" s="117" t="n">
        <v>43472</v>
      </c>
      <c r="B131" s="289" t="inlineStr">
        <is>
          <t>安卓</t>
        </is>
      </c>
      <c r="C131" s="268" t="n">
        <v>36746</v>
      </c>
      <c r="D131" s="268" t="n">
        <v>84505</v>
      </c>
      <c r="E131" s="269" t="n">
        <v>2.29970609045883</v>
      </c>
      <c r="F131" s="270" t="n">
        <v>0.245434322229454</v>
      </c>
      <c r="G131" s="292" t="n">
        <v>13.23</v>
      </c>
      <c r="H131" s="271" t="n">
        <v>26.03</v>
      </c>
      <c r="I131" s="141" t="n">
        <v>0.329</v>
      </c>
      <c r="J131" s="141" t="n">
        <v>0.163</v>
      </c>
      <c r="K131" s="141" t="n">
        <v>0.096</v>
      </c>
      <c r="L131" s="270" t="n">
        <v>10.4201053192119</v>
      </c>
      <c r="M131" s="272" t="n">
        <v>12.2333234719839</v>
      </c>
      <c r="N131" s="270" t="n">
        <v>19.1493377790127</v>
      </c>
      <c r="O131" s="273">
        <f>M131/N131</f>
        <v/>
      </c>
      <c r="P131" s="270" t="n">
        <v>2.48428267111235</v>
      </c>
      <c r="Q131" s="270" t="n">
        <v>3.56100768732055</v>
      </c>
      <c r="R131" s="270" t="n">
        <v>1.10215800685376</v>
      </c>
      <c r="S131" s="270" t="n">
        <v>6.79036769473002</v>
      </c>
      <c r="T131" s="270" t="n">
        <v>1.37829026581458</v>
      </c>
      <c r="U131" s="270" t="n">
        <v>0.539835139390571</v>
      </c>
      <c r="V131" s="270" t="n">
        <v>2.21894970825229</v>
      </c>
      <c r="W131" s="270" t="n">
        <v>1.07444660553858</v>
      </c>
      <c r="X131" s="270" t="n">
        <v>0.162298088870481</v>
      </c>
      <c r="Y131" s="269" t="n">
        <v>12.3956215608544</v>
      </c>
      <c r="Z131" s="275" t="n">
        <v>1246</v>
      </c>
      <c r="AA131" s="275" t="n">
        <v>807</v>
      </c>
      <c r="AB131" s="270" t="n">
        <v>8978.540000000001</v>
      </c>
      <c r="AC131" s="290" t="n"/>
      <c r="AD131" s="276" t="n">
        <v>0.0147446896633335</v>
      </c>
      <c r="AE131" s="142" t="n">
        <v>0.009549730785160641</v>
      </c>
      <c r="AF131" s="270" t="n">
        <v>7.20589085072231</v>
      </c>
      <c r="AG131" s="277" t="n">
        <v>0.106248624341755</v>
      </c>
      <c r="AH131" s="118" t="n">
        <v>0.506476895444402</v>
      </c>
      <c r="AI131" s="118" t="n">
        <v>0.343846949327818</v>
      </c>
      <c r="AJ131" s="270" t="n">
        <v>0.569741435418023</v>
      </c>
      <c r="AK131" s="64" t="n">
        <v>0.239997633276138</v>
      </c>
      <c r="AL131" s="64" t="n">
        <v>0.0207680018933791</v>
      </c>
      <c r="AM131" s="119" t="n">
        <v>0.301840127803089</v>
      </c>
    </row>
    <row customHeight="1" hidden="1" ht="13.2" outlineLevel="1" r="132" s="3">
      <c r="A132" s="117" t="n">
        <v>43473</v>
      </c>
      <c r="B132" s="289" t="inlineStr">
        <is>
          <t>安卓</t>
        </is>
      </c>
      <c r="C132" s="268" t="n">
        <v>42945</v>
      </c>
      <c r="D132" s="268" t="n">
        <v>94554</v>
      </c>
      <c r="E132" s="269" t="n">
        <v>2.20174641983933</v>
      </c>
      <c r="F132" s="270" t="n">
        <v>0.78096341290691</v>
      </c>
      <c r="G132" s="292" t="n">
        <v>13.51</v>
      </c>
      <c r="H132" s="271" t="n">
        <v>27.18</v>
      </c>
      <c r="I132" s="141" t="n">
        <v>0.328</v>
      </c>
      <c r="J132" s="141" t="n">
        <v>0.166</v>
      </c>
      <c r="K132" s="141" t="n">
        <v>0.089</v>
      </c>
      <c r="L132" s="270" t="n">
        <v>10.111163990947</v>
      </c>
      <c r="M132" s="272" t="n">
        <v>11.5165619645917</v>
      </c>
      <c r="N132" s="270" t="n">
        <v>18.2842534757203</v>
      </c>
      <c r="O132" s="273">
        <f>M132/N132</f>
        <v/>
      </c>
      <c r="P132" s="270" t="n">
        <v>2.39552689905299</v>
      </c>
      <c r="Q132" s="270" t="n">
        <v>3.38763516690174</v>
      </c>
      <c r="R132" s="270" t="n">
        <v>1.05918799113439</v>
      </c>
      <c r="S132" s="270" t="n">
        <v>6.35368392773188</v>
      </c>
      <c r="T132" s="270" t="n">
        <v>1.3300255221976</v>
      </c>
      <c r="U132" s="270" t="n">
        <v>0.572637517630466</v>
      </c>
      <c r="V132" s="270" t="n">
        <v>2.13573779300154</v>
      </c>
      <c r="W132" s="270" t="n">
        <v>1.04981865806972</v>
      </c>
      <c r="X132" s="270" t="n">
        <v>0.149671087420945</v>
      </c>
      <c r="Y132" s="269" t="n">
        <v>11.6662330520126</v>
      </c>
      <c r="Z132" s="275" t="n">
        <v>1258</v>
      </c>
      <c r="AA132" s="275" t="n">
        <v>811</v>
      </c>
      <c r="AB132" s="270" t="n">
        <v>9192.42</v>
      </c>
      <c r="AC132" s="290" t="n"/>
      <c r="AD132" s="276" t="n">
        <v>0.013304566702625</v>
      </c>
      <c r="AE132" s="142" t="n">
        <v>0.0085771093766525</v>
      </c>
      <c r="AF132" s="270" t="n">
        <v>7.30717011128776</v>
      </c>
      <c r="AG132" s="277" t="n">
        <v>0.0972187321530554</v>
      </c>
      <c r="AH132" s="118" t="n">
        <v>0.503970194434742</v>
      </c>
      <c r="AI132" s="118" t="n">
        <v>0.346769123297241</v>
      </c>
      <c r="AJ132" s="270" t="n">
        <v>0.598557438077712</v>
      </c>
      <c r="AK132" s="64" t="n">
        <v>0.238128476849208</v>
      </c>
      <c r="AL132" s="64" t="n">
        <v>0.0204221926095141</v>
      </c>
      <c r="AM132" s="119" t="n">
        <v>0.236594961609239</v>
      </c>
    </row>
    <row customFormat="1" customHeight="1" hidden="1" ht="12.45" outlineLevel="1" r="133" s="294">
      <c r="A133" s="121" t="n">
        <v>43474</v>
      </c>
      <c r="B133" s="295" t="inlineStr">
        <is>
          <t>安卓</t>
        </is>
      </c>
      <c r="C133" s="296" t="n">
        <v>47391</v>
      </c>
      <c r="D133" s="296" t="n">
        <v>103810</v>
      </c>
      <c r="E133" s="297" t="n">
        <v>2.19050030596527</v>
      </c>
      <c r="F133" s="294" t="n">
        <v>0.196596331759946</v>
      </c>
      <c r="G133" s="298" t="n">
        <v>13.42</v>
      </c>
      <c r="H133" s="306" t="n">
        <v>27.14</v>
      </c>
      <c r="I133" s="123" t="n">
        <v>0.337</v>
      </c>
      <c r="J133" s="123" t="n">
        <v>0.17</v>
      </c>
      <c r="K133" s="123" t="n">
        <v>0.091</v>
      </c>
      <c r="L133" s="294" t="n">
        <v>9.95690203255948</v>
      </c>
      <c r="M133" s="299" t="n">
        <v>11.0244774106541</v>
      </c>
      <c r="N133" s="294" t="n">
        <v>17.3730702087287</v>
      </c>
      <c r="O133" s="300">
        <f>M133/N133</f>
        <v/>
      </c>
      <c r="P133" s="294" t="n">
        <v>2.27526375711575</v>
      </c>
      <c r="Q133" s="294" t="n">
        <v>3.08916888045541</v>
      </c>
      <c r="R133" s="294" t="n">
        <v>1.0517495256167</v>
      </c>
      <c r="S133" s="294" t="n">
        <v>6.12626944971537</v>
      </c>
      <c r="T133" s="294" t="n">
        <v>1.24422011385199</v>
      </c>
      <c r="U133" s="294" t="n">
        <v>0.603248576850095</v>
      </c>
      <c r="V133" s="294" t="n">
        <v>1.99316888045541</v>
      </c>
      <c r="W133" s="294" t="n">
        <v>0.989981024667932</v>
      </c>
      <c r="X133" s="294" t="n">
        <v>0.135073692322512</v>
      </c>
      <c r="Y133" s="297" t="n">
        <v>11.1595511029766</v>
      </c>
      <c r="Z133" s="293" t="n">
        <v>1308</v>
      </c>
      <c r="AA133" s="293" t="n">
        <v>886</v>
      </c>
      <c r="AB133" s="294" t="n">
        <v>8834.92</v>
      </c>
      <c r="AC133" s="302" t="n"/>
      <c r="AD133" s="303" t="n">
        <v>0.0125999422021</v>
      </c>
      <c r="AE133" s="124" t="n">
        <v>0.0085348232347558</v>
      </c>
      <c r="AF133" s="294" t="n">
        <v>6.75452599388379</v>
      </c>
      <c r="AG133" s="304" t="n">
        <v>0.0851066371255178</v>
      </c>
      <c r="AH133" s="125" t="n">
        <v>0.51950792344538</v>
      </c>
      <c r="AI133" s="125" t="n">
        <v>0.366314279082526</v>
      </c>
      <c r="AJ133" s="294" t="n">
        <v>0.67950101146325</v>
      </c>
      <c r="AK133" s="126" t="n">
        <v>0.265022637510837</v>
      </c>
      <c r="AL133" s="126" t="n">
        <v>0.0198246797033041</v>
      </c>
      <c r="AM133" s="127" t="n">
        <v>0</v>
      </c>
      <c r="AN133" s="303" t="n"/>
    </row>
    <row customHeight="1" hidden="1" ht="13.2" outlineLevel="1" r="134" s="3">
      <c r="A134" s="117" t="n">
        <v>43475</v>
      </c>
      <c r="B134" s="267" t="inlineStr">
        <is>
          <t>安卓</t>
        </is>
      </c>
      <c r="C134" s="268" t="n">
        <v>50823</v>
      </c>
      <c r="D134" s="268" t="n">
        <v>113180</v>
      </c>
      <c r="E134" s="269" t="n">
        <v>2.22694449363477</v>
      </c>
      <c r="F134" s="270" t="n">
        <v>0.230228299169464</v>
      </c>
      <c r="G134" s="292" t="n">
        <v>13.52</v>
      </c>
      <c r="H134" s="271" t="n">
        <v>27.64</v>
      </c>
      <c r="I134" s="141" t="n">
        <v>0.346</v>
      </c>
      <c r="J134" s="141" t="n">
        <v>0.176</v>
      </c>
      <c r="K134" s="141" t="n">
        <v>0.094</v>
      </c>
      <c r="L134" s="270" t="n">
        <v>10.1175914472522</v>
      </c>
      <c r="M134" s="272" t="n">
        <v>11.167644460152</v>
      </c>
      <c r="N134" s="270" t="n">
        <v>17.3234560456128</v>
      </c>
      <c r="O134" s="273">
        <f>M134/N134</f>
        <v/>
      </c>
      <c r="P134" s="270" t="n">
        <v>2.26283544858968</v>
      </c>
      <c r="Q134" s="270" t="n">
        <v>3.11654011677311</v>
      </c>
      <c r="R134" s="270" t="n">
        <v>1.05583728516214</v>
      </c>
      <c r="S134" s="270" t="n">
        <v>6.05776979797703</v>
      </c>
      <c r="T134" s="270" t="n">
        <v>1.23741125517393</v>
      </c>
      <c r="U134" s="270" t="n">
        <v>0.604903922589841</v>
      </c>
      <c r="V134" s="270" t="n">
        <v>1.99298264850196</v>
      </c>
      <c r="W134" s="270" t="n">
        <v>0.995175570845097</v>
      </c>
      <c r="X134" s="270" t="n">
        <v>0.12424456617777</v>
      </c>
      <c r="Y134" s="269" t="n">
        <v>11.2918890263297</v>
      </c>
      <c r="Z134" s="275" t="n">
        <v>1581</v>
      </c>
      <c r="AA134" s="275" t="n">
        <v>1062</v>
      </c>
      <c r="AB134" s="270" t="n">
        <v>11280.19</v>
      </c>
      <c r="AC134" s="290" t="n"/>
      <c r="AD134" s="276" t="n">
        <v>0.0139688990987807</v>
      </c>
      <c r="AE134" s="142" t="n">
        <v>0.009383283265594631</v>
      </c>
      <c r="AF134" s="270" t="n">
        <v>7.13484503478811</v>
      </c>
      <c r="AG134" s="277" t="n">
        <v>0.0996659303763916</v>
      </c>
      <c r="AH134" s="118" t="n">
        <v>0.5777502311945381</v>
      </c>
      <c r="AI134" s="118" t="n">
        <v>0.414241583535014</v>
      </c>
      <c r="AJ134" s="270" t="n">
        <v>0.693037639158862</v>
      </c>
      <c r="AK134" s="64" t="n">
        <v>0.275781940272133</v>
      </c>
      <c r="AL134" s="64" t="n">
        <v>0.0192701890793426</v>
      </c>
      <c r="AM134" s="119" t="n">
        <v>0</v>
      </c>
    </row>
    <row customHeight="1" hidden="1" ht="13.2" outlineLevel="1" r="135" s="3">
      <c r="A135" s="117" t="n">
        <v>43476</v>
      </c>
      <c r="B135" s="267" t="inlineStr">
        <is>
          <t>安卓</t>
        </is>
      </c>
      <c r="C135" s="268" t="n">
        <v>54914</v>
      </c>
      <c r="D135" s="268" t="n">
        <v>123814</v>
      </c>
      <c r="E135" s="269" t="n">
        <v>2.25468915030775</v>
      </c>
      <c r="F135" s="270" t="n">
        <v>0.214018009271972</v>
      </c>
      <c r="G135" s="292" t="n">
        <v>12.88</v>
      </c>
      <c r="H135" s="271" t="n">
        <v>26.72</v>
      </c>
      <c r="I135" s="141" t="n">
        <v>0.339</v>
      </c>
      <c r="J135" s="141" t="n">
        <v>0.178</v>
      </c>
      <c r="K135" s="141" t="n">
        <v>0.096</v>
      </c>
      <c r="L135" s="270" t="n">
        <v>10.2733131955999</v>
      </c>
      <c r="M135" s="272" t="n">
        <v>11.2845074062707</v>
      </c>
      <c r="N135" s="270" t="n">
        <v>17.4525332267413</v>
      </c>
      <c r="O135" s="273">
        <f>M135/N135</f>
        <v/>
      </c>
      <c r="P135" s="270" t="n">
        <v>2.29525582092535</v>
      </c>
      <c r="Q135" s="270" t="n">
        <v>3.18218497052064</v>
      </c>
      <c r="R135" s="270" t="n">
        <v>1.03538772858999</v>
      </c>
      <c r="S135" s="270" t="n">
        <v>6.07725841910662</v>
      </c>
      <c r="T135" s="270" t="n">
        <v>1.24883831318077</v>
      </c>
      <c r="U135" s="270" t="n">
        <v>0.608861297092036</v>
      </c>
      <c r="V135" s="270" t="n">
        <v>2.00309783151794</v>
      </c>
      <c r="W135" s="270" t="n">
        <v>1.00164884580793</v>
      </c>
      <c r="X135" s="270" t="n">
        <v>0.132303293650153</v>
      </c>
      <c r="Y135" s="269" t="n">
        <v>11.4168106999209</v>
      </c>
      <c r="Z135" s="275" t="n">
        <v>1782</v>
      </c>
      <c r="AA135" s="275" t="n">
        <v>1168</v>
      </c>
      <c r="AB135" s="270" t="n">
        <v>11471.18</v>
      </c>
      <c r="AC135" s="290" t="n"/>
      <c r="AD135" s="276" t="n">
        <v>0.0143925565768007</v>
      </c>
      <c r="AE135" s="142" t="n">
        <v>0.009433505096354209</v>
      </c>
      <c r="AF135" s="270" t="n">
        <v>6.43725028058361</v>
      </c>
      <c r="AG135" s="277" t="n">
        <v>0.0926484888623257</v>
      </c>
      <c r="AH135" s="118" t="n">
        <v>0.534708817423608</v>
      </c>
      <c r="AI135" s="118" t="n">
        <v>0.383381287103471</v>
      </c>
      <c r="AJ135" s="270" t="n">
        <v>0.684357180932689</v>
      </c>
      <c r="AK135" s="64" t="n">
        <v>0.281357520151195</v>
      </c>
      <c r="AL135" s="64" t="n">
        <v>0.0188750868237841</v>
      </c>
      <c r="AM135" s="119" t="n">
        <v>0</v>
      </c>
    </row>
    <row customHeight="1" hidden="1" ht="13.2" outlineLevel="1" r="136" s="3">
      <c r="A136" s="117" t="n">
        <v>43477</v>
      </c>
      <c r="B136" s="289" t="inlineStr">
        <is>
          <t>安卓</t>
        </is>
      </c>
      <c r="C136" s="268" t="n">
        <v>55880</v>
      </c>
      <c r="D136" s="268" t="n">
        <v>130327</v>
      </c>
      <c r="E136" s="269" t="n">
        <v>2.33226556907659</v>
      </c>
      <c r="F136" s="270" t="n">
        <v>0.289537594665725</v>
      </c>
      <c r="G136" s="292" t="n">
        <v>13.23</v>
      </c>
      <c r="H136" s="271" t="n">
        <v>26.4</v>
      </c>
      <c r="I136" s="141" t="n">
        <v>0.344</v>
      </c>
      <c r="J136" s="141" t="n">
        <v>0.175</v>
      </c>
      <c r="K136" s="141" t="n">
        <v>0.1</v>
      </c>
      <c r="L136" s="270" t="n">
        <v>11.4224374074444</v>
      </c>
      <c r="M136" s="272" t="n">
        <v>13.4817267335241</v>
      </c>
      <c r="N136" s="270" t="n">
        <v>20.2106492132143</v>
      </c>
      <c r="O136" s="273">
        <f>M136/N136</f>
        <v/>
      </c>
      <c r="P136" s="270" t="n">
        <v>2.587708199135</v>
      </c>
      <c r="Q136" s="270" t="n">
        <v>3.8184411521119</v>
      </c>
      <c r="R136" s="270" t="n">
        <v>1.05352213122297</v>
      </c>
      <c r="S136" s="270" t="n">
        <v>7.24913729640195</v>
      </c>
      <c r="T136" s="270" t="n">
        <v>1.39791340756418</v>
      </c>
      <c r="U136" s="270" t="n">
        <v>0.5601707002852671</v>
      </c>
      <c r="V136" s="270" t="n">
        <v>2.39981135547989</v>
      </c>
      <c r="W136" s="270" t="n">
        <v>1.14394497101316</v>
      </c>
      <c r="X136" s="270" t="n">
        <v>0.197050496059911</v>
      </c>
      <c r="Y136" s="269" t="n">
        <v>13.678777229584</v>
      </c>
      <c r="Z136" s="275" t="n">
        <v>2169</v>
      </c>
      <c r="AA136" s="275" t="n">
        <v>1362</v>
      </c>
      <c r="AB136" s="270" t="n">
        <v>16335.31</v>
      </c>
      <c r="AC136" s="290" t="n"/>
      <c r="AD136" s="276" t="n">
        <v>0.016642752461117</v>
      </c>
      <c r="AE136" s="142" t="n">
        <v>0.0104506357086406</v>
      </c>
      <c r="AF136" s="270" t="n">
        <v>7.5312632549562</v>
      </c>
      <c r="AG136" s="277" t="n">
        <v>0.125340950071743</v>
      </c>
      <c r="AH136" s="118" t="n">
        <v>0.564083750894774</v>
      </c>
      <c r="AI136" s="118" t="n">
        <v>0.404581245526127</v>
      </c>
      <c r="AJ136" s="270" t="n">
        <v>0.590829221880347</v>
      </c>
      <c r="AK136" s="64" t="n">
        <v>0.252204071297582</v>
      </c>
      <c r="AL136" s="64" t="n">
        <v>0.0163281591688599</v>
      </c>
      <c r="AM136" s="119" t="n">
        <v>0.34223146393303</v>
      </c>
    </row>
    <row customHeight="1" hidden="1" ht="13.2" outlineLevel="1" r="137" s="3">
      <c r="A137" s="117" t="n">
        <v>43478</v>
      </c>
      <c r="B137" s="289" t="inlineStr">
        <is>
          <t>安卓</t>
        </is>
      </c>
      <c r="C137" s="268" t="n">
        <v>59991</v>
      </c>
      <c r="D137" s="268" t="n">
        <v>141823</v>
      </c>
      <c r="E137" s="269" t="n">
        <v>2.36407127735827</v>
      </c>
      <c r="F137" s="270" t="n">
        <v>0.873013179244551</v>
      </c>
      <c r="G137" s="292" t="n">
        <v>13.1</v>
      </c>
      <c r="H137" s="271" t="n">
        <v>25.62</v>
      </c>
      <c r="I137" s="141" t="n">
        <v>0.334</v>
      </c>
      <c r="J137" s="141" t="n">
        <v>0.169</v>
      </c>
      <c r="K137" s="141" t="n">
        <v>0.105</v>
      </c>
      <c r="L137" s="270" t="n">
        <v>11.8425713741777</v>
      </c>
      <c r="M137" s="272" t="n">
        <v>13.8236957334142</v>
      </c>
      <c r="N137" s="270" t="n">
        <v>20.481159178045</v>
      </c>
      <c r="O137" s="273">
        <f>M137/N137</f>
        <v/>
      </c>
      <c r="P137" s="270" t="n">
        <v>2.55573895511006</v>
      </c>
      <c r="Q137" s="270" t="n">
        <v>3.94437073639564</v>
      </c>
      <c r="R137" s="270" t="n">
        <v>1.14343470221368</v>
      </c>
      <c r="S137" s="270" t="n">
        <v>7.30578857745787</v>
      </c>
      <c r="T137" s="270" t="n">
        <v>1.39744888898175</v>
      </c>
      <c r="U137" s="270" t="n">
        <v>0.568557191061709</v>
      </c>
      <c r="V137" s="270" t="n">
        <v>2.40313195365795</v>
      </c>
      <c r="W137" s="270" t="n">
        <v>1.16268817316632</v>
      </c>
      <c r="X137" s="270" t="n">
        <v>0.191894121545871</v>
      </c>
      <c r="Y137" s="269" t="n">
        <v>14.0155898549601</v>
      </c>
      <c r="Z137" s="275" t="n">
        <v>2136</v>
      </c>
      <c r="AA137" s="275" t="n">
        <v>1429</v>
      </c>
      <c r="AB137" s="270" t="n">
        <v>14948.64</v>
      </c>
      <c r="AC137" s="290" t="n"/>
      <c r="AD137" s="276" t="n">
        <v>0.0150610267728084</v>
      </c>
      <c r="AE137" s="142" t="n">
        <v>0.0100759397276887</v>
      </c>
      <c r="AF137" s="270" t="n">
        <v>6.99842696629213</v>
      </c>
      <c r="AG137" s="277" t="n">
        <v>0.10540349590687</v>
      </c>
      <c r="AH137" s="118" t="n">
        <v>0.563167808504609</v>
      </c>
      <c r="AI137" s="118" t="n">
        <v>0.409128035872047</v>
      </c>
      <c r="AJ137" s="270" t="n">
        <v>0.6261819309984979</v>
      </c>
      <c r="AK137" s="64" t="n">
        <v>0.250523539905375</v>
      </c>
      <c r="AL137" s="64" t="n">
        <v>0.0157097226824986</v>
      </c>
      <c r="AM137" s="119" t="n">
        <v>0.345317755230111</v>
      </c>
    </row>
    <row customHeight="1" hidden="1" ht="13.2" outlineLevel="1" r="138" s="3">
      <c r="A138" s="117" t="n">
        <v>43479</v>
      </c>
      <c r="B138" s="289" t="inlineStr">
        <is>
          <t>安卓</t>
        </is>
      </c>
      <c r="C138" s="268" t="n">
        <v>52052</v>
      </c>
      <c r="D138" s="268" t="n">
        <v>140406</v>
      </c>
      <c r="E138" s="269" t="n">
        <v>2.69741796664874</v>
      </c>
      <c r="F138" s="270" t="n">
        <v>0.868707184522029</v>
      </c>
      <c r="G138" s="292" t="n">
        <v>14.56</v>
      </c>
      <c r="H138" s="271" t="n">
        <v>30.49</v>
      </c>
      <c r="I138" s="141" t="n">
        <v>0.329</v>
      </c>
      <c r="J138" s="141" t="n">
        <v>0.174</v>
      </c>
      <c r="K138" s="141" t="n">
        <v>0.105</v>
      </c>
      <c r="L138" s="270" t="n">
        <v>11.7895032975799</v>
      </c>
      <c r="M138" s="272" t="n">
        <v>13.5740566642451</v>
      </c>
      <c r="N138" s="270" t="n">
        <v>19.7734007013467</v>
      </c>
      <c r="O138" s="273">
        <f>M138/N138</f>
        <v/>
      </c>
      <c r="P138" s="270" t="n">
        <v>2.46342829871558</v>
      </c>
      <c r="Q138" s="270" t="n">
        <v>3.92758284398149</v>
      </c>
      <c r="R138" s="270" t="n">
        <v>1.12367978752101</v>
      </c>
      <c r="S138" s="270" t="n">
        <v>6.95441246654079</v>
      </c>
      <c r="T138" s="270" t="n">
        <v>1.34540285933642</v>
      </c>
      <c r="U138" s="270" t="n">
        <v>0.542765546863652</v>
      </c>
      <c r="V138" s="270" t="n">
        <v>2.29022887141286</v>
      </c>
      <c r="W138" s="270" t="n">
        <v>1.12590002697487</v>
      </c>
      <c r="X138" s="270" t="n">
        <v>0.208901329003034</v>
      </c>
      <c r="Y138" s="269" t="n">
        <v>13.7829579932482</v>
      </c>
      <c r="Z138" s="275" t="n">
        <v>2032</v>
      </c>
      <c r="AA138" s="275" t="n">
        <v>1336</v>
      </c>
      <c r="AB138" s="270" t="n">
        <v>13322.68</v>
      </c>
      <c r="AC138" s="290" t="n"/>
      <c r="AD138" s="276" t="n">
        <v>0.0144723159978918</v>
      </c>
      <c r="AE138" s="142" t="n">
        <v>0.00951526288050368</v>
      </c>
      <c r="AF138" s="270" t="n">
        <v>6.55643700787402</v>
      </c>
      <c r="AG138" s="277" t="n">
        <v>0.0948868281982251</v>
      </c>
      <c r="AH138" s="118" t="n">
        <v>0.557807577038346</v>
      </c>
      <c r="AI138" s="118" t="n">
        <v>0.423960654729885</v>
      </c>
      <c r="AJ138" s="270" t="n">
        <v>0.635485663005854</v>
      </c>
      <c r="AK138" s="64" t="n">
        <v>0.26577924020341</v>
      </c>
      <c r="AL138" s="64" t="n">
        <v>0.0166801988519009</v>
      </c>
      <c r="AM138" s="119" t="n">
        <v>0.342079398316311</v>
      </c>
    </row>
    <row customHeight="1" hidden="1" ht="13.2" outlineLevel="1" r="139" s="3">
      <c r="A139" s="117" t="n">
        <v>43480</v>
      </c>
      <c r="B139" s="289" t="inlineStr">
        <is>
          <t>安卓</t>
        </is>
      </c>
      <c r="C139" s="268" t="n">
        <v>39489</v>
      </c>
      <c r="D139" s="268" t="n">
        <v>128006</v>
      </c>
      <c r="E139" s="269" t="n">
        <v>3.24156094102155</v>
      </c>
      <c r="F139" s="270" t="n">
        <v>0.8719007092636279</v>
      </c>
      <c r="G139" s="292" t="n">
        <v>15.09</v>
      </c>
      <c r="H139" s="271" t="n">
        <v>32.2</v>
      </c>
      <c r="I139" s="141" t="n">
        <v>0.354</v>
      </c>
      <c r="J139" s="141" t="n">
        <v>0.184</v>
      </c>
      <c r="K139" s="141" t="n">
        <v>0.101</v>
      </c>
      <c r="L139" s="270" t="n">
        <v>11.3276174554318</v>
      </c>
      <c r="M139" s="272" t="n">
        <v>13.0733325000391</v>
      </c>
      <c r="N139" s="270" t="n">
        <v>18.6093565820786</v>
      </c>
      <c r="O139" s="273">
        <f>M139/N139</f>
        <v/>
      </c>
      <c r="P139" s="270" t="n">
        <v>2.33835598158486</v>
      </c>
      <c r="Q139" s="270" t="n">
        <v>3.64447434557303</v>
      </c>
      <c r="R139" s="270" t="n">
        <v>1.11439405733603</v>
      </c>
      <c r="S139" s="270" t="n">
        <v>6.42194693414585</v>
      </c>
      <c r="T139" s="270" t="n">
        <v>1.29072793185508</v>
      </c>
      <c r="U139" s="270" t="n">
        <v>0.5485510308475861</v>
      </c>
      <c r="V139" s="270" t="n">
        <v>2.17568889976203</v>
      </c>
      <c r="W139" s="270" t="n">
        <v>1.07521740097413</v>
      </c>
      <c r="X139" s="270" t="n">
        <v>0.18353045950971</v>
      </c>
      <c r="Y139" s="269" t="n">
        <v>13.2568629595488</v>
      </c>
      <c r="Z139" s="275" t="n">
        <v>1840</v>
      </c>
      <c r="AA139" s="275" t="n">
        <v>1229</v>
      </c>
      <c r="AB139" s="270" t="n">
        <v>12407.6</v>
      </c>
      <c r="AC139" s="290" t="n"/>
      <c r="AD139" s="276" t="n">
        <v>0.0143743262034592</v>
      </c>
      <c r="AE139" s="142" t="n">
        <v>0.009601112447854009</v>
      </c>
      <c r="AF139" s="270" t="n">
        <v>6.74326086956522</v>
      </c>
      <c r="AG139" s="277" t="n">
        <v>0.0969298314141525</v>
      </c>
      <c r="AH139" s="118" t="n">
        <v>0.5679303097065</v>
      </c>
      <c r="AI139" s="118" t="n">
        <v>0.437716832535643</v>
      </c>
      <c r="AJ139" s="270" t="n">
        <v>0.669484242926113</v>
      </c>
      <c r="AK139" s="64" t="n">
        <v>0.29894692436292</v>
      </c>
      <c r="AL139" s="64" t="n">
        <v>0.0205849725794103</v>
      </c>
      <c r="AM139" s="119" t="n">
        <v>0.296423605143509</v>
      </c>
    </row>
    <row customFormat="1" customHeight="1" hidden="1" ht="12.45" outlineLevel="1" r="140" s="294">
      <c r="A140" s="121" t="n">
        <v>43481</v>
      </c>
      <c r="B140" s="295" t="inlineStr">
        <is>
          <t>安卓</t>
        </is>
      </c>
      <c r="C140" s="296" t="n">
        <v>33099</v>
      </c>
      <c r="D140" s="296" t="n">
        <v>119579</v>
      </c>
      <c r="E140" s="297" t="n">
        <v>3.61276775733406</v>
      </c>
      <c r="F140" s="294" t="n">
        <v>0.8144081941143509</v>
      </c>
      <c r="G140" s="298" t="n">
        <v>15.01</v>
      </c>
      <c r="H140" s="306" t="n">
        <v>33.07</v>
      </c>
      <c r="I140" s="123" t="n">
        <v>0.346</v>
      </c>
      <c r="J140" s="123" t="n">
        <v>0.175</v>
      </c>
      <c r="K140" s="123" t="n">
        <v>0.096</v>
      </c>
      <c r="L140" s="294" t="n">
        <v>11.1554704421345</v>
      </c>
      <c r="M140" s="299" t="n">
        <v>12.5109927328377</v>
      </c>
      <c r="N140" s="294" t="n">
        <v>17.6842478545592</v>
      </c>
      <c r="O140" s="300">
        <f>M140/N140</f>
        <v/>
      </c>
      <c r="P140" s="294" t="n">
        <v>2.20453202203362</v>
      </c>
      <c r="Q140" s="294" t="n">
        <v>3.30414430601196</v>
      </c>
      <c r="R140" s="294" t="n">
        <v>1.13483770301898</v>
      </c>
      <c r="S140" s="294" t="n">
        <v>6.16237972528902</v>
      </c>
      <c r="T140" s="294" t="n">
        <v>1.23506465873898</v>
      </c>
      <c r="U140" s="294" t="n">
        <v>0.570533582354193</v>
      </c>
      <c r="V140" s="294" t="n">
        <v>2.05240076597555</v>
      </c>
      <c r="W140" s="294" t="n">
        <v>1.02035509113691</v>
      </c>
      <c r="X140" s="294" t="n">
        <v>0.145970446315825</v>
      </c>
      <c r="Y140" s="297" t="n">
        <v>12.6569631791535</v>
      </c>
      <c r="Z140" s="293" t="n">
        <v>1781</v>
      </c>
      <c r="AA140" s="293" t="n">
        <v>1179</v>
      </c>
      <c r="AB140" s="294" t="n">
        <v>10442.19</v>
      </c>
      <c r="AC140" s="302" t="n"/>
      <c r="AD140" s="303" t="n">
        <v>0.0148939195009157</v>
      </c>
      <c r="AE140" s="124" t="n">
        <v>0.00985959073081394</v>
      </c>
      <c r="AF140" s="294" t="n">
        <v>5.86310499719259</v>
      </c>
      <c r="AG140" s="304" t="n">
        <v>0.0873246138536031</v>
      </c>
      <c r="AH140" s="125" t="n">
        <v>0.573672920632043</v>
      </c>
      <c r="AI140" s="125" t="n">
        <v>0.468141031451101</v>
      </c>
      <c r="AJ140" s="294" t="n">
        <v>0.769290594502379</v>
      </c>
      <c r="AK140" s="126" t="n">
        <v>0.342576873865813</v>
      </c>
      <c r="AL140" s="126" t="n">
        <v>0.0244357286814574</v>
      </c>
      <c r="AM140" s="127" t="n">
        <v>0</v>
      </c>
      <c r="AN140" s="303" t="n"/>
    </row>
    <row customHeight="1" hidden="1" ht="13.2" outlineLevel="1" r="141" s="3">
      <c r="A141" s="117" t="n">
        <v>43482</v>
      </c>
      <c r="B141" s="267" t="inlineStr">
        <is>
          <t>安卓</t>
        </is>
      </c>
      <c r="C141" s="268" t="n">
        <v>46727</v>
      </c>
      <c r="D141" s="268" t="n">
        <v>131279</v>
      </c>
      <c r="E141" s="269" t="n">
        <v>2.80948916044257</v>
      </c>
      <c r="F141" s="270" t="n">
        <v>0.756298213514728</v>
      </c>
      <c r="G141" s="292" t="n">
        <v>14.84</v>
      </c>
      <c r="H141" s="271" t="n">
        <v>32.89</v>
      </c>
      <c r="I141" s="141" t="n">
        <v>0.343</v>
      </c>
      <c r="J141" s="141" t="n">
        <v>0.175</v>
      </c>
      <c r="K141" s="141" t="n">
        <v>0.096</v>
      </c>
      <c r="L141" s="270" t="n">
        <v>10.5738236884803</v>
      </c>
      <c r="M141" s="272" t="n">
        <v>11.7912842114885</v>
      </c>
      <c r="N141" s="270" t="n">
        <v>17.4511059502604</v>
      </c>
      <c r="O141" s="273">
        <f>M141/N141</f>
        <v/>
      </c>
      <c r="P141" s="270" t="n">
        <v>2.2656873576695</v>
      </c>
      <c r="Q141" s="270" t="n">
        <v>3.21137065680593</v>
      </c>
      <c r="R141" s="270" t="n">
        <v>1.08624382764763</v>
      </c>
      <c r="S141" s="270" t="n">
        <v>6.04993123041194</v>
      </c>
      <c r="T141" s="270" t="n">
        <v>1.24492119681631</v>
      </c>
      <c r="U141" s="270" t="n">
        <v>0.57627787423057</v>
      </c>
      <c r="V141" s="270" t="n">
        <v>2.00980812157561</v>
      </c>
      <c r="W141" s="270" t="n">
        <v>1.00686568510293</v>
      </c>
      <c r="X141" s="270" t="n">
        <v>0.139870047760876</v>
      </c>
      <c r="Y141" s="269" t="n">
        <v>11.9311542592494</v>
      </c>
      <c r="Z141" s="275" t="n">
        <v>1640</v>
      </c>
      <c r="AA141" s="275" t="n">
        <v>1134</v>
      </c>
      <c r="AB141" s="270" t="n">
        <v>10186.6</v>
      </c>
      <c r="AC141" s="290" t="n"/>
      <c r="AD141" s="276" t="n">
        <v>0.0124924778525126</v>
      </c>
      <c r="AE141" s="142" t="n">
        <v>0.008638091393139801</v>
      </c>
      <c r="AF141" s="270" t="n">
        <v>6.21134146341463</v>
      </c>
      <c r="AG141" s="277" t="n">
        <v>0.0775950456661004</v>
      </c>
      <c r="AH141" s="118" t="n">
        <v>0.522866864981702</v>
      </c>
      <c r="AI141" s="118" t="n">
        <v>0.370192822137094</v>
      </c>
      <c r="AJ141" s="270" t="n">
        <v>0.713183372816673</v>
      </c>
      <c r="AK141" s="64" t="n">
        <v>0.324073157169083</v>
      </c>
      <c r="AL141" s="64" t="n">
        <v>0.0229968235589851</v>
      </c>
      <c r="AM141" s="119" t="n">
        <v>0</v>
      </c>
    </row>
    <row customHeight="1" hidden="1" ht="13.2" outlineLevel="1" r="142" s="3">
      <c r="A142" s="117" t="n">
        <v>43483</v>
      </c>
      <c r="B142" s="267" t="inlineStr">
        <is>
          <t>安卓</t>
        </is>
      </c>
      <c r="C142" s="268" t="n">
        <v>51555</v>
      </c>
      <c r="D142" s="268" t="n">
        <v>140251</v>
      </c>
      <c r="E142" s="269" t="n">
        <v>2.72041509067986</v>
      </c>
      <c r="F142" s="270" t="n">
        <v>0.721237331605479</v>
      </c>
      <c r="G142" s="292" t="n">
        <v>12.88</v>
      </c>
      <c r="H142" s="271" t="n">
        <v>26.08</v>
      </c>
      <c r="I142" s="141" t="n">
        <v>0.333</v>
      </c>
      <c r="J142" s="141" t="n">
        <v>0.177</v>
      </c>
      <c r="K142" s="141" t="n">
        <v>0.095</v>
      </c>
      <c r="L142" s="270" t="n">
        <v>10.4818432667147</v>
      </c>
      <c r="M142" s="272" t="n">
        <v>11.9378756657707</v>
      </c>
      <c r="N142" s="270" t="n">
        <v>17.6787249094576</v>
      </c>
      <c r="O142" s="273">
        <f>M142/N142</f>
        <v/>
      </c>
      <c r="P142" s="270" t="n">
        <v>2.29807722766005</v>
      </c>
      <c r="Q142" s="270" t="n">
        <v>3.27898676972135</v>
      </c>
      <c r="R142" s="270" t="n">
        <v>1.07434508536856</v>
      </c>
      <c r="S142" s="270" t="n">
        <v>6.12206067133369</v>
      </c>
      <c r="T142" s="270" t="n">
        <v>1.26577760883567</v>
      </c>
      <c r="U142" s="270" t="n">
        <v>0.584317949042837</v>
      </c>
      <c r="V142" s="270" t="n">
        <v>2.03898339087924</v>
      </c>
      <c r="W142" s="270" t="n">
        <v>1.0161762066162</v>
      </c>
      <c r="X142" s="270" t="n">
        <v>0.149660251976813</v>
      </c>
      <c r="Y142" s="269" t="n">
        <v>12.0875359177475</v>
      </c>
      <c r="Z142" s="275" t="n">
        <v>1748</v>
      </c>
      <c r="AA142" s="275" t="n">
        <v>1231</v>
      </c>
      <c r="AB142" s="270" t="n">
        <v>10662.52</v>
      </c>
      <c r="AC142" s="290" t="n"/>
      <c r="AD142" s="276" t="n">
        <v>0.0124633692451391</v>
      </c>
      <c r="AE142" s="142" t="n">
        <v>0.008777121018744959</v>
      </c>
      <c r="AF142" s="270" t="n">
        <v>6.09983981693364</v>
      </c>
      <c r="AG142" s="277" t="n">
        <v>0.0760245559746454</v>
      </c>
      <c r="AH142" s="118" t="n">
        <v>0.5373096692852291</v>
      </c>
      <c r="AI142" s="118" t="n">
        <v>0.389409368635438</v>
      </c>
      <c r="AJ142" s="270" t="n">
        <v>0.71045482741656</v>
      </c>
      <c r="AK142" s="64" t="n">
        <v>0.320261531112078</v>
      </c>
      <c r="AL142" s="64" t="n">
        <v>0.023115699709806</v>
      </c>
      <c r="AM142" s="119" t="n">
        <v>0</v>
      </c>
    </row>
    <row customHeight="1" hidden="1" ht="13.2" outlineLevel="1" r="143" s="3">
      <c r="A143" s="117" t="n">
        <v>43484</v>
      </c>
      <c r="B143" s="289" t="inlineStr">
        <is>
          <t>安卓</t>
        </is>
      </c>
      <c r="C143" s="268" t="n">
        <v>47382</v>
      </c>
      <c r="D143" s="268" t="n">
        <v>139380</v>
      </c>
      <c r="E143" s="269" t="n">
        <v>2.94162340129163</v>
      </c>
      <c r="F143" s="270" t="n">
        <v>0.896280530348687</v>
      </c>
      <c r="G143" s="292" t="n">
        <v>11.98</v>
      </c>
      <c r="H143" s="271" t="n">
        <v>25.15</v>
      </c>
      <c r="I143" s="141" t="n">
        <v>0.332</v>
      </c>
      <c r="J143" s="141" t="n">
        <v>0.172</v>
      </c>
      <c r="K143" s="141" t="n">
        <v>0.099</v>
      </c>
      <c r="L143" s="270" t="n">
        <v>11.8217965274788</v>
      </c>
      <c r="M143" s="272" t="n">
        <v>14.873669106041</v>
      </c>
      <c r="N143" s="270" t="n">
        <v>21.3307404206281</v>
      </c>
      <c r="O143" s="273">
        <f>M143/N143</f>
        <v/>
      </c>
      <c r="P143" s="270" t="n">
        <v>2.67087500514467</v>
      </c>
      <c r="Q143" s="270" t="n">
        <v>3.98829073548175</v>
      </c>
      <c r="R143" s="270" t="n">
        <v>1.08390953615673</v>
      </c>
      <c r="S143" s="270" t="n">
        <v>7.83813845330699</v>
      </c>
      <c r="T143" s="270" t="n">
        <v>1.48702514713751</v>
      </c>
      <c r="U143" s="270" t="n">
        <v>0.531999835370622</v>
      </c>
      <c r="V143" s="270" t="n">
        <v>2.54372967856114</v>
      </c>
      <c r="W143" s="270" t="n">
        <v>1.18677202946866</v>
      </c>
      <c r="X143" s="270" t="n">
        <v>0.210482135170039</v>
      </c>
      <c r="Y143" s="269" t="n">
        <v>15.0841512412111</v>
      </c>
      <c r="Z143" s="275" t="n">
        <v>2434</v>
      </c>
      <c r="AA143" s="275" t="n">
        <v>1532</v>
      </c>
      <c r="AB143" s="270" t="n">
        <v>16467.66</v>
      </c>
      <c r="AC143" s="290" t="n"/>
      <c r="AD143" s="276" t="n">
        <v>0.0174630506528914</v>
      </c>
      <c r="AE143" s="142" t="n">
        <v>0.0109915339360023</v>
      </c>
      <c r="AF143" s="270" t="n">
        <v>6.76567789646672</v>
      </c>
      <c r="AG143" s="277" t="n">
        <v>0.118149375807146</v>
      </c>
      <c r="AH143" s="118" t="n">
        <v>0.5560128318770839</v>
      </c>
      <c r="AI143" s="118" t="n">
        <v>0.414461187792833</v>
      </c>
      <c r="AJ143" s="270" t="n">
        <v>0.612620175060984</v>
      </c>
      <c r="AK143" s="64" t="n">
        <v>0.295975032285837</v>
      </c>
      <c r="AL143" s="64" t="n">
        <v>0.0218610991533936</v>
      </c>
      <c r="AM143" s="119" t="n">
        <v>0.364492753623188</v>
      </c>
    </row>
    <row customHeight="1" hidden="1" ht="13.2" outlineLevel="1" r="144" s="3">
      <c r="A144" s="117" t="n">
        <v>43485</v>
      </c>
      <c r="B144" s="289" t="inlineStr">
        <is>
          <t>安卓</t>
        </is>
      </c>
      <c r="C144" s="268" t="n">
        <v>49293</v>
      </c>
      <c r="D144" s="268" t="n">
        <v>144897</v>
      </c>
      <c r="E144" s="269" t="n">
        <v>2.93950459497292</v>
      </c>
      <c r="F144" s="270" t="n">
        <v>0.895198417979668</v>
      </c>
      <c r="G144" s="292" t="n">
        <v>12.78</v>
      </c>
      <c r="H144" s="271" t="n">
        <v>28.63</v>
      </c>
      <c r="I144" s="141" t="n">
        <v>0.332</v>
      </c>
      <c r="J144" s="141" t="n">
        <v>0.173</v>
      </c>
      <c r="K144" s="141" t="n">
        <v>0.103</v>
      </c>
      <c r="L144" s="270" t="n">
        <v>12.2469685362706</v>
      </c>
      <c r="M144" s="272" t="n">
        <v>15.3672608818678</v>
      </c>
      <c r="N144" s="270" t="n">
        <v>21.8684750689936</v>
      </c>
      <c r="O144" s="273">
        <f>M144/N144</f>
        <v/>
      </c>
      <c r="P144" s="270" t="n">
        <v>2.65935317861738</v>
      </c>
      <c r="Q144" s="270" t="n">
        <v>4.17806739277752</v>
      </c>
      <c r="R144" s="270" t="n">
        <v>1.21865823356675</v>
      </c>
      <c r="S144" s="270" t="n">
        <v>8.01531118335118</v>
      </c>
      <c r="T144" s="270" t="n">
        <v>1.49136229265083</v>
      </c>
      <c r="U144" s="270" t="n">
        <v>0.546193810707025</v>
      </c>
      <c r="V144" s="270" t="n">
        <v>2.53191384881311</v>
      </c>
      <c r="W144" s="270" t="n">
        <v>1.22761512850984</v>
      </c>
      <c r="X144" s="270" t="n">
        <v>0.236685369607376</v>
      </c>
      <c r="Y144" s="269" t="n">
        <v>15.6039462514752</v>
      </c>
      <c r="Z144" s="275" t="n">
        <v>2263</v>
      </c>
      <c r="AA144" s="275" t="n">
        <v>1488</v>
      </c>
      <c r="AB144" s="270" t="n">
        <v>15531.37</v>
      </c>
      <c r="AC144" s="290" t="n"/>
      <c r="AD144" s="276" t="n">
        <v>0.0156179907106427</v>
      </c>
      <c r="AE144" s="142" t="n">
        <v>0.0102693637549432</v>
      </c>
      <c r="AF144" s="270" t="n">
        <v>6.86317719840919</v>
      </c>
      <c r="AG144" s="277" t="n">
        <v>0.10718903773025</v>
      </c>
      <c r="AH144" s="118" t="n">
        <v>0.557503093745562</v>
      </c>
      <c r="AI144" s="118" t="n">
        <v>0.41807153145477</v>
      </c>
      <c r="AJ144" s="270" t="n">
        <v>0.6431672153322709</v>
      </c>
      <c r="AK144" s="64" t="n">
        <v>0.29563759084039</v>
      </c>
      <c r="AL144" s="64" t="n">
        <v>0.0220225401492094</v>
      </c>
      <c r="AM144" s="119" t="n">
        <v>0.367868209831812</v>
      </c>
    </row>
    <row customHeight="1" hidden="1" ht="13.2" outlineLevel="1" r="145" s="3">
      <c r="A145" s="117" t="n">
        <v>43486</v>
      </c>
      <c r="B145" s="289" t="inlineStr">
        <is>
          <t>安卓</t>
        </is>
      </c>
      <c r="C145" s="268" t="n">
        <v>46493</v>
      </c>
      <c r="D145" s="268" t="n">
        <v>145926</v>
      </c>
      <c r="E145" s="269" t="n">
        <v>3.13866603574732</v>
      </c>
      <c r="F145" s="270" t="n">
        <v>0.89576303030303</v>
      </c>
      <c r="G145" s="292" t="n">
        <v>12.51</v>
      </c>
      <c r="H145" s="271" t="n">
        <v>25.17</v>
      </c>
      <c r="I145" s="141" t="n">
        <v>0.335</v>
      </c>
      <c r="J145" s="141" t="n">
        <v>0.177</v>
      </c>
      <c r="K145" s="141" t="n">
        <v>0.103</v>
      </c>
      <c r="L145" s="270" t="n">
        <v>11.8707838219371</v>
      </c>
      <c r="M145" s="272" t="n">
        <v>14.7826843742719</v>
      </c>
      <c r="N145" s="270" t="n">
        <v>21.0327116016497</v>
      </c>
      <c r="O145" s="273">
        <f>M145/N145</f>
        <v/>
      </c>
      <c r="P145" s="270" t="n">
        <v>2.56138178485419</v>
      </c>
      <c r="Q145" s="270" t="n">
        <v>4.07700632781802</v>
      </c>
      <c r="R145" s="270" t="n">
        <v>1.18749451556604</v>
      </c>
      <c r="S145" s="270" t="n">
        <v>7.63855386445404</v>
      </c>
      <c r="T145" s="270" t="n">
        <v>1.44312276356971</v>
      </c>
      <c r="U145" s="270" t="n">
        <v>0.515790294745669</v>
      </c>
      <c r="V145" s="270" t="n">
        <v>2.42347630237025</v>
      </c>
      <c r="W145" s="270" t="n">
        <v>1.18588574827179</v>
      </c>
      <c r="X145" s="270" t="n">
        <v>0.242136425311459</v>
      </c>
      <c r="Y145" s="269" t="n">
        <v>15.0248207995834</v>
      </c>
      <c r="Z145" s="275" t="n">
        <v>2192</v>
      </c>
      <c r="AA145" s="275" t="n">
        <v>1457</v>
      </c>
      <c r="AB145" s="270" t="n">
        <v>15292.08</v>
      </c>
      <c r="AC145" s="290" t="n"/>
      <c r="AD145" s="276" t="n">
        <v>0.0150213121719228</v>
      </c>
      <c r="AE145" s="142" t="n">
        <v>0.0099845126982169</v>
      </c>
      <c r="AF145" s="270" t="n">
        <v>6.97631386861314</v>
      </c>
      <c r="AG145" s="277" t="n">
        <v>0.104793388429752</v>
      </c>
      <c r="AH145" s="118" t="n">
        <v>0.537521777471877</v>
      </c>
      <c r="AI145" s="118" t="n">
        <v>0.406641860064956</v>
      </c>
      <c r="AJ145" s="270" t="n">
        <v>0.637227087701986</v>
      </c>
      <c r="AK145" s="64" t="n">
        <v>0.303167358798295</v>
      </c>
      <c r="AL145" s="64" t="n">
        <v>0.0234639474802297</v>
      </c>
      <c r="AM145" s="119" t="n">
        <v>0.35650946370078</v>
      </c>
    </row>
    <row customHeight="1" hidden="1" ht="13.2" outlineLevel="1" r="146" s="3">
      <c r="A146" s="117" t="n">
        <v>43487</v>
      </c>
      <c r="B146" s="289" t="inlineStr">
        <is>
          <t>安卓</t>
        </is>
      </c>
      <c r="C146" s="268" t="n">
        <v>44764</v>
      </c>
      <c r="D146" s="268" t="n">
        <v>144004</v>
      </c>
      <c r="E146" s="269" t="n">
        <v>3.21696005718881</v>
      </c>
      <c r="F146" s="270" t="n">
        <v>0.862485194390434</v>
      </c>
      <c r="G146" s="292" t="n">
        <v>12.83</v>
      </c>
      <c r="H146" s="271" t="n">
        <v>25.73</v>
      </c>
      <c r="I146" s="141" t="n">
        <v>0.347</v>
      </c>
      <c r="J146" s="141" t="n">
        <v>0.184</v>
      </c>
      <c r="K146" s="141" t="n">
        <v>0.104</v>
      </c>
      <c r="L146" s="270" t="n">
        <v>11.5540957195633</v>
      </c>
      <c r="M146" s="272" t="n">
        <v>14.1233507402572</v>
      </c>
      <c r="N146" s="270" t="n">
        <v>19.9905542613944</v>
      </c>
      <c r="O146" s="273">
        <f>M146/N146</f>
        <v/>
      </c>
      <c r="P146" s="270" t="n">
        <v>2.4953164469869</v>
      </c>
      <c r="Q146" s="270" t="n">
        <v>3.80802838636118</v>
      </c>
      <c r="R146" s="270" t="n">
        <v>1.1765596280679</v>
      </c>
      <c r="S146" s="270" t="n">
        <v>7.13281042668003</v>
      </c>
      <c r="T146" s="270" t="n">
        <v>1.39595435378763</v>
      </c>
      <c r="U146" s="270" t="n">
        <v>0.553327632471324</v>
      </c>
      <c r="V146" s="270" t="n">
        <v>2.29656277337108</v>
      </c>
      <c r="W146" s="270" t="n">
        <v>1.13199461366831</v>
      </c>
      <c r="X146" s="270" t="n">
        <v>0.214862087164245</v>
      </c>
      <c r="Y146" s="269" t="n">
        <v>14.3382128274215</v>
      </c>
      <c r="Z146" s="275" t="n">
        <v>2043</v>
      </c>
      <c r="AA146" s="275" t="n">
        <v>1364</v>
      </c>
      <c r="AB146" s="270" t="n">
        <v>13700.57</v>
      </c>
      <c r="AC146" s="290" t="n"/>
      <c r="AD146" s="276" t="n">
        <v>0.0141871059137246</v>
      </c>
      <c r="AE146" s="142" t="n">
        <v>0.00947195911224688</v>
      </c>
      <c r="AF146" s="270" t="n">
        <v>6.70610376896721</v>
      </c>
      <c r="AG146" s="277" t="n">
        <v>0.0951402044387656</v>
      </c>
      <c r="AH146" s="118" t="n">
        <v>0.55392726297918</v>
      </c>
      <c r="AI146" s="118" t="n">
        <v>0.414328478241444</v>
      </c>
      <c r="AJ146" s="270" t="n">
        <v>0.682425488180884</v>
      </c>
      <c r="AK146" s="64" t="n">
        <v>0.317782839365573</v>
      </c>
      <c r="AL146" s="64" t="n">
        <v>0.0269714730146385</v>
      </c>
      <c r="AM146" s="119" t="n">
        <v>0.299186133718508</v>
      </c>
    </row>
    <row customFormat="1" customHeight="1" hidden="1" ht="12.45" outlineLevel="1" r="147" s="294">
      <c r="A147" s="121" t="n">
        <v>43488</v>
      </c>
      <c r="B147" s="295" t="inlineStr">
        <is>
          <t>安卓</t>
        </is>
      </c>
      <c r="C147" s="296" t="n">
        <v>35828</v>
      </c>
      <c r="D147" s="296" t="n">
        <v>134645</v>
      </c>
      <c r="E147" s="297" t="n">
        <v>3.75809422797812</v>
      </c>
      <c r="F147" s="294" t="n">
        <v>0.610281139255078</v>
      </c>
      <c r="G147" s="298" t="n">
        <v>12.7</v>
      </c>
      <c r="H147" s="306" t="n">
        <v>26.79</v>
      </c>
      <c r="I147" s="123" t="n">
        <v>0.343</v>
      </c>
      <c r="J147" s="123" t="n">
        <v>0.176</v>
      </c>
      <c r="K147" s="123" t="n">
        <v>0.097</v>
      </c>
      <c r="L147" s="294" t="n">
        <v>11.243053956701</v>
      </c>
      <c r="M147" s="299" t="n">
        <v>13.4217460730068</v>
      </c>
      <c r="N147" s="294" t="n">
        <v>18.6772256557597</v>
      </c>
      <c r="O147" s="300">
        <f>M147/N147</f>
        <v/>
      </c>
      <c r="P147" s="294" t="n">
        <v>2.34070567808347</v>
      </c>
      <c r="Q147" s="294" t="n">
        <v>3.41668905930259</v>
      </c>
      <c r="R147" s="294" t="n">
        <v>1.16856487318878</v>
      </c>
      <c r="S147" s="294" t="n">
        <v>6.71904131958081</v>
      </c>
      <c r="T147" s="294" t="n">
        <v>1.30161847082412</v>
      </c>
      <c r="U147" s="294" t="n">
        <v>0.568325099733355</v>
      </c>
      <c r="V147" s="294" t="n">
        <v>2.10814609644681</v>
      </c>
      <c r="W147" s="294" t="n">
        <v>1.05413505859981</v>
      </c>
      <c r="X147" s="294" t="n">
        <v>0.155119016673475</v>
      </c>
      <c r="Y147" s="297" t="n">
        <v>13.5768650896803</v>
      </c>
      <c r="Z147" s="293" t="n">
        <v>1815</v>
      </c>
      <c r="AA147" s="293" t="n">
        <v>1256</v>
      </c>
      <c r="AB147" s="294" t="n">
        <v>10658.85</v>
      </c>
      <c r="AC147" s="302" t="n"/>
      <c r="AD147" s="303" t="n">
        <v>0.0134798915667125</v>
      </c>
      <c r="AE147" s="124" t="n">
        <v>0.009328233502915071</v>
      </c>
      <c r="AF147" s="294" t="n">
        <v>5.87264462809917</v>
      </c>
      <c r="AG147" s="304" t="n">
        <v>0.0791626127966133</v>
      </c>
      <c r="AH147" s="125" t="n">
        <v>0.569694094004689</v>
      </c>
      <c r="AI147" s="125" t="n">
        <v>0.456263257787206</v>
      </c>
      <c r="AJ147" s="294" t="n">
        <v>0.791154517434736</v>
      </c>
      <c r="AK147" s="126" t="n">
        <v>0.361543317612982</v>
      </c>
      <c r="AL147" s="126" t="n">
        <v>0.0309554755096736</v>
      </c>
      <c r="AM147" s="127" t="n">
        <v>0</v>
      </c>
      <c r="AN147" s="303" t="n"/>
    </row>
    <row customHeight="1" hidden="1" ht="13.2" outlineLevel="1" r="148" s="3">
      <c r="A148" s="117" t="n">
        <v>43489</v>
      </c>
      <c r="B148" s="267" t="inlineStr">
        <is>
          <t>安卓</t>
        </is>
      </c>
      <c r="C148" s="268" t="n">
        <v>36011</v>
      </c>
      <c r="D148" s="268" t="n">
        <v>133158</v>
      </c>
      <c r="E148" s="269" t="n">
        <v>3.69770347949238</v>
      </c>
      <c r="F148" s="270" t="n">
        <v>0.762593960911098</v>
      </c>
      <c r="G148" s="292" t="n">
        <v>13.58</v>
      </c>
      <c r="H148" s="271" t="n">
        <v>27.12</v>
      </c>
      <c r="I148" s="141" t="n">
        <v>0.348</v>
      </c>
      <c r="J148" s="141" t="n">
        <v>0.173</v>
      </c>
      <c r="K148" s="141" t="n">
        <v>0.093</v>
      </c>
      <c r="L148" s="270" t="n">
        <v>11.0172501839919</v>
      </c>
      <c r="M148" s="272" t="n">
        <v>12.8997056128809</v>
      </c>
      <c r="N148" s="270" t="n">
        <v>18.1172766585803</v>
      </c>
      <c r="O148" s="273">
        <f>M148/N148</f>
        <v/>
      </c>
      <c r="P148" s="270" t="n">
        <v>2.33073515451957</v>
      </c>
      <c r="Q148" s="270" t="n">
        <v>3.32465984600781</v>
      </c>
      <c r="R148" s="270" t="n">
        <v>1.1119291214007</v>
      </c>
      <c r="S148" s="270" t="n">
        <v>6.39123510178251</v>
      </c>
      <c r="T148" s="270" t="n">
        <v>1.29846007805084</v>
      </c>
      <c r="U148" s="270" t="n">
        <v>0.5655837991773019</v>
      </c>
      <c r="V148" s="270" t="n">
        <v>2.05515241008332</v>
      </c>
      <c r="W148" s="270" t="n">
        <v>1.03952114755827</v>
      </c>
      <c r="X148" s="270" t="n">
        <v>0.170564292044038</v>
      </c>
      <c r="Y148" s="269" t="n">
        <v>13.070269904925</v>
      </c>
      <c r="Z148" s="275" t="n">
        <v>1912</v>
      </c>
      <c r="AA148" s="275" t="n">
        <v>1283</v>
      </c>
      <c r="AB148" s="270" t="n">
        <v>11052.88</v>
      </c>
      <c r="AC148" s="290" t="n"/>
      <c r="AD148" s="276" t="n">
        <v>0.0143588819297376</v>
      </c>
      <c r="AE148" s="142" t="n">
        <v>0.00963517024887727</v>
      </c>
      <c r="AF148" s="270" t="n">
        <v>5.7807949790795</v>
      </c>
      <c r="AG148" s="277" t="n">
        <v>0.0830057525646225</v>
      </c>
      <c r="AH148" s="118" t="n">
        <v>0.548276915386965</v>
      </c>
      <c r="AI148" s="118" t="n">
        <v>0.409902529782566</v>
      </c>
      <c r="AJ148" s="270" t="n">
        <v>0.755748809684735</v>
      </c>
      <c r="AK148" s="64" t="n">
        <v>0.366737259496238</v>
      </c>
      <c r="AL148" s="64" t="n">
        <v>0.0324501719761486</v>
      </c>
      <c r="AM148" s="119" t="n">
        <v>0</v>
      </c>
    </row>
    <row customHeight="1" hidden="1" ht="13.2" outlineLevel="1" r="149" s="3">
      <c r="A149" s="117" t="n">
        <v>43490</v>
      </c>
      <c r="B149" s="267" t="inlineStr">
        <is>
          <t>安卓</t>
        </is>
      </c>
      <c r="C149" s="268" t="n">
        <v>44572</v>
      </c>
      <c r="D149" s="268" t="n">
        <v>140914</v>
      </c>
      <c r="E149" s="269" t="n">
        <v>3.1614915193395</v>
      </c>
      <c r="F149" s="270" t="n">
        <v>0.774177197269256</v>
      </c>
      <c r="G149" s="292" t="n">
        <v>13.15</v>
      </c>
      <c r="H149" s="271" t="n">
        <v>26.94</v>
      </c>
      <c r="I149" s="141" t="n">
        <v>0.344</v>
      </c>
      <c r="J149" s="141" t="n">
        <v>0.177</v>
      </c>
      <c r="K149" s="141" t="n">
        <v>0.097</v>
      </c>
      <c r="L149" s="270" t="n">
        <v>10.8939211150063</v>
      </c>
      <c r="M149" s="272" t="n">
        <v>12.3168883148587</v>
      </c>
      <c r="N149" s="270" t="n">
        <v>17.6949003935322</v>
      </c>
      <c r="O149" s="273">
        <f>M149/N149</f>
        <v/>
      </c>
      <c r="P149" s="270" t="n">
        <v>2.33593988948474</v>
      </c>
      <c r="Q149" s="270" t="n">
        <v>3.23037946292029</v>
      </c>
      <c r="R149" s="270" t="n">
        <v>1.07542360785433</v>
      </c>
      <c r="S149" s="270" t="n">
        <v>6.14451603694717</v>
      </c>
      <c r="T149" s="270" t="n">
        <v>1.2989315498644</v>
      </c>
      <c r="U149" s="270" t="n">
        <v>0.574261362477825</v>
      </c>
      <c r="V149" s="270" t="n">
        <v>2.00951206084456</v>
      </c>
      <c r="W149" s="270" t="n">
        <v>1.02593642313888</v>
      </c>
      <c r="X149" s="270" t="n">
        <v>0.170380515775579</v>
      </c>
      <c r="Y149" s="269" t="n">
        <v>12.4872688306343</v>
      </c>
      <c r="Z149" s="275" t="n">
        <v>1895</v>
      </c>
      <c r="AA149" s="275" t="n">
        <v>1335</v>
      </c>
      <c r="AB149" s="270" t="n">
        <v>11869.05</v>
      </c>
      <c r="AC149" s="290" t="n"/>
      <c r="AD149" s="276" t="n">
        <v>0.0134479185886427</v>
      </c>
      <c r="AE149" s="142" t="n">
        <v>0.0094738634912074</v>
      </c>
      <c r="AF149" s="270" t="n">
        <v>6.26335092348285</v>
      </c>
      <c r="AG149" s="277" t="n">
        <v>0.0842290333110975</v>
      </c>
      <c r="AH149" s="118" t="n">
        <v>0.5366597864129951</v>
      </c>
      <c r="AI149" s="118" t="n">
        <v>0.388786682222023</v>
      </c>
      <c r="AJ149" s="270" t="n">
        <v>0.721510992520261</v>
      </c>
      <c r="AK149" s="64" t="n">
        <v>0.347545311324638</v>
      </c>
      <c r="AL149" s="64" t="n">
        <v>0.0319414678456363</v>
      </c>
      <c r="AM149" s="119" t="n">
        <v>0</v>
      </c>
    </row>
    <row customHeight="1" hidden="1" ht="13.2" outlineLevel="1" r="150" s="3">
      <c r="A150" s="117" t="n">
        <v>43491</v>
      </c>
      <c r="B150" s="289" t="inlineStr">
        <is>
          <t>安卓</t>
        </is>
      </c>
      <c r="C150" s="268" t="n">
        <v>58243</v>
      </c>
      <c r="D150" s="268" t="n">
        <v>156067</v>
      </c>
      <c r="E150" s="269" t="n">
        <v>2.67958381264701</v>
      </c>
      <c r="F150" s="270" t="n">
        <v>0.242519583255909</v>
      </c>
      <c r="G150" s="292" t="n">
        <v>12.82</v>
      </c>
      <c r="H150" s="271" t="n">
        <v>28.55</v>
      </c>
      <c r="I150" s="141" t="n">
        <v>0.33</v>
      </c>
      <c r="J150" s="141" t="n">
        <v>0.163</v>
      </c>
      <c r="K150" s="141" t="n">
        <v>0.093</v>
      </c>
      <c r="L150" s="270" t="n">
        <v>11.7880781971845</v>
      </c>
      <c r="M150" s="272" t="n">
        <v>13.8974414834654</v>
      </c>
      <c r="N150" s="270" t="n">
        <v>20.3789533026402</v>
      </c>
      <c r="O150" s="273">
        <f>M150/N150</f>
        <v/>
      </c>
      <c r="P150" s="270" t="n">
        <v>2.69364840740393</v>
      </c>
      <c r="Q150" s="270" t="n">
        <v>3.82674997651038</v>
      </c>
      <c r="R150" s="270" t="n">
        <v>1.13867330639857</v>
      </c>
      <c r="S150" s="270" t="n">
        <v>7.17558019355445</v>
      </c>
      <c r="T150" s="270" t="n">
        <v>1.49017194400075</v>
      </c>
      <c r="U150" s="270" t="n">
        <v>0.537423658742836</v>
      </c>
      <c r="V150" s="270" t="n">
        <v>2.38258949544301</v>
      </c>
      <c r="W150" s="270" t="n">
        <v>1.1341163205863</v>
      </c>
      <c r="X150" s="270" t="n">
        <v>0.263181838569332</v>
      </c>
      <c r="Y150" s="269" t="n">
        <v>14.1606233220348</v>
      </c>
      <c r="Z150" s="275" t="n">
        <v>2402</v>
      </c>
      <c r="AA150" s="275" t="n">
        <v>1600</v>
      </c>
      <c r="AB150" s="270" t="n">
        <v>16384.98</v>
      </c>
      <c r="AC150" s="290" t="n"/>
      <c r="AD150" s="276" t="n">
        <v>0.015390825735101</v>
      </c>
      <c r="AE150" s="142" t="n">
        <v>0.010252007150775</v>
      </c>
      <c r="AF150" s="270" t="n">
        <v>6.82139050791007</v>
      </c>
      <c r="AG150" s="277" t="n">
        <v>0.104986832578316</v>
      </c>
      <c r="AH150" s="118" t="n">
        <v>0.5369915698023801</v>
      </c>
      <c r="AI150" s="118" t="n">
        <v>0.366825197877857</v>
      </c>
      <c r="AJ150" s="270" t="n">
        <v>0.578975696335548</v>
      </c>
      <c r="AK150" s="64" t="n">
        <v>0.289330864308278</v>
      </c>
      <c r="AL150" s="64" t="n">
        <v>0.026847443726092</v>
      </c>
      <c r="AM150" s="119" t="n">
        <v>0.341026610366061</v>
      </c>
    </row>
    <row customHeight="1" hidden="1" ht="13.2" outlineLevel="1" r="151" s="3">
      <c r="A151" s="117" t="n">
        <v>43492</v>
      </c>
      <c r="B151" s="289" t="inlineStr">
        <is>
          <t>安卓</t>
        </is>
      </c>
      <c r="C151" s="268" t="n">
        <v>70470</v>
      </c>
      <c r="D151" s="268" t="n">
        <v>175509</v>
      </c>
      <c r="E151" s="269" t="n">
        <v>2.49054916985951</v>
      </c>
      <c r="F151" s="270" t="n">
        <v>0.245347852246893</v>
      </c>
      <c r="G151" s="292" t="n">
        <v>12.15</v>
      </c>
      <c r="H151" s="271" t="n">
        <v>25.01</v>
      </c>
      <c r="I151" s="141" t="n">
        <v>0.331</v>
      </c>
      <c r="J151" s="141" t="n">
        <v>0.169</v>
      </c>
      <c r="K151" s="141" t="n">
        <v>0.101</v>
      </c>
      <c r="L151" s="270" t="n">
        <v>11.9444188047337</v>
      </c>
      <c r="M151" s="272" t="n">
        <v>13.9470967300822</v>
      </c>
      <c r="N151" s="270" t="n">
        <v>20.6788737391657</v>
      </c>
      <c r="O151" s="273">
        <f>M151/N151</f>
        <v/>
      </c>
      <c r="P151" s="270" t="n">
        <v>2.6566644702384</v>
      </c>
      <c r="Q151" s="270" t="n">
        <v>3.92744183688986</v>
      </c>
      <c r="R151" s="270" t="n">
        <v>1.18301316167402</v>
      </c>
      <c r="S151" s="270" t="n">
        <v>7.37139912480781</v>
      </c>
      <c r="T151" s="270" t="n">
        <v>1.46873468836062</v>
      </c>
      <c r="U151" s="270" t="n">
        <v>0.558678426005711</v>
      </c>
      <c r="V151" s="270" t="n">
        <v>2.35860070623617</v>
      </c>
      <c r="W151" s="270" t="n">
        <v>1.15434132495311</v>
      </c>
      <c r="X151" s="270" t="n">
        <v>0.272094308553977</v>
      </c>
      <c r="Y151" s="269" t="n">
        <v>14.2191910386362</v>
      </c>
      <c r="Z151" s="275" t="n">
        <v>2598</v>
      </c>
      <c r="AA151" s="275" t="n">
        <v>1706</v>
      </c>
      <c r="AB151" s="270" t="n">
        <v>18641.02</v>
      </c>
      <c r="AC151" s="290" t="n"/>
      <c r="AD151" s="276" t="n">
        <v>0.0148026596926653</v>
      </c>
      <c r="AE151" s="142" t="n">
        <v>0.009720299243913421</v>
      </c>
      <c r="AF151" s="270" t="n">
        <v>7.17514241724404</v>
      </c>
      <c r="AG151" s="277" t="n">
        <v>0.106211191448872</v>
      </c>
      <c r="AH151" s="118" t="n">
        <v>0.533205619412516</v>
      </c>
      <c r="AI151" s="118" t="n">
        <v>0.371675890449837</v>
      </c>
      <c r="AJ151" s="270" t="n">
        <v>0.588767527591178</v>
      </c>
      <c r="AK151" s="64" t="n">
        <v>0.26821986336883</v>
      </c>
      <c r="AL151" s="64" t="n">
        <v>0.0237537676130569</v>
      </c>
      <c r="AM151" s="119" t="n">
        <v>0.338860115435676</v>
      </c>
    </row>
    <row customHeight="1" hidden="1" ht="13.2" outlineLevel="1" r="152" s="3">
      <c r="A152" s="117" t="n">
        <v>43493</v>
      </c>
      <c r="B152" s="289" t="inlineStr">
        <is>
          <t>安卓</t>
        </is>
      </c>
      <c r="C152" s="268" t="n">
        <v>71107</v>
      </c>
      <c r="D152" s="268" t="n">
        <v>185778</v>
      </c>
      <c r="E152" s="269" t="n">
        <v>2.61265416906915</v>
      </c>
      <c r="F152" s="270" t="n">
        <v>0.197771601588993</v>
      </c>
      <c r="G152" s="292" t="n">
        <v>12.19</v>
      </c>
      <c r="H152" s="271" t="n">
        <v>25.52</v>
      </c>
      <c r="I152" s="141" t="n">
        <v>0.335</v>
      </c>
      <c r="J152" s="141" t="n">
        <v>0.179</v>
      </c>
      <c r="K152" s="141" t="n">
        <v>0.103</v>
      </c>
      <c r="L152" s="270" t="n">
        <v>11.800799879426</v>
      </c>
      <c r="M152" s="272" t="n">
        <v>13.824871620967</v>
      </c>
      <c r="N152" s="270" t="n">
        <v>20.3601937437572</v>
      </c>
      <c r="O152" s="273">
        <f>M152/N152</f>
        <v/>
      </c>
      <c r="P152" s="270" t="n">
        <v>2.57652244224946</v>
      </c>
      <c r="Q152" s="270" t="n">
        <v>3.94645093780223</v>
      </c>
      <c r="R152" s="270" t="n">
        <v>1.15433703803529</v>
      </c>
      <c r="S152" s="270" t="n">
        <v>7.2475068571338</v>
      </c>
      <c r="T152" s="270" t="n">
        <v>1.43788942970843</v>
      </c>
      <c r="U152" s="270" t="n">
        <v>0.550711080811124</v>
      </c>
      <c r="V152" s="270" t="n">
        <v>2.31037845036703</v>
      </c>
      <c r="W152" s="270" t="n">
        <v>1.13639750764987</v>
      </c>
      <c r="X152" s="270" t="n">
        <v>0.254368116784549</v>
      </c>
      <c r="Y152" s="269" t="n">
        <v>14.0792397377515</v>
      </c>
      <c r="Z152" s="275" t="n">
        <v>2354</v>
      </c>
      <c r="AA152" s="275" t="n">
        <v>1586</v>
      </c>
      <c r="AB152" s="270" t="n">
        <v>15905.46</v>
      </c>
      <c r="AC152" s="290" t="n"/>
      <c r="AD152" s="276" t="n">
        <v>0.0126710374748356</v>
      </c>
      <c r="AE152" s="142" t="n">
        <v>0.00853707112790535</v>
      </c>
      <c r="AF152" s="270" t="n">
        <v>6.75677994902294</v>
      </c>
      <c r="AG152" s="277" t="n">
        <v>0.0856154119432872</v>
      </c>
      <c r="AH152" s="118" t="n">
        <v>0.5373170011391279</v>
      </c>
      <c r="AI152" s="118" t="n">
        <v>0.388499022599744</v>
      </c>
      <c r="AJ152" s="270" t="n">
        <v>0.600587798339954</v>
      </c>
      <c r="AK152" s="64" t="n">
        <v>0.271996684214493</v>
      </c>
      <c r="AL152" s="64" t="n">
        <v>0.0237272443454015</v>
      </c>
      <c r="AM152" s="119" t="n">
        <v>0.329527715875938</v>
      </c>
    </row>
    <row customHeight="1" hidden="1" ht="13.2" outlineLevel="1" r="153" s="3">
      <c r="A153" s="117" t="n">
        <v>43494</v>
      </c>
      <c r="B153" s="289" t="inlineStr">
        <is>
          <t>安卓</t>
        </is>
      </c>
      <c r="C153" s="268" t="n">
        <v>66196</v>
      </c>
      <c r="D153" s="268" t="n">
        <v>185846</v>
      </c>
      <c r="E153" s="269" t="n">
        <v>2.80751102785667</v>
      </c>
      <c r="F153" s="270" t="n">
        <v>0.823941500220613</v>
      </c>
      <c r="G153" s="292" t="n">
        <v>13.57</v>
      </c>
      <c r="H153" s="271" t="n">
        <v>26.76</v>
      </c>
      <c r="I153" s="141" t="n">
        <v>0.347</v>
      </c>
      <c r="J153" s="141" t="n">
        <v>0.183</v>
      </c>
      <c r="K153" s="141" t="n">
        <v>0.094</v>
      </c>
      <c r="L153" s="270" t="n">
        <v>11.5650592425987</v>
      </c>
      <c r="M153" s="272" t="n">
        <v>13.1654703356543</v>
      </c>
      <c r="N153" s="270" t="n">
        <v>19.1901960784314</v>
      </c>
      <c r="O153" s="273">
        <f>M153/N153</f>
        <v/>
      </c>
      <c r="P153" s="270" t="n">
        <v>2.45546666666667</v>
      </c>
      <c r="Q153" s="270" t="n">
        <v>3.67555294117647</v>
      </c>
      <c r="R153" s="270" t="n">
        <v>1.11473725490196</v>
      </c>
      <c r="S153" s="270" t="n">
        <v>6.7297568627451</v>
      </c>
      <c r="T153" s="270" t="n">
        <v>1.36338039215686</v>
      </c>
      <c r="U153" s="270" t="n">
        <v>0.573050980392157</v>
      </c>
      <c r="V153" s="270" t="n">
        <v>2.19152156862745</v>
      </c>
      <c r="W153" s="270" t="n">
        <v>1.08672941176471</v>
      </c>
      <c r="X153" s="270" t="n">
        <v>0.226106561346491</v>
      </c>
      <c r="Y153" s="269" t="n">
        <v>13.3915768970007</v>
      </c>
      <c r="Z153" s="275" t="n">
        <v>2357</v>
      </c>
      <c r="AA153" s="275" t="n">
        <v>1591</v>
      </c>
      <c r="AB153" s="270" t="n">
        <v>15081.43</v>
      </c>
      <c r="AC153" s="290" t="n"/>
      <c r="AD153" s="276" t="n">
        <v>0.0126825436113772</v>
      </c>
      <c r="AE153" s="142" t="n">
        <v>0.00856085145765849</v>
      </c>
      <c r="AF153" s="270" t="n">
        <v>6.39857021637675</v>
      </c>
      <c r="AG153" s="277">
        <f>AD153*AF153</f>
        <v/>
      </c>
      <c r="AH153" s="118" t="n">
        <v>0.549172155417246</v>
      </c>
      <c r="AI153" s="118" t="n">
        <v>0.402275061937277</v>
      </c>
      <c r="AJ153" s="270" t="n">
        <v>0.642176856106669</v>
      </c>
      <c r="AK153" s="64" t="n">
        <v>0.291042045564607</v>
      </c>
      <c r="AL153" s="64" t="n">
        <v>0.0265972902295449</v>
      </c>
      <c r="AM153" s="119" t="n">
        <v>0.277977465213133</v>
      </c>
    </row>
    <row customFormat="1" customHeight="1" hidden="1" ht="12.45" outlineLevel="1" r="154" s="294">
      <c r="A154" s="121" t="n">
        <v>43495</v>
      </c>
      <c r="B154" s="295" t="inlineStr">
        <is>
          <t>安卓</t>
        </is>
      </c>
      <c r="C154" s="296" t="n">
        <v>55921</v>
      </c>
      <c r="D154" s="296" t="n">
        <v>180628</v>
      </c>
      <c r="E154" s="297" t="n">
        <v>3.23005668711218</v>
      </c>
      <c r="F154" s="294" t="n">
        <v>0.776802304803242</v>
      </c>
      <c r="G154" s="298" t="n">
        <v>13.73</v>
      </c>
      <c r="H154" s="306" t="n">
        <v>26.44</v>
      </c>
      <c r="I154" s="123" t="n">
        <v>0.345</v>
      </c>
      <c r="J154" s="123" t="n">
        <v>0.176</v>
      </c>
      <c r="K154" s="123" t="n">
        <v>0.093</v>
      </c>
      <c r="L154" s="294" t="n">
        <v>11.2988794649777</v>
      </c>
      <c r="M154" s="299" t="n">
        <v>12.2507916823527</v>
      </c>
      <c r="N154" s="294" t="n">
        <v>17.5068909318185</v>
      </c>
      <c r="O154" s="300">
        <f>M154/N154</f>
        <v/>
      </c>
      <c r="P154" s="294" t="n">
        <v>2.22741657304704</v>
      </c>
      <c r="Q154" s="294" t="n">
        <v>3.23067611829301</v>
      </c>
      <c r="R154" s="294" t="n">
        <v>1.03283279798731</v>
      </c>
      <c r="S154" s="294" t="n">
        <v>6.21433092295764</v>
      </c>
      <c r="T154" s="294" t="n">
        <v>1.23539138277504</v>
      </c>
      <c r="U154" s="294" t="n">
        <v>0.579083529802687</v>
      </c>
      <c r="V154" s="294" t="n">
        <v>1.98960426589028</v>
      </c>
      <c r="W154" s="294" t="n">
        <v>0.997555341065523</v>
      </c>
      <c r="X154" s="294" t="n">
        <v>0.195501251190292</v>
      </c>
      <c r="Y154" s="297" t="n">
        <v>12.446292933543</v>
      </c>
      <c r="Z154" s="293" t="n">
        <v>2207</v>
      </c>
      <c r="AA154" s="293" t="n">
        <v>1503</v>
      </c>
      <c r="AB154" s="294" t="n">
        <v>13354.93</v>
      </c>
      <c r="AC154" s="302" t="n"/>
      <c r="AD154" s="303" t="n">
        <v>0.0122184821843789</v>
      </c>
      <c r="AE154" s="124" t="n">
        <v>0.0083209690634896</v>
      </c>
      <c r="AF154" s="294" t="n">
        <v>6.05116900770276</v>
      </c>
      <c r="AG154" s="304" t="n">
        <v>0.0739361007152823</v>
      </c>
      <c r="AH154" s="125" t="n">
        <v>0.565422649809553</v>
      </c>
      <c r="AI154" s="125" t="n">
        <v>0.43134064126178</v>
      </c>
      <c r="AJ154" s="294" t="n">
        <v>0.711921739708129</v>
      </c>
      <c r="AK154" s="126" t="n">
        <v>0.327225014947849</v>
      </c>
      <c r="AL154" s="126" t="n">
        <v>0.0297185375467812</v>
      </c>
      <c r="AM154" s="127" t="n">
        <v>0</v>
      </c>
      <c r="AN154" s="303" t="n"/>
    </row>
    <row customHeight="1" hidden="1" ht="13.2" outlineLevel="1" r="155" s="3">
      <c r="A155" s="117" t="n">
        <v>43496</v>
      </c>
      <c r="B155" s="267" t="inlineStr">
        <is>
          <t>安卓</t>
        </is>
      </c>
      <c r="C155" s="268" t="n">
        <v>45066</v>
      </c>
      <c r="D155" s="268" t="n">
        <v>171432</v>
      </c>
      <c r="E155" s="269" t="n">
        <v>3.80402076953801</v>
      </c>
      <c r="F155" s="270" t="n">
        <v>0.807170737085258</v>
      </c>
      <c r="G155" s="292" t="n">
        <v>14.33</v>
      </c>
      <c r="H155" s="271" t="n">
        <v>26.56</v>
      </c>
      <c r="I155" s="141" t="n">
        <v>0.344</v>
      </c>
      <c r="J155" s="141" t="n">
        <v>0.176</v>
      </c>
      <c r="K155" s="141" t="n">
        <v>0.092</v>
      </c>
      <c r="L155" s="270" t="n">
        <v>10.8891280507723</v>
      </c>
      <c r="M155" s="272" t="n">
        <v>12.1491903495263</v>
      </c>
      <c r="N155" s="270" t="n">
        <v>17.1798107775936</v>
      </c>
      <c r="O155" s="273">
        <f>M155/N155</f>
        <v/>
      </c>
      <c r="P155" s="270" t="n">
        <v>2.2114605759158</v>
      </c>
      <c r="Q155" s="270" t="n">
        <v>3.22524395172931</v>
      </c>
      <c r="R155" s="270" t="n">
        <v>0.996461359530821</v>
      </c>
      <c r="S155" s="270" t="n">
        <v>5.99636237658063</v>
      </c>
      <c r="T155" s="270" t="n">
        <v>1.23487829221417</v>
      </c>
      <c r="U155" s="270" t="n">
        <v>0.559476380193512</v>
      </c>
      <c r="V155" s="270" t="n">
        <v>1.9616935982777</v>
      </c>
      <c r="W155" s="270" t="n">
        <v>0.994234243151617</v>
      </c>
      <c r="X155" s="270" t="n">
        <v>0.194421111577768</v>
      </c>
      <c r="Y155" s="269" t="n">
        <v>12.3436114611041</v>
      </c>
      <c r="Z155" s="275" t="n">
        <v>2278</v>
      </c>
      <c r="AA155" s="275" t="n">
        <v>1533</v>
      </c>
      <c r="AB155" s="270" t="n">
        <v>13189.22</v>
      </c>
      <c r="AC155" s="290" t="n"/>
      <c r="AD155" s="276" t="n">
        <v>0.0132880675719819</v>
      </c>
      <c r="AE155" s="142" t="n">
        <v>0.00894232115357693</v>
      </c>
      <c r="AF155" s="270" t="n">
        <v>5.78982440737489</v>
      </c>
      <c r="AG155" s="277" t="n">
        <v>0.0769355779551076</v>
      </c>
      <c r="AH155" s="118" t="n">
        <v>0.568632672080948</v>
      </c>
      <c r="AI155" s="118" t="n">
        <v>0.44587937691386</v>
      </c>
      <c r="AJ155" s="270" t="n">
        <v>0.694561108777824</v>
      </c>
      <c r="AK155" s="64" t="n">
        <v>0.345997246721732</v>
      </c>
      <c r="AL155" s="64" t="n">
        <v>0.0310910448457698</v>
      </c>
      <c r="AM155" s="119" t="n">
        <v>0</v>
      </c>
    </row>
    <row collapsed="1" customHeight="1" ht="13.2" r="156" s="3">
      <c r="A156" s="117" t="n">
        <v>43497</v>
      </c>
      <c r="B156" s="267" t="inlineStr">
        <is>
          <t>安卓</t>
        </is>
      </c>
      <c r="C156" s="268" t="n">
        <v>41447</v>
      </c>
      <c r="D156" s="268" t="n">
        <v>165692</v>
      </c>
      <c r="E156" s="269" t="n">
        <v>3.99768378893527</v>
      </c>
      <c r="F156" s="270" t="n">
        <v>0.801106151353113</v>
      </c>
      <c r="G156" s="292" t="n">
        <v>14.26</v>
      </c>
      <c r="H156" s="271" t="n">
        <v>26.68</v>
      </c>
      <c r="I156" s="141" t="n">
        <v>0.344</v>
      </c>
      <c r="J156" s="141" t="n">
        <v>0.18</v>
      </c>
      <c r="K156" s="141" t="n">
        <v>0.094</v>
      </c>
      <c r="L156" s="270" t="n">
        <v>10.6017369577288</v>
      </c>
      <c r="M156" s="272" t="n">
        <v>11.6572616662241</v>
      </c>
      <c r="N156" s="270" t="n">
        <v>16.4713682684518</v>
      </c>
      <c r="O156" s="273">
        <f>M156/N156</f>
        <v/>
      </c>
      <c r="P156" s="270" t="n">
        <v>2.16812348100456</v>
      </c>
      <c r="Q156" s="270" t="n">
        <v>3.10475418922952</v>
      </c>
      <c r="R156" s="270" t="n">
        <v>0.947622905385239</v>
      </c>
      <c r="S156" s="270" t="n">
        <v>5.6431671854347</v>
      </c>
      <c r="T156" s="270" t="n">
        <v>1.20718031808297</v>
      </c>
      <c r="U156" s="270" t="n">
        <v>0.555408689719865</v>
      </c>
      <c r="V156" s="270" t="n">
        <v>1.87756790176097</v>
      </c>
      <c r="W156" s="270" t="n">
        <v>0.967543597833966</v>
      </c>
      <c r="X156" s="270" t="n">
        <v>0.180056973179152</v>
      </c>
      <c r="Y156" s="269" t="n">
        <v>11.8373186394032</v>
      </c>
      <c r="Z156" s="275" t="n">
        <v>2378</v>
      </c>
      <c r="AA156" s="275" t="n">
        <v>1622</v>
      </c>
      <c r="AB156" s="270" t="n">
        <v>14582.22</v>
      </c>
      <c r="AC156" s="290" t="n"/>
      <c r="AD156" s="276" t="n">
        <v>0.0143519300871497</v>
      </c>
      <c r="AE156" s="142" t="n">
        <v>0.009789247519494001</v>
      </c>
      <c r="AF156" s="270" t="n">
        <v>6.1321362489487</v>
      </c>
      <c r="AG156" s="277" t="n">
        <v>0.08800799072978779</v>
      </c>
      <c r="AH156" s="118" t="n">
        <v>0.574420344053852</v>
      </c>
      <c r="AI156" s="118" t="n">
        <v>0.433734649069897</v>
      </c>
      <c r="AJ156" s="270" t="n">
        <v>0.659524901624701</v>
      </c>
      <c r="AK156" s="64" t="n">
        <v>0.349304734084929</v>
      </c>
      <c r="AL156" s="64" t="n">
        <v>0.0315163073654733</v>
      </c>
      <c r="AM156" s="119" t="n">
        <v>0</v>
      </c>
    </row>
    <row customHeight="1" hidden="1" ht="13.2" outlineLevel="1" r="157" s="3">
      <c r="A157" s="117" t="n">
        <v>43498</v>
      </c>
      <c r="B157" s="289" t="inlineStr">
        <is>
          <t>安卓</t>
        </is>
      </c>
      <c r="C157" s="268" t="n">
        <v>40734</v>
      </c>
      <c r="D157" s="268" t="n">
        <v>160152</v>
      </c>
      <c r="E157" s="269" t="n">
        <v>3.93165414641332</v>
      </c>
      <c r="F157" s="270" t="n">
        <v>0.958920475048704</v>
      </c>
      <c r="G157" s="292" t="n">
        <v>12.87</v>
      </c>
      <c r="H157" s="271" t="n">
        <v>24.63</v>
      </c>
      <c r="I157" s="141" t="n">
        <v>0.34</v>
      </c>
      <c r="J157" s="141" t="n">
        <v>0.162</v>
      </c>
      <c r="K157" s="141" t="n">
        <v>0.096</v>
      </c>
      <c r="L157" s="270" t="n">
        <v>12.0934050152355</v>
      </c>
      <c r="M157" s="272" t="n">
        <v>14.3587591787802</v>
      </c>
      <c r="N157" s="270" t="n">
        <v>20.1707278564286</v>
      </c>
      <c r="O157" s="273">
        <f>M157/N157</f>
        <v/>
      </c>
      <c r="P157" s="270" t="n">
        <v>2.57091732014105</v>
      </c>
      <c r="Q157" s="270" t="n">
        <v>3.74372401452555</v>
      </c>
      <c r="R157" s="270" t="n">
        <v>1.01649913162465</v>
      </c>
      <c r="S157" s="270" t="n">
        <v>7.37098924618003</v>
      </c>
      <c r="T157" s="270" t="n">
        <v>1.4692998614108</v>
      </c>
      <c r="U157" s="270" t="n">
        <v>0.504105047102784</v>
      </c>
      <c r="V157" s="270" t="n">
        <v>2.37735733207024</v>
      </c>
      <c r="W157" s="270" t="n">
        <v>1.11783590337351</v>
      </c>
      <c r="X157" s="270" t="n">
        <v>0.283324591637944</v>
      </c>
      <c r="Y157" s="269" t="n">
        <v>14.6420837704181</v>
      </c>
      <c r="Z157" s="275" t="n">
        <v>2808</v>
      </c>
      <c r="AA157" s="275" t="n">
        <v>1760</v>
      </c>
      <c r="AB157" s="270" t="n">
        <v>20982.92</v>
      </c>
      <c r="AC157" s="290" t="n"/>
      <c r="AD157" s="276" t="n">
        <v>0.0175333433238423</v>
      </c>
      <c r="AE157" s="142" t="n">
        <v>0.0109895599180778</v>
      </c>
      <c r="AF157" s="270" t="n">
        <v>7.47254985754986</v>
      </c>
      <c r="AG157" s="277" t="n">
        <v>0.131018782156951</v>
      </c>
      <c r="AH157" s="118" t="n">
        <v>0.569769725536407</v>
      </c>
      <c r="AI157" s="118" t="n">
        <v>0.419084794029558</v>
      </c>
      <c r="AJ157" s="270" t="n">
        <v>0.546405914381338</v>
      </c>
      <c r="AK157" s="64" t="n">
        <v>0.311510315200559</v>
      </c>
      <c r="AL157" s="64" t="n">
        <v>0.028610320195814</v>
      </c>
      <c r="AM157" s="119" t="n">
        <v>0.368037864029172</v>
      </c>
    </row>
    <row customHeight="1" hidden="1" ht="13.2" outlineLevel="1" r="158" s="3">
      <c r="A158" s="117" t="n">
        <v>43499</v>
      </c>
      <c r="B158" s="289" t="inlineStr">
        <is>
          <t>安卓</t>
        </is>
      </c>
      <c r="C158" s="268" t="n">
        <v>58991</v>
      </c>
      <c r="D158" s="268" t="n">
        <v>178593</v>
      </c>
      <c r="E158" s="269" t="n">
        <v>3.02746181620925</v>
      </c>
      <c r="F158" s="270" t="n">
        <v>0.239791666526684</v>
      </c>
      <c r="G158" s="292" t="n">
        <v>12.09</v>
      </c>
      <c r="H158" s="271" t="n">
        <v>24.38</v>
      </c>
      <c r="I158" s="141" t="n">
        <v>0.34</v>
      </c>
      <c r="J158" s="141" t="n">
        <v>0.17</v>
      </c>
      <c r="K158" s="141" t="n">
        <v>0.103</v>
      </c>
      <c r="L158" s="270" t="n">
        <v>11.5897991522624</v>
      </c>
      <c r="M158" s="272" t="n">
        <v>13.7270721696819</v>
      </c>
      <c r="N158" s="270" t="n">
        <v>19.9072586866316</v>
      </c>
      <c r="O158" s="273">
        <f>M158/N158</f>
        <v/>
      </c>
      <c r="P158" s="270" t="n">
        <v>2.52181503706892</v>
      </c>
      <c r="Q158" s="270" t="n">
        <v>3.74836174065563</v>
      </c>
      <c r="R158" s="270" t="n">
        <v>1.04869710675686</v>
      </c>
      <c r="S158" s="270" t="n">
        <v>7.18873072456942</v>
      </c>
      <c r="T158" s="270" t="n">
        <v>1.44814817822313</v>
      </c>
      <c r="U158" s="270" t="n">
        <v>0.52412930677472</v>
      </c>
      <c r="V158" s="270" t="n">
        <v>2.29996183485047</v>
      </c>
      <c r="W158" s="270" t="n">
        <v>1.1274147577325</v>
      </c>
      <c r="X158" s="270" t="n">
        <v>0.288208384427161</v>
      </c>
      <c r="Y158" s="269" t="n">
        <v>14.0152805541091</v>
      </c>
      <c r="Z158" s="275" t="n">
        <v>2599</v>
      </c>
      <c r="AA158" s="275" t="n">
        <v>1711</v>
      </c>
      <c r="AB158" s="270" t="n">
        <v>18539.01</v>
      </c>
      <c r="AC158" s="290" t="n"/>
      <c r="AD158" s="276" t="n">
        <v>0.0145526420408415</v>
      </c>
      <c r="AE158" s="142" t="n">
        <v>0.00958044268252395</v>
      </c>
      <c r="AF158" s="270" t="n">
        <v>7.13313197383609</v>
      </c>
      <c r="AG158" s="277" t="n">
        <v>0.103805916245318</v>
      </c>
      <c r="AH158" s="118" t="n">
        <v>0.543794816158397</v>
      </c>
      <c r="AI158" s="118" t="n">
        <v>0.363343560882168</v>
      </c>
      <c r="AJ158" s="270" t="n">
        <v>0.528469760852889</v>
      </c>
      <c r="AK158" s="64" t="n">
        <v>0.27942304569608</v>
      </c>
      <c r="AL158" s="64" t="n">
        <v>0.0253649359157414</v>
      </c>
      <c r="AM158" s="119" t="n">
        <v>0.349532176513077</v>
      </c>
    </row>
    <row customHeight="1" hidden="1" ht="13.2" outlineLevel="1" r="159" s="3">
      <c r="A159" s="117" t="n">
        <v>43500</v>
      </c>
      <c r="B159" s="289" t="inlineStr">
        <is>
          <t>安卓</t>
        </is>
      </c>
      <c r="C159" s="268" t="n">
        <v>65892</v>
      </c>
      <c r="D159" s="268" t="n">
        <v>191621</v>
      </c>
      <c r="E159" s="269" t="n">
        <v>2.90810720573059</v>
      </c>
      <c r="F159" s="270" t="n">
        <v>0.7000535425240449</v>
      </c>
      <c r="G159" s="292" t="n">
        <v>12.5</v>
      </c>
      <c r="H159" s="271" t="n">
        <v>25.44</v>
      </c>
      <c r="I159" s="141" t="n">
        <v>0.338</v>
      </c>
      <c r="J159" s="141" t="n">
        <v>0.181</v>
      </c>
      <c r="K159" s="141" t="n">
        <v>0.104</v>
      </c>
      <c r="L159" s="270" t="n">
        <v>11.4556129025524</v>
      </c>
      <c r="M159" s="272" t="n">
        <v>13.0732226634868</v>
      </c>
      <c r="N159" s="270" t="n">
        <v>19.1305250939304</v>
      </c>
      <c r="O159" s="273">
        <f>M159/N159</f>
        <v/>
      </c>
      <c r="P159" s="270" t="n">
        <v>2.45229404038244</v>
      </c>
      <c r="Q159" s="270" t="n">
        <v>3.67573387909705</v>
      </c>
      <c r="R159" s="270" t="n">
        <v>0.995975501725876</v>
      </c>
      <c r="S159" s="270" t="n">
        <v>6.80095915936097</v>
      </c>
      <c r="T159" s="270" t="n">
        <v>1.40277056541528</v>
      </c>
      <c r="U159" s="270" t="n">
        <v>0.524146989644744</v>
      </c>
      <c r="V159" s="270" t="n">
        <v>2.19266426367719</v>
      </c>
      <c r="W159" s="270" t="n">
        <v>1.08598069462687</v>
      </c>
      <c r="X159" s="270" t="n">
        <v>0.280444210185731</v>
      </c>
      <c r="Y159" s="269" t="n">
        <v>13.3536668736725</v>
      </c>
      <c r="Z159" s="275" t="n">
        <v>2440</v>
      </c>
      <c r="AA159" s="275" t="n">
        <v>1670</v>
      </c>
      <c r="AB159" s="270" t="n">
        <v>16164.6</v>
      </c>
      <c r="AC159" s="290" t="n"/>
      <c r="AD159" s="276" t="n">
        <v>0.0127334686699266</v>
      </c>
      <c r="AE159" s="142" t="n">
        <v>0.0087151199503186</v>
      </c>
      <c r="AF159" s="270" t="n">
        <v>6.62483606557377</v>
      </c>
      <c r="AG159" s="277" t="n">
        <v>0.08435714248438329</v>
      </c>
      <c r="AH159" s="118" t="n">
        <v>0.54300977356887</v>
      </c>
      <c r="AI159" s="118" t="n">
        <v>0.370151156437807</v>
      </c>
      <c r="AJ159" s="270" t="n">
        <v>0.519113249591642</v>
      </c>
      <c r="AK159" s="64" t="n">
        <v>0.265090986896008</v>
      </c>
      <c r="AL159" s="64" t="n">
        <v>0.0235673543087657</v>
      </c>
      <c r="AM159" s="119" t="n">
        <v>0.329593311797767</v>
      </c>
    </row>
    <row customHeight="1" hidden="1" ht="13.2" outlineLevel="1" r="160" s="3">
      <c r="A160" s="117" t="n">
        <v>43501</v>
      </c>
      <c r="B160" s="289" t="inlineStr">
        <is>
          <t>安卓</t>
        </is>
      </c>
      <c r="C160" s="268" t="n">
        <v>59353</v>
      </c>
      <c r="D160" s="268" t="n">
        <v>185218</v>
      </c>
      <c r="E160" s="269" t="n">
        <v>3.12061732347143</v>
      </c>
      <c r="F160" s="270" t="n">
        <v>0.197225519657917</v>
      </c>
      <c r="G160" s="292" t="n">
        <v>13.43</v>
      </c>
      <c r="H160" s="271" t="n">
        <v>26.78</v>
      </c>
      <c r="I160" s="141" t="n">
        <v>0.353</v>
      </c>
      <c r="J160" s="141" t="n">
        <v>0.187</v>
      </c>
      <c r="K160" s="141" t="n">
        <v>0.104</v>
      </c>
      <c r="L160" s="270" t="n">
        <v>11.4867561468108</v>
      </c>
      <c r="M160" s="272" t="n">
        <v>13.2129490654256</v>
      </c>
      <c r="N160" s="270" t="n">
        <v>19.1982365031301</v>
      </c>
      <c r="O160" s="273">
        <f>M160/N160</f>
        <v/>
      </c>
      <c r="P160" s="270" t="n">
        <v>2.57315217220767</v>
      </c>
      <c r="Q160" s="270" t="n">
        <v>3.83781790796555</v>
      </c>
      <c r="R160" s="270" t="n">
        <v>1.08126363023048</v>
      </c>
      <c r="S160" s="270" t="n">
        <v>7.27409510959098</v>
      </c>
      <c r="T160" s="270" t="n">
        <v>1.48827211823588</v>
      </c>
      <c r="U160" s="270" t="n">
        <v>0.56238134835339</v>
      </c>
      <c r="V160" s="270" t="n">
        <v>2.34045373958611</v>
      </c>
      <c r="W160" s="270" t="n">
        <v>1.15025024710921</v>
      </c>
      <c r="X160" s="270" t="n">
        <v>0.289534494487577</v>
      </c>
      <c r="Y160" s="269" t="n">
        <v>13.5024835599132</v>
      </c>
      <c r="Z160" s="275" t="n">
        <v>2527</v>
      </c>
      <c r="AA160" s="275" t="n">
        <v>1634</v>
      </c>
      <c r="AB160" s="270" t="n">
        <v>15813.73</v>
      </c>
      <c r="AC160" s="290" t="n"/>
      <c r="AD160" s="276" t="n">
        <v>0.01364338239264</v>
      </c>
      <c r="AE160" s="142" t="n">
        <v>0.008822036735090541</v>
      </c>
      <c r="AF160" s="270" t="n">
        <v>6.25790660862683</v>
      </c>
      <c r="AG160" s="277" t="n">
        <v>0.08537901283892491</v>
      </c>
      <c r="AH160" s="118" t="n">
        <v>0.560493993563931</v>
      </c>
      <c r="AI160" s="118" t="n">
        <v>0.413509005442016</v>
      </c>
      <c r="AJ160" s="270" t="n">
        <v>0.593106501527929</v>
      </c>
      <c r="AK160" s="64" t="n">
        <v>0.279465278752605</v>
      </c>
      <c r="AL160" s="64" t="n">
        <v>0.0262609465602695</v>
      </c>
      <c r="AM160" s="119" t="n">
        <v>0.280707058709197</v>
      </c>
    </row>
    <row customFormat="1" customHeight="1" hidden="1" ht="12.45" outlineLevel="1" r="161" s="294">
      <c r="A161" s="121" t="n">
        <v>43502</v>
      </c>
      <c r="B161" s="295" t="inlineStr">
        <is>
          <t>安卓</t>
        </is>
      </c>
      <c r="C161" s="296" t="n">
        <v>53377</v>
      </c>
      <c r="D161" s="296" t="n">
        <v>182088</v>
      </c>
      <c r="E161" s="297" t="n">
        <v>3.41135695149596</v>
      </c>
      <c r="F161" s="294" t="n">
        <v>0.719356120881112</v>
      </c>
      <c r="G161" s="298" t="n">
        <v>13.36</v>
      </c>
      <c r="H161" s="306" t="n">
        <v>26.49</v>
      </c>
      <c r="I161" s="123" t="n">
        <v>0.354</v>
      </c>
      <c r="J161" s="123" t="n">
        <v>0.178</v>
      </c>
      <c r="K161" s="123" t="n">
        <v>0.095</v>
      </c>
      <c r="L161" s="294" t="n">
        <v>11.0847776899082</v>
      </c>
      <c r="M161" s="299" t="n">
        <v>12.0143062694961</v>
      </c>
      <c r="N161" s="294" t="n">
        <v>17.2346337466715</v>
      </c>
      <c r="O161" s="300">
        <f>M161/N161</f>
        <v/>
      </c>
      <c r="P161" s="294" t="n">
        <v>2.23810799313029</v>
      </c>
      <c r="Q161" s="294" t="n">
        <v>3.1338805993666</v>
      </c>
      <c r="R161" s="294" t="n">
        <v>0.983069941859549</v>
      </c>
      <c r="S161" s="294" t="n">
        <v>6.05391778404525</v>
      </c>
      <c r="T161" s="294" t="n">
        <v>1.27683678131943</v>
      </c>
      <c r="U161" s="294" t="n">
        <v>0.582089904989995</v>
      </c>
      <c r="V161" s="294" t="n">
        <v>1.96680952305923</v>
      </c>
      <c r="W161" s="294" t="n">
        <v>0.999921218901161</v>
      </c>
      <c r="X161" s="294" t="n">
        <v>0.212792715610035</v>
      </c>
      <c r="Y161" s="297" t="n">
        <v>12.2270989851061</v>
      </c>
      <c r="Z161" s="293" t="n">
        <v>2203</v>
      </c>
      <c r="AA161" s="293" t="n">
        <v>1508</v>
      </c>
      <c r="AB161" s="294" t="n">
        <v>12856.97</v>
      </c>
      <c r="AC161" s="302" t="n"/>
      <c r="AD161" s="303" t="n">
        <v>0.012098545758095</v>
      </c>
      <c r="AE161" s="124" t="n">
        <v>0.00828170994244541</v>
      </c>
      <c r="AF161" s="294" t="n">
        <v>5.83611892873354</v>
      </c>
      <c r="AG161" s="304" t="n">
        <v>0.0706085519089671</v>
      </c>
      <c r="AH161" s="125" t="n">
        <v>0.573786462333964</v>
      </c>
      <c r="AI161" s="125" t="n">
        <v>0.421567341738951</v>
      </c>
      <c r="AJ161" s="294" t="n">
        <v>0.6666337155661</v>
      </c>
      <c r="AK161" s="126" t="n">
        <v>0.316193269188524</v>
      </c>
      <c r="AL161" s="126" t="n">
        <v>0.02856860419138</v>
      </c>
      <c r="AM161" s="127" t="n">
        <v>0</v>
      </c>
      <c r="AN161" s="303" t="n"/>
    </row>
    <row customHeight="1" hidden="1" ht="13.2" outlineLevel="1" r="162" s="3">
      <c r="A162" s="117" t="n">
        <v>43503</v>
      </c>
      <c r="B162" s="267" t="inlineStr">
        <is>
          <t>安卓</t>
        </is>
      </c>
      <c r="C162" s="268" t="n">
        <v>50127</v>
      </c>
      <c r="D162" s="268" t="n">
        <v>179524</v>
      </c>
      <c r="E162" s="269" t="n">
        <v>3.58138328645241</v>
      </c>
      <c r="F162" s="270" t="n">
        <v>0.163950243978521</v>
      </c>
      <c r="G162" s="292" t="n">
        <v>13.84</v>
      </c>
      <c r="H162" s="271" t="n">
        <v>26.24</v>
      </c>
      <c r="I162" s="141" t="n">
        <v>0.349</v>
      </c>
      <c r="J162" s="141" t="n">
        <v>0.181</v>
      </c>
      <c r="K162" s="141" t="n">
        <v>0.097</v>
      </c>
      <c r="L162" s="270" t="n">
        <v>10.9657093202023</v>
      </c>
      <c r="M162" s="272" t="n">
        <v>11.5973128940977</v>
      </c>
      <c r="N162" s="270" t="n">
        <v>16.5051767056175</v>
      </c>
      <c r="O162" s="273">
        <f>M162/N162</f>
        <v/>
      </c>
      <c r="P162" s="270" t="n">
        <v>2.18017789475353</v>
      </c>
      <c r="Q162" s="270" t="n">
        <v>3.04787461749457</v>
      </c>
      <c r="R162" s="270" t="n">
        <v>0.9287866055714989</v>
      </c>
      <c r="S162" s="270" t="n">
        <v>5.68460940844445</v>
      </c>
      <c r="T162" s="270" t="n">
        <v>1.23941272534128</v>
      </c>
      <c r="U162" s="270" t="n">
        <v>0.569810213885938</v>
      </c>
      <c r="V162" s="270" t="n">
        <v>1.88788825292131</v>
      </c>
      <c r="W162" s="270" t="n">
        <v>0.966616987204896</v>
      </c>
      <c r="X162" s="270" t="n">
        <v>0.184744101067267</v>
      </c>
      <c r="Y162" s="269" t="n">
        <v>11.782056995165</v>
      </c>
      <c r="Z162" s="275" t="n">
        <v>2144</v>
      </c>
      <c r="AA162" s="275" t="n">
        <v>1509</v>
      </c>
      <c r="AB162" s="270" t="n">
        <v>12741.56</v>
      </c>
      <c r="AC162" s="290" t="n"/>
      <c r="AD162" s="276" t="n">
        <v>0.0119426928989996</v>
      </c>
      <c r="AE162" s="142" t="n">
        <v>0.008405561373409681</v>
      </c>
      <c r="AF162" s="270" t="n">
        <v>5.94289179104478</v>
      </c>
      <c r="AG162" s="277" t="n">
        <v>0.07097413159243331</v>
      </c>
      <c r="AH162" s="118" t="n">
        <v>0.5731242643685041</v>
      </c>
      <c r="AI162" s="118" t="n">
        <v>0.42543938396473</v>
      </c>
      <c r="AJ162" s="270" t="n">
        <v>0.646643345736503</v>
      </c>
      <c r="AK162" s="64" t="n">
        <v>0.325677903790022</v>
      </c>
      <c r="AL162" s="64" t="n">
        <v>0.0283026224905862</v>
      </c>
      <c r="AM162" s="119" t="n">
        <v>0</v>
      </c>
    </row>
    <row customHeight="1" hidden="1" ht="13.2" outlineLevel="1" r="163" s="3">
      <c r="A163" s="117" t="n">
        <v>43504</v>
      </c>
      <c r="B163" s="267" t="inlineStr">
        <is>
          <t>安卓</t>
        </is>
      </c>
      <c r="C163" s="268" t="n">
        <v>49191</v>
      </c>
      <c r="D163" s="268" t="n">
        <v>177524</v>
      </c>
      <c r="E163" s="269" t="n">
        <v>3.60887154154215</v>
      </c>
      <c r="F163" s="270" t="n">
        <v>0.6743405247177851</v>
      </c>
      <c r="G163" s="292" t="n">
        <v>13.07</v>
      </c>
      <c r="H163" s="271" t="n">
        <v>25.51</v>
      </c>
      <c r="I163" s="141" t="n">
        <v>0.344</v>
      </c>
      <c r="J163" s="141" t="n">
        <v>0.18</v>
      </c>
      <c r="K163" s="141" t="n">
        <v>0.093</v>
      </c>
      <c r="L163" s="270" t="n">
        <v>10.7158750366148</v>
      </c>
      <c r="M163" s="272" t="n">
        <v>11.3780108605034</v>
      </c>
      <c r="N163" s="270" t="n">
        <v>16.3708644696957</v>
      </c>
      <c r="O163" s="273">
        <f>M163/N163</f>
        <v/>
      </c>
      <c r="P163" s="270" t="n">
        <v>2.19857839879399</v>
      </c>
      <c r="Q163" s="270" t="n">
        <v>3.01268418407872</v>
      </c>
      <c r="R163" s="270" t="n">
        <v>0.911032403429998</v>
      </c>
      <c r="S163" s="270" t="n">
        <v>5.59799646625926</v>
      </c>
      <c r="T163" s="270" t="n">
        <v>1.24697281613201</v>
      </c>
      <c r="U163" s="270" t="n">
        <v>0.560065487672432</v>
      </c>
      <c r="V163" s="270" t="n">
        <v>1.87719440437017</v>
      </c>
      <c r="W163" s="270" t="n">
        <v>0.966340308959167</v>
      </c>
      <c r="X163" s="270" t="n">
        <v>0.187016966719993</v>
      </c>
      <c r="Y163" s="269" t="n">
        <v>11.5650278272234</v>
      </c>
      <c r="Z163" s="275" t="n">
        <v>2217</v>
      </c>
      <c r="AA163" s="275" t="n">
        <v>1562</v>
      </c>
      <c r="AB163" s="270" t="n">
        <v>13416.83</v>
      </c>
      <c r="AC163" s="290" t="n"/>
      <c r="AD163" s="276" t="n">
        <v>0.0124884522656092</v>
      </c>
      <c r="AE163" s="142" t="n">
        <v>0.008798810301705691</v>
      </c>
      <c r="AF163" s="270" t="n">
        <v>6.0517952187641</v>
      </c>
      <c r="AG163" s="277" t="n">
        <v>0.07557755571077709</v>
      </c>
      <c r="AH163" s="118" t="n">
        <v>0.554288386086886</v>
      </c>
      <c r="AI163" s="118" t="n">
        <v>0.404504889105731</v>
      </c>
      <c r="AJ163" s="270" t="n">
        <v>0.626011130889345</v>
      </c>
      <c r="AK163" s="64" t="n">
        <v>0.328575291228228</v>
      </c>
      <c r="AL163" s="64" t="n">
        <v>0.027799058155517</v>
      </c>
      <c r="AM163" s="119" t="n">
        <v>0</v>
      </c>
    </row>
    <row customHeight="1" hidden="1" ht="13.2" outlineLevel="1" r="164" s="3">
      <c r="A164" s="117" t="n">
        <v>43505</v>
      </c>
      <c r="B164" s="289" t="inlineStr">
        <is>
          <t>安卓</t>
        </is>
      </c>
      <c r="C164" s="268" t="n">
        <v>75653</v>
      </c>
      <c r="D164" s="268" t="n">
        <v>202455</v>
      </c>
      <c r="E164" s="269" t="n">
        <v>2.67610008856225</v>
      </c>
      <c r="F164" s="270" t="n">
        <v>0.229021059494702</v>
      </c>
      <c r="G164" s="292" t="n">
        <v>11.7</v>
      </c>
      <c r="H164" s="271" t="n">
        <v>23.37</v>
      </c>
      <c r="I164" s="141" t="n">
        <v>0.325</v>
      </c>
      <c r="J164" s="141" t="n">
        <v>0.159</v>
      </c>
      <c r="K164" s="141" t="n">
        <v>0.08799999999999999</v>
      </c>
      <c r="L164" s="270" t="n">
        <v>11.3049862932504</v>
      </c>
      <c r="M164" s="272" t="n">
        <v>12.7722555629646</v>
      </c>
      <c r="N164" s="270" t="n">
        <v>19.2309071031749</v>
      </c>
      <c r="O164" s="273">
        <f>M164/N164</f>
        <v/>
      </c>
      <c r="P164" s="270" t="n">
        <v>2.52502212537464</v>
      </c>
      <c r="Q164" s="270" t="n">
        <v>3.4806821308781</v>
      </c>
      <c r="R164" s="270" t="n">
        <v>0.948334461293609</v>
      </c>
      <c r="S164" s="270" t="n">
        <v>7.00306408549691</v>
      </c>
      <c r="T164" s="270" t="n">
        <v>1.42520879660273</v>
      </c>
      <c r="U164" s="270" t="n">
        <v>0.523631387539881</v>
      </c>
      <c r="V164" s="270" t="n">
        <v>2.24788600412015</v>
      </c>
      <c r="W164" s="270" t="n">
        <v>1.07707811186887</v>
      </c>
      <c r="X164" s="270" t="n">
        <v>0.299552987083549</v>
      </c>
      <c r="Y164" s="269" t="n">
        <v>13.0718085500482</v>
      </c>
      <c r="Z164" s="275" t="n">
        <v>2794</v>
      </c>
      <c r="AA164" s="275" t="n">
        <v>1832</v>
      </c>
      <c r="AB164" s="270" t="n">
        <v>20072.06</v>
      </c>
      <c r="AC164" s="290" t="n"/>
      <c r="AD164" s="276" t="n">
        <v>0.0138005976636783</v>
      </c>
      <c r="AE164" s="142" t="n">
        <v>0.009048924452347441</v>
      </c>
      <c r="AF164" s="270" t="n">
        <v>7.18398711524696</v>
      </c>
      <c r="AG164" s="277" t="n">
        <v>0.0991433157985725</v>
      </c>
      <c r="AH164" s="118" t="n">
        <v>0.51500931886376</v>
      </c>
      <c r="AI164" s="118" t="n">
        <v>0.322009702192907</v>
      </c>
      <c r="AJ164" s="270" t="n">
        <v>0.482359042750241</v>
      </c>
      <c r="AK164" s="64" t="n">
        <v>0.256012447210491</v>
      </c>
      <c r="AL164" s="64" t="n">
        <v>0.0219061025906992</v>
      </c>
      <c r="AM164" s="119" t="n">
        <v>0.332340520115581</v>
      </c>
    </row>
    <row customHeight="1" hidden="1" ht="13.2" outlineLevel="1" r="165" s="3">
      <c r="A165" s="117" t="n">
        <v>43506</v>
      </c>
      <c r="B165" s="289" t="inlineStr">
        <is>
          <t>安卓</t>
        </is>
      </c>
      <c r="C165" s="268" t="n">
        <v>61746</v>
      </c>
      <c r="D165" s="268" t="n">
        <v>198767</v>
      </c>
      <c r="E165" s="269" t="n">
        <v>3.21910731059502</v>
      </c>
      <c r="F165" s="270" t="n">
        <v>0.766961768200959</v>
      </c>
      <c r="G165" s="292" t="n">
        <v>12.61</v>
      </c>
      <c r="H165" s="271" t="n">
        <v>26.22</v>
      </c>
      <c r="I165" s="141" t="n">
        <v>0.327</v>
      </c>
      <c r="J165" s="141" t="n">
        <v>0.166</v>
      </c>
      <c r="K165" s="141" t="n">
        <v>0.1</v>
      </c>
      <c r="L165" s="270" t="n">
        <v>12.1013196355532</v>
      </c>
      <c r="M165" s="272" t="n">
        <v>13.6286003209788</v>
      </c>
      <c r="N165" s="270" t="n">
        <v>19.5831387489247</v>
      </c>
      <c r="O165" s="273">
        <f>M165/N165</f>
        <v/>
      </c>
      <c r="P165" s="270" t="n">
        <v>2.45565282767894</v>
      </c>
      <c r="Q165" s="270" t="n">
        <v>3.71618388045891</v>
      </c>
      <c r="R165" s="270" t="n">
        <v>1.0304997505946</v>
      </c>
      <c r="S165" s="270" t="n">
        <v>7.06532252817558</v>
      </c>
      <c r="T165" s="270" t="n">
        <v>1.42143729803584</v>
      </c>
      <c r="U165" s="270" t="n">
        <v>0.529881658943533</v>
      </c>
      <c r="V165" s="270" t="n">
        <v>2.25301997411967</v>
      </c>
      <c r="W165" s="270" t="n">
        <v>1.11114083091759</v>
      </c>
      <c r="X165" s="270" t="n">
        <v>0.322588759703573</v>
      </c>
      <c r="Y165" s="269" t="n">
        <v>13.9511890806824</v>
      </c>
      <c r="Z165" s="275" t="n">
        <v>2625</v>
      </c>
      <c r="AA165" s="275" t="n">
        <v>1789</v>
      </c>
      <c r="AB165" s="270" t="n">
        <v>17233.75</v>
      </c>
      <c r="AC165" s="290" t="n"/>
      <c r="AD165" s="276" t="n">
        <v>0.0132064175642838</v>
      </c>
      <c r="AE165" s="142" t="n">
        <v>0.00900048800857285</v>
      </c>
      <c r="AF165" s="270" t="n">
        <v>6.5652380952381</v>
      </c>
      <c r="AG165" s="277" t="n">
        <v>0.08670327569465761</v>
      </c>
      <c r="AH165" s="118" t="n">
        <v>0.564538593593107</v>
      </c>
      <c r="AI165" s="118" t="n">
        <v>0.420626437340071</v>
      </c>
      <c r="AJ165" s="270" t="n">
        <v>0.533378277078187</v>
      </c>
      <c r="AK165" s="64" t="n">
        <v>0.267413604874049</v>
      </c>
      <c r="AL165" s="64" t="n">
        <v>0.0228055965024375</v>
      </c>
      <c r="AM165" s="119" t="n">
        <v>0.358832200516182</v>
      </c>
    </row>
    <row customHeight="1" hidden="1" ht="13.2" outlineLevel="1" r="166" s="3">
      <c r="A166" s="117" t="n">
        <v>43507</v>
      </c>
      <c r="B166" s="289" t="inlineStr">
        <is>
          <t>安卓</t>
        </is>
      </c>
      <c r="C166" s="268" t="n">
        <v>52256</v>
      </c>
      <c r="D166" s="268" t="n">
        <v>193045</v>
      </c>
      <c r="E166" s="269" t="n">
        <v>3.69421693202694</v>
      </c>
      <c r="F166" s="270" t="n">
        <v>0.774252192468077</v>
      </c>
      <c r="G166" s="292" t="n">
        <v>12.8</v>
      </c>
      <c r="H166" s="271" t="n">
        <v>26.38</v>
      </c>
      <c r="I166" s="141" t="n">
        <v>0.336</v>
      </c>
      <c r="J166" s="141" t="n">
        <v>0.173</v>
      </c>
      <c r="K166" s="141" t="n">
        <v>0.105</v>
      </c>
      <c r="L166" s="270" t="n">
        <v>11.7787666088218</v>
      </c>
      <c r="M166" s="272" t="n">
        <v>13.3640083918257</v>
      </c>
      <c r="N166" s="270" t="n">
        <v>19.070765386833</v>
      </c>
      <c r="O166" s="273">
        <f>M166/N166</f>
        <v/>
      </c>
      <c r="P166" s="270" t="n">
        <v>2.39663507739618</v>
      </c>
      <c r="Q166" s="270" t="n">
        <v>3.67118082762903</v>
      </c>
      <c r="R166" s="270" t="n">
        <v>1.02321885302858</v>
      </c>
      <c r="S166" s="270" t="n">
        <v>6.80778101391209</v>
      </c>
      <c r="T166" s="270" t="n">
        <v>1.40126258519493</v>
      </c>
      <c r="U166" s="270" t="n">
        <v>0.504723606203522</v>
      </c>
      <c r="V166" s="270" t="n">
        <v>2.18166294593356</v>
      </c>
      <c r="W166" s="270" t="n">
        <v>1.08430047753515</v>
      </c>
      <c r="X166" s="270" t="n">
        <v>0.316102463156259</v>
      </c>
      <c r="Y166" s="269" t="n">
        <v>13.680110854982</v>
      </c>
      <c r="Z166" s="275" t="n">
        <v>2582</v>
      </c>
      <c r="AA166" s="275" t="n">
        <v>1754</v>
      </c>
      <c r="AB166" s="270" t="n">
        <v>17787.18</v>
      </c>
      <c r="AC166" s="290" t="n"/>
      <c r="AD166" s="276" t="n">
        <v>0.0133751197907224</v>
      </c>
      <c r="AE166" s="142" t="n">
        <v>0.00908596441244269</v>
      </c>
      <c r="AF166" s="270" t="n">
        <v>6.8889155693261</v>
      </c>
      <c r="AG166" s="277" t="n">
        <v>0.09214007096790899</v>
      </c>
      <c r="AH166" s="118" t="n">
        <v>0.565083435394979</v>
      </c>
      <c r="AI166" s="118" t="n">
        <v>0.430744794856093</v>
      </c>
      <c r="AJ166" s="270" t="n">
        <v>0.553238882125929</v>
      </c>
      <c r="AK166" s="64" t="n">
        <v>0.281654536507032</v>
      </c>
      <c r="AL166" s="64" t="n">
        <v>0.0242689528348313</v>
      </c>
      <c r="AM166" s="119" t="n">
        <v>0.356818358413841</v>
      </c>
    </row>
    <row customHeight="1" hidden="1" ht="13.2" outlineLevel="1" r="167" s="3">
      <c r="A167" s="117" t="n">
        <v>43508</v>
      </c>
      <c r="B167" s="289" t="inlineStr">
        <is>
          <t>安卓</t>
        </is>
      </c>
      <c r="C167" s="268" t="n">
        <v>41034</v>
      </c>
      <c r="D167" s="268" t="n">
        <v>177217</v>
      </c>
      <c r="E167" s="269" t="n">
        <v>4.31878442267388</v>
      </c>
      <c r="F167" s="270" t="n">
        <v>0.788935026097948</v>
      </c>
      <c r="G167" s="292" t="n">
        <v>13.72</v>
      </c>
      <c r="H167" s="271" t="n">
        <v>27.7</v>
      </c>
      <c r="I167" s="141" t="n">
        <v>0.345</v>
      </c>
      <c r="J167" s="141" t="n">
        <v>0.181</v>
      </c>
      <c r="K167" s="141" t="n">
        <v>0.105</v>
      </c>
      <c r="L167" s="270" t="n">
        <v>11.5220718102665</v>
      </c>
      <c r="M167" s="272" t="n">
        <v>13.0775489936067</v>
      </c>
      <c r="N167" s="270" t="n">
        <v>18.3189262678639</v>
      </c>
      <c r="O167" s="273">
        <f>M167/N167</f>
        <v/>
      </c>
      <c r="P167" s="270" t="n">
        <v>2.327344441634</v>
      </c>
      <c r="Q167" s="270" t="n">
        <v>3.46731535348425</v>
      </c>
      <c r="R167" s="270" t="n">
        <v>1.01959497913241</v>
      </c>
      <c r="S167" s="270" t="n">
        <v>6.42870241558113</v>
      </c>
      <c r="T167" s="270" t="n">
        <v>1.37024155811306</v>
      </c>
      <c r="U167" s="270" t="n">
        <v>0.535300999114709</v>
      </c>
      <c r="V167" s="270" t="n">
        <v>2.11507999241179</v>
      </c>
      <c r="W167" s="270" t="n">
        <v>1.05534652839256</v>
      </c>
      <c r="X167" s="270" t="n">
        <v>0.286135077334567</v>
      </c>
      <c r="Y167" s="269" t="n">
        <v>13.3636840709413</v>
      </c>
      <c r="Z167" s="275" t="n">
        <v>2298</v>
      </c>
      <c r="AA167" s="275" t="n">
        <v>1592</v>
      </c>
      <c r="AB167" s="270" t="n">
        <v>15498.02</v>
      </c>
      <c r="AC167" s="290" t="n"/>
      <c r="AD167" s="276" t="n">
        <v>0.0129671532640774</v>
      </c>
      <c r="AE167" s="142" t="n">
        <v>0.008983336813059699</v>
      </c>
      <c r="AF167" s="270" t="n">
        <v>6.74413402959095</v>
      </c>
      <c r="AG167" s="277" t="n">
        <v>0.08745221959518561</v>
      </c>
      <c r="AH167" s="118" t="n">
        <v>0.593751523127163</v>
      </c>
      <c r="AI167" s="118" t="n">
        <v>0.476702246917191</v>
      </c>
      <c r="AJ167" s="270" t="n">
        <v>0.600224583420326</v>
      </c>
      <c r="AK167" s="64" t="n">
        <v>0.311510746711659</v>
      </c>
      <c r="AL167" s="64" t="n">
        <v>0.0290434890557904</v>
      </c>
      <c r="AM167" s="119" t="n">
        <v>0.313829937308498</v>
      </c>
    </row>
    <row customFormat="1" customHeight="1" hidden="1" ht="12.45" outlineLevel="1" r="168" s="294">
      <c r="A168" s="121" t="n">
        <v>43509</v>
      </c>
      <c r="B168" s="295" t="inlineStr">
        <is>
          <t>安卓</t>
        </is>
      </c>
      <c r="C168" s="296" t="n">
        <v>32477</v>
      </c>
      <c r="D168" s="296" t="n">
        <v>162291</v>
      </c>
      <c r="E168" s="297" t="n">
        <v>4.99710564399421</v>
      </c>
      <c r="F168" s="294" t="n">
        <v>0.702258246372257</v>
      </c>
      <c r="G168" s="298" t="n">
        <v>13.67</v>
      </c>
      <c r="H168" s="306" t="n">
        <v>27.65</v>
      </c>
      <c r="I168" s="123" t="n">
        <v>0.352</v>
      </c>
      <c r="J168" s="123" t="n">
        <v>0.179</v>
      </c>
      <c r="K168" s="123" t="n">
        <v>0.099</v>
      </c>
      <c r="L168" s="294" t="n">
        <v>10.6004830828573</v>
      </c>
      <c r="M168" s="299" t="n">
        <v>12.0858766043712</v>
      </c>
      <c r="N168" s="294" t="n">
        <v>16.8542397057813</v>
      </c>
      <c r="O168" s="300">
        <f>M168/N168</f>
        <v/>
      </c>
      <c r="P168" s="294" t="n">
        <v>2.15463669485117</v>
      </c>
      <c r="Q168" s="294" t="n">
        <v>3.03667422836324</v>
      </c>
      <c r="R168" s="294" t="n">
        <v>0.985357805733141</v>
      </c>
      <c r="S168" s="294" t="n">
        <v>5.94931944730872</v>
      </c>
      <c r="T168" s="294" t="n">
        <v>1.2737591943356</v>
      </c>
      <c r="U168" s="294" t="n">
        <v>0.546650512133086</v>
      </c>
      <c r="V168" s="294" t="n">
        <v>1.92735615590843</v>
      </c>
      <c r="W168" s="294" t="n">
        <v>0.980485667147866</v>
      </c>
      <c r="X168" s="294" t="n">
        <v>0.21250100128781</v>
      </c>
      <c r="Y168" s="297" t="n">
        <v>12.298377605659</v>
      </c>
      <c r="Z168" s="293" t="n">
        <v>2014</v>
      </c>
      <c r="AA168" s="293" t="n">
        <v>1377</v>
      </c>
      <c r="AB168" s="294" t="n">
        <v>11061.86</v>
      </c>
      <c r="AC168" s="302" t="n"/>
      <c r="AD168" s="303" t="n">
        <v>0.0124098070749456</v>
      </c>
      <c r="AE168" s="124" t="n">
        <v>0.00848475885908645</v>
      </c>
      <c r="AF168" s="294" t="n">
        <v>5.49248262164846</v>
      </c>
      <c r="AG168" s="304" t="n">
        <v>0.068160649697149</v>
      </c>
      <c r="AH168" s="125" t="n">
        <v>0.5938664285494351</v>
      </c>
      <c r="AI168" s="125" t="n">
        <v>0.486867629399267</v>
      </c>
      <c r="AJ168" s="294" t="n">
        <v>0.6837224491807929</v>
      </c>
      <c r="AK168" s="126" t="n">
        <v>0.351880264463217</v>
      </c>
      <c r="AL168" s="126" t="n">
        <v>0.0330640639345373</v>
      </c>
      <c r="AM168" s="127" t="n">
        <v>0</v>
      </c>
      <c r="AN168" s="303" t="n"/>
    </row>
    <row customHeight="1" hidden="1" ht="13.2" outlineLevel="1" r="169" s="3">
      <c r="A169" s="117" t="n">
        <v>43510</v>
      </c>
      <c r="B169" s="267" t="inlineStr">
        <is>
          <t>安卓</t>
        </is>
      </c>
      <c r="C169" s="268" t="n">
        <v>32994</v>
      </c>
      <c r="D169" s="268" t="n">
        <v>155858</v>
      </c>
      <c r="E169" s="269" t="n">
        <v>4.7238285748924</v>
      </c>
      <c r="F169" s="270" t="n">
        <v>0.702973534242708</v>
      </c>
      <c r="G169" s="292" t="n">
        <v>13.88</v>
      </c>
      <c r="H169" s="271" t="n">
        <v>28.26</v>
      </c>
      <c r="I169" s="141" t="n">
        <v>0.326</v>
      </c>
      <c r="J169" s="141" t="n">
        <v>0.167</v>
      </c>
      <c r="K169" s="141" t="n">
        <v>0.09</v>
      </c>
      <c r="L169" s="270" t="n">
        <v>10.3390265498082</v>
      </c>
      <c r="M169" s="272" t="n">
        <v>11.5534653338295</v>
      </c>
      <c r="N169" s="270" t="n">
        <v>16.3796789011689</v>
      </c>
      <c r="O169" s="273">
        <f>M169/N169</f>
        <v/>
      </c>
      <c r="P169" s="270" t="n">
        <v>2.15447309773957</v>
      </c>
      <c r="Q169" s="270" t="n">
        <v>2.95440032746623</v>
      </c>
      <c r="R169" s="270" t="n">
        <v>0.9557920589439211</v>
      </c>
      <c r="S169" s="270" t="n">
        <v>5.69220903261018</v>
      </c>
      <c r="T169" s="270" t="n">
        <v>1.26032655660163</v>
      </c>
      <c r="U169" s="270" t="n">
        <v>0.535789330058671</v>
      </c>
      <c r="V169" s="270" t="n">
        <v>1.86403784054214</v>
      </c>
      <c r="W169" s="270" t="n">
        <v>0.962650657206531</v>
      </c>
      <c r="X169" s="270" t="n">
        <v>0.209735785137754</v>
      </c>
      <c r="Y169" s="269" t="n">
        <v>11.7632011189673</v>
      </c>
      <c r="Z169" s="275" t="n">
        <v>1926</v>
      </c>
      <c r="AA169" s="275" t="n">
        <v>1334</v>
      </c>
      <c r="AB169" s="270" t="n">
        <v>11750.74</v>
      </c>
      <c r="AC169" s="290" t="n"/>
      <c r="AD169" s="276" t="n">
        <v>0.0123574022507667</v>
      </c>
      <c r="AE169" s="142" t="n">
        <v>0.00855907300234829</v>
      </c>
      <c r="AF169" s="270" t="n">
        <v>6.10111111111111</v>
      </c>
      <c r="AG169" s="277" t="n">
        <v>0.07539388417662229</v>
      </c>
      <c r="AH169" s="118" t="n">
        <v>0.54582651391162</v>
      </c>
      <c r="AI169" s="118" t="n">
        <v>0.419500515245196</v>
      </c>
      <c r="AJ169" s="270" t="n">
        <v>0.663206251844628</v>
      </c>
      <c r="AK169" s="64" t="n">
        <v>0.357703807311784</v>
      </c>
      <c r="AL169" s="64" t="n">
        <v>0.0329723209588215</v>
      </c>
      <c r="AM169" s="119" t="n">
        <v>0</v>
      </c>
    </row>
    <row customHeight="1" hidden="1" ht="13.2" outlineLevel="1" r="170" s="3">
      <c r="A170" s="117" t="n">
        <v>43511</v>
      </c>
      <c r="B170" s="267" t="inlineStr">
        <is>
          <t>安卓</t>
        </is>
      </c>
      <c r="C170" s="268" t="n">
        <v>39102</v>
      </c>
      <c r="D170" s="268" t="n">
        <v>157609</v>
      </c>
      <c r="E170" s="269" t="n">
        <v>4.03071454145568</v>
      </c>
      <c r="F170" s="270" t="n">
        <v>0.650676572137378</v>
      </c>
      <c r="G170" s="292" t="n">
        <v>13.48</v>
      </c>
      <c r="H170" s="271" t="n">
        <v>25.82</v>
      </c>
      <c r="I170" s="141" t="n">
        <v>0.323</v>
      </c>
      <c r="J170" s="141" t="n">
        <v>0.165</v>
      </c>
      <c r="K170" s="141" t="n">
        <v>0.09</v>
      </c>
      <c r="L170" s="270" t="n">
        <v>9.908514107696901</v>
      </c>
      <c r="M170" s="272" t="n">
        <v>10.9007607433586</v>
      </c>
      <c r="N170" s="270" t="n">
        <v>15.9047045972117</v>
      </c>
      <c r="O170" s="273">
        <f>M170/N170</f>
        <v/>
      </c>
      <c r="P170" s="270" t="n">
        <v>2.17285367795449</v>
      </c>
      <c r="Q170" s="270" t="n">
        <v>2.85327063005684</v>
      </c>
      <c r="R170" s="270" t="n">
        <v>0.919136842495047</v>
      </c>
      <c r="S170" s="270" t="n">
        <v>5.41714650719298</v>
      </c>
      <c r="T170" s="270" t="n">
        <v>1.2497546796023</v>
      </c>
      <c r="U170" s="270" t="n">
        <v>0.540806502379145</v>
      </c>
      <c r="V170" s="270" t="n">
        <v>1.80862231767603</v>
      </c>
      <c r="W170" s="270" t="n">
        <v>0.943113439854845</v>
      </c>
      <c r="X170" s="270" t="n">
        <v>0.204747190833011</v>
      </c>
      <c r="Y170" s="269" t="n">
        <v>11.1055079341916</v>
      </c>
      <c r="Z170" s="275" t="n">
        <v>1933</v>
      </c>
      <c r="AA170" s="275" t="n">
        <v>1358</v>
      </c>
      <c r="AB170" s="270" t="n">
        <v>11334.67</v>
      </c>
      <c r="AC170" s="290" t="n"/>
      <c r="AD170" s="276" t="n">
        <v>0.0122645280409114</v>
      </c>
      <c r="AE170" s="142" t="n">
        <v>0.008616259223775289</v>
      </c>
      <c r="AF170" s="270" t="n">
        <v>5.86377133988619</v>
      </c>
      <c r="AG170" s="277" t="n">
        <v>0.0719163880235266</v>
      </c>
      <c r="AH170" s="118" t="n">
        <v>0.507135184901028</v>
      </c>
      <c r="AI170" s="118" t="n">
        <v>0.360723236663086</v>
      </c>
      <c r="AJ170" s="270" t="n">
        <v>0.621068593798577</v>
      </c>
      <c r="AK170" s="64" t="n">
        <v>0.344624989689675</v>
      </c>
      <c r="AL170" s="64" t="n">
        <v>0.0318129040854266</v>
      </c>
      <c r="AM170" s="119" t="n">
        <v>0</v>
      </c>
    </row>
    <row customHeight="1" hidden="1" ht="13.2" outlineLevel="1" r="171" s="3">
      <c r="A171" s="117" t="n">
        <v>43512</v>
      </c>
      <c r="B171" s="289" t="inlineStr">
        <is>
          <t>安卓</t>
        </is>
      </c>
      <c r="C171" s="268" t="n">
        <v>53034</v>
      </c>
      <c r="D171" s="268" t="n">
        <v>171449</v>
      </c>
      <c r="E171" s="269" t="n">
        <v>3.23281291247124</v>
      </c>
      <c r="F171" s="270" t="n">
        <v>0.828757996862041</v>
      </c>
      <c r="G171" s="292" t="n">
        <v>12.25</v>
      </c>
      <c r="H171" s="271" t="n">
        <v>24.02</v>
      </c>
      <c r="I171" s="141" t="n">
        <v>0.304</v>
      </c>
      <c r="J171" s="141" t="n">
        <v>0.151</v>
      </c>
      <c r="K171" s="141" t="n">
        <v>0.081</v>
      </c>
      <c r="L171" s="270" t="n">
        <v>11.9394747125967</v>
      </c>
      <c r="M171" s="272" t="n">
        <v>13.643631633897</v>
      </c>
      <c r="N171" s="270" t="n">
        <v>20.2723593441259</v>
      </c>
      <c r="O171" s="273">
        <f>M171/N171</f>
        <v/>
      </c>
      <c r="P171" s="270" t="n">
        <v>2.59917842409956</v>
      </c>
      <c r="Q171" s="270" t="n">
        <v>3.5692619683156</v>
      </c>
      <c r="R171" s="270" t="n">
        <v>1.01462023780636</v>
      </c>
      <c r="S171" s="270" t="n">
        <v>7.57764238915659</v>
      </c>
      <c r="T171" s="270" t="n">
        <v>1.52675321523902</v>
      </c>
      <c r="U171" s="270" t="n">
        <v>0.504289874163691</v>
      </c>
      <c r="V171" s="270" t="n">
        <v>2.36564460775817</v>
      </c>
      <c r="W171" s="270" t="n">
        <v>1.11496862758692</v>
      </c>
      <c r="X171" s="270" t="n">
        <v>0.358730584605335</v>
      </c>
      <c r="Y171" s="269" t="n">
        <v>14.0023622185023</v>
      </c>
      <c r="Z171" s="275" t="n">
        <v>2865</v>
      </c>
      <c r="AA171" s="275" t="n">
        <v>1773</v>
      </c>
      <c r="AB171" s="270" t="n">
        <v>20608.35</v>
      </c>
      <c r="AC171" s="290" t="n"/>
      <c r="AD171" s="276" t="n">
        <v>0.0167105086643842</v>
      </c>
      <c r="AE171" s="142" t="n">
        <v>0.0103412676656032</v>
      </c>
      <c r="AF171" s="270" t="n">
        <v>7.19314136125655</v>
      </c>
      <c r="AG171" s="277" t="n">
        <v>0.120201051041418</v>
      </c>
      <c r="AH171" s="118" t="n">
        <v>0.496530527586077</v>
      </c>
      <c r="AI171" s="118" t="n">
        <v>0.331070633932949</v>
      </c>
      <c r="AJ171" s="270" t="n">
        <v>0.49882472338713</v>
      </c>
      <c r="AK171" s="64" t="n">
        <v>0.284889384015072</v>
      </c>
      <c r="AL171" s="64" t="n">
        <v>0.0269817846706601</v>
      </c>
      <c r="AM171" s="119" t="n">
        <v>0.343233264702623</v>
      </c>
    </row>
    <row customHeight="1" hidden="1" ht="13.2" outlineLevel="1" r="172" s="3">
      <c r="A172" s="117" t="n">
        <v>43513</v>
      </c>
      <c r="B172" s="289" t="inlineStr">
        <is>
          <t>安卓</t>
        </is>
      </c>
      <c r="C172" s="268" t="n">
        <v>64660</v>
      </c>
      <c r="D172" s="268" t="n">
        <v>188186</v>
      </c>
      <c r="E172" s="269" t="n">
        <v>2.91039282400247</v>
      </c>
      <c r="F172" s="270" t="n">
        <v>0.775897174199994</v>
      </c>
      <c r="G172" s="292" t="n">
        <v>11.35</v>
      </c>
      <c r="H172" s="271" t="n">
        <v>21.4</v>
      </c>
      <c r="I172" s="141" t="n">
        <v>0.3</v>
      </c>
      <c r="J172" s="141" t="n">
        <v>0.144</v>
      </c>
      <c r="K172" s="141" t="n">
        <v>0.083</v>
      </c>
      <c r="L172" s="270" t="n">
        <v>11.4117575164996</v>
      </c>
      <c r="M172" s="272" t="n">
        <v>13.4046740990297</v>
      </c>
      <c r="N172" s="270" t="n">
        <v>20.3030439611738</v>
      </c>
      <c r="O172" s="273">
        <f>M172/N172</f>
        <v/>
      </c>
      <c r="P172" s="270" t="n">
        <v>2.55865782399433</v>
      </c>
      <c r="Q172" s="270" t="n">
        <v>3.71269900037023</v>
      </c>
      <c r="R172" s="270" t="n">
        <v>1.06795389791221</v>
      </c>
      <c r="S172" s="270" t="n">
        <v>7.4828485424078</v>
      </c>
      <c r="T172" s="270" t="n">
        <v>1.51237866812614</v>
      </c>
      <c r="U172" s="270" t="n">
        <v>0.514704698742817</v>
      </c>
      <c r="V172" s="270" t="n">
        <v>2.31865009738744</v>
      </c>
      <c r="W172" s="270" t="n">
        <v>1.13515123223283</v>
      </c>
      <c r="X172" s="270" t="n">
        <v>0.364081281285537</v>
      </c>
      <c r="Y172" s="269" t="n">
        <v>13.7687553803152</v>
      </c>
      <c r="Z172" s="275" t="n">
        <v>2697</v>
      </c>
      <c r="AA172" s="275" t="n">
        <v>1766</v>
      </c>
      <c r="AB172" s="270" t="n">
        <v>20001.03</v>
      </c>
      <c r="AC172" s="290" t="n"/>
      <c r="AD172" s="276" t="n">
        <v>0.0143315655787359</v>
      </c>
      <c r="AE172" s="142" t="n">
        <v>0.009384332522079221</v>
      </c>
      <c r="AF172" s="270" t="n">
        <v>7.41602892102336</v>
      </c>
      <c r="AG172" s="277" t="n">
        <v>0.106283304815449</v>
      </c>
      <c r="AH172" s="118" t="n">
        <v>0.484720074234457</v>
      </c>
      <c r="AI172" s="118" t="n">
        <v>0.323816888339004</v>
      </c>
      <c r="AJ172" s="270" t="n">
        <v>0.502152126088019</v>
      </c>
      <c r="AK172" s="64" t="n">
        <v>0.266470406937817</v>
      </c>
      <c r="AL172" s="64" t="n">
        <v>0.0252462988745178</v>
      </c>
      <c r="AM172" s="119" t="n">
        <v>0.335088688850393</v>
      </c>
    </row>
    <row customHeight="1" hidden="1" ht="13.2" outlineLevel="1" r="173" s="3">
      <c r="A173" s="117" t="n">
        <v>43514</v>
      </c>
      <c r="B173" s="289" t="inlineStr">
        <is>
          <t>安卓</t>
        </is>
      </c>
      <c r="C173" s="268" t="n">
        <v>77157</v>
      </c>
      <c r="D173" s="268" t="n">
        <v>209056</v>
      </c>
      <c r="E173" s="269" t="n">
        <v>2.70948844563682</v>
      </c>
      <c r="F173" s="270" t="n">
        <v>0.657987687763087</v>
      </c>
      <c r="G173" s="292" t="n">
        <v>11.01</v>
      </c>
      <c r="H173" s="271" t="n">
        <v>21.28</v>
      </c>
      <c r="I173" s="141" t="n">
        <v>0.295</v>
      </c>
      <c r="J173" s="141" t="n">
        <v>0.147</v>
      </c>
      <c r="K173" s="141" t="n">
        <v>0.082</v>
      </c>
      <c r="L173" s="270" t="n">
        <v>11.0531914893617</v>
      </c>
      <c r="M173" s="272" t="n">
        <v>12.5970696846778</v>
      </c>
      <c r="N173" s="270" t="n">
        <v>19.5105350501563</v>
      </c>
      <c r="O173" s="273">
        <f>M173/N173</f>
        <v/>
      </c>
      <c r="P173" s="270" t="n">
        <v>2.49468061461868</v>
      </c>
      <c r="Q173" s="270" t="n">
        <v>3.66698276756212</v>
      </c>
      <c r="R173" s="270" t="n">
        <v>1.01423194891019</v>
      </c>
      <c r="S173" s="270" t="n">
        <v>7.005215664775</v>
      </c>
      <c r="T173" s="270" t="n">
        <v>1.47357347123235</v>
      </c>
      <c r="U173" s="270" t="n">
        <v>0.518277052556713</v>
      </c>
      <c r="V173" s="270" t="n">
        <v>2.22977818607477</v>
      </c>
      <c r="W173" s="270" t="n">
        <v>1.1077953444265</v>
      </c>
      <c r="X173" s="270" t="n">
        <v>0.360080552579213</v>
      </c>
      <c r="Y173" s="269" t="n">
        <v>12.957150237257</v>
      </c>
      <c r="Z173" s="275" t="n">
        <v>2528</v>
      </c>
      <c r="AA173" s="275" t="n">
        <v>1714</v>
      </c>
      <c r="AB173" s="270" t="n">
        <v>16772.72</v>
      </c>
      <c r="AC173" s="290" t="n"/>
      <c r="AD173" s="276" t="n">
        <v>0.0120924536966172</v>
      </c>
      <c r="AE173" s="142" t="n">
        <v>0.00819876014082351</v>
      </c>
      <c r="AF173" s="270" t="n">
        <v>6.63477848101266</v>
      </c>
      <c r="AG173" s="277" t="n">
        <v>0.08023075156895761</v>
      </c>
      <c r="AH173" s="118" t="n">
        <v>0.472400430291484</v>
      </c>
      <c r="AI173" s="118" t="n">
        <v>0.313024093730964</v>
      </c>
      <c r="AJ173" s="270" t="n">
        <v>0.490260982703199</v>
      </c>
      <c r="AK173" s="64" t="n">
        <v>0.253176182458289</v>
      </c>
      <c r="AL173" s="64" t="n">
        <v>0.0240940226542171</v>
      </c>
      <c r="AM173" s="119" t="n">
        <v>0.313609750497474</v>
      </c>
    </row>
    <row customHeight="1" hidden="1" ht="13.2" outlineLevel="1" r="174" s="3">
      <c r="A174" s="117" t="n">
        <v>43515</v>
      </c>
      <c r="B174" s="289" t="inlineStr">
        <is>
          <t>安卓</t>
        </is>
      </c>
      <c r="C174" s="268" t="n">
        <v>79584</v>
      </c>
      <c r="D174" s="268" t="n">
        <v>215962</v>
      </c>
      <c r="E174" s="269" t="n">
        <v>2.71363590671492</v>
      </c>
      <c r="F174" s="270" t="n">
        <v>0.617411639297654</v>
      </c>
      <c r="G174" s="292" t="n">
        <v>11.19</v>
      </c>
      <c r="H174" s="271" t="n">
        <v>22.31</v>
      </c>
      <c r="I174" s="141" t="n">
        <v>0.299</v>
      </c>
      <c r="J174" s="141" t="n">
        <v>0.149</v>
      </c>
      <c r="K174" s="141" t="n">
        <v>0.077</v>
      </c>
      <c r="L174" s="270" t="n">
        <v>10.5365388355359</v>
      </c>
      <c r="M174" s="272" t="n">
        <v>11.7590270510553</v>
      </c>
      <c r="N174" s="270" t="n">
        <v>18.3266314976654</v>
      </c>
      <c r="O174" s="273" t="n">
        <v>0.64163602856058</v>
      </c>
      <c r="P174" s="270" t="n">
        <v>2.37984686329554</v>
      </c>
      <c r="Q174" s="270" t="n">
        <v>3.41114534997005</v>
      </c>
      <c r="R174" s="270" t="n">
        <v>0.98799154211981</v>
      </c>
      <c r="S174" s="270" t="n">
        <v>6.43404368942548</v>
      </c>
      <c r="T174" s="270" t="n">
        <v>1.39864616183995</v>
      </c>
      <c r="U174" s="270" t="n">
        <v>0.54376520000866</v>
      </c>
      <c r="V174" s="270" t="n">
        <v>2.10955552829276</v>
      </c>
      <c r="W174" s="270" t="n">
        <v>1.06163716271316</v>
      </c>
      <c r="X174" s="270" t="n">
        <v>0.30163639899612</v>
      </c>
      <c r="Y174" s="269" t="n">
        <v>12.0606634500514</v>
      </c>
      <c r="Z174" s="275" t="n">
        <v>2368</v>
      </c>
      <c r="AA174" s="275" t="n">
        <v>1598</v>
      </c>
      <c r="AB174" s="270" t="n">
        <v>15856.32</v>
      </c>
      <c r="AC174" s="290" t="n"/>
      <c r="AD174" s="276" t="n">
        <v>0.0109648919717358</v>
      </c>
      <c r="AE174" s="142" t="n">
        <v>0.00739944990322372</v>
      </c>
      <c r="AF174" s="270" t="n">
        <v>6.69608108108108</v>
      </c>
      <c r="AG174" s="277" t="n">
        <v>0.0734218056880377</v>
      </c>
      <c r="AH174" s="118" t="n">
        <v>0.472519601930036</v>
      </c>
      <c r="AI174" s="118" t="n">
        <v>0.318393144350623</v>
      </c>
      <c r="AJ174" s="270" t="n">
        <v>0.526703771959882</v>
      </c>
      <c r="AK174" s="64" t="n">
        <v>0.260647706540966</v>
      </c>
      <c r="AL174" s="64" t="n">
        <v>0.0262222057584205</v>
      </c>
      <c r="AM174" s="119" t="n">
        <v>0.260513423657866</v>
      </c>
    </row>
    <row customFormat="1" customHeight="1" hidden="1" ht="12.45" outlineLevel="1" r="175" s="294">
      <c r="A175" s="121" t="n">
        <v>43516</v>
      </c>
      <c r="B175" s="295" t="inlineStr">
        <is>
          <t>安卓</t>
        </is>
      </c>
      <c r="C175" s="296" t="n">
        <v>74400</v>
      </c>
      <c r="D175" s="296" t="n">
        <v>213414</v>
      </c>
      <c r="E175" s="297" t="n">
        <v>2.86846774193548</v>
      </c>
      <c r="F175" s="294" t="n">
        <v>0.57862907164947</v>
      </c>
      <c r="G175" s="298" t="n">
        <v>11.78</v>
      </c>
      <c r="H175" s="306" t="n">
        <v>23.37</v>
      </c>
      <c r="I175" s="123" t="n">
        <v>0.297</v>
      </c>
      <c r="J175" s="123" t="n">
        <v>0.144</v>
      </c>
      <c r="K175" s="123" t="n">
        <v>0.076</v>
      </c>
      <c r="L175" s="294" t="n">
        <v>9.97751787605312</v>
      </c>
      <c r="M175" s="299" t="n">
        <v>10.696219554481</v>
      </c>
      <c r="N175" s="294" t="n">
        <v>16.5953457601489</v>
      </c>
      <c r="O175" s="300" t="n">
        <v>0.644531286607252</v>
      </c>
      <c r="P175" s="294" t="n">
        <v>2.21200709549843</v>
      </c>
      <c r="Q175" s="294" t="n">
        <v>2.97193788530883</v>
      </c>
      <c r="R175" s="294" t="n">
        <v>0.92003751308596</v>
      </c>
      <c r="S175" s="294" t="n">
        <v>5.79525561242294</v>
      </c>
      <c r="T175" s="294" t="n">
        <v>1.27514685355357</v>
      </c>
      <c r="U175" s="294" t="n">
        <v>0.555324531813423</v>
      </c>
      <c r="V175" s="294" t="n">
        <v>1.8958139467256</v>
      </c>
      <c r="W175" s="294" t="n">
        <v>0.969822321740142</v>
      </c>
      <c r="X175" s="294" t="n">
        <v>0.224352666647924</v>
      </c>
      <c r="Y175" s="297" t="n">
        <v>10.9205722211289</v>
      </c>
      <c r="Z175" s="293" t="n">
        <v>2024</v>
      </c>
      <c r="AA175" s="293" t="n">
        <v>1442</v>
      </c>
      <c r="AB175" s="294" t="n">
        <v>11618.76</v>
      </c>
      <c r="AC175" s="302" t="n"/>
      <c r="AD175" s="303" t="n">
        <v>0.00948391389505843</v>
      </c>
      <c r="AE175" s="124" t="n">
        <v>0.00675682007740823</v>
      </c>
      <c r="AF175" s="294" t="n">
        <v>5.74049407114625</v>
      </c>
      <c r="AG175" s="304" t="n">
        <v>0.0544423514858444</v>
      </c>
      <c r="AH175" s="125" t="n">
        <v>0.472137096774194</v>
      </c>
      <c r="AI175" s="125" t="n">
        <v>0.328467741935484</v>
      </c>
      <c r="AJ175" s="294" t="n">
        <v>0.583616819889979</v>
      </c>
      <c r="AK175" s="126" t="n">
        <v>0.286012164150431</v>
      </c>
      <c r="AL175" s="126" t="n">
        <v>0.0274068242945636</v>
      </c>
      <c r="AM175" s="127" t="n">
        <v>0</v>
      </c>
      <c r="AN175" s="303" t="n"/>
    </row>
    <row customHeight="1" hidden="1" ht="13.2" outlineLevel="1" r="176" s="3">
      <c r="A176" s="117" t="n">
        <v>43517</v>
      </c>
      <c r="B176" s="267" t="inlineStr">
        <is>
          <t>安卓</t>
        </is>
      </c>
      <c r="C176" s="268" t="n">
        <v>71770</v>
      </c>
      <c r="D176" s="268" t="n">
        <v>212176</v>
      </c>
      <c r="E176" s="269" t="n">
        <v>2.95633272955274</v>
      </c>
      <c r="F176" s="270" t="n">
        <v>0.53662356243873</v>
      </c>
      <c r="G176" s="292" t="n">
        <v>11.75</v>
      </c>
      <c r="H176" s="271" t="n">
        <v>23.7</v>
      </c>
      <c r="I176" s="141" t="n">
        <v>0.293</v>
      </c>
      <c r="J176" s="141" t="n">
        <v>0.141</v>
      </c>
      <c r="K176" s="141" t="n">
        <v>0.07199999999999999</v>
      </c>
      <c r="L176" s="270" t="n">
        <v>9.72875820073901</v>
      </c>
      <c r="M176" s="272" t="n">
        <v>10.1839699117714</v>
      </c>
      <c r="N176" s="270" t="n">
        <v>15.9698015594398</v>
      </c>
      <c r="O176" s="273" t="n">
        <v>0.637701719327351</v>
      </c>
      <c r="P176" s="270" t="n">
        <v>2.15526403311038</v>
      </c>
      <c r="Q176" s="270" t="n">
        <v>2.88865156498282</v>
      </c>
      <c r="R176" s="270" t="n">
        <v>0.88465319093899</v>
      </c>
      <c r="S176" s="270" t="n">
        <v>5.49871771183622</v>
      </c>
      <c r="T176" s="270" t="n">
        <v>1.24053065296922</v>
      </c>
      <c r="U176" s="270" t="n">
        <v>0.5382949632312179</v>
      </c>
      <c r="V176" s="270" t="n">
        <v>1.82013229370681</v>
      </c>
      <c r="W176" s="270" t="n">
        <v>0.943557148664129</v>
      </c>
      <c r="X176" s="270" t="n">
        <v>0.209104705527487</v>
      </c>
      <c r="Y176" s="269" t="n">
        <v>10.3930746172988</v>
      </c>
      <c r="Z176" s="275" t="n">
        <v>2078</v>
      </c>
      <c r="AA176" s="275" t="n">
        <v>1421</v>
      </c>
      <c r="AB176" s="270" t="n">
        <v>12494.22</v>
      </c>
      <c r="AC176" s="290" t="n"/>
      <c r="AD176" s="276" t="n">
        <v>0.00979375612698891</v>
      </c>
      <c r="AE176" s="142" t="n">
        <v>0.00669727019078501</v>
      </c>
      <c r="AF176" s="270" t="n">
        <v>6.01261790182868</v>
      </c>
      <c r="AG176" s="277" t="n">
        <v>0.0588861134152779</v>
      </c>
      <c r="AH176" s="118" t="n">
        <v>0.44979796572384</v>
      </c>
      <c r="AI176" s="118" t="n">
        <v>0.31208025637453</v>
      </c>
      <c r="AJ176" s="270" t="n">
        <v>0.552117110323505</v>
      </c>
      <c r="AK176" s="64" t="n">
        <v>0.290475831385265</v>
      </c>
      <c r="AL176" s="64" t="n">
        <v>0.0265015835909811</v>
      </c>
      <c r="AM176" s="119" t="n">
        <v>0</v>
      </c>
    </row>
    <row customHeight="1" hidden="1" ht="13.2" outlineLevel="1" r="177" s="3">
      <c r="A177" s="117" t="n">
        <v>43518</v>
      </c>
      <c r="B177" s="267" t="inlineStr">
        <is>
          <t>安卓</t>
        </is>
      </c>
      <c r="C177" s="268" t="n">
        <v>70432</v>
      </c>
      <c r="D177" s="268" t="n">
        <v>211926</v>
      </c>
      <c r="E177" s="269" t="n">
        <v>3.00894479781917</v>
      </c>
      <c r="F177" s="270" t="n">
        <v>0.5168348388352541</v>
      </c>
      <c r="G177" s="292" t="n">
        <v>10.76</v>
      </c>
      <c r="H177" s="271" t="n">
        <v>21.77</v>
      </c>
      <c r="I177" s="141" t="n">
        <v>0.272</v>
      </c>
      <c r="J177" s="141" t="n">
        <v>0.139</v>
      </c>
      <c r="K177" s="141" t="n">
        <v>0.07199999999999999</v>
      </c>
      <c r="L177" s="270" t="n">
        <v>9.716655813821809</v>
      </c>
      <c r="M177" s="272" t="n">
        <v>10.1708379339958</v>
      </c>
      <c r="N177" s="270" t="n">
        <v>15.9938932090704</v>
      </c>
      <c r="O177" s="273" t="n">
        <v>0.635920085312798</v>
      </c>
      <c r="P177" s="270" t="n">
        <v>2.16066870473703</v>
      </c>
      <c r="Q177" s="270" t="n">
        <v>2.91214531639558</v>
      </c>
      <c r="R177" s="270" t="n">
        <v>0.892058945743797</v>
      </c>
      <c r="S177" s="270" t="n">
        <v>5.46514751276267</v>
      </c>
      <c r="T177" s="270" t="n">
        <v>1.24019796984447</v>
      </c>
      <c r="U177" s="270" t="n">
        <v>0.541211563575923</v>
      </c>
      <c r="V177" s="270" t="n">
        <v>1.83365487356049</v>
      </c>
      <c r="W177" s="270" t="n">
        <v>0.948808322450433</v>
      </c>
      <c r="X177" s="270" t="n">
        <v>0.19297773751215</v>
      </c>
      <c r="Y177" s="269" t="n">
        <v>10.363815671508</v>
      </c>
      <c r="Z177" s="275" t="n">
        <v>2159</v>
      </c>
      <c r="AA177" s="275" t="n">
        <v>1504</v>
      </c>
      <c r="AB177" s="270" t="n">
        <v>12343.41</v>
      </c>
      <c r="AC177" s="290" t="n"/>
      <c r="AD177" s="276" t="n">
        <v>0.0101875182846843</v>
      </c>
      <c r="AE177" s="142" t="n">
        <v>0.007096816813416</v>
      </c>
      <c r="AF177" s="270" t="n">
        <v>5.71718851320056</v>
      </c>
      <c r="AG177" s="277" t="n">
        <v>0.0582439625152176</v>
      </c>
      <c r="AH177" s="118" t="n">
        <v>0.44665776919582</v>
      </c>
      <c r="AI177" s="118" t="n">
        <v>0.321189232167197</v>
      </c>
      <c r="AJ177" s="270" t="n">
        <v>0.5545898096505379</v>
      </c>
      <c r="AK177" s="64" t="n">
        <v>0.296037296037296</v>
      </c>
      <c r="AL177" s="64" t="n">
        <v>0.0259288619612506</v>
      </c>
      <c r="AM177" s="119" t="n">
        <v>0</v>
      </c>
    </row>
    <row customHeight="1" hidden="1" ht="13.2" outlineLevel="1" r="178" s="3">
      <c r="A178" s="117" t="n">
        <v>43519</v>
      </c>
      <c r="B178" s="289" t="inlineStr">
        <is>
          <t>安卓</t>
        </is>
      </c>
      <c r="C178" s="268" t="n">
        <v>57014</v>
      </c>
      <c r="D178" s="268" t="n">
        <v>195190</v>
      </c>
      <c r="E178" s="269" t="n">
        <v>3.42354509418739</v>
      </c>
      <c r="F178" s="270" t="n">
        <v>0.688667409728982</v>
      </c>
      <c r="G178" s="292" t="n">
        <v>11</v>
      </c>
      <c r="H178" s="271" t="n">
        <v>23.25</v>
      </c>
      <c r="I178" s="141" t="n">
        <v>0.27</v>
      </c>
      <c r="J178" s="141" t="n">
        <v>0.132</v>
      </c>
      <c r="K178" s="141" t="n">
        <v>0.073</v>
      </c>
      <c r="L178" s="270" t="n">
        <v>11.0849275065321</v>
      </c>
      <c r="M178" s="272" t="n">
        <v>12.6277729391875</v>
      </c>
      <c r="N178" s="270" t="n">
        <v>19.2114903467681</v>
      </c>
      <c r="O178" s="273" t="n">
        <v>0.65730314052974</v>
      </c>
      <c r="P178" s="270" t="n">
        <v>2.51384656154763</v>
      </c>
      <c r="Q178" s="270" t="n">
        <v>3.57415100663294</v>
      </c>
      <c r="R178" s="270" t="n">
        <v>1.04678134669795</v>
      </c>
      <c r="S178" s="270" t="n">
        <v>6.78502560425257</v>
      </c>
      <c r="T178" s="270" t="n">
        <v>1.47477377064513</v>
      </c>
      <c r="U178" s="270" t="n">
        <v>0.476589840918479</v>
      </c>
      <c r="V178" s="270" t="n">
        <v>2.26779631953484</v>
      </c>
      <c r="W178" s="270" t="n">
        <v>1.07252589653855</v>
      </c>
      <c r="X178" s="270" t="n">
        <v>0.354096009016855</v>
      </c>
      <c r="Y178" s="269" t="n">
        <v>12.9818689482043</v>
      </c>
      <c r="Z178" s="275" t="n">
        <v>2669</v>
      </c>
      <c r="AA178" s="275" t="n">
        <v>1707</v>
      </c>
      <c r="AB178" s="270" t="n">
        <v>19493.31</v>
      </c>
      <c r="AC178" s="290" t="n"/>
      <c r="AD178" s="276" t="n">
        <v>0.0136738562426354</v>
      </c>
      <c r="AE178" s="142" t="n">
        <v>0.00874532506788258</v>
      </c>
      <c r="AF178" s="270" t="n">
        <v>7.30360059947546</v>
      </c>
      <c r="AG178" s="277" t="n">
        <v>0.099868384650853</v>
      </c>
      <c r="AH178" s="118" t="n">
        <v>0.455660013330059</v>
      </c>
      <c r="AI178" s="118" t="n">
        <v>0.335707019328586</v>
      </c>
      <c r="AJ178" s="270" t="n">
        <v>0.474332701470362</v>
      </c>
      <c r="AK178" s="64" t="n">
        <v>0.279348327270864</v>
      </c>
      <c r="AL178" s="64" t="n">
        <v>0.0251754700548184</v>
      </c>
      <c r="AM178" s="119" t="n">
        <v>0.326953225062759</v>
      </c>
    </row>
    <row customHeight="1" hidden="1" ht="13.2" outlineLevel="1" r="179" s="3">
      <c r="A179" s="117" t="n">
        <v>43520</v>
      </c>
      <c r="B179" s="289" t="inlineStr">
        <is>
          <t>安卓</t>
        </is>
      </c>
      <c r="C179" s="268" t="n">
        <v>55820</v>
      </c>
      <c r="D179" s="268" t="n">
        <v>193133</v>
      </c>
      <c r="E179" s="269" t="n">
        <v>3.4599247581512</v>
      </c>
      <c r="F179" s="270" t="n">
        <v>0.64574533822806</v>
      </c>
      <c r="G179" s="292" t="n">
        <v>10.06</v>
      </c>
      <c r="H179" s="271" t="n">
        <v>20.21</v>
      </c>
      <c r="I179" s="141" t="n">
        <v>0.283</v>
      </c>
      <c r="J179" s="141" t="n">
        <v>0.128</v>
      </c>
      <c r="K179" s="141" t="n">
        <v>0.07199999999999999</v>
      </c>
      <c r="L179" s="270" t="n">
        <v>10.9762236386324</v>
      </c>
      <c r="M179" s="272" t="n">
        <v>12.5243122614986</v>
      </c>
      <c r="N179" s="270" t="n">
        <v>19.2100924425808</v>
      </c>
      <c r="O179" s="273" t="n">
        <v>0.651965226035944</v>
      </c>
      <c r="P179" s="270" t="n">
        <v>2.81170780520347</v>
      </c>
      <c r="Q179" s="270" t="n">
        <v>4.16201277041837</v>
      </c>
      <c r="R179" s="270" t="n">
        <v>1.27874138314432</v>
      </c>
      <c r="S179" s="270" t="n">
        <v>7.55112932431145</v>
      </c>
      <c r="T179" s="270" t="n">
        <v>1.66224308269005</v>
      </c>
      <c r="U179" s="270" t="n">
        <v>0.528391943835573</v>
      </c>
      <c r="V179" s="270" t="n">
        <v>2.55008894818768</v>
      </c>
      <c r="W179" s="270" t="n">
        <v>1.26684456304203</v>
      </c>
      <c r="X179" s="270" t="n">
        <v>0.385806672086075</v>
      </c>
      <c r="Y179" s="269" t="n">
        <v>12.9101189335846</v>
      </c>
      <c r="Z179" s="275" t="n">
        <v>2402</v>
      </c>
      <c r="AA179" s="275" t="n">
        <v>1586</v>
      </c>
      <c r="AB179" s="270" t="n">
        <v>16945.98</v>
      </c>
      <c r="AC179" s="290" t="n"/>
      <c r="AD179" s="276" t="n">
        <v>0.012437025262384</v>
      </c>
      <c r="AE179" s="142" t="n">
        <v>0.008211957562922961</v>
      </c>
      <c r="AF179" s="270" t="n">
        <v>7.05494587843464</v>
      </c>
      <c r="AG179" s="277" t="n">
        <v>0.0877425401148431</v>
      </c>
      <c r="AH179" s="118" t="n">
        <v>0.441365102113938</v>
      </c>
      <c r="AI179" s="118" t="n">
        <v>0.314403439627374</v>
      </c>
      <c r="AJ179" s="270" t="n">
        <v>0.480772317522122</v>
      </c>
      <c r="AK179" s="64" t="n">
        <v>0.274453355977487</v>
      </c>
      <c r="AL179" s="64" t="n">
        <v>0.0256403618231996</v>
      </c>
      <c r="AM179" s="119" t="n">
        <v>0.334070303883852</v>
      </c>
    </row>
    <row customHeight="1" hidden="1" ht="13.2" outlineLevel="1" r="180" s="3">
      <c r="A180" s="117" t="n">
        <v>43521</v>
      </c>
      <c r="B180" s="289" t="inlineStr">
        <is>
          <t>安卓</t>
        </is>
      </c>
      <c r="C180" s="268" t="n">
        <v>65650</v>
      </c>
      <c r="D180" s="268" t="n">
        <v>204891</v>
      </c>
      <c r="E180" s="269" t="n">
        <v>3.12095963442498</v>
      </c>
      <c r="F180" s="270" t="n">
        <v>0.584211200550537</v>
      </c>
      <c r="G180" s="292" t="n">
        <v>9.789999999999999</v>
      </c>
      <c r="H180" s="271" t="n">
        <v>20.39</v>
      </c>
      <c r="I180" s="141" t="n">
        <v>0.271</v>
      </c>
      <c r="J180" s="141" t="n">
        <v>0.134</v>
      </c>
      <c r="K180" s="141" t="n">
        <v>0.075</v>
      </c>
      <c r="L180" s="270" t="n">
        <v>10.5894744034633</v>
      </c>
      <c r="M180" s="272" t="n">
        <v>11.8887310814043</v>
      </c>
      <c r="N180" s="270" t="n">
        <v>18.4708139340906</v>
      </c>
      <c r="O180" s="273" t="n">
        <v>0.643649550248669</v>
      </c>
      <c r="P180" s="270" t="n">
        <v>2.3908233367203</v>
      </c>
      <c r="Q180" s="270" t="n">
        <v>3.52773017485858</v>
      </c>
      <c r="R180" s="270" t="n">
        <v>1.05478548355298</v>
      </c>
      <c r="S180" s="270" t="n">
        <v>6.4119261741913</v>
      </c>
      <c r="T180" s="270" t="n">
        <v>1.42900256297487</v>
      </c>
      <c r="U180" s="270" t="n">
        <v>0.481619375483401</v>
      </c>
      <c r="V180" s="270" t="n">
        <v>2.11575092130606</v>
      </c>
      <c r="W180" s="270" t="n">
        <v>1.05917590500311</v>
      </c>
      <c r="X180" s="270" t="n">
        <v>0.361841174087686</v>
      </c>
      <c r="Y180" s="269" t="n">
        <v>12.2505722554919</v>
      </c>
      <c r="Z180" s="275" t="n">
        <v>2320</v>
      </c>
      <c r="AA180" s="275" t="n">
        <v>1571</v>
      </c>
      <c r="AB180" s="270" t="n">
        <v>15418.8</v>
      </c>
      <c r="AC180" s="290" t="n"/>
      <c r="AD180" s="276" t="n">
        <v>0.0113230937425265</v>
      </c>
      <c r="AE180" s="142" t="n">
        <v>0.00766749149547808</v>
      </c>
      <c r="AF180" s="270" t="n">
        <v>6.64603448275862</v>
      </c>
      <c r="AG180" s="277" t="n">
        <v>0.0752536714643396</v>
      </c>
      <c r="AH180" s="118" t="n">
        <v>0.444645849200305</v>
      </c>
      <c r="AI180" s="118" t="n">
        <v>0.311073876618431</v>
      </c>
      <c r="AJ180" s="270" t="n">
        <v>0.488835527182746</v>
      </c>
      <c r="AK180" s="64" t="n">
        <v>0.262778745772142</v>
      </c>
      <c r="AL180" s="64" t="n">
        <v>0.0250669868369035</v>
      </c>
      <c r="AM180" s="119" t="n">
        <v>0.316573202336852</v>
      </c>
    </row>
    <row customHeight="1" hidden="1" ht="15.75" outlineLevel="1" r="181" s="3">
      <c r="A181" s="117" t="n">
        <v>43522</v>
      </c>
      <c r="B181" s="289" t="inlineStr">
        <is>
          <t>安卓</t>
        </is>
      </c>
      <c r="C181" s="268" t="n">
        <v>55490</v>
      </c>
      <c r="D181" s="268" t="n">
        <v>192341</v>
      </c>
      <c r="E181" s="269" t="n">
        <v>3.46622814921607</v>
      </c>
      <c r="F181" s="270" t="n">
        <v>0.591525663119148</v>
      </c>
      <c r="G181" s="292" t="n">
        <v>10.99</v>
      </c>
      <c r="H181" s="271" t="n">
        <v>22.87</v>
      </c>
      <c r="I181" s="141" t="n">
        <v>0.278</v>
      </c>
      <c r="J181" s="141" t="n">
        <v>0.135</v>
      </c>
      <c r="K181" s="141" t="n">
        <v>0.073</v>
      </c>
      <c r="L181" s="270" t="n">
        <v>10.3525977300732</v>
      </c>
      <c r="M181" s="272" t="n">
        <v>11.5191768785646</v>
      </c>
      <c r="N181" s="270" t="n">
        <v>17.6680595205818</v>
      </c>
      <c r="O181" s="273" t="n">
        <v>0.651977477500897</v>
      </c>
      <c r="P181" s="270" t="n">
        <v>2.29279437329548</v>
      </c>
      <c r="Q181" s="270" t="n">
        <v>3.29735570405576</v>
      </c>
      <c r="R181" s="270" t="n">
        <v>1.05600389148498</v>
      </c>
      <c r="S181" s="270" t="n">
        <v>6.08896987288879</v>
      </c>
      <c r="T181" s="270" t="n">
        <v>1.37061609862682</v>
      </c>
      <c r="U181" s="270" t="n">
        <v>0.49742428350425</v>
      </c>
      <c r="V181" s="270" t="n">
        <v>2.03735187636561</v>
      </c>
      <c r="W181" s="270" t="n">
        <v>1.02754342036012</v>
      </c>
      <c r="X181" s="270" t="n">
        <v>0.289756214223696</v>
      </c>
      <c r="Y181" s="269" t="n">
        <v>11.8089330927883</v>
      </c>
      <c r="Z181" s="275" t="n">
        <v>2244</v>
      </c>
      <c r="AA181" s="275" t="n">
        <v>1519</v>
      </c>
      <c r="AB181" s="270" t="n">
        <v>15417.56</v>
      </c>
      <c r="AC181" s="290" t="n"/>
      <c r="AD181" s="276" t="n">
        <v>0.0116667793138228</v>
      </c>
      <c r="AE181" s="142" t="n">
        <v>0.00789743216474907</v>
      </c>
      <c r="AF181" s="270" t="n">
        <v>6.87057040998217</v>
      </c>
      <c r="AG181" s="277" t="n">
        <v>0.0801574287333434</v>
      </c>
      <c r="AH181" s="118" t="n">
        <v>0.44438637592359</v>
      </c>
      <c r="AI181" s="118" t="n">
        <v>0.314362948278969</v>
      </c>
      <c r="AJ181" s="270" t="n">
        <v>0.526284047602955</v>
      </c>
      <c r="AK181" s="64" t="n">
        <v>0.285908880581883</v>
      </c>
      <c r="AL181" s="64" t="n">
        <v>0.0296452654400258</v>
      </c>
      <c r="AM181" s="119" t="n">
        <v>0.277756692540852</v>
      </c>
    </row>
    <row customFormat="1" customHeight="1" hidden="1" ht="12.45" outlineLevel="1" r="182" s="294">
      <c r="A182" s="121" t="n">
        <v>43523</v>
      </c>
      <c r="B182" s="295" t="inlineStr">
        <is>
          <t>安卓</t>
        </is>
      </c>
      <c r="C182" s="296" t="n">
        <v>50132</v>
      </c>
      <c r="D182" s="296" t="n">
        <v>182656</v>
      </c>
      <c r="E182" s="297" t="n">
        <v>3.64350115694566</v>
      </c>
      <c r="F182" s="294" t="n">
        <v>0.515733201756307</v>
      </c>
      <c r="G182" s="298" t="n">
        <v>11</v>
      </c>
      <c r="H182" s="306" t="n">
        <v>22.3</v>
      </c>
      <c r="I182" s="123" t="n">
        <v>0.282</v>
      </c>
      <c r="J182" s="123" t="n">
        <v>0.135</v>
      </c>
      <c r="K182" s="123" t="n">
        <v>0.07099999999999999</v>
      </c>
      <c r="L182" s="294" t="n">
        <v>9.934412228451301</v>
      </c>
      <c r="M182" s="299" t="n">
        <v>10.4815609670638</v>
      </c>
      <c r="N182" s="294" t="n">
        <v>16.0420297627028</v>
      </c>
      <c r="O182" s="300" t="n">
        <v>0.653381219341275</v>
      </c>
      <c r="P182" s="294" t="n">
        <v>2.15769540152835</v>
      </c>
      <c r="Q182" s="294" t="n">
        <v>2.83775472583456</v>
      </c>
      <c r="R182" s="294" t="n">
        <v>0.950646869553559</v>
      </c>
      <c r="S182" s="294" t="n">
        <v>5.50433201501542</v>
      </c>
      <c r="T182" s="294" t="n">
        <v>1.27421571256201</v>
      </c>
      <c r="U182" s="294" t="n">
        <v>0.528899651427805</v>
      </c>
      <c r="V182" s="294" t="n">
        <v>1.83571021584663</v>
      </c>
      <c r="W182" s="294" t="n">
        <v>0.952775170934442</v>
      </c>
      <c r="X182" s="294" t="n">
        <v>0.211304309740715</v>
      </c>
      <c r="Y182" s="297" t="n">
        <v>10.6928652768045</v>
      </c>
      <c r="Z182" s="293" t="n">
        <v>1833</v>
      </c>
      <c r="AA182" s="293" t="n">
        <v>1294</v>
      </c>
      <c r="AB182" s="294" t="n">
        <v>10694.67</v>
      </c>
      <c r="AC182" s="302" t="n"/>
      <c r="AD182" s="303" t="n">
        <v>0.0100352575332866</v>
      </c>
      <c r="AE182" s="124" t="n">
        <v>0.0070843552908199</v>
      </c>
      <c r="AF182" s="294" t="n">
        <v>5.83451718494272</v>
      </c>
      <c r="AG182" s="304" t="n">
        <v>0.0585508825332866</v>
      </c>
      <c r="AH182" s="125" t="n">
        <v>0.451049230032714</v>
      </c>
      <c r="AI182" s="125" t="n">
        <v>0.330627144338945</v>
      </c>
      <c r="AJ182" s="294" t="n">
        <v>0.601518701822004</v>
      </c>
      <c r="AK182" s="126" t="n">
        <v>0.314388796426069</v>
      </c>
      <c r="AL182" s="126" t="n">
        <v>0.0330512000700771</v>
      </c>
      <c r="AM182" s="127" t="n">
        <v>0</v>
      </c>
      <c r="AN182" s="303" t="n"/>
    </row>
    <row customHeight="1" hidden="1" ht="13.2" outlineLevel="1" r="183" s="3">
      <c r="A183" s="117" t="n">
        <v>43524</v>
      </c>
      <c r="B183" s="267" t="inlineStr">
        <is>
          <t>安卓</t>
        </is>
      </c>
      <c r="C183" s="268" t="n">
        <v>48938</v>
      </c>
      <c r="D183" s="268" t="n">
        <v>177637</v>
      </c>
      <c r="E183" s="269" t="n">
        <v>3.62983775389268</v>
      </c>
      <c r="F183" s="270" t="n">
        <v>0.526151411845505</v>
      </c>
      <c r="G183" s="292" t="n">
        <v>11.46</v>
      </c>
      <c r="H183" s="271" t="n">
        <v>22.85</v>
      </c>
      <c r="I183" s="141" t="n">
        <v>0.287</v>
      </c>
      <c r="J183" s="141" t="n">
        <v>0.137</v>
      </c>
      <c r="K183" s="141" t="n">
        <v>0.074</v>
      </c>
      <c r="L183" s="270" t="n">
        <v>10.0257378811847</v>
      </c>
      <c r="M183" s="272" t="n">
        <v>10.2067530976092</v>
      </c>
      <c r="N183" s="270" t="n">
        <v>15.6191054599335</v>
      </c>
      <c r="O183" s="273" t="n">
        <v>0.653478723464143</v>
      </c>
      <c r="P183" s="270" t="n">
        <v>2.13608483658104</v>
      </c>
      <c r="Q183" s="270" t="n">
        <v>2.76035044192898</v>
      </c>
      <c r="R183" s="270" t="n">
        <v>0.9082545097431129</v>
      </c>
      <c r="S183" s="270" t="n">
        <v>5.31461380748092</v>
      </c>
      <c r="T183" s="270" t="n">
        <v>1.26361537533812</v>
      </c>
      <c r="U183" s="270" t="n">
        <v>0.517806378249858</v>
      </c>
      <c r="V183" s="270" t="n">
        <v>1.78536724039903</v>
      </c>
      <c r="W183" s="270" t="n">
        <v>0.933012870212436</v>
      </c>
      <c r="X183" s="270" t="n">
        <v>0.191795628163052</v>
      </c>
      <c r="Y183" s="269" t="n">
        <v>10.3985487257722</v>
      </c>
      <c r="Z183" s="275" t="n">
        <v>1840</v>
      </c>
      <c r="AA183" s="275" t="n">
        <v>1294</v>
      </c>
      <c r="AB183" s="270" t="n">
        <v>10777.6</v>
      </c>
      <c r="AC183" s="290" t="n"/>
      <c r="AD183" s="276" t="n">
        <v>0.0103582024015267</v>
      </c>
      <c r="AE183" s="142" t="n">
        <v>0.0072845184280302</v>
      </c>
      <c r="AF183" s="270" t="n">
        <v>5.85739130434782</v>
      </c>
      <c r="AG183" s="277" t="n">
        <v>0.0606720446753773</v>
      </c>
      <c r="AH183" s="118" t="n">
        <v>0.448955821651886</v>
      </c>
      <c r="AI183" s="118" t="n">
        <v>0.319731088315828</v>
      </c>
      <c r="AJ183" s="270" t="n">
        <v>0.58457978912051</v>
      </c>
      <c r="AK183" s="64" t="n">
        <v>0.31958432083406</v>
      </c>
      <c r="AL183" s="64" t="n">
        <v>0.0332982430462122</v>
      </c>
      <c r="AM183" s="119" t="n">
        <v>0</v>
      </c>
    </row>
    <row collapsed="1" customHeight="1" ht="15" r="184" s="3">
      <c r="A184" s="117" t="n">
        <v>43525</v>
      </c>
      <c r="B184" s="267" t="inlineStr">
        <is>
          <t>安卓</t>
        </is>
      </c>
      <c r="C184" s="268" t="n">
        <v>43782</v>
      </c>
      <c r="D184" s="268" t="n">
        <v>170765</v>
      </c>
      <c r="E184" s="269" t="n">
        <v>3.90034717463798</v>
      </c>
      <c r="F184" s="270" t="n">
        <v>0.531858857845577</v>
      </c>
      <c r="G184" s="292" t="n">
        <v>10.5</v>
      </c>
      <c r="H184" s="271" t="n">
        <v>21.51</v>
      </c>
      <c r="I184" s="141" t="n">
        <v>0.281</v>
      </c>
      <c r="J184" s="141" t="n">
        <v>0.145</v>
      </c>
      <c r="K184" s="141" t="n">
        <v>0.076</v>
      </c>
      <c r="L184" s="270" t="n">
        <v>10.0225631716101</v>
      </c>
      <c r="M184" s="272" t="n">
        <v>10.228793956607</v>
      </c>
      <c r="N184" s="270" t="n">
        <v>15.5010471761741</v>
      </c>
      <c r="O184" s="273" t="n">
        <v>0.659877609580418</v>
      </c>
      <c r="P184" s="270" t="n">
        <v>2.11802030456853</v>
      </c>
      <c r="Q184" s="270" t="n">
        <v>2.75166838237904</v>
      </c>
      <c r="R184" s="270" t="n">
        <v>0.900482765965</v>
      </c>
      <c r="S184" s="270" t="n">
        <v>5.23861417770047</v>
      </c>
      <c r="T184" s="270" t="n">
        <v>1.25509389088069</v>
      </c>
      <c r="U184" s="270" t="n">
        <v>0.517677753718363</v>
      </c>
      <c r="V184" s="270" t="n">
        <v>1.78217848141706</v>
      </c>
      <c r="W184" s="270" t="n">
        <v>0.937311419544922</v>
      </c>
      <c r="X184" s="270" t="n">
        <v>0.18595730975317</v>
      </c>
      <c r="Y184" s="269" t="n">
        <v>10.4147512663602</v>
      </c>
      <c r="Z184" s="275" t="n">
        <v>1885</v>
      </c>
      <c r="AA184" s="275" t="n">
        <v>1328</v>
      </c>
      <c r="AB184" s="270" t="n">
        <v>12218.15</v>
      </c>
      <c r="AC184" s="290" t="n"/>
      <c r="AD184" s="276" t="n">
        <v>0.0110385617661699</v>
      </c>
      <c r="AE184" s="142" t="n">
        <v>0.00777676924428308</v>
      </c>
      <c r="AF184" s="270" t="n">
        <v>6.48177718832891</v>
      </c>
      <c r="AG184" s="277" t="n">
        <v>0.0715494978479197</v>
      </c>
      <c r="AH184" s="118" t="n">
        <v>0.459024256543785</v>
      </c>
      <c r="AI184" s="118" t="n">
        <v>0.338335388972637</v>
      </c>
      <c r="AJ184" s="270" t="n">
        <v>0.583849149415864</v>
      </c>
      <c r="AK184" s="64" t="n">
        <v>0.328796884607502</v>
      </c>
      <c r="AL184" s="64" t="n">
        <v>0.0336310133809621</v>
      </c>
      <c r="AM184" s="119" t="n">
        <v>0</v>
      </c>
    </row>
    <row customHeight="1" hidden="1" ht="15" outlineLevel="1" r="185" s="3">
      <c r="A185" s="117" t="n">
        <v>43526</v>
      </c>
      <c r="B185" s="289" t="inlineStr">
        <is>
          <t>安卓</t>
        </is>
      </c>
      <c r="C185" s="268" t="n">
        <v>47214</v>
      </c>
      <c r="D185" s="268" t="n">
        <v>169050</v>
      </c>
      <c r="E185" s="269" t="n">
        <v>3.58050578218325</v>
      </c>
      <c r="F185" s="270" t="n">
        <v>0.705632879822538</v>
      </c>
      <c r="G185" s="292" t="n">
        <v>10.54</v>
      </c>
      <c r="H185" s="271" t="n">
        <v>21.46</v>
      </c>
      <c r="I185" s="141" t="n">
        <v>0.282</v>
      </c>
      <c r="J185" s="141" t="n">
        <v>0.14</v>
      </c>
      <c r="K185" s="141" t="n">
        <v>0.078</v>
      </c>
      <c r="L185" s="270" t="n">
        <v>11.6911801242236</v>
      </c>
      <c r="M185" s="272" t="n">
        <v>12.8118130730553</v>
      </c>
      <c r="N185" s="270" t="n">
        <v>19.3506155852974</v>
      </c>
      <c r="O185" s="273" t="n">
        <v>0.662088139603668</v>
      </c>
      <c r="P185" s="270" t="n">
        <v>2.5056376534496</v>
      </c>
      <c r="Q185" s="270" t="n">
        <v>3.35641405928917</v>
      </c>
      <c r="R185" s="270" t="n">
        <v>1.01417007665779</v>
      </c>
      <c r="S185" s="270" t="n">
        <v>7.17237281775459</v>
      </c>
      <c r="T185" s="270" t="n">
        <v>1.49772170898629</v>
      </c>
      <c r="U185" s="270" t="n">
        <v>0.469533441738291</v>
      </c>
      <c r="V185" s="270" t="n">
        <v>2.26628307989207</v>
      </c>
      <c r="W185" s="270" t="n">
        <v>1.06848274752962</v>
      </c>
      <c r="X185" s="270" t="n">
        <v>0.307855664004732</v>
      </c>
      <c r="Y185" s="269" t="n">
        <v>13.11966873706</v>
      </c>
      <c r="Z185" s="275" t="n">
        <v>2582</v>
      </c>
      <c r="AA185" s="275" t="n">
        <v>1649</v>
      </c>
      <c r="AB185" s="270" t="n">
        <v>19028.18</v>
      </c>
      <c r="AC185" s="290" t="n"/>
      <c r="AD185" s="276" t="n">
        <v>0.0152735876959479</v>
      </c>
      <c r="AE185" s="142" t="n">
        <v>0.009754510499852121</v>
      </c>
      <c r="AF185" s="270" t="n">
        <v>7.36955073586367</v>
      </c>
      <c r="AG185" s="277" t="n">
        <v>0.112559479443952</v>
      </c>
      <c r="AH185" s="118" t="n">
        <v>0.452196382428941</v>
      </c>
      <c r="AI185" s="118" t="n">
        <v>0.307895963061804</v>
      </c>
      <c r="AJ185" s="270" t="n">
        <v>0.471694764862467</v>
      </c>
      <c r="AK185" s="64" t="n">
        <v>0.286577935522035</v>
      </c>
      <c r="AL185" s="64" t="n">
        <v>0.0302928127772848</v>
      </c>
      <c r="AM185" s="119" t="n">
        <v>0.330937592428276</v>
      </c>
    </row>
    <row customHeight="1" hidden="1" ht="15" outlineLevel="2" r="186" s="3">
      <c r="A186" s="117" t="n">
        <v>43527</v>
      </c>
      <c r="B186" s="289" t="inlineStr">
        <is>
          <t>安卓</t>
        </is>
      </c>
      <c r="C186" s="268" t="n">
        <v>56865</v>
      </c>
      <c r="D186" s="268" t="n">
        <v>179897</v>
      </c>
      <c r="E186" s="269" t="n">
        <v>3.16358040974237</v>
      </c>
      <c r="F186" s="270" t="n">
        <v>0.669987615268737</v>
      </c>
      <c r="G186" s="292" t="n">
        <v>10.21</v>
      </c>
      <c r="H186" s="271" t="n">
        <v>21</v>
      </c>
      <c r="I186" s="141" t="n">
        <v>0.3</v>
      </c>
      <c r="J186" s="141" t="n">
        <v>0.146</v>
      </c>
      <c r="K186" s="141" t="n">
        <v>0.08599999999999999</v>
      </c>
      <c r="L186" s="270" t="n">
        <v>11.6055520659044</v>
      </c>
      <c r="M186" s="272" t="n">
        <v>12.7533421902533</v>
      </c>
      <c r="N186" s="270" t="n">
        <v>19.4343896385522</v>
      </c>
      <c r="O186" s="273" t="n">
        <v>0.65622550681779</v>
      </c>
      <c r="P186" s="270" t="n">
        <v>2.47715009360203</v>
      </c>
      <c r="Q186" s="270" t="n">
        <v>3.51446384251141</v>
      </c>
      <c r="R186" s="270" t="n">
        <v>1.06548753525959</v>
      </c>
      <c r="S186" s="270" t="n">
        <v>7.07738896936122</v>
      </c>
      <c r="T186" s="270" t="n">
        <v>1.49271937180758</v>
      </c>
      <c r="U186" s="270" t="n">
        <v>0.480089451348123</v>
      </c>
      <c r="V186" s="270" t="n">
        <v>2.2329631606143</v>
      </c>
      <c r="W186" s="270" t="n">
        <v>1.09412721404793</v>
      </c>
      <c r="X186" s="270" t="n">
        <v>0.338382518885807</v>
      </c>
      <c r="Y186" s="269" t="n">
        <v>13.0917247091391</v>
      </c>
      <c r="Z186" s="275" t="n">
        <v>2502</v>
      </c>
      <c r="AA186" s="275" t="n">
        <v>1594</v>
      </c>
      <c r="AB186" s="270" t="n">
        <v>17565.98</v>
      </c>
      <c r="AC186" s="290" t="n"/>
      <c r="AD186" s="276" t="n">
        <v>0.0139079584428868</v>
      </c>
      <c r="AE186" s="142" t="n">
        <v>0.008860625802542569</v>
      </c>
      <c r="AF186" s="270" t="n">
        <v>7.02077537969624</v>
      </c>
      <c r="AG186" s="277" t="n">
        <v>0.0976446522176579</v>
      </c>
      <c r="AH186" s="118" t="n">
        <v>0.463659544535303</v>
      </c>
      <c r="AI186" s="118" t="n">
        <v>0.302453178580849</v>
      </c>
      <c r="AJ186" s="270" t="n">
        <v>0.473776661089401</v>
      </c>
      <c r="AK186" s="64" t="n">
        <v>0.267603128456839</v>
      </c>
      <c r="AL186" s="64" t="n">
        <v>0.0292945407649933</v>
      </c>
      <c r="AM186" s="119" t="n">
        <v>0.329866534739323</v>
      </c>
    </row>
    <row customHeight="1" hidden="1" ht="15" outlineLevel="1" r="187" s="3">
      <c r="A187" s="117" t="n">
        <v>43528</v>
      </c>
      <c r="B187" s="289" t="inlineStr">
        <is>
          <t>安卓</t>
        </is>
      </c>
      <c r="C187" s="268" t="n">
        <v>61476</v>
      </c>
      <c r="D187" s="268" t="n">
        <v>191629</v>
      </c>
      <c r="E187" s="269" t="n">
        <v>3.1171351421693</v>
      </c>
      <c r="F187" s="270" t="n">
        <v>0.628130683920492</v>
      </c>
      <c r="G187" s="292" t="n">
        <v>10.32</v>
      </c>
      <c r="H187" s="271" t="n">
        <v>20.51</v>
      </c>
      <c r="I187" s="141" t="n">
        <v>0.296</v>
      </c>
      <c r="J187" s="141" t="n">
        <v>0.15</v>
      </c>
      <c r="K187" s="141" t="n">
        <v>0.08400000000000001</v>
      </c>
      <c r="L187" s="270" t="n">
        <v>11.5002478747997</v>
      </c>
      <c r="M187" s="272" t="n">
        <v>12.3915325968408</v>
      </c>
      <c r="N187" s="270" t="n">
        <v>18.9993519066746</v>
      </c>
      <c r="O187" s="273" t="n">
        <v>0.65220817308445</v>
      </c>
      <c r="P187" s="270" t="n">
        <v>2.42170872605655</v>
      </c>
      <c r="Q187" s="270" t="n">
        <v>3.53808548430974</v>
      </c>
      <c r="R187" s="270" t="n">
        <v>1.03827751196172</v>
      </c>
      <c r="S187" s="270" t="n">
        <v>6.77313533148774</v>
      </c>
      <c r="T187" s="270" t="n">
        <v>1.47180393976733</v>
      </c>
      <c r="U187" s="270" t="n">
        <v>0.48385367492919</v>
      </c>
      <c r="V187" s="270" t="n">
        <v>2.18893120609368</v>
      </c>
      <c r="W187" s="270" t="n">
        <v>1.08355603206862</v>
      </c>
      <c r="X187" s="270" t="n">
        <v>0.310047017935699</v>
      </c>
      <c r="Y187" s="269" t="n">
        <v>12.7015796147765</v>
      </c>
      <c r="Z187" s="275" t="n">
        <v>2380</v>
      </c>
      <c r="AA187" s="275" t="n">
        <v>1589</v>
      </c>
      <c r="AB187" s="270" t="n">
        <v>15844.2</v>
      </c>
      <c r="AC187" s="290" t="n"/>
      <c r="AD187" s="276" t="n">
        <v>0.0124198320713462</v>
      </c>
      <c r="AE187" s="142" t="n">
        <v>0.00829206435351643</v>
      </c>
      <c r="AF187" s="270" t="n">
        <v>6.6572268907563</v>
      </c>
      <c r="AG187" s="277" t="n">
        <v>0.08268164004404339</v>
      </c>
      <c r="AH187" s="118" t="n">
        <v>0.461106773374976</v>
      </c>
      <c r="AI187" s="118" t="n">
        <v>0.309454095907346</v>
      </c>
      <c r="AJ187" s="270" t="n">
        <v>0.482437418136086</v>
      </c>
      <c r="AK187" s="64" t="n">
        <v>0.264886838630896</v>
      </c>
      <c r="AL187" s="64" t="n">
        <v>0.0288995924416451</v>
      </c>
      <c r="AM187" s="119" t="n">
        <v>0.318902671307579</v>
      </c>
    </row>
    <row customHeight="1" hidden="1" ht="15" outlineLevel="1" r="188" s="3">
      <c r="A188" s="117" t="n">
        <v>43529</v>
      </c>
      <c r="B188" s="289" t="inlineStr">
        <is>
          <t>安卓</t>
        </is>
      </c>
      <c r="C188" s="268" t="n">
        <v>71312</v>
      </c>
      <c r="D188" s="268" t="n">
        <v>202567</v>
      </c>
      <c r="E188" s="269" t="n">
        <v>2.84057381646848</v>
      </c>
      <c r="F188" s="270" t="n">
        <v>0.600081521871776</v>
      </c>
      <c r="G188" s="292" t="n">
        <v>11.4</v>
      </c>
      <c r="H188" s="271" t="n">
        <v>23.14</v>
      </c>
      <c r="I188" s="141" t="n">
        <v>0.294</v>
      </c>
      <c r="J188" s="141" t="n">
        <v>0.147</v>
      </c>
      <c r="K188" s="141" t="n">
        <v>0.079</v>
      </c>
      <c r="L188" s="270" t="n">
        <v>10.6219374330468</v>
      </c>
      <c r="M188" s="272" t="n">
        <v>10.9803817996021</v>
      </c>
      <c r="N188" s="270" t="n">
        <v>17.3149643076779</v>
      </c>
      <c r="O188" s="273" t="n">
        <v>0.634155612710856</v>
      </c>
      <c r="P188" s="270" t="n">
        <v>2.29616453498782</v>
      </c>
      <c r="Q188" s="270" t="n">
        <v>3.19370382768043</v>
      </c>
      <c r="R188" s="270" t="n">
        <v>0.960197417074709</v>
      </c>
      <c r="S188" s="270" t="n">
        <v>5.98787940120972</v>
      </c>
      <c r="T188" s="270" t="n">
        <v>1.3588927206346</v>
      </c>
      <c r="U188" s="270" t="n">
        <v>0.509540008874427</v>
      </c>
      <c r="V188" s="270" t="n">
        <v>2.00438272133521</v>
      </c>
      <c r="W188" s="270" t="n">
        <v>1.00420367588102</v>
      </c>
      <c r="X188" s="270" t="n">
        <v>0.246743052915825</v>
      </c>
      <c r="Y188" s="269" t="n">
        <v>11.2271248525179</v>
      </c>
      <c r="Z188" s="275" t="n">
        <v>2199</v>
      </c>
      <c r="AA188" s="275" t="n">
        <v>1489</v>
      </c>
      <c r="AB188" s="270" t="n">
        <v>15159.01</v>
      </c>
      <c r="AC188" s="290" t="n"/>
      <c r="AD188" s="276" t="n">
        <v>0.0108556675075407</v>
      </c>
      <c r="AE188" s="142" t="n">
        <v>0.00735065435139978</v>
      </c>
      <c r="AF188" s="270" t="n">
        <v>6.89359254206457</v>
      </c>
      <c r="AG188" s="277" t="n">
        <v>0.07483454856911539</v>
      </c>
      <c r="AH188" s="118" t="n">
        <v>0.425089746466233</v>
      </c>
      <c r="AI188" s="118" t="n">
        <v>0.276994054296612</v>
      </c>
      <c r="AJ188" s="270" t="n">
        <v>0.478177590624337</v>
      </c>
      <c r="AK188" s="64" t="n">
        <v>0.26148385472461</v>
      </c>
      <c r="AL188" s="64" t="n">
        <v>0.0302072894400371</v>
      </c>
      <c r="AM188" s="119" t="n">
        <v>0.257119866513302</v>
      </c>
    </row>
    <row customFormat="1" customHeight="1" hidden="1" ht="15" outlineLevel="1" r="189" s="294">
      <c r="A189" s="121" t="n">
        <v>43530</v>
      </c>
      <c r="B189" s="295" t="inlineStr">
        <is>
          <t>安卓</t>
        </is>
      </c>
      <c r="C189" s="296" t="n">
        <v>78182</v>
      </c>
      <c r="D189" s="296" t="n">
        <v>211717</v>
      </c>
      <c r="E189" s="297" t="n">
        <v>2.70800184185618</v>
      </c>
      <c r="F189" s="294" t="n">
        <v>0.535337889645139</v>
      </c>
      <c r="G189" s="298" t="n">
        <v>11.77</v>
      </c>
      <c r="H189" s="306" t="n">
        <v>23.91</v>
      </c>
      <c r="I189" s="123" t="n">
        <v>0.281</v>
      </c>
      <c r="J189" s="123" t="n">
        <v>0.141</v>
      </c>
      <c r="K189" s="123" t="n">
        <v>0.076</v>
      </c>
      <c r="L189" s="294" t="n">
        <v>9.91383308850966</v>
      </c>
      <c r="M189" s="299" t="n">
        <v>9.829390176509211</v>
      </c>
      <c r="N189" s="294" t="n">
        <v>15.8195729348</v>
      </c>
      <c r="O189" s="300" t="n">
        <v>0.621343586013405</v>
      </c>
      <c r="P189" s="294" t="n">
        <v>2.1514188629332</v>
      </c>
      <c r="Q189" s="294" t="n">
        <v>2.78211921033227</v>
      </c>
      <c r="R189" s="294" t="n">
        <v>0.891553717626132</v>
      </c>
      <c r="S189" s="294" t="n">
        <v>5.47157333008993</v>
      </c>
      <c r="T189" s="294" t="n">
        <v>1.24664573656964</v>
      </c>
      <c r="U189" s="294" t="n">
        <v>0.538346927760758</v>
      </c>
      <c r="V189" s="294" t="n">
        <v>1.81012398421881</v>
      </c>
      <c r="W189" s="294" t="n">
        <v>0.927791165269215</v>
      </c>
      <c r="X189" s="294" t="n">
        <v>0.174251477207782</v>
      </c>
      <c r="Y189" s="297" t="n">
        <v>10.003641653717</v>
      </c>
      <c r="Z189" s="293" t="n">
        <v>1868</v>
      </c>
      <c r="AA189" s="293" t="n">
        <v>1300</v>
      </c>
      <c r="AB189" s="294" t="n">
        <v>12022.32</v>
      </c>
      <c r="AC189" s="302" t="n"/>
      <c r="AD189" s="303" t="n">
        <v>0.0088230987591927</v>
      </c>
      <c r="AE189" s="124" t="n">
        <v>0.00614027215575509</v>
      </c>
      <c r="AF189" s="294" t="n">
        <v>6.43593147751606</v>
      </c>
      <c r="AG189" s="304" t="n">
        <v>0.0567848590335212</v>
      </c>
      <c r="AH189" s="125" t="n">
        <v>0.429766442403622</v>
      </c>
      <c r="AI189" s="125" t="n">
        <v>0.283466782635389</v>
      </c>
      <c r="AJ189" s="294" t="n">
        <v>0.539852727933987</v>
      </c>
      <c r="AK189" s="126" t="n">
        <v>0.273199601354638</v>
      </c>
      <c r="AL189" s="126" t="n">
        <v>0.0302573718690516</v>
      </c>
      <c r="AM189" s="127" t="n">
        <v>0</v>
      </c>
      <c r="AN189" s="303" t="n"/>
    </row>
    <row customHeight="1" hidden="1" ht="15" outlineLevel="1" r="190" s="3">
      <c r="A190" s="117" t="n">
        <v>43531</v>
      </c>
      <c r="B190" s="267" t="inlineStr">
        <is>
          <t>安卓</t>
        </is>
      </c>
      <c r="C190" s="268" t="n">
        <v>75394</v>
      </c>
      <c r="D190" s="268" t="n">
        <v>213864</v>
      </c>
      <c r="E190" s="269" t="n">
        <v>2.83661829853835</v>
      </c>
      <c r="F190" s="270" t="n">
        <v>0.5279131989395131</v>
      </c>
      <c r="G190" s="292" t="n">
        <v>12.07</v>
      </c>
      <c r="H190" s="271" t="n">
        <v>24.15</v>
      </c>
      <c r="I190" s="141" t="n">
        <v>0.284</v>
      </c>
      <c r="J190" s="141" t="n">
        <v>0.139</v>
      </c>
      <c r="K190" s="141" t="n">
        <v>0.078</v>
      </c>
      <c r="L190" s="270" t="n">
        <v>9.596257434631349</v>
      </c>
      <c r="M190" s="272" t="n">
        <v>9.66676485991097</v>
      </c>
      <c r="N190" s="270" t="n">
        <v>15.4933676069427</v>
      </c>
      <c r="O190" s="273" t="n">
        <v>0.6239292260502</v>
      </c>
      <c r="P190" s="270" t="n">
        <v>2.14337959770976</v>
      </c>
      <c r="Q190" s="270" t="n">
        <v>2.7547213645493</v>
      </c>
      <c r="R190" s="270" t="n">
        <v>0.859033544170988</v>
      </c>
      <c r="S190" s="270" t="n">
        <v>5.2888650738931</v>
      </c>
      <c r="T190" s="270" t="n">
        <v>1.23295062801643</v>
      </c>
      <c r="U190" s="270" t="n">
        <v>0.532997092238976</v>
      </c>
      <c r="V190" s="270" t="n">
        <v>1.76691447585359</v>
      </c>
      <c r="W190" s="270" t="n">
        <v>0.914505830510507</v>
      </c>
      <c r="X190" s="270" t="n">
        <v>0.173231586428758</v>
      </c>
      <c r="Y190" s="269" t="n">
        <v>9.839996446339731</v>
      </c>
      <c r="Z190" s="275" t="n">
        <v>1994</v>
      </c>
      <c r="AA190" s="275" t="n">
        <v>1427</v>
      </c>
      <c r="AB190" s="270" t="n">
        <v>12194.06</v>
      </c>
      <c r="AC190" s="290" t="n"/>
      <c r="AD190" s="276" t="n">
        <v>0.00932368234017881</v>
      </c>
      <c r="AE190" s="142" t="n">
        <v>0.00667246474394943</v>
      </c>
      <c r="AF190" s="270" t="n">
        <v>6.11537612838516</v>
      </c>
      <c r="AG190" s="277" t="n">
        <v>0.0570178244117757</v>
      </c>
      <c r="AH190" s="118" t="n">
        <v>0.426718306496538</v>
      </c>
      <c r="AI190" s="118" t="n">
        <v>0.285685863596573</v>
      </c>
      <c r="AJ190" s="270" t="n">
        <v>0.530528747241237</v>
      </c>
      <c r="AK190" s="64" t="n">
        <v>0.279476676766543</v>
      </c>
      <c r="AL190" s="64" t="n">
        <v>0.0300424568884899</v>
      </c>
      <c r="AM190" s="119" t="n">
        <v>0</v>
      </c>
    </row>
    <row customHeight="1" hidden="1" ht="15" outlineLevel="1" r="191" s="3">
      <c r="A191" s="117" t="n">
        <v>43532</v>
      </c>
      <c r="B191" s="267" t="inlineStr">
        <is>
          <t>安卓</t>
        </is>
      </c>
      <c r="C191" s="268" t="n">
        <v>74900</v>
      </c>
      <c r="D191" s="268" t="n">
        <v>215476</v>
      </c>
      <c r="E191" s="269" t="n">
        <v>2.87684913217623</v>
      </c>
      <c r="F191" s="270" t="n">
        <v>0.527530345597654</v>
      </c>
      <c r="G191" s="292" t="n">
        <v>11.49</v>
      </c>
      <c r="H191" s="271" t="n">
        <v>23.79</v>
      </c>
      <c r="I191" s="141" t="n">
        <v>0.283</v>
      </c>
      <c r="J191" s="141" t="n">
        <v>0.142</v>
      </c>
      <c r="K191" s="141" t="n">
        <v>0.074</v>
      </c>
      <c r="L191" s="270" t="n">
        <v>9.59492008390726</v>
      </c>
      <c r="M191" s="272" t="n">
        <v>9.61751656797045</v>
      </c>
      <c r="N191" s="270" t="n">
        <v>15.3417185498856</v>
      </c>
      <c r="O191" s="273" t="n">
        <v>0.626886521004659</v>
      </c>
      <c r="P191" s="270" t="n">
        <v>2.12584487596147</v>
      </c>
      <c r="Q191" s="270" t="n">
        <v>2.75523952649931</v>
      </c>
      <c r="R191" s="270" t="n">
        <v>0.846608281079961</v>
      </c>
      <c r="S191" s="270" t="n">
        <v>5.19812850257997</v>
      </c>
      <c r="T191" s="270" t="n">
        <v>1.22087815278467</v>
      </c>
      <c r="U191" s="270" t="n">
        <v>0.535316370420273</v>
      </c>
      <c r="V191" s="270" t="n">
        <v>1.74864338646274</v>
      </c>
      <c r="W191" s="270" t="n">
        <v>0.911059454097232</v>
      </c>
      <c r="X191" s="270" t="n">
        <v>0.175235293025673</v>
      </c>
      <c r="Y191" s="269" t="n">
        <v>9.79275186099612</v>
      </c>
      <c r="Z191" s="275" t="n">
        <v>1969</v>
      </c>
      <c r="AA191" s="275" t="n">
        <v>1416</v>
      </c>
      <c r="AB191" s="270" t="n">
        <v>12231.31</v>
      </c>
      <c r="AC191" s="290" t="n"/>
      <c r="AD191" s="276" t="n">
        <v>0.009137908630195471</v>
      </c>
      <c r="AE191" s="142" t="n">
        <v>0.00657149752176577</v>
      </c>
      <c r="AF191" s="270" t="n">
        <v>6.21194007110208</v>
      </c>
      <c r="AG191" s="277" t="n">
        <v>0.0567641407859808</v>
      </c>
      <c r="AH191" s="118" t="n">
        <v>0.435794392523364</v>
      </c>
      <c r="AI191" s="118" t="n">
        <v>0.292002670226969</v>
      </c>
      <c r="AJ191" s="270" t="n">
        <v>0.518043772856374</v>
      </c>
      <c r="AK191" s="64" t="n">
        <v>0.281293508325753</v>
      </c>
      <c r="AL191" s="64" t="n">
        <v>0.0292422357942416</v>
      </c>
      <c r="AM191" s="119" t="n">
        <v>0</v>
      </c>
    </row>
    <row customHeight="1" hidden="1" ht="15" outlineLevel="1" r="192" s="3">
      <c r="A192" s="117" t="n">
        <v>43533</v>
      </c>
      <c r="B192" s="289" t="inlineStr">
        <is>
          <t>安卓</t>
        </is>
      </c>
      <c r="C192" s="268" t="n">
        <v>88368</v>
      </c>
      <c r="D192" s="268" t="n">
        <v>230463</v>
      </c>
      <c r="E192" s="269" t="n">
        <v>2.60799158066268</v>
      </c>
      <c r="F192" s="270" t="n">
        <v>0.60326744895276</v>
      </c>
      <c r="G192" s="292" t="n">
        <v>10.31</v>
      </c>
      <c r="H192" s="271" t="n">
        <v>21.64</v>
      </c>
      <c r="I192" s="141" t="n">
        <v>0.275</v>
      </c>
      <c r="J192" s="141" t="n">
        <v>0.131</v>
      </c>
      <c r="K192" s="141" t="n">
        <v>0.07199999999999999</v>
      </c>
      <c r="L192" s="270" t="n">
        <v>10.6466677948304</v>
      </c>
      <c r="M192" s="272" t="n">
        <v>11.7850934857222</v>
      </c>
      <c r="N192" s="270" t="n">
        <v>18.9868295956602</v>
      </c>
      <c r="O192" s="273" t="n">
        <v>0.620698333355029</v>
      </c>
      <c r="P192" s="270" t="n">
        <v>2.00741709076674</v>
      </c>
      <c r="Q192" s="270" t="n">
        <v>2.6017490632515</v>
      </c>
      <c r="R192" s="270" t="n">
        <v>0.799444941558078</v>
      </c>
      <c r="S192" s="270" t="n">
        <v>4.90854817963201</v>
      </c>
      <c r="T192" s="270" t="n">
        <v>1.15286477266372</v>
      </c>
      <c r="U192" s="270" t="n">
        <v>0.505494659135395</v>
      </c>
      <c r="V192" s="270" t="n">
        <v>1.65122895811196</v>
      </c>
      <c r="W192" s="270" t="n">
        <v>0.860305631676081</v>
      </c>
      <c r="X192" s="270" t="n">
        <v>0.279311646554978</v>
      </c>
      <c r="Y192" s="269" t="n">
        <v>12.0644051322772</v>
      </c>
      <c r="Z192" s="275" t="n">
        <v>2652</v>
      </c>
      <c r="AA192" s="275" t="n">
        <v>1721</v>
      </c>
      <c r="AB192" s="270" t="n">
        <v>18980.48</v>
      </c>
      <c r="AC192" s="290" t="n"/>
      <c r="AD192" s="276" t="n">
        <v>0.0115072701474857</v>
      </c>
      <c r="AE192" s="142" t="n">
        <v>0.00746757614020472</v>
      </c>
      <c r="AF192" s="270" t="n">
        <v>7.15704374057315</v>
      </c>
      <c r="AG192" s="277" t="n">
        <v>0.0823580357801469</v>
      </c>
      <c r="AH192" s="118" t="n">
        <v>0.44574959261271</v>
      </c>
      <c r="AI192" s="118" t="n">
        <v>0.289131812420786</v>
      </c>
      <c r="AJ192" s="270" t="n">
        <v>0.429348745785658</v>
      </c>
      <c r="AK192" s="64" t="n">
        <v>0.239734794739286</v>
      </c>
      <c r="AL192" s="64" t="n">
        <v>0.0246330213526683</v>
      </c>
      <c r="AM192" s="119" t="n">
        <v>0.308505052871828</v>
      </c>
    </row>
    <row customHeight="1" hidden="1" ht="15" outlineLevel="1" r="193" s="3">
      <c r="A193" s="117" t="n">
        <v>43534</v>
      </c>
      <c r="B193" s="289" t="inlineStr">
        <is>
          <t>安卓</t>
        </is>
      </c>
      <c r="C193" s="268" t="n">
        <v>85404</v>
      </c>
      <c r="D193" s="268" t="n">
        <v>235642</v>
      </c>
      <c r="E193" s="269" t="n">
        <v>2.75914477073673</v>
      </c>
      <c r="F193" s="270" t="n">
        <v>0.601484150499486</v>
      </c>
      <c r="G193" s="292" t="n">
        <v>9.460000000000001</v>
      </c>
      <c r="H193" s="271" t="n">
        <v>20.22</v>
      </c>
      <c r="I193" s="141" t="n">
        <v>0.275</v>
      </c>
      <c r="J193" s="141" t="n">
        <v>0.134</v>
      </c>
      <c r="K193" s="141" t="n">
        <v>0.077</v>
      </c>
      <c r="L193" s="270" t="n">
        <v>10.8975352441415</v>
      </c>
      <c r="M193" s="272" t="n">
        <v>12.6365758226462</v>
      </c>
      <c r="N193" s="270" t="n">
        <v>19.7916159863878</v>
      </c>
      <c r="O193" s="273" t="n">
        <v>0.638481255463797</v>
      </c>
      <c r="P193" s="270" t="n">
        <v>2.56593088871608</v>
      </c>
      <c r="Q193" s="270" t="n">
        <v>3.65112028341077</v>
      </c>
      <c r="R193" s="270" t="n">
        <v>1.05411656796475</v>
      </c>
      <c r="S193" s="270" t="n">
        <v>7.09245412188524</v>
      </c>
      <c r="T193" s="270" t="n">
        <v>1.50679614231687</v>
      </c>
      <c r="U193" s="270" t="n">
        <v>0.523359454447568</v>
      </c>
      <c r="V193" s="270" t="n">
        <v>2.27548137956704</v>
      </c>
      <c r="W193" s="270" t="n">
        <v>1.12235714807947</v>
      </c>
      <c r="X193" s="270" t="n">
        <v>0.301109309885335</v>
      </c>
      <c r="Y193" s="269" t="n">
        <v>12.9376851325316</v>
      </c>
      <c r="Z193" s="275" t="n">
        <v>2719</v>
      </c>
      <c r="AA193" s="275" t="n">
        <v>1783</v>
      </c>
      <c r="AB193" s="270" t="n">
        <v>18690.81</v>
      </c>
      <c r="AC193" s="290" t="n"/>
      <c r="AD193" s="276" t="n">
        <v>0.0115386900467659</v>
      </c>
      <c r="AE193" s="142" t="n">
        <v>0.00756656283684572</v>
      </c>
      <c r="AF193" s="270" t="n">
        <v>6.87414858403825</v>
      </c>
      <c r="AG193" s="277" t="n">
        <v>0.0793186698466317</v>
      </c>
      <c r="AH193" s="118" t="n">
        <v>0.476827783242003</v>
      </c>
      <c r="AI193" s="118" t="n">
        <v>0.330827595897148</v>
      </c>
      <c r="AJ193" s="270" t="n">
        <v>0.475950806732246</v>
      </c>
      <c r="AK193" s="64" t="n">
        <v>0.245631084441653</v>
      </c>
      <c r="AL193" s="64" t="n">
        <v>0.0250464687958853</v>
      </c>
      <c r="AM193" s="119" t="n">
        <v>0.330009081572894</v>
      </c>
    </row>
    <row customHeight="1" hidden="1" ht="15" outlineLevel="1" r="194" s="3">
      <c r="A194" s="117" t="n">
        <v>43535</v>
      </c>
      <c r="B194" s="289" t="inlineStr">
        <is>
          <t>安卓</t>
        </is>
      </c>
      <c r="C194" s="268" t="n">
        <v>84025</v>
      </c>
      <c r="D194" s="268" t="n">
        <v>240660</v>
      </c>
      <c r="E194" s="269" t="n">
        <v>2.86414757512645</v>
      </c>
      <c r="F194" s="270" t="n">
        <v>0.575515500311643</v>
      </c>
      <c r="G194" s="292" t="n">
        <v>9.949999999999999</v>
      </c>
      <c r="H194" s="271" t="n">
        <v>21.15</v>
      </c>
      <c r="I194" s="141" t="n">
        <v>0.287</v>
      </c>
      <c r="J194" s="141" t="n">
        <v>0.144</v>
      </c>
      <c r="K194" s="141" t="n">
        <v>0.08</v>
      </c>
      <c r="L194" s="270" t="n">
        <v>10.6671985373556</v>
      </c>
      <c r="M194" s="272" t="n">
        <v>12.3701612233026</v>
      </c>
      <c r="N194" s="270" t="n">
        <v>19.2933532941893</v>
      </c>
      <c r="O194" s="273" t="n">
        <v>0.6411618050361509</v>
      </c>
      <c r="P194" s="270" t="n">
        <v>2.51547614418478</v>
      </c>
      <c r="Q194" s="270" t="n">
        <v>3.63788544542521</v>
      </c>
      <c r="R194" s="270" t="n">
        <v>1.02355769853923</v>
      </c>
      <c r="S194" s="270" t="n">
        <v>6.80999598190561</v>
      </c>
      <c r="T194" s="270" t="n">
        <v>1.48471827973714</v>
      </c>
      <c r="U194" s="270" t="n">
        <v>0.513616155331752</v>
      </c>
      <c r="V194" s="270" t="n">
        <v>2.20967971899262</v>
      </c>
      <c r="W194" s="270" t="n">
        <v>1.09842387007297</v>
      </c>
      <c r="X194" s="270" t="n">
        <v>0.32596609324358</v>
      </c>
      <c r="Y194" s="269" t="n">
        <v>12.6961273165462</v>
      </c>
      <c r="Z194" s="275" t="n">
        <v>2572</v>
      </c>
      <c r="AA194" s="275" t="n">
        <v>1761</v>
      </c>
      <c r="AB194" s="270" t="n">
        <v>17642.28</v>
      </c>
      <c r="AC194" s="290" t="n"/>
      <c r="AD194" s="276" t="n">
        <v>0.010687276655863</v>
      </c>
      <c r="AE194" s="142" t="n">
        <v>0.00731737721266517</v>
      </c>
      <c r="AF194" s="270" t="n">
        <v>6.85936236391913</v>
      </c>
      <c r="AG194" s="277" t="n">
        <v>0.0733079032660184</v>
      </c>
      <c r="AH194" s="118" t="n">
        <v>0.462862243379946</v>
      </c>
      <c r="AI194" s="118" t="n">
        <v>0.321309134186254</v>
      </c>
      <c r="AJ194" s="270" t="n">
        <v>0.485356935095155</v>
      </c>
      <c r="AK194" s="64" t="n">
        <v>0.250777029834621</v>
      </c>
      <c r="AL194" s="64" t="n">
        <v>0.0254716197124574</v>
      </c>
      <c r="AM194" s="119" t="n">
        <v>0.324291531621375</v>
      </c>
    </row>
    <row customHeight="1" hidden="1" ht="15" outlineLevel="1" r="195" s="3">
      <c r="A195" s="117" t="n">
        <v>43536</v>
      </c>
      <c r="B195" s="289" t="inlineStr">
        <is>
          <t>安卓</t>
        </is>
      </c>
      <c r="C195" s="268" t="n">
        <v>77815</v>
      </c>
      <c r="D195" s="268" t="n">
        <v>234660</v>
      </c>
      <c r="E195" s="269" t="n">
        <v>3.01561395617811</v>
      </c>
      <c r="F195" s="270" t="n">
        <v>0.5938139675274861</v>
      </c>
      <c r="G195" s="292" t="n">
        <v>11.04</v>
      </c>
      <c r="H195" s="271" t="n">
        <v>22.9</v>
      </c>
      <c r="I195" s="141" t="n">
        <v>0.287</v>
      </c>
      <c r="J195" s="141" t="n">
        <v>0.141</v>
      </c>
      <c r="K195" s="141" t="n">
        <v>0.076</v>
      </c>
      <c r="L195" s="270" t="n">
        <v>10.3430963947839</v>
      </c>
      <c r="M195" s="272" t="n">
        <v>11.8379144293872</v>
      </c>
      <c r="N195" s="270" t="n">
        <v>18.2837387778743</v>
      </c>
      <c r="O195" s="273" t="n">
        <v>0.647455893633342</v>
      </c>
      <c r="P195" s="270" t="n">
        <v>2.43321354290077</v>
      </c>
      <c r="Q195" s="270" t="n">
        <v>3.39909959718822</v>
      </c>
      <c r="R195" s="270" t="n">
        <v>0.996472105942132</v>
      </c>
      <c r="S195" s="270" t="n">
        <v>6.31751704710002</v>
      </c>
      <c r="T195" s="270" t="n">
        <v>1.42940262749125</v>
      </c>
      <c r="U195" s="270" t="n">
        <v>0.538984545717821</v>
      </c>
      <c r="V195" s="270" t="n">
        <v>2.11018745228128</v>
      </c>
      <c r="W195" s="270" t="n">
        <v>1.05886185925282</v>
      </c>
      <c r="X195" s="270" t="n">
        <v>0.309439188613313</v>
      </c>
      <c r="Y195" s="269" t="n">
        <v>12.1473536180005</v>
      </c>
      <c r="Z195" s="275" t="n">
        <v>2497</v>
      </c>
      <c r="AA195" s="275" t="n">
        <v>1675</v>
      </c>
      <c r="AB195" s="270" t="n">
        <v>16511.03</v>
      </c>
      <c r="AC195" s="290" t="n"/>
      <c r="AD195" s="276" t="n">
        <v>0.010640927299071</v>
      </c>
      <c r="AE195" s="142" t="n">
        <v>0.00713798687462712</v>
      </c>
      <c r="AF195" s="270" t="n">
        <v>6.61234681617942</v>
      </c>
      <c r="AG195" s="277" t="n">
        <v>0.0703615017472087</v>
      </c>
      <c r="AH195" s="118" t="n">
        <v>0.468907023067532</v>
      </c>
      <c r="AI195" s="118" t="n">
        <v>0.333714579451263</v>
      </c>
      <c r="AJ195" s="270" t="n">
        <v>0.522462285860394</v>
      </c>
      <c r="AK195" s="64" t="n">
        <v>0.266624051819654</v>
      </c>
      <c r="AL195" s="64" t="n">
        <v>0.0283687036563539</v>
      </c>
      <c r="AM195" s="119" t="n">
        <v>0.277827495099293</v>
      </c>
    </row>
    <row customFormat="1" customHeight="1" hidden="1" ht="15" outlineLevel="1" r="196" s="294">
      <c r="A196" s="121" t="n">
        <v>43537</v>
      </c>
      <c r="B196" s="295" t="inlineStr">
        <is>
          <t>安卓</t>
        </is>
      </c>
      <c r="C196" s="296" t="n">
        <v>83265</v>
      </c>
      <c r="D196" s="296" t="n">
        <v>238149</v>
      </c>
      <c r="E196" s="297" t="n">
        <v>2.86013330931364</v>
      </c>
      <c r="F196" s="294" t="n">
        <v>0.515367657533729</v>
      </c>
      <c r="G196" s="298" t="n">
        <v>10.94</v>
      </c>
      <c r="H196" s="306" t="n">
        <v>22.28</v>
      </c>
      <c r="I196" s="123" t="n">
        <v>0.292</v>
      </c>
      <c r="J196" s="123" t="n">
        <v>0.139</v>
      </c>
      <c r="K196" s="123" t="n">
        <v>0.074</v>
      </c>
      <c r="L196" s="294" t="n">
        <v>9.65991459128529</v>
      </c>
      <c r="M196" s="299" t="n">
        <v>10.6611281172711</v>
      </c>
      <c r="N196" s="294" t="n">
        <v>16.8228422628908</v>
      </c>
      <c r="O196" s="300" t="n">
        <v>0.6337293039231739</v>
      </c>
      <c r="P196" s="294" t="n">
        <v>2.30295119333165</v>
      </c>
      <c r="Q196" s="294" t="n">
        <v>2.95841560541207</v>
      </c>
      <c r="R196" s="294" t="n">
        <v>0.944315606737255</v>
      </c>
      <c r="S196" s="294" t="n">
        <v>5.81326115476869</v>
      </c>
      <c r="T196" s="294" t="n">
        <v>1.32380965001789</v>
      </c>
      <c r="U196" s="294" t="n">
        <v>0.570228329865758</v>
      </c>
      <c r="V196" s="294" t="n">
        <v>1.92544493181908</v>
      </c>
      <c r="W196" s="294" t="n">
        <v>0.984415790938366</v>
      </c>
      <c r="X196" s="294" t="n">
        <v>0.230771491797152</v>
      </c>
      <c r="Y196" s="297" t="n">
        <v>10.8918996090683</v>
      </c>
      <c r="Z196" s="293" t="n">
        <v>2223</v>
      </c>
      <c r="AA196" s="293" t="n">
        <v>1549</v>
      </c>
      <c r="AB196" s="294" t="n">
        <v>13451.77</v>
      </c>
      <c r="AC196" s="302" t="n"/>
      <c r="AD196" s="303" t="n">
        <v>0.00933449227164506</v>
      </c>
      <c r="AE196" s="124" t="n">
        <v>0.0065043313219875</v>
      </c>
      <c r="AF196" s="294" t="n">
        <v>6.05117858749438</v>
      </c>
      <c r="AG196" s="304" t="n">
        <v>0.0564846797593103</v>
      </c>
      <c r="AH196" s="125" t="n">
        <v>0.44926439680538</v>
      </c>
      <c r="AI196" s="125" t="n">
        <v>0.308076622830721</v>
      </c>
      <c r="AJ196" s="294" t="n">
        <v>0.576130909640603</v>
      </c>
      <c r="AK196" s="126" t="n">
        <v>0.283797118610618</v>
      </c>
      <c r="AL196" s="126" t="n">
        <v>0.0290364435710417</v>
      </c>
      <c r="AM196" s="127" t="n">
        <v>0</v>
      </c>
      <c r="AN196" s="303" t="n"/>
    </row>
    <row customHeight="1" hidden="1" ht="15" outlineLevel="1" r="197" s="3">
      <c r="A197" s="117" t="n">
        <v>43538</v>
      </c>
      <c r="B197" s="267" t="inlineStr">
        <is>
          <t>安卓</t>
        </is>
      </c>
      <c r="C197" s="268" t="n">
        <v>80181</v>
      </c>
      <c r="D197" s="268" t="n">
        <v>241473</v>
      </c>
      <c r="E197" s="269" t="n">
        <v>3.01159875781045</v>
      </c>
      <c r="F197" s="270" t="n">
        <v>0.529446396069126</v>
      </c>
      <c r="G197" s="292" t="n">
        <v>11.06</v>
      </c>
      <c r="H197" s="271" t="n">
        <v>22.31</v>
      </c>
      <c r="I197" s="141" t="n">
        <v>0.28</v>
      </c>
      <c r="J197" s="141" t="n">
        <v>0.135</v>
      </c>
      <c r="K197" s="141" t="n">
        <v>0.07000000000000001</v>
      </c>
      <c r="L197" s="270" t="n">
        <v>9.77841000857239</v>
      </c>
      <c r="M197" s="272" t="n">
        <v>10.9086771605935</v>
      </c>
      <c r="N197" s="270" t="n">
        <v>17.0493003326818</v>
      </c>
      <c r="O197" s="273" t="n">
        <v>0.6398313683103291</v>
      </c>
      <c r="P197" s="270" t="n">
        <v>2.32275957592782</v>
      </c>
      <c r="Q197" s="270" t="n">
        <v>3.03173421703279</v>
      </c>
      <c r="R197" s="270" t="n">
        <v>0.940084917994589</v>
      </c>
      <c r="S197" s="270" t="n">
        <v>5.90095273847588</v>
      </c>
      <c r="T197" s="270" t="n">
        <v>1.34229330364655</v>
      </c>
      <c r="U197" s="270" t="n">
        <v>0.577998990304333</v>
      </c>
      <c r="V197" s="270" t="n">
        <v>1.94084866215324</v>
      </c>
      <c r="W197" s="270" t="n">
        <v>0.992627927146574</v>
      </c>
      <c r="X197" s="270" t="n">
        <v>0.261971317704257</v>
      </c>
      <c r="Y197" s="269" t="n">
        <v>11.1706484782978</v>
      </c>
      <c r="Z197" s="275" t="n">
        <v>2256</v>
      </c>
      <c r="AA197" s="275" t="n">
        <v>1585</v>
      </c>
      <c r="AB197" s="270" t="n">
        <v>13725.44</v>
      </c>
      <c r="AC197" s="290" t="n"/>
      <c r="AD197" s="276" t="n">
        <v>0.00934265942776211</v>
      </c>
      <c r="AE197" s="142" t="n">
        <v>0.0065638808479623</v>
      </c>
      <c r="AF197" s="270" t="n">
        <v>6.08397163120567</v>
      </c>
      <c r="AG197" s="277" t="n">
        <v>0.0568404749185209</v>
      </c>
      <c r="AH197" s="118" t="n">
        <v>0.460408326162058</v>
      </c>
      <c r="AI197" s="118" t="n">
        <v>0.327521482645515</v>
      </c>
      <c r="AJ197" s="270" t="n">
        <v>0.572295867446878</v>
      </c>
      <c r="AK197" s="64" t="n">
        <v>0.295312519412108</v>
      </c>
      <c r="AL197" s="64" t="n">
        <v>0.0286243182467605</v>
      </c>
      <c r="AM197" s="119" t="n">
        <v>0</v>
      </c>
    </row>
    <row customHeight="1" hidden="1" ht="15" outlineLevel="1" r="198" s="3">
      <c r="A198" s="117" t="n">
        <v>43539</v>
      </c>
      <c r="B198" s="267" t="inlineStr">
        <is>
          <t>安卓</t>
        </is>
      </c>
      <c r="C198" s="268" t="n">
        <v>78729</v>
      </c>
      <c r="D198" s="268" t="n">
        <v>235653</v>
      </c>
      <c r="E198" s="269" t="n">
        <v>2.99321723888275</v>
      </c>
      <c r="F198" s="270" t="n">
        <v>0.529212980815012</v>
      </c>
      <c r="G198" s="292" t="n">
        <v>10.98</v>
      </c>
      <c r="H198" s="271" t="n">
        <v>21.91</v>
      </c>
      <c r="I198" s="141" t="n">
        <v>0.279</v>
      </c>
      <c r="J198" s="141" t="n">
        <v>0.133</v>
      </c>
      <c r="K198" s="141" t="n">
        <v>0.067</v>
      </c>
      <c r="L198" s="270" t="n">
        <v>9.806372080983479</v>
      </c>
      <c r="M198" s="272" t="n">
        <v>10.7552290868353</v>
      </c>
      <c r="N198" s="270" t="n">
        <v>16.7661277519052</v>
      </c>
      <c r="O198" s="273" t="n">
        <v>0.641485574128061</v>
      </c>
      <c r="P198" s="270" t="n">
        <v>2.33748544665538</v>
      </c>
      <c r="Q198" s="270" t="n">
        <v>2.96925275190517</v>
      </c>
      <c r="R198" s="270" t="n">
        <v>0.926783446232007</v>
      </c>
      <c r="S198" s="270" t="n">
        <v>5.72877857747671</v>
      </c>
      <c r="T198" s="270" t="n">
        <v>1.33726714648603</v>
      </c>
      <c r="U198" s="270" t="n">
        <v>0.5667866215071971</v>
      </c>
      <c r="V198" s="270" t="n">
        <v>1.90614415749365</v>
      </c>
      <c r="W198" s="270" t="n">
        <v>0.993629604149026</v>
      </c>
      <c r="X198" s="270" t="n">
        <v>0.2612782353715</v>
      </c>
      <c r="Y198" s="269" t="n">
        <v>11.0165073222068</v>
      </c>
      <c r="Z198" s="275" t="n">
        <v>2319</v>
      </c>
      <c r="AA198" s="275" t="n">
        <v>1623</v>
      </c>
      <c r="AB198" s="270" t="n">
        <v>14231.81</v>
      </c>
      <c r="AC198" s="290" t="n"/>
      <c r="AD198" s="276" t="n">
        <v>0.0098407404106886</v>
      </c>
      <c r="AE198" s="142" t="n">
        <v>0.00688724522921414</v>
      </c>
      <c r="AF198" s="270" t="n">
        <v>6.13704614057784</v>
      </c>
      <c r="AG198" s="277" t="n">
        <v>0.0603930779578448</v>
      </c>
      <c r="AH198" s="118" t="n">
        <v>0.458750905003239</v>
      </c>
      <c r="AI198" s="118" t="n">
        <v>0.319145422906426</v>
      </c>
      <c r="AJ198" s="270" t="n">
        <v>0.563625330464709</v>
      </c>
      <c r="AK198" s="64" t="n">
        <v>0.297254862021701</v>
      </c>
      <c r="AL198" s="64" t="n">
        <v>0.0286522980823499</v>
      </c>
      <c r="AM198" s="119" t="n">
        <v>0</v>
      </c>
    </row>
    <row customHeight="1" hidden="1" ht="15" outlineLevel="1" r="199" s="3">
      <c r="A199" s="117" t="n">
        <v>43540</v>
      </c>
      <c r="B199" s="289" t="inlineStr">
        <is>
          <t>安卓</t>
        </is>
      </c>
      <c r="C199" s="268" t="n">
        <v>97082</v>
      </c>
      <c r="D199" s="268" t="n">
        <v>252449</v>
      </c>
      <c r="E199" s="269" t="n">
        <v>2.60036876042933</v>
      </c>
      <c r="F199" s="270" t="n">
        <v>0.648944465488079</v>
      </c>
      <c r="G199" s="292" t="n">
        <v>10.51</v>
      </c>
      <c r="H199" s="271" t="n">
        <v>21.24</v>
      </c>
      <c r="I199" s="141" t="n">
        <v>0.278</v>
      </c>
      <c r="J199" s="141" t="n">
        <v>0.129</v>
      </c>
      <c r="K199" s="141" t="n">
        <v>0.068</v>
      </c>
      <c r="L199" s="270" t="n">
        <v>10.9780312063031</v>
      </c>
      <c r="M199" s="272" t="n">
        <v>12.9847850456924</v>
      </c>
      <c r="N199" s="270" t="n">
        <v>20.5272465401716</v>
      </c>
      <c r="O199" s="273" t="n">
        <v>0.632563408846936</v>
      </c>
      <c r="P199" s="270" t="n">
        <v>2.76992297576555</v>
      </c>
      <c r="Q199" s="270" t="n">
        <v>3.61398334272653</v>
      </c>
      <c r="R199" s="270" t="n">
        <v>0.981520445863861</v>
      </c>
      <c r="S199" s="270" t="n">
        <v>7.52689586073016</v>
      </c>
      <c r="T199" s="270" t="n">
        <v>1.58394389128937</v>
      </c>
      <c r="U199" s="270" t="n">
        <v>0.522186736802555</v>
      </c>
      <c r="V199" s="270" t="n">
        <v>2.39378170204772</v>
      </c>
      <c r="W199" s="270" t="n">
        <v>1.13501158494583</v>
      </c>
      <c r="X199" s="270" t="n">
        <v>0.334218000467421</v>
      </c>
      <c r="Y199" s="269" t="n">
        <v>13.3190030461598</v>
      </c>
      <c r="Z199" s="275" t="n">
        <v>2969</v>
      </c>
      <c r="AA199" s="275" t="n">
        <v>1935</v>
      </c>
      <c r="AB199" s="270" t="n">
        <v>21703.31</v>
      </c>
      <c r="AC199" s="290" t="n"/>
      <c r="AD199" s="276" t="n">
        <v>0.0117607912885375</v>
      </c>
      <c r="AE199" s="142" t="n">
        <v>0.00766491449758169</v>
      </c>
      <c r="AF199" s="270" t="n">
        <v>7.30997305490064</v>
      </c>
      <c r="AG199" s="277" t="n">
        <v>0.0859710674235192</v>
      </c>
      <c r="AH199" s="118" t="n">
        <v>0.456778805545827</v>
      </c>
      <c r="AI199" s="118" t="n">
        <v>0.289064914196246</v>
      </c>
      <c r="AJ199" s="270" t="n">
        <v>0.448906511810306</v>
      </c>
      <c r="AK199" s="64" t="n">
        <v>0.246532963093536</v>
      </c>
      <c r="AL199" s="64" t="n">
        <v>0.0240246544846682</v>
      </c>
      <c r="AM199" s="119" t="n">
        <v>0.314217921243499</v>
      </c>
    </row>
    <row customHeight="1" hidden="1" ht="15" outlineLevel="1" r="200" s="3">
      <c r="A200" s="117" t="n">
        <v>43541</v>
      </c>
      <c r="B200" s="289" t="inlineStr">
        <is>
          <t>安卓</t>
        </is>
      </c>
      <c r="C200" s="268" t="n">
        <v>147871</v>
      </c>
      <c r="D200" s="268" t="n">
        <v>311813</v>
      </c>
      <c r="E200" s="269" t="n">
        <v>2.10868256791393</v>
      </c>
      <c r="F200" s="270" t="n">
        <v>0.584646902771854</v>
      </c>
      <c r="G200" s="292" t="n">
        <v>10.13</v>
      </c>
      <c r="H200" s="271" t="n">
        <v>20.98</v>
      </c>
      <c r="I200" s="141" t="n">
        <v>0.268</v>
      </c>
      <c r="J200" s="141" t="n">
        <v>0.124</v>
      </c>
      <c r="K200" s="141" t="n">
        <v>0.068</v>
      </c>
      <c r="L200" s="270" t="n">
        <v>10.0822287717318</v>
      </c>
      <c r="M200" s="272" t="n">
        <v>11.8483899003569</v>
      </c>
      <c r="N200" s="270" t="n">
        <v>19.830395482652</v>
      </c>
      <c r="O200" s="273" t="n">
        <v>0.597486313912505</v>
      </c>
      <c r="P200" s="270" t="n">
        <v>2.70529349879766</v>
      </c>
      <c r="Q200" s="270" t="n">
        <v>3.56947247509447</v>
      </c>
      <c r="R200" s="270" t="n">
        <v>0.990392047406389</v>
      </c>
      <c r="S200" s="270" t="n">
        <v>7.09563938509103</v>
      </c>
      <c r="T200" s="270" t="n">
        <v>1.5403426657506</v>
      </c>
      <c r="U200" s="270" t="n">
        <v>0.548952250085881</v>
      </c>
      <c r="V200" s="270" t="n">
        <v>2.25431015973892</v>
      </c>
      <c r="W200" s="270" t="n">
        <v>1.12599300068705</v>
      </c>
      <c r="X200" s="270" t="n">
        <v>0.303887265765058</v>
      </c>
      <c r="Y200" s="269" t="n">
        <v>12.152277166122</v>
      </c>
      <c r="Z200" s="275" t="n">
        <v>3040</v>
      </c>
      <c r="AA200" s="275" t="n">
        <v>2059</v>
      </c>
      <c r="AB200" s="270" t="n">
        <v>20914.6</v>
      </c>
      <c r="AC200" s="290" t="n"/>
      <c r="AD200" s="276" t="n">
        <v>0.00974943315384541</v>
      </c>
      <c r="AE200" s="142" t="n">
        <v>0.00660331673150254</v>
      </c>
      <c r="AF200" s="270" t="n">
        <v>6.87980263157895</v>
      </c>
      <c r="AG200" s="277" t="n">
        <v>0.0670741758682287</v>
      </c>
      <c r="AH200" s="118" t="n">
        <v>0.444001866491739</v>
      </c>
      <c r="AI200" s="118" t="n">
        <v>0.264683406482677</v>
      </c>
      <c r="AJ200" s="270" t="n">
        <v>0.424093928091516</v>
      </c>
      <c r="AK200" s="64" t="n">
        <v>0.207765551789053</v>
      </c>
      <c r="AL200" s="64" t="n">
        <v>0.0201787609881564</v>
      </c>
      <c r="AM200" s="119" t="n">
        <v>0.286078515007392</v>
      </c>
    </row>
    <row customHeight="1" hidden="1" ht="15" outlineLevel="1" r="201" s="3">
      <c r="A201" s="117" t="n">
        <v>43542</v>
      </c>
      <c r="B201" s="289" t="inlineStr">
        <is>
          <t>安卓</t>
        </is>
      </c>
      <c r="C201" s="268" t="n">
        <v>161036</v>
      </c>
      <c r="D201" s="268" t="n">
        <v>344851</v>
      </c>
      <c r="E201" s="269" t="n">
        <v>2.14145284284259</v>
      </c>
      <c r="F201" s="270" t="n">
        <v>0.502217415243105</v>
      </c>
      <c r="G201" s="292" t="n">
        <v>10.16</v>
      </c>
      <c r="H201" s="271" t="n">
        <v>21.55</v>
      </c>
      <c r="I201" s="141" t="n">
        <v>0.275</v>
      </c>
      <c r="J201" s="141" t="n">
        <v>0.127</v>
      </c>
      <c r="K201" s="141" t="n">
        <v>0.06900000000000001</v>
      </c>
      <c r="L201" s="270" t="n">
        <v>9.99085982061818</v>
      </c>
      <c r="M201" s="272" t="n">
        <v>11.4726737054554</v>
      </c>
      <c r="N201" s="270" t="n">
        <v>19.1306090673475</v>
      </c>
      <c r="O201" s="273" t="n">
        <v>0.599702480201594</v>
      </c>
      <c r="P201" s="270" t="n">
        <v>2.63300259177595</v>
      </c>
      <c r="Q201" s="270" t="n">
        <v>3.56005086843836</v>
      </c>
      <c r="R201" s="270" t="n">
        <v>0.932720204247418</v>
      </c>
      <c r="S201" s="270" t="n">
        <v>6.68792309775251</v>
      </c>
      <c r="T201" s="270" t="n">
        <v>1.48891725658582</v>
      </c>
      <c r="U201" s="270" t="n">
        <v>0.548141271130711</v>
      </c>
      <c r="V201" s="270" t="n">
        <v>2.1798383041275</v>
      </c>
      <c r="W201" s="270" t="n">
        <v>1.10001547328923</v>
      </c>
      <c r="X201" s="270" t="n">
        <v>0.301744811527297</v>
      </c>
      <c r="Y201" s="269" t="n">
        <v>11.7744185169827</v>
      </c>
      <c r="Z201" s="275" t="n">
        <v>2768</v>
      </c>
      <c r="AA201" s="275" t="n">
        <v>1933</v>
      </c>
      <c r="AB201" s="270" t="n">
        <v>17550.32</v>
      </c>
      <c r="AC201" s="290" t="n"/>
      <c r="AD201" s="276" t="n">
        <v>0.00802665499012617</v>
      </c>
      <c r="AE201" s="142" t="n">
        <v>0.00560531939881282</v>
      </c>
      <c r="AF201" s="270" t="n">
        <v>6.34043352601156</v>
      </c>
      <c r="AG201" s="277" t="n">
        <v>0.050892472401124</v>
      </c>
      <c r="AH201" s="118" t="n">
        <v>0.442689833329193</v>
      </c>
      <c r="AI201" s="118" t="n">
        <v>0.283259643806354</v>
      </c>
      <c r="AJ201" s="270" t="n">
        <v>0.427976140420065</v>
      </c>
      <c r="AK201" s="64" t="n">
        <v>0.203467584551009</v>
      </c>
      <c r="AL201" s="64" t="n">
        <v>0.0188168223377633</v>
      </c>
      <c r="AM201" s="119" t="n">
        <v>0.276661514683153</v>
      </c>
    </row>
    <row customHeight="1" hidden="1" ht="15" outlineLevel="1" r="202" s="3">
      <c r="A202" s="117" t="n">
        <v>43543</v>
      </c>
      <c r="B202" s="289" t="inlineStr">
        <is>
          <t>安卓</t>
        </is>
      </c>
      <c r="C202" s="268" t="n">
        <v>182504</v>
      </c>
      <c r="D202" s="268" t="n">
        <v>380038</v>
      </c>
      <c r="E202" s="269" t="n">
        <v>2.08235435935651</v>
      </c>
      <c r="F202" s="270" t="n">
        <v>0.469504689983633</v>
      </c>
      <c r="G202" s="292" t="n">
        <v>10.23</v>
      </c>
      <c r="H202" s="271" t="n">
        <v>22.3</v>
      </c>
      <c r="I202" s="141" t="n">
        <v>0.273</v>
      </c>
      <c r="J202" s="141" t="n">
        <v>0.125</v>
      </c>
      <c r="K202" s="141" t="n">
        <v>0.063</v>
      </c>
      <c r="L202" s="270" t="n">
        <v>1</v>
      </c>
      <c r="M202" s="272" t="n">
        <v>10.6395255211321</v>
      </c>
      <c r="N202" s="270" t="n">
        <v>17.966860550369</v>
      </c>
      <c r="O202" s="273" t="n">
        <v>0.592174993027013</v>
      </c>
      <c r="P202" s="270" t="n">
        <v>2.54640989295665</v>
      </c>
      <c r="Q202" s="270" t="n">
        <v>3.2761887411186</v>
      </c>
      <c r="R202" s="270" t="n">
        <v>0.886642464529947</v>
      </c>
      <c r="S202" s="270" t="n">
        <v>6.16003181529356</v>
      </c>
      <c r="T202" s="270" t="n">
        <v>1.41661593697373</v>
      </c>
      <c r="U202" s="270" t="n">
        <v>0.579291620935885</v>
      </c>
      <c r="V202" s="270" t="n">
        <v>2.05297068638385</v>
      </c>
      <c r="W202" s="270" t="n">
        <v>1.04870939217681</v>
      </c>
      <c r="X202" s="270" t="n">
        <v>0.269951952173204</v>
      </c>
      <c r="Y202" s="269" t="n">
        <v>10.9094774733053</v>
      </c>
      <c r="Z202" s="275" t="n">
        <v>2815</v>
      </c>
      <c r="AA202" s="275" t="n">
        <v>1933</v>
      </c>
      <c r="AB202" s="270" t="n">
        <v>18554.85</v>
      </c>
      <c r="AC202" s="290" t="n"/>
      <c r="AD202" s="276" t="n">
        <v>0.00740715402143996</v>
      </c>
      <c r="AE202" s="142" t="n">
        <v>0.00508633347191597</v>
      </c>
      <c r="AF202" s="270" t="n">
        <v>6.59142095914742</v>
      </c>
      <c r="AG202" s="277" t="n">
        <v>0.0488236702645525</v>
      </c>
      <c r="AH202" s="118" t="n">
        <v>0.444499846578705</v>
      </c>
      <c r="AI202" s="118" t="n">
        <v>0.281571910752641</v>
      </c>
      <c r="AJ202" s="270" t="n">
        <v>0.442032112578216</v>
      </c>
      <c r="AK202" s="64" t="n">
        <v>0.204116430462217</v>
      </c>
      <c r="AL202" s="64" t="n">
        <v>0.0188928475573495</v>
      </c>
      <c r="AM202" s="119" t="n">
        <v>0.223119793283829</v>
      </c>
    </row>
    <row customFormat="1" customHeight="1" hidden="1" ht="15" outlineLevel="1" r="203" s="294">
      <c r="A203" s="121" t="n">
        <v>43544</v>
      </c>
      <c r="B203" s="295" t="inlineStr">
        <is>
          <t>安卓</t>
        </is>
      </c>
      <c r="C203" s="296" t="n">
        <v>158956</v>
      </c>
      <c r="D203" s="296" t="n">
        <v>369394</v>
      </c>
      <c r="E203" s="297" t="n">
        <v>2.32387578952666</v>
      </c>
      <c r="F203" s="294" t="n">
        <v>0.463677039356351</v>
      </c>
      <c r="G203" s="298" t="n">
        <v>10.45</v>
      </c>
      <c r="H203" s="306" t="n">
        <v>22.54</v>
      </c>
      <c r="I203" s="123" t="n">
        <v>0.271</v>
      </c>
      <c r="J203" s="123" t="n">
        <v>0.123</v>
      </c>
      <c r="K203" s="123" t="n">
        <v>0.062</v>
      </c>
      <c r="L203" s="294" t="n">
        <v>9.20125394565153</v>
      </c>
      <c r="M203" s="299" t="n">
        <v>10.1026356681484</v>
      </c>
      <c r="N203" s="294" t="n">
        <v>16.5449817785226</v>
      </c>
      <c r="O203" s="300" t="n">
        <v>0.610616306707743</v>
      </c>
      <c r="P203" s="294" t="n">
        <v>2.35229519680082</v>
      </c>
      <c r="Q203" s="294" t="n">
        <v>2.87798703659369</v>
      </c>
      <c r="R203" s="294" t="n">
        <v>0.849209515955985</v>
      </c>
      <c r="S203" s="294" t="n">
        <v>5.72270103476711</v>
      </c>
      <c r="T203" s="294" t="n">
        <v>1.30630702524406</v>
      </c>
      <c r="U203" s="294" t="n">
        <v>0.589400508960001</v>
      </c>
      <c r="V203" s="294" t="n">
        <v>1.87076494737495</v>
      </c>
      <c r="W203" s="294" t="n">
        <v>0.976316512825969</v>
      </c>
      <c r="X203" s="294" t="n">
        <v>0.269804057456266</v>
      </c>
      <c r="Y203" s="297" t="n">
        <v>10.3724397256046</v>
      </c>
      <c r="Z203" s="293" t="n">
        <v>2492</v>
      </c>
      <c r="AA203" s="293" t="n">
        <v>1763</v>
      </c>
      <c r="AB203" s="294" t="n">
        <v>14224.08</v>
      </c>
      <c r="AC203" s="302" t="n"/>
      <c r="AD203" s="303" t="n">
        <v>0.00674618429102801</v>
      </c>
      <c r="AE203" s="124" t="n">
        <v>0.00477268174361251</v>
      </c>
      <c r="AF203" s="294" t="n">
        <v>5.70789727126806</v>
      </c>
      <c r="AG203" s="304" t="n">
        <v>0.0385065269062302</v>
      </c>
      <c r="AH203" s="125" t="n">
        <v>0.460769017841415</v>
      </c>
      <c r="AI203" s="125" t="n">
        <v>0.311293691335967</v>
      </c>
      <c r="AJ203" s="294" t="n">
        <v>0.515362999940443</v>
      </c>
      <c r="AK203" s="126" t="n">
        <v>0.240694218097749</v>
      </c>
      <c r="AL203" s="126" t="n">
        <v>0.0202845741944915</v>
      </c>
      <c r="AM203" s="127" t="n">
        <v>0</v>
      </c>
      <c r="AN203" s="303" t="n"/>
    </row>
    <row customHeight="1" hidden="1" ht="15" outlineLevel="1" r="204" s="3">
      <c r="A204" s="117" t="n">
        <v>43545</v>
      </c>
      <c r="B204" s="267" t="inlineStr">
        <is>
          <t>安卓</t>
        </is>
      </c>
      <c r="C204" s="268" t="n">
        <v>154547</v>
      </c>
      <c r="D204" s="268" t="n">
        <v>369535</v>
      </c>
      <c r="E204" s="269" t="n">
        <v>2.39108491268028</v>
      </c>
      <c r="F204" s="270" t="n">
        <v>0.411306874991543</v>
      </c>
      <c r="G204" s="292" t="n">
        <v>9.85</v>
      </c>
      <c r="H204" s="271" t="n">
        <v>21.72</v>
      </c>
      <c r="I204" s="141" t="n">
        <v>0.272</v>
      </c>
      <c r="J204" s="141" t="n">
        <v>0.123</v>
      </c>
      <c r="K204" s="141" t="n">
        <v>0.06</v>
      </c>
      <c r="L204" s="270" t="n">
        <v>9.56755111153206</v>
      </c>
      <c r="M204" s="272" t="n">
        <v>9.766355013733479</v>
      </c>
      <c r="N204" s="270" t="n">
        <v>15.9846310567809</v>
      </c>
      <c r="O204" s="273" t="n">
        <v>0.610984074580216</v>
      </c>
      <c r="P204" s="270" t="n">
        <v>2.29760386216671</v>
      </c>
      <c r="Q204" s="270" t="n">
        <v>2.87955089024714</v>
      </c>
      <c r="R204" s="270" t="n">
        <v>0.825741872619364</v>
      </c>
      <c r="S204" s="270" t="n">
        <v>5.3677340774205</v>
      </c>
      <c r="T204" s="270" t="n">
        <v>1.2656789795376</v>
      </c>
      <c r="U204" s="270" t="n">
        <v>0.583824962352733</v>
      </c>
      <c r="V204" s="270" t="n">
        <v>1.80591283550359</v>
      </c>
      <c r="W204" s="270" t="n">
        <v>0.958583576933298</v>
      </c>
      <c r="X204" s="270" t="n">
        <v>0.194225174881946</v>
      </c>
      <c r="Y204" s="269" t="n">
        <v>9.96058018861542</v>
      </c>
      <c r="Z204" s="275" t="n">
        <v>2540</v>
      </c>
      <c r="AA204" s="275" t="n">
        <v>1775</v>
      </c>
      <c r="AB204" s="270" t="n">
        <v>15013.6</v>
      </c>
      <c r="AC204" s="290" t="n"/>
      <c r="AD204" s="276" t="n">
        <v>0.00687350318643701</v>
      </c>
      <c r="AE204" s="142" t="n">
        <v>0.00480333391965578</v>
      </c>
      <c r="AF204" s="270" t="n">
        <v>5.91086614173228</v>
      </c>
      <c r="AG204" s="277" t="n">
        <v>0.0406283572597995</v>
      </c>
      <c r="AH204" s="118" t="n">
        <v>0.450419613450924</v>
      </c>
      <c r="AI204" s="118" t="n">
        <v>0.30143580917132</v>
      </c>
      <c r="AJ204" s="270" t="n">
        <v>0.497392669165302</v>
      </c>
      <c r="AK204" s="64" t="n">
        <v>0.250666378015614</v>
      </c>
      <c r="AL204" s="64" t="n">
        <v>0.0200955254576698</v>
      </c>
      <c r="AM204" s="119" t="n">
        <v>0</v>
      </c>
    </row>
    <row customHeight="1" hidden="1" ht="15" outlineLevel="1" r="205" s="3">
      <c r="A205" s="117" t="n">
        <v>43546</v>
      </c>
      <c r="B205" s="267" t="inlineStr">
        <is>
          <t>安卓</t>
        </is>
      </c>
      <c r="C205" s="268" t="n">
        <v>140748</v>
      </c>
      <c r="D205" s="268" t="n">
        <v>360189</v>
      </c>
      <c r="E205" s="269" t="n">
        <v>2.55910563560406</v>
      </c>
      <c r="F205" s="270" t="n">
        <v>0.397913413549553</v>
      </c>
      <c r="G205" s="292" t="n">
        <v>9.57</v>
      </c>
      <c r="H205" s="271" t="n">
        <v>21.41</v>
      </c>
      <c r="I205" s="141" t="n">
        <v>0.259</v>
      </c>
      <c r="J205" s="141" t="n">
        <v>0.122</v>
      </c>
      <c r="K205" s="141" t="n">
        <v>0.059</v>
      </c>
      <c r="L205" s="270" t="n">
        <v>9.65883466735519</v>
      </c>
      <c r="M205" s="272" t="n">
        <v>9.6309798466916</v>
      </c>
      <c r="N205" s="270" t="n">
        <v>15.5182852362654</v>
      </c>
      <c r="O205" s="273" t="n">
        <v>0.620621395989328</v>
      </c>
      <c r="P205" s="270" t="n">
        <v>2.27910316228343</v>
      </c>
      <c r="Q205" s="270" t="n">
        <v>2.85435781355546</v>
      </c>
      <c r="R205" s="270" t="n">
        <v>0.793357818028907</v>
      </c>
      <c r="S205" s="270" t="n">
        <v>5.07811095056388</v>
      </c>
      <c r="T205" s="270" t="n">
        <v>1.24950680188422</v>
      </c>
      <c r="U205" s="270" t="n">
        <v>0.571380641582528</v>
      </c>
      <c r="V205" s="270" t="n">
        <v>1.75591054884786</v>
      </c>
      <c r="W205" s="270" t="n">
        <v>0.9365574995191041</v>
      </c>
      <c r="X205" s="270" t="n">
        <v>0.156648315190081</v>
      </c>
      <c r="Y205" s="269" t="n">
        <v>9.787628161881679</v>
      </c>
      <c r="Z205" s="275" t="n">
        <v>2478</v>
      </c>
      <c r="AA205" s="275" t="n">
        <v>1797</v>
      </c>
      <c r="AB205" s="270" t="n">
        <v>14619.22</v>
      </c>
      <c r="AC205" s="290" t="n"/>
      <c r="AD205" s="276" t="n">
        <v>0.00687972147955657</v>
      </c>
      <c r="AE205" s="142" t="n">
        <v>0.00498904741677286</v>
      </c>
      <c r="AF205" s="270" t="n">
        <v>5.89960451977401</v>
      </c>
      <c r="AG205" s="277" t="n">
        <v>0.0405876359355783</v>
      </c>
      <c r="AH205" s="118" t="n">
        <v>0.456695654645181</v>
      </c>
      <c r="AI205" s="118" t="n">
        <v>0.314448517918549</v>
      </c>
      <c r="AJ205" s="270" t="n">
        <v>0.495523183661911</v>
      </c>
      <c r="AK205" s="64" t="n">
        <v>0.262526062705968</v>
      </c>
      <c r="AL205" s="64" t="n">
        <v>0.020653046039718</v>
      </c>
      <c r="AM205" s="119" t="n">
        <v>0</v>
      </c>
    </row>
    <row customHeight="1" hidden="1" ht="15" outlineLevel="1" r="206" s="3">
      <c r="A206" s="117" t="n">
        <v>43547</v>
      </c>
      <c r="B206" s="289" t="inlineStr">
        <is>
          <t>安卓</t>
        </is>
      </c>
      <c r="C206" s="268" t="n">
        <v>119039</v>
      </c>
      <c r="D206" s="268" t="n">
        <v>334817</v>
      </c>
      <c r="E206" s="269" t="n">
        <v>2.81266643705004</v>
      </c>
      <c r="F206" s="270" t="n">
        <v>0.505408525863382</v>
      </c>
      <c r="G206" s="292" t="n">
        <v>8.92</v>
      </c>
      <c r="H206" s="271" t="n">
        <v>19.84</v>
      </c>
      <c r="I206" s="141" t="n">
        <v>0.256</v>
      </c>
      <c r="J206" s="141" t="n">
        <v>0.117</v>
      </c>
      <c r="K206" s="141" t="n">
        <v>0.06</v>
      </c>
      <c r="L206" s="270" t="n">
        <v>10.8017036171998</v>
      </c>
      <c r="M206" s="272" t="n">
        <v>11.9520932330198</v>
      </c>
      <c r="N206" s="270" t="n">
        <v>18.7275730872367</v>
      </c>
      <c r="O206" s="273" t="n">
        <v>0.63820833470224</v>
      </c>
      <c r="P206" s="270" t="n">
        <v>2.66130202215431</v>
      </c>
      <c r="Q206" s="270" t="n">
        <v>3.58606440381313</v>
      </c>
      <c r="R206" s="270" t="n">
        <v>0.941137104963895</v>
      </c>
      <c r="S206" s="270" t="n">
        <v>6.308789187722</v>
      </c>
      <c r="T206" s="270" t="n">
        <v>1.48186800073005</v>
      </c>
      <c r="U206" s="270" t="n">
        <v>0.515483215791617</v>
      </c>
      <c r="V206" s="270" t="n">
        <v>2.16771572843886</v>
      </c>
      <c r="W206" s="270" t="n">
        <v>1.06521342362284</v>
      </c>
      <c r="X206" s="270" t="n">
        <v>0.220807187209729</v>
      </c>
      <c r="Y206" s="269" t="n">
        <v>12.1729004202296</v>
      </c>
      <c r="Z206" s="275" t="n">
        <v>3177</v>
      </c>
      <c r="AA206" s="275" t="n">
        <v>2082</v>
      </c>
      <c r="AB206" s="270" t="n">
        <v>22261.23</v>
      </c>
      <c r="AC206" s="290" t="n"/>
      <c r="AD206" s="276" t="n">
        <v>0.00948876550473841</v>
      </c>
      <c r="AE206" s="142" t="n">
        <v>0.0062183222476756</v>
      </c>
      <c r="AF206" s="270" t="n">
        <v>7.00699716713881</v>
      </c>
      <c r="AG206" s="277" t="n">
        <v>0.0664877530113465</v>
      </c>
      <c r="AH206" s="118" t="n">
        <v>0.470770083754064</v>
      </c>
      <c r="AI206" s="118" t="n">
        <v>0.334571022942061</v>
      </c>
      <c r="AJ206" s="270" t="n">
        <v>0.434682229396954</v>
      </c>
      <c r="AK206" s="64" t="n">
        <v>0.245402712526544</v>
      </c>
      <c r="AL206" s="64" t="n">
        <v>0.0191686802044102</v>
      </c>
      <c r="AM206" s="119" t="n">
        <v>0.307995113748705</v>
      </c>
    </row>
    <row customHeight="1" hidden="1" ht="15" outlineLevel="1" r="207" s="3">
      <c r="A207" s="117" t="n">
        <v>43548</v>
      </c>
      <c r="B207" s="289" t="inlineStr">
        <is>
          <t>安卓</t>
        </is>
      </c>
      <c r="C207" s="268" t="n">
        <v>116390</v>
      </c>
      <c r="D207" s="268" t="n">
        <v>330223</v>
      </c>
      <c r="E207" s="269" t="n">
        <v>2.83721110061002</v>
      </c>
      <c r="F207" s="270" t="n">
        <v>0.494714979904489</v>
      </c>
      <c r="G207" s="292" t="n">
        <v>8.789999999999999</v>
      </c>
      <c r="H207" s="271" t="n">
        <v>19.59</v>
      </c>
      <c r="I207" s="141" t="n">
        <v>0.26</v>
      </c>
      <c r="J207" s="141" t="n">
        <v>0.118</v>
      </c>
      <c r="K207" s="141" t="n">
        <v>0.064</v>
      </c>
      <c r="L207" s="270" t="n">
        <v>10.7674722838809</v>
      </c>
      <c r="M207" s="272" t="n">
        <v>12.0975431753694</v>
      </c>
      <c r="N207" s="270" t="n">
        <v>18.8861222077769</v>
      </c>
      <c r="O207" s="273" t="n">
        <v>0.640551990624517</v>
      </c>
      <c r="P207" s="270" t="n">
        <v>2.6180829689162</v>
      </c>
      <c r="Q207" s="270" t="n">
        <v>3.62951424181539</v>
      </c>
      <c r="R207" s="270" t="n">
        <v>1.00275144781941</v>
      </c>
      <c r="S207" s="270" t="n">
        <v>6.40825907103179</v>
      </c>
      <c r="T207" s="270" t="n">
        <v>1.47138163337667</v>
      </c>
      <c r="U207" s="270" t="n">
        <v>0.518907930504668</v>
      </c>
      <c r="V207" s="270" t="n">
        <v>2.14445101051885</v>
      </c>
      <c r="W207" s="270" t="n">
        <v>1.09277390379388</v>
      </c>
      <c r="X207" s="270" t="n">
        <v>0.234247765903647</v>
      </c>
      <c r="Y207" s="269" t="n">
        <v>12.331790941273</v>
      </c>
      <c r="Z207" s="275" t="n">
        <v>2804</v>
      </c>
      <c r="AA207" s="275" t="n">
        <v>1877</v>
      </c>
      <c r="AB207" s="270" t="n">
        <v>20556.96</v>
      </c>
      <c r="AC207" s="290" t="n"/>
      <c r="AD207" s="276" t="n">
        <v>0.008491231682832509</v>
      </c>
      <c r="AE207" s="142" t="n">
        <v>0.00568403775630407</v>
      </c>
      <c r="AF207" s="270" t="n">
        <v>7.33129814550642</v>
      </c>
      <c r="AG207" s="277" t="n">
        <v>0.0622517510894153</v>
      </c>
      <c r="AH207" s="118" t="n">
        <v>0.47322794054472</v>
      </c>
      <c r="AI207" s="118" t="n">
        <v>0.331188246412922</v>
      </c>
      <c r="AJ207" s="270" t="n">
        <v>0.447845849622831</v>
      </c>
      <c r="AK207" s="64" t="n">
        <v>0.243477892212232</v>
      </c>
      <c r="AL207" s="64" t="n">
        <v>0.0196654987690137</v>
      </c>
      <c r="AM207" s="119" t="n">
        <v>0.320223000820658</v>
      </c>
    </row>
    <row customHeight="1" hidden="1" ht="15" outlineLevel="1" r="208" s="3">
      <c r="A208" s="117" t="n">
        <v>43549</v>
      </c>
      <c r="B208" s="289" t="inlineStr">
        <is>
          <t>安卓</t>
        </is>
      </c>
      <c r="C208" s="268" t="n">
        <v>95608</v>
      </c>
      <c r="D208" s="268" t="n">
        <v>311755</v>
      </c>
      <c r="E208" s="269" t="n">
        <v>3.2607626976822</v>
      </c>
      <c r="F208" s="270" t="n">
        <v>0.519008752180398</v>
      </c>
      <c r="G208" s="292" t="n">
        <v>9.18</v>
      </c>
      <c r="H208" s="271" t="n">
        <v>20.25</v>
      </c>
      <c r="I208" s="141" t="n">
        <v>0.264</v>
      </c>
      <c r="J208" s="141" t="n">
        <v>0.125</v>
      </c>
      <c r="K208" s="141" t="n">
        <v>0.067</v>
      </c>
      <c r="L208" s="270" t="n">
        <v>10.9347917435165</v>
      </c>
      <c r="M208" s="272" t="n">
        <v>12.3608089685811</v>
      </c>
      <c r="N208" s="270" t="n">
        <v>18.7319852226327</v>
      </c>
      <c r="O208" s="273" t="n">
        <v>0.659877147118731</v>
      </c>
      <c r="P208" s="270" t="n">
        <v>2.5652488819755</v>
      </c>
      <c r="Q208" s="270" t="n">
        <v>3.62324032665759</v>
      </c>
      <c r="R208" s="270" t="n">
        <v>1.00386447598678</v>
      </c>
      <c r="S208" s="270" t="n">
        <v>6.3555901224966</v>
      </c>
      <c r="T208" s="270" t="n">
        <v>1.47870892475209</v>
      </c>
      <c r="U208" s="270" t="n">
        <v>0.51239062803811</v>
      </c>
      <c r="V208" s="270" t="n">
        <v>2.11184133774062</v>
      </c>
      <c r="W208" s="270" t="n">
        <v>1.08110052498542</v>
      </c>
      <c r="X208" s="270" t="n">
        <v>0.243951179612195</v>
      </c>
      <c r="Y208" s="269" t="n">
        <v>12.6047601481933</v>
      </c>
      <c r="Z208" s="275" t="n">
        <v>2764</v>
      </c>
      <c r="AA208" s="275" t="n">
        <v>1856</v>
      </c>
      <c r="AB208" s="270" t="n">
        <v>19508.36</v>
      </c>
      <c r="AC208" s="290" t="n"/>
      <c r="AD208" s="276" t="n">
        <v>0.008865936392359381</v>
      </c>
      <c r="AE208" s="142" t="n">
        <v>0.00595339288864653</v>
      </c>
      <c r="AF208" s="270" t="n">
        <v>7.05801736613603</v>
      </c>
      <c r="AG208" s="277" t="n">
        <v>0.06257593302433</v>
      </c>
      <c r="AH208" s="118" t="n">
        <v>0.488756171031713</v>
      </c>
      <c r="AI208" s="118" t="n">
        <v>0.363212283490921</v>
      </c>
      <c r="AJ208" s="270" t="n">
        <v>0.472024506423313</v>
      </c>
      <c r="AK208" s="64" t="n">
        <v>0.260970954756139</v>
      </c>
      <c r="AL208" s="64" t="n">
        <v>0.0217574698080223</v>
      </c>
      <c r="AM208" s="119" t="n">
        <v>0.325643534185498</v>
      </c>
    </row>
    <row customHeight="1" hidden="1" ht="15" outlineLevel="1" r="209" s="3">
      <c r="A209" s="117" t="n">
        <v>43550</v>
      </c>
      <c r="B209" s="289" t="inlineStr">
        <is>
          <t>安卓</t>
        </is>
      </c>
      <c r="C209" s="268" t="n">
        <v>112344</v>
      </c>
      <c r="D209" s="268" t="n">
        <v>319906</v>
      </c>
      <c r="E209" s="269" t="n">
        <v>2.84755750195827</v>
      </c>
      <c r="F209" s="270" t="n">
        <v>0.509393556769801</v>
      </c>
      <c r="G209" s="292" t="n">
        <v>9.699999999999999</v>
      </c>
      <c r="H209" s="271" t="n">
        <v>21.31</v>
      </c>
      <c r="I209" s="141" t="n">
        <v>0.271</v>
      </c>
      <c r="J209" s="141" t="n">
        <v>0.124</v>
      </c>
      <c r="K209" s="141" t="n">
        <v>0.062</v>
      </c>
      <c r="L209" s="270" t="n">
        <v>10.223365613649</v>
      </c>
      <c r="M209" s="272" t="n">
        <v>11.2596325170519</v>
      </c>
      <c r="N209" s="270" t="n">
        <v>17.7086305646371</v>
      </c>
      <c r="O209" s="273" t="n">
        <v>0.635827399298544</v>
      </c>
      <c r="P209" s="270" t="n">
        <v>2.47292347779061</v>
      </c>
      <c r="Q209" s="270" t="n">
        <v>3.30402890784396</v>
      </c>
      <c r="R209" s="270" t="n">
        <v>0.971637865342543</v>
      </c>
      <c r="S209" s="270" t="n">
        <v>5.97935645633097</v>
      </c>
      <c r="T209" s="270" t="n">
        <v>1.4066025908901</v>
      </c>
      <c r="U209" s="270" t="n">
        <v>0.53627983579558</v>
      </c>
      <c r="V209" s="270" t="n">
        <v>2.00381504879428</v>
      </c>
      <c r="W209" s="270" t="n">
        <v>1.03398638184902</v>
      </c>
      <c r="X209" s="270" t="n">
        <v>0.191037367226623</v>
      </c>
      <c r="Y209" s="269" t="n">
        <v>11.4506698842785</v>
      </c>
      <c r="Z209" s="275" t="n">
        <v>2563</v>
      </c>
      <c r="AA209" s="275" t="n">
        <v>1763</v>
      </c>
      <c r="AB209" s="270" t="n">
        <v>16977.37</v>
      </c>
      <c r="AC209" s="290" t="n"/>
      <c r="AD209" s="276" t="n">
        <v>0.008011728445230791</v>
      </c>
      <c r="AE209" s="142" t="n">
        <v>0.00551099385444474</v>
      </c>
      <c r="AF209" s="270" t="n">
        <v>6.62402262973078</v>
      </c>
      <c r="AG209" s="277" t="n">
        <v>0.0530698705244666</v>
      </c>
      <c r="AH209" s="118" t="n">
        <v>0.447731966104109</v>
      </c>
      <c r="AI209" s="118" t="n">
        <v>0.301920885850602</v>
      </c>
      <c r="AJ209" s="270" t="n">
        <v>0.485739560996043</v>
      </c>
      <c r="AK209" s="64" t="n">
        <v>0.259532487668253</v>
      </c>
      <c r="AL209" s="64" t="n">
        <v>0.023300594549649</v>
      </c>
      <c r="AM209" s="119" t="n">
        <v>0.257960150794296</v>
      </c>
    </row>
    <row customFormat="1" customHeight="1" hidden="1" ht="15" outlineLevel="1" r="210" s="294">
      <c r="A210" s="121" t="n">
        <v>43551</v>
      </c>
      <c r="B210" s="295" t="inlineStr">
        <is>
          <t>安卓</t>
        </is>
      </c>
      <c r="C210" s="296" t="n">
        <v>115209</v>
      </c>
      <c r="D210" s="296" t="n">
        <v>320445</v>
      </c>
      <c r="E210" s="297" t="n">
        <v>2.78142332630263</v>
      </c>
      <c r="F210" s="294" t="n">
        <v>0.415367186378318</v>
      </c>
      <c r="G210" s="298" t="n">
        <v>9.77</v>
      </c>
      <c r="H210" s="306" t="n">
        <v>22.38</v>
      </c>
      <c r="I210" s="123" t="n">
        <v>0.268</v>
      </c>
      <c r="J210" s="123" t="n">
        <v>0.119</v>
      </c>
      <c r="K210" s="123" t="n">
        <v>0.06</v>
      </c>
      <c r="L210" s="294" t="n">
        <v>9.527928349638779</v>
      </c>
      <c r="M210" s="299" t="n">
        <v>10.0584468473529</v>
      </c>
      <c r="N210" s="294" t="n">
        <v>16.1384888844382</v>
      </c>
      <c r="O210" s="300" t="n">
        <v>0.623258281452355</v>
      </c>
      <c r="P210" s="294" t="n">
        <v>2.2729971960745</v>
      </c>
      <c r="Q210" s="294" t="n">
        <v>2.77481974764671</v>
      </c>
      <c r="R210" s="294" t="n">
        <v>0.894457240136191</v>
      </c>
      <c r="S210" s="294" t="n">
        <v>5.53884438213499</v>
      </c>
      <c r="T210" s="294" t="n">
        <v>1.3013468856399</v>
      </c>
      <c r="U210" s="294" t="n">
        <v>0.564084718606048</v>
      </c>
      <c r="V210" s="294" t="n">
        <v>1.8311235730022</v>
      </c>
      <c r="W210" s="294" t="n">
        <v>0.960815141197677</v>
      </c>
      <c r="X210" s="294" t="n">
        <v>0.233590787810701</v>
      </c>
      <c r="Y210" s="297" t="n">
        <v>10.2920376351636</v>
      </c>
      <c r="Z210" s="293" t="n">
        <v>2131</v>
      </c>
      <c r="AA210" s="293" t="n">
        <v>1513</v>
      </c>
      <c r="AB210" s="294" t="n">
        <v>12633.69</v>
      </c>
      <c r="AC210" s="302" t="n"/>
      <c r="AD210" s="303" t="n">
        <v>0.00665012716690852</v>
      </c>
      <c r="AE210" s="124" t="n">
        <v>0.00472155908190173</v>
      </c>
      <c r="AF210" s="294" t="n">
        <v>5.928526513374</v>
      </c>
      <c r="AG210" s="304" t="n">
        <v>0.0394254552263259</v>
      </c>
      <c r="AH210" s="125" t="n">
        <v>0.446067581525749</v>
      </c>
      <c r="AI210" s="125" t="n">
        <v>0.30449010059978</v>
      </c>
      <c r="AJ210" s="294" t="n">
        <v>0.536198099517858</v>
      </c>
      <c r="AK210" s="126" t="n">
        <v>0.276540435956248</v>
      </c>
      <c r="AL210" s="126" t="n">
        <v>0.0243567538891229</v>
      </c>
      <c r="AM210" s="127" t="n">
        <v>0</v>
      </c>
      <c r="AN210" s="303" t="n"/>
    </row>
    <row customHeight="1" hidden="1" ht="15" outlineLevel="1" r="211" s="3">
      <c r="A211" s="117" t="n">
        <v>43552</v>
      </c>
      <c r="B211" s="267" t="inlineStr">
        <is>
          <t>安卓</t>
        </is>
      </c>
      <c r="C211" s="268" t="n">
        <v>115184</v>
      </c>
      <c r="D211" s="268" t="n">
        <v>320302</v>
      </c>
      <c r="E211" s="269" t="n">
        <v>2.78078552576747</v>
      </c>
      <c r="F211" s="270" t="n">
        <v>0.389016664173187</v>
      </c>
      <c r="G211" s="292" t="n">
        <v>9.380000000000001</v>
      </c>
      <c r="H211" s="271" t="n">
        <v>21.41</v>
      </c>
      <c r="I211" s="141" t="n">
        <v>0.26</v>
      </c>
      <c r="J211" s="141" t="n">
        <v>0.119</v>
      </c>
      <c r="K211" s="141" t="n">
        <v>0.06</v>
      </c>
      <c r="L211" s="270" t="n">
        <v>9.43161453877903</v>
      </c>
      <c r="M211" s="272" t="n">
        <v>9.86363494452111</v>
      </c>
      <c r="N211" s="270" t="n">
        <v>15.8129973873089</v>
      </c>
      <c r="O211" s="273" t="n">
        <v>0.62376756935642</v>
      </c>
      <c r="P211" s="270" t="n">
        <v>2.2708089332012</v>
      </c>
      <c r="Q211" s="270" t="n">
        <v>2.66116600098101</v>
      </c>
      <c r="R211" s="270" t="n">
        <v>0.850020521136771</v>
      </c>
      <c r="S211" s="270" t="n">
        <v>5.43647957396118</v>
      </c>
      <c r="T211" s="270" t="n">
        <v>1.28760623442145</v>
      </c>
      <c r="U211" s="270" t="n">
        <v>0.559431214150575</v>
      </c>
      <c r="V211" s="270" t="n">
        <v>1.79677067379401</v>
      </c>
      <c r="W211" s="270" t="n">
        <v>0.9507142356627331</v>
      </c>
      <c r="X211" s="270" t="n">
        <v>0.2793176439735</v>
      </c>
      <c r="Y211" s="269" t="n">
        <v>10.1429525884946</v>
      </c>
      <c r="Z211" s="275" t="n">
        <v>2157</v>
      </c>
      <c r="AA211" s="275" t="n">
        <v>1549</v>
      </c>
      <c r="AB211" s="270" t="n">
        <v>11605.43</v>
      </c>
      <c r="AC211" s="290" t="n"/>
      <c r="AD211" s="276" t="n">
        <v>0.00673426953312811</v>
      </c>
      <c r="AE211" s="142" t="n">
        <v>0.00483606096746196</v>
      </c>
      <c r="AF211" s="270" t="n">
        <v>5.38035697728326</v>
      </c>
      <c r="AG211" s="277" t="n">
        <v>0.0362327740694719</v>
      </c>
      <c r="AH211" s="118" t="n">
        <v>0.45267571884984</v>
      </c>
      <c r="AI211" s="118" t="n">
        <v>0.309244339491596</v>
      </c>
      <c r="AJ211" s="270" t="n">
        <v>0.52414908430169</v>
      </c>
      <c r="AK211" s="64" t="n">
        <v>0.279923322364519</v>
      </c>
      <c r="AL211" s="64" t="n">
        <v>0.023655799838902</v>
      </c>
      <c r="AM211" s="119" t="n">
        <v>0</v>
      </c>
    </row>
    <row customHeight="1" hidden="1" ht="15" outlineLevel="1" r="212" s="3">
      <c r="A212" s="117" t="n">
        <v>43553</v>
      </c>
      <c r="B212" s="267" t="inlineStr">
        <is>
          <t>安卓</t>
        </is>
      </c>
      <c r="C212" s="268" t="n">
        <v>100289</v>
      </c>
      <c r="D212" s="268" t="n">
        <v>303619</v>
      </c>
      <c r="E212" s="269" t="n">
        <v>3.02744069638744</v>
      </c>
      <c r="F212" s="270" t="n">
        <v>0.391449293163471</v>
      </c>
      <c r="G212" s="292" t="n">
        <v>9.17</v>
      </c>
      <c r="H212" s="271" t="n">
        <v>20.96</v>
      </c>
      <c r="I212" s="141" t="n">
        <v>0.262</v>
      </c>
      <c r="J212" s="141" t="n">
        <v>0.122</v>
      </c>
      <c r="K212" s="141" t="n">
        <v>0.063</v>
      </c>
      <c r="L212" s="270" t="n">
        <v>9.865196183374559</v>
      </c>
      <c r="M212" s="272" t="n">
        <v>9.715073826078079</v>
      </c>
      <c r="N212" s="270" t="n">
        <v>15.2924333151878</v>
      </c>
      <c r="O212" s="273" t="n">
        <v>0.63528632924817</v>
      </c>
      <c r="P212" s="270" t="n">
        <v>2.20959639163232</v>
      </c>
      <c r="Q212" s="270" t="n">
        <v>2.71838660341654</v>
      </c>
      <c r="R212" s="270" t="n">
        <v>0.821950903388029</v>
      </c>
      <c r="S212" s="270" t="n">
        <v>5.06927443813671</v>
      </c>
      <c r="T212" s="270" t="n">
        <v>1.25487725847007</v>
      </c>
      <c r="U212" s="270" t="n">
        <v>0.551323327371232</v>
      </c>
      <c r="V212" s="270" t="n">
        <v>1.73849184747388</v>
      </c>
      <c r="W212" s="270" t="n">
        <v>0.928532545299012</v>
      </c>
      <c r="X212" s="270" t="n">
        <v>0.190557903161528</v>
      </c>
      <c r="Y212" s="269" t="n">
        <v>9.905631729239611</v>
      </c>
      <c r="Z212" s="275" t="n">
        <v>2198</v>
      </c>
      <c r="AA212" s="275" t="n">
        <v>1515</v>
      </c>
      <c r="AB212" s="270" t="n">
        <v>12810.02</v>
      </c>
      <c r="AC212" s="290" t="n"/>
      <c r="AD212" s="276" t="n">
        <v>0.00723933614167756</v>
      </c>
      <c r="AE212" s="142" t="n">
        <v>0.00498980630329459</v>
      </c>
      <c r="AF212" s="270" t="n">
        <v>5.82803457688808</v>
      </c>
      <c r="AG212" s="277" t="n">
        <v>0.0421911013474124</v>
      </c>
      <c r="AH212" s="118" t="n">
        <v>0.462313912792031</v>
      </c>
      <c r="AI212" s="118" t="n">
        <v>0.321241611742065</v>
      </c>
      <c r="AJ212" s="270" t="n">
        <v>0.519799485539443</v>
      </c>
      <c r="AK212" s="64" t="n">
        <v>0.291394807307843</v>
      </c>
      <c r="AL212" s="64" t="n">
        <v>0.0245373313264321</v>
      </c>
      <c r="AM212" s="119" t="n">
        <v>0</v>
      </c>
    </row>
    <row customHeight="1" hidden="1" ht="15" outlineLevel="1" r="213" s="3">
      <c r="A213" s="117" t="n">
        <v>43554</v>
      </c>
      <c r="B213" s="289" t="inlineStr">
        <is>
          <t>安卓</t>
        </is>
      </c>
      <c r="C213" s="268" t="n">
        <v>100655</v>
      </c>
      <c r="D213" s="268" t="n">
        <v>297671</v>
      </c>
      <c r="E213" s="269" t="n">
        <v>2.95733942675476</v>
      </c>
      <c r="F213" s="270" t="n">
        <v>0.50035895273641</v>
      </c>
      <c r="G213" s="292" t="n">
        <v>8.199999999999999</v>
      </c>
      <c r="H213" s="271" t="n">
        <v>18.9</v>
      </c>
      <c r="I213" s="141" t="n">
        <v>0.25</v>
      </c>
      <c r="J213" s="141" t="n">
        <v>0.113</v>
      </c>
      <c r="K213" s="141" t="n">
        <v>0.06</v>
      </c>
      <c r="L213" s="270" t="n">
        <v>11.3653530239761</v>
      </c>
      <c r="M213" s="272" t="n">
        <v>11.8811271504446</v>
      </c>
      <c r="N213" s="270" t="n">
        <v>18.7123257954942</v>
      </c>
      <c r="O213" s="273" t="n">
        <v>0.634935885591811</v>
      </c>
      <c r="P213" s="270" t="n">
        <v>2.55125342588967</v>
      </c>
      <c r="Q213" s="270" t="n">
        <v>3.26538343509592</v>
      </c>
      <c r="R213" s="270" t="n">
        <v>0.903466629982751</v>
      </c>
      <c r="S213" s="270" t="n">
        <v>6.83452556057608</v>
      </c>
      <c r="T213" s="270" t="n">
        <v>1.47007968169649</v>
      </c>
      <c r="U213" s="270" t="n">
        <v>0.490280526131999</v>
      </c>
      <c r="V213" s="270" t="n">
        <v>2.15605654966614</v>
      </c>
      <c r="W213" s="270" t="n">
        <v>1.04127998645517</v>
      </c>
      <c r="X213" s="270" t="n">
        <v>0.221277853737852</v>
      </c>
      <c r="Y213" s="269" t="n">
        <v>12.1024050041825</v>
      </c>
      <c r="Z213" s="275" t="n">
        <v>3032</v>
      </c>
      <c r="AA213" s="275" t="n">
        <v>1918</v>
      </c>
      <c r="AB213" s="270" t="n">
        <v>23047.68</v>
      </c>
      <c r="AC213" s="290" t="n"/>
      <c r="AD213" s="276" t="n">
        <v>0.0101857419768805</v>
      </c>
      <c r="AE213" s="142" t="n">
        <v>0.00644335524790793</v>
      </c>
      <c r="AF213" s="270" t="n">
        <v>7.60147757255937</v>
      </c>
      <c r="AG213" s="277" t="n">
        <v>0.07742668919713371</v>
      </c>
      <c r="AH213" s="118" t="n">
        <v>0.455585912274601</v>
      </c>
      <c r="AI213" s="118" t="n">
        <v>0.305250608514232</v>
      </c>
      <c r="AJ213" s="270" t="n">
        <v>0.420598580311821</v>
      </c>
      <c r="AK213" s="64" t="n">
        <v>0.254623392940528</v>
      </c>
      <c r="AL213" s="64" t="n">
        <v>0.022061268984886</v>
      </c>
      <c r="AM213" s="119" t="n">
        <v>0.307933927053693</v>
      </c>
    </row>
    <row customHeight="1" hidden="1" ht="15" outlineLevel="1" r="214" s="3">
      <c r="A214" s="117" t="n">
        <v>43555</v>
      </c>
      <c r="B214" s="289" t="inlineStr">
        <is>
          <t>安卓</t>
        </is>
      </c>
      <c r="C214" s="268" t="n">
        <v>108212</v>
      </c>
      <c r="D214" s="268" t="n">
        <v>305256</v>
      </c>
      <c r="E214" s="269" t="n">
        <v>2.82090710826895</v>
      </c>
      <c r="F214" s="270" t="n">
        <v>0.439563186099536</v>
      </c>
      <c r="G214" s="292" t="n">
        <v>7.99</v>
      </c>
      <c r="H214" s="271" t="n">
        <v>18.62</v>
      </c>
      <c r="I214" s="141" t="n">
        <v>0.247</v>
      </c>
      <c r="J214" s="141" t="n">
        <v>0.113</v>
      </c>
      <c r="K214" s="141" t="n">
        <v>0.061</v>
      </c>
      <c r="L214" s="270" t="n">
        <v>11.0606146971722</v>
      </c>
      <c r="M214" s="272" t="n">
        <v>11.4923474067668</v>
      </c>
      <c r="N214" s="270" t="n">
        <v>18.2684462404508</v>
      </c>
      <c r="O214" s="273" t="n">
        <v>0.629081819849569</v>
      </c>
      <c r="P214" s="270" t="n">
        <v>2.48745254672423</v>
      </c>
      <c r="Q214" s="270" t="n">
        <v>3.30021715243893</v>
      </c>
      <c r="R214" s="270" t="n">
        <v>0.947461607761247</v>
      </c>
      <c r="S214" s="270" t="n">
        <v>6.45793127151345</v>
      </c>
      <c r="T214" s="270" t="n">
        <v>1.45569725721368</v>
      </c>
      <c r="U214" s="270" t="n">
        <v>0.498081038998912</v>
      </c>
      <c r="V214" s="270" t="n">
        <v>2.07241539126495</v>
      </c>
      <c r="W214" s="270" t="n">
        <v>1.04918997453536</v>
      </c>
      <c r="X214" s="270" t="n">
        <v>0.244244175380664</v>
      </c>
      <c r="Y214" s="269" t="n">
        <v>11.7365915821474</v>
      </c>
      <c r="Z214" s="275" t="n">
        <v>2527</v>
      </c>
      <c r="AA214" s="275" t="n">
        <v>1684</v>
      </c>
      <c r="AB214" s="270" t="n">
        <v>18043.73</v>
      </c>
      <c r="AC214" s="290" t="n"/>
      <c r="AD214" s="276" t="n">
        <v>0.00827829756008072</v>
      </c>
      <c r="AE214" s="142" t="n">
        <v>0.00551668108079776</v>
      </c>
      <c r="AF214" s="270" t="n">
        <v>7.14037593984962</v>
      </c>
      <c r="AG214" s="277" t="n">
        <v>0.0591101567209162</v>
      </c>
      <c r="AH214" s="118" t="n">
        <v>0.4560769600414</v>
      </c>
      <c r="AI214" s="118" t="n">
        <v>0.303173400362252</v>
      </c>
      <c r="AJ214" s="270" t="n">
        <v>0.422127656786435</v>
      </c>
      <c r="AK214" s="64" t="n">
        <v>0.244647115863406</v>
      </c>
      <c r="AL214" s="64" t="n">
        <v>0.0215392981628535</v>
      </c>
      <c r="AM214" s="119" t="n">
        <v>0.309887438739943</v>
      </c>
    </row>
    <row collapsed="1" customHeight="1" ht="13.2" r="215" s="3">
      <c r="A215" s="117" t="n">
        <v>43556</v>
      </c>
      <c r="B215" s="289" t="inlineStr">
        <is>
          <t>安卓</t>
        </is>
      </c>
      <c r="C215" s="268" t="n">
        <v>106731</v>
      </c>
      <c r="D215" s="268" t="n">
        <v>307882</v>
      </c>
      <c r="E215" s="269" t="n">
        <v>2.88465394309057</v>
      </c>
      <c r="F215" s="270" t="n">
        <v>0.414635337369512</v>
      </c>
      <c r="G215" s="292" t="n">
        <v>7.93</v>
      </c>
      <c r="H215" s="271" t="n">
        <v>17.8</v>
      </c>
      <c r="I215" s="141" t="n">
        <v>0.257</v>
      </c>
      <c r="J215" s="141" t="n">
        <v>0.118</v>
      </c>
      <c r="K215" s="141" t="n">
        <v>0.062</v>
      </c>
      <c r="L215" s="270" t="n">
        <v>10.7582223059484</v>
      </c>
      <c r="M215" s="272" t="n">
        <v>11.2126074275209</v>
      </c>
      <c r="N215" s="270" t="n">
        <v>17.7898707562921</v>
      </c>
      <c r="O215" s="273" t="n">
        <v>0.630280432113602</v>
      </c>
      <c r="P215" s="270" t="n">
        <v>2.46858573990477</v>
      </c>
      <c r="Q215" s="270" t="n">
        <v>3.28459897347103</v>
      </c>
      <c r="R215" s="270" t="n">
        <v>0.92629295240451</v>
      </c>
      <c r="S215" s="270" t="n">
        <v>6.12975903366108</v>
      </c>
      <c r="T215" s="270" t="n">
        <v>1.44294828190382</v>
      </c>
      <c r="U215" s="270" t="n">
        <v>0.491986683981613</v>
      </c>
      <c r="V215" s="270" t="n">
        <v>2.01619668954713</v>
      </c>
      <c r="W215" s="270" t="n">
        <v>1.02950240141818</v>
      </c>
      <c r="X215" s="270" t="n">
        <v>0.253408773491143</v>
      </c>
      <c r="Y215" s="269" t="n">
        <v>11.4660162010121</v>
      </c>
      <c r="Z215" s="275" t="n">
        <v>2451</v>
      </c>
      <c r="AA215" s="275" t="n">
        <v>1678</v>
      </c>
      <c r="AB215" s="270" t="n">
        <v>16155.49</v>
      </c>
      <c r="AC215" s="290" t="n"/>
      <c r="AD215" s="276" t="n">
        <v>0.007960842140820179</v>
      </c>
      <c r="AE215" s="142" t="n">
        <v>0.00545013998869697</v>
      </c>
      <c r="AF215" s="270" t="n">
        <v>6.59138718890249</v>
      </c>
      <c r="AG215" s="277" t="n">
        <v>0.0524729928998772</v>
      </c>
      <c r="AH215" s="118" t="n">
        <v>0.442673637462406</v>
      </c>
      <c r="AI215" s="118" t="n">
        <v>0.298573048130346</v>
      </c>
      <c r="AJ215" s="270" t="n">
        <v>0.431025522765215</v>
      </c>
      <c r="AK215" s="64" t="n">
        <v>0.24756237779409</v>
      </c>
      <c r="AL215" s="64" t="n">
        <v>0.0228009432185058</v>
      </c>
      <c r="AM215" s="119" t="n">
        <v>0.301095874393436</v>
      </c>
    </row>
    <row customHeight="1" hidden="1" ht="13.2" outlineLevel="1" r="216" s="3">
      <c r="A216" s="117" t="n">
        <v>43557</v>
      </c>
      <c r="B216" s="289" t="inlineStr">
        <is>
          <t>安卓</t>
        </is>
      </c>
      <c r="C216" s="268" t="n">
        <v>87937</v>
      </c>
      <c r="D216" s="268" t="n">
        <v>288225</v>
      </c>
      <c r="E216" s="269" t="n">
        <v>3.2776305764354</v>
      </c>
      <c r="F216" s="270" t="n">
        <v>0.388333854467864</v>
      </c>
      <c r="G216" s="292" t="n">
        <v>7.79</v>
      </c>
      <c r="H216" s="271" t="n">
        <v>17.76</v>
      </c>
      <c r="I216" s="141" t="n">
        <v>0.25</v>
      </c>
      <c r="J216" s="141" t="n">
        <v>0.117</v>
      </c>
      <c r="K216" s="141" t="n">
        <v>0.059</v>
      </c>
      <c r="L216" s="270" t="n">
        <v>10.7766016133229</v>
      </c>
      <c r="M216" s="272" t="n">
        <v>10.9878463006332</v>
      </c>
      <c r="N216" s="270" t="n">
        <v>17.0620477870862</v>
      </c>
      <c r="O216" s="273" t="n">
        <v>0.643993407927834</v>
      </c>
      <c r="P216" s="270" t="n">
        <v>2.35876949599978</v>
      </c>
      <c r="Q216" s="270" t="n">
        <v>3.08838725318536</v>
      </c>
      <c r="R216" s="270" t="n">
        <v>0.923449074697627</v>
      </c>
      <c r="S216" s="270" t="n">
        <v>5.8362093580799</v>
      </c>
      <c r="T216" s="270" t="n">
        <v>1.38931120868464</v>
      </c>
      <c r="U216" s="270" t="n">
        <v>0.51859494114161</v>
      </c>
      <c r="V216" s="270" t="n">
        <v>1.94539773186434</v>
      </c>
      <c r="W216" s="270" t="n">
        <v>1.00192872343291</v>
      </c>
      <c r="X216" s="270" t="n">
        <v>0.2677318067482</v>
      </c>
      <c r="Y216" s="269" t="n">
        <v>11.2555781073814</v>
      </c>
      <c r="Z216" s="275" t="n">
        <v>2140</v>
      </c>
      <c r="AA216" s="275" t="n">
        <v>1517</v>
      </c>
      <c r="AB216" s="270" t="n">
        <v>13209.6</v>
      </c>
      <c r="AC216" s="290" t="n"/>
      <c r="AD216" s="276" t="n">
        <v>0.00742475496573857</v>
      </c>
      <c r="AE216" s="142" t="n">
        <v>0.00526324919767543</v>
      </c>
      <c r="AF216" s="270" t="n">
        <v>6.17271028037383</v>
      </c>
      <c r="AG216" s="277" t="n">
        <v>0.0458308613062711</v>
      </c>
      <c r="AH216" s="118" t="n">
        <v>0.460989117208911</v>
      </c>
      <c r="AI216" s="118" t="n">
        <v>0.335410578027451</v>
      </c>
      <c r="AJ216" s="270" t="n">
        <v>0.483632578714546</v>
      </c>
      <c r="AK216" s="64" t="n">
        <v>0.271357446439414</v>
      </c>
      <c r="AL216" s="64" t="n">
        <v>0.0273605689999133</v>
      </c>
      <c r="AM216" s="119" t="n">
        <v>0.263842484170353</v>
      </c>
    </row>
    <row customFormat="1" customHeight="1" hidden="1" ht="12.45" outlineLevel="1" r="217" s="294">
      <c r="A217" s="121" t="n">
        <v>43558</v>
      </c>
      <c r="B217" s="295" t="inlineStr">
        <is>
          <t>安卓</t>
        </is>
      </c>
      <c r="C217" s="296" t="n">
        <v>121611</v>
      </c>
      <c r="D217" s="296" t="n">
        <v>314647</v>
      </c>
      <c r="E217" s="297" t="n">
        <v>2.58732351514254</v>
      </c>
      <c r="F217" s="294" t="n">
        <v>0.29554264317791</v>
      </c>
      <c r="G217" s="306" t="n">
        <v>7.64</v>
      </c>
      <c r="H217" s="306" t="n">
        <v>18.22</v>
      </c>
      <c r="I217" s="123" t="n">
        <v>0.215</v>
      </c>
      <c r="J217" s="123" t="n">
        <v>0.09</v>
      </c>
      <c r="K217" s="123" t="n">
        <v>0.043</v>
      </c>
      <c r="L217" s="294" t="n">
        <v>9.078882048772121</v>
      </c>
      <c r="M217" s="299" t="n">
        <v>8.728206529857269</v>
      </c>
      <c r="N217" s="294" t="n">
        <v>15.0083558761647</v>
      </c>
      <c r="O217" s="300" t="n">
        <v>0.5815564743982941</v>
      </c>
      <c r="P217" s="294" t="n">
        <v>2.19233816979534</v>
      </c>
      <c r="Q217" s="294" t="n">
        <v>2.57723310653879</v>
      </c>
      <c r="R217" s="294" t="n">
        <v>0.83719430554417</v>
      </c>
      <c r="S217" s="294" t="n">
        <v>5.04608574473317</v>
      </c>
      <c r="T217" s="294" t="n">
        <v>1.24573598928874</v>
      </c>
      <c r="U217" s="294" t="n">
        <v>0.524999316883897</v>
      </c>
      <c r="V217" s="294" t="n">
        <v>1.68385933273219</v>
      </c>
      <c r="W217" s="294" t="n">
        <v>0.900909910648414</v>
      </c>
      <c r="X217" s="294" t="n">
        <v>0.183774197751766</v>
      </c>
      <c r="Y217" s="297" t="n">
        <v>8.911980727609039</v>
      </c>
      <c r="Z217" s="293" t="n">
        <v>1784</v>
      </c>
      <c r="AA217" s="293" t="n">
        <v>1292</v>
      </c>
      <c r="AB217" s="294" t="n">
        <v>10282.16</v>
      </c>
      <c r="AC217" s="302" t="n"/>
      <c r="AD217" s="303" t="n">
        <v>0.0056698458907919</v>
      </c>
      <c r="AE217" s="124" t="n">
        <v>0.00410618884019234</v>
      </c>
      <c r="AF217" s="294" t="n">
        <v>5.76354260089686</v>
      </c>
      <c r="AG217" s="304" t="n">
        <v>0.0326783983320991</v>
      </c>
      <c r="AH217" s="125" t="n">
        <v>0.343209084704509</v>
      </c>
      <c r="AI217" s="125" t="n">
        <v>0.216279777322775</v>
      </c>
      <c r="AJ217" s="294" t="n">
        <v>0.47571723232702</v>
      </c>
      <c r="AK217" s="126" t="n">
        <v>0.259713265977429</v>
      </c>
      <c r="AL217" s="126" t="n">
        <v>0.026416905293869</v>
      </c>
      <c r="AM217" s="127" t="n">
        <v>0</v>
      </c>
      <c r="AN217" s="303" t="n"/>
    </row>
    <row customHeight="1" hidden="1" ht="13.2" outlineLevel="1" r="218" s="3">
      <c r="A218" s="117" t="n">
        <v>43559</v>
      </c>
      <c r="B218" s="267" t="inlineStr">
        <is>
          <t>安卓</t>
        </is>
      </c>
      <c r="C218" s="268" t="n">
        <v>103385</v>
      </c>
      <c r="D218" s="268" t="n">
        <v>295540</v>
      </c>
      <c r="E218" s="269" t="n">
        <v>2.85863519852977</v>
      </c>
      <c r="F218" s="270" t="n">
        <v>0.317746210516343</v>
      </c>
      <c r="G218" s="271" t="n">
        <v>8.119999999999999</v>
      </c>
      <c r="H218" s="271" t="n">
        <v>19.01</v>
      </c>
      <c r="I218" s="141" t="n">
        <v>0.206</v>
      </c>
      <c r="J218" s="141" t="n">
        <v>0.093</v>
      </c>
      <c r="K218" s="141" t="n">
        <v>0.046</v>
      </c>
      <c r="L218" s="270" t="n">
        <v>9.43495296744941</v>
      </c>
      <c r="M218" s="272" t="n">
        <v>9.015229748934161</v>
      </c>
      <c r="N218" s="270" t="n">
        <v>15.0786143589627</v>
      </c>
      <c r="O218" s="273" t="n">
        <v>0.597881843405292</v>
      </c>
      <c r="P218" s="270" t="n">
        <v>2.21853105298306</v>
      </c>
      <c r="Q218" s="270" t="n">
        <v>2.6102502575015</v>
      </c>
      <c r="R218" s="270" t="n">
        <v>0.821452421645972</v>
      </c>
      <c r="S218" s="270" t="n">
        <v>5.01777609254208</v>
      </c>
      <c r="T218" s="270" t="n">
        <v>1.26770535037182</v>
      </c>
      <c r="U218" s="270" t="n">
        <v>0.531681173527714</v>
      </c>
      <c r="V218" s="270" t="n">
        <v>1.69681603640109</v>
      </c>
      <c r="W218" s="270" t="n">
        <v>0.9144019739895189</v>
      </c>
      <c r="X218" s="270" t="n">
        <v>0.222216958787305</v>
      </c>
      <c r="Y218" s="269" t="n">
        <v>9.23744670772146</v>
      </c>
      <c r="Z218" s="275" t="n">
        <v>1733</v>
      </c>
      <c r="AA218" s="275" t="n">
        <v>1240</v>
      </c>
      <c r="AB218" s="270" t="n">
        <v>9745.67</v>
      </c>
      <c r="AC218" s="290" t="n"/>
      <c r="AD218" s="276" t="n">
        <v>0.00586384245787372</v>
      </c>
      <c r="AE218" s="142" t="n">
        <v>0.00419570954862286</v>
      </c>
      <c r="AF218" s="270" t="n">
        <v>5.6235833814195</v>
      </c>
      <c r="AG218" s="277" t="n">
        <v>0.0329758069973608</v>
      </c>
      <c r="AH218" s="118" t="n">
        <v>0.382444261740098</v>
      </c>
      <c r="AI218" s="118" t="n">
        <v>0.258296658122552</v>
      </c>
      <c r="AJ218" s="270" t="n">
        <v>0.488668200581986</v>
      </c>
      <c r="AK218" s="64" t="n">
        <v>0.27602355011166</v>
      </c>
      <c r="AL218" s="64" t="n">
        <v>0.0279928266901265</v>
      </c>
      <c r="AM218" s="119" t="n">
        <v>0</v>
      </c>
    </row>
    <row customHeight="1" hidden="1" ht="13.2" outlineLevel="1" r="219" s="3">
      <c r="A219" s="117" t="n">
        <v>43560</v>
      </c>
      <c r="B219" s="267" t="inlineStr">
        <is>
          <t>安卓</t>
        </is>
      </c>
      <c r="C219" s="268" t="n">
        <v>45245</v>
      </c>
      <c r="D219" s="268" t="n">
        <v>232223</v>
      </c>
      <c r="E219" s="269" t="n">
        <v>5.13256713449</v>
      </c>
      <c r="F219" s="270" t="n">
        <v>0.369873274611042</v>
      </c>
      <c r="G219" s="271" t="n">
        <v>8.15</v>
      </c>
      <c r="H219" s="271" t="n">
        <v>18.5</v>
      </c>
      <c r="I219" s="141" t="n">
        <v>0.251</v>
      </c>
      <c r="J219" s="141" t="n">
        <v>0.118</v>
      </c>
      <c r="K219" s="141" t="n">
        <v>0.061</v>
      </c>
      <c r="L219" s="270" t="n">
        <v>10.2669503020803</v>
      </c>
      <c r="M219" s="272" t="n">
        <v>10.2411475176877</v>
      </c>
      <c r="N219" s="270" t="n">
        <v>15.2087969713248</v>
      </c>
      <c r="O219" s="273" t="n">
        <v>0.673369993497629</v>
      </c>
      <c r="P219" s="270" t="n">
        <v>2.506906607321</v>
      </c>
      <c r="Q219" s="270" t="n">
        <v>2.949543396516</v>
      </c>
      <c r="R219" s="270" t="n">
        <v>0.928228838922569</v>
      </c>
      <c r="S219" s="270" t="n">
        <v>5.67001125521193</v>
      </c>
      <c r="T219" s="270" t="n">
        <v>1.43248791343719</v>
      </c>
      <c r="U219" s="270" t="n">
        <v>0.6007917018392041</v>
      </c>
      <c r="V219" s="270" t="n">
        <v>1.9173765124191</v>
      </c>
      <c r="W219" s="270" t="n">
        <v>1.03326043025606</v>
      </c>
      <c r="X219" s="270" t="n">
        <v>0.258574732046352</v>
      </c>
      <c r="Y219" s="269" t="n">
        <v>10.4997222497341</v>
      </c>
      <c r="Z219" s="275" t="n">
        <v>1724</v>
      </c>
      <c r="AA219" s="275" t="n">
        <v>1232</v>
      </c>
      <c r="AB219" s="270" t="n">
        <v>9493.76</v>
      </c>
      <c r="AC219" s="290" t="n"/>
      <c r="AD219" s="276" t="n">
        <v>0.00742389858024399</v>
      </c>
      <c r="AE219" s="142" t="n">
        <v>0.00530524538913028</v>
      </c>
      <c r="AF219" s="270" t="n">
        <v>5.50682134570766</v>
      </c>
      <c r="AG219" s="277" t="n">
        <v>0.0408820831700564</v>
      </c>
      <c r="AH219" s="118" t="n">
        <v>0.5123439054039119</v>
      </c>
      <c r="AI219" s="118" t="n">
        <v>0.424997237263786</v>
      </c>
      <c r="AJ219" s="270" t="n">
        <v>0.560452668340345</v>
      </c>
      <c r="AK219" s="64" t="n">
        <v>0.339974937882983</v>
      </c>
      <c r="AL219" s="64" t="n">
        <v>0.0357199760574965</v>
      </c>
      <c r="AM219" s="119" t="n">
        <v>0</v>
      </c>
    </row>
    <row customHeight="1" hidden="1" ht="13.2" outlineLevel="1" r="220" s="3">
      <c r="A220" s="117" t="n">
        <v>43561</v>
      </c>
      <c r="B220" s="289" t="inlineStr">
        <is>
          <t>安卓</t>
        </is>
      </c>
      <c r="C220" s="268" t="n">
        <v>58719</v>
      </c>
      <c r="D220" s="268" t="n">
        <v>229717</v>
      </c>
      <c r="E220" s="269" t="n">
        <v>3.91214087433369</v>
      </c>
      <c r="F220" s="270" t="n">
        <v>0.494653794995581</v>
      </c>
      <c r="G220" s="271" t="n">
        <v>7.25</v>
      </c>
      <c r="H220" s="271" t="n">
        <v>17.14</v>
      </c>
      <c r="I220" s="141" t="n">
        <v>0.245</v>
      </c>
      <c r="J220" s="141" t="n">
        <v>0.112</v>
      </c>
      <c r="K220" s="141" t="n">
        <v>0.062</v>
      </c>
      <c r="L220" s="270" t="n">
        <v>12.1833821615292</v>
      </c>
      <c r="M220" s="272" t="n">
        <v>12.938567890056</v>
      </c>
      <c r="N220" s="270" t="n">
        <v>19.614786608504</v>
      </c>
      <c r="O220" s="273" t="n">
        <v>0.6596333749787781</v>
      </c>
      <c r="P220" s="270" t="n">
        <v>2.60862277187865</v>
      </c>
      <c r="Q220" s="270" t="n">
        <v>3.29224768856127</v>
      </c>
      <c r="R220" s="270" t="n">
        <v>1.04085686568248</v>
      </c>
      <c r="S220" s="270" t="n">
        <v>7.35911937648899</v>
      </c>
      <c r="T220" s="270" t="n">
        <v>1.56583228292934</v>
      </c>
      <c r="U220" s="270" t="n">
        <v>0.460446515188512</v>
      </c>
      <c r="V220" s="270" t="n">
        <v>2.22981739469013</v>
      </c>
      <c r="W220" s="270" t="n">
        <v>1.05784371308462</v>
      </c>
      <c r="X220" s="270" t="n">
        <v>0.308971473595772</v>
      </c>
      <c r="Y220" s="269" t="n">
        <v>13.2475393636518</v>
      </c>
      <c r="Z220" s="275" t="n">
        <v>2495</v>
      </c>
      <c r="AA220" s="275" t="n">
        <v>1543</v>
      </c>
      <c r="AB220" s="270" t="n">
        <v>18407.05</v>
      </c>
      <c r="AC220" s="290" t="n"/>
      <c r="AD220" s="276" t="n">
        <v>0.0108611900730029</v>
      </c>
      <c r="AE220" s="142" t="n">
        <v>0.00671696043392522</v>
      </c>
      <c r="AF220" s="270" t="n">
        <v>7.3775751503006</v>
      </c>
      <c r="AG220" s="277" t="n">
        <v>0.0801292459852776</v>
      </c>
      <c r="AH220" s="118" t="n">
        <v>0.452647354348678</v>
      </c>
      <c r="AI220" s="118" t="n">
        <v>0.312181746964356</v>
      </c>
      <c r="AJ220" s="270" t="n">
        <v>0.450284480469447</v>
      </c>
      <c r="AK220" s="64" t="n">
        <v>0.293809339317508</v>
      </c>
      <c r="AL220" s="64" t="n">
        <v>0.0312471432240539</v>
      </c>
      <c r="AM220" s="119" t="n">
        <v>0.339630937196638</v>
      </c>
    </row>
    <row customHeight="1" hidden="1" ht="13.2" outlineLevel="1" r="221" s="3">
      <c r="A221" s="117" t="n">
        <v>43562</v>
      </c>
      <c r="B221" s="289" t="inlineStr">
        <is>
          <t>安卓</t>
        </is>
      </c>
      <c r="C221" s="268" t="n">
        <v>58181</v>
      </c>
      <c r="D221" s="268" t="n">
        <v>227092</v>
      </c>
      <c r="E221" s="269" t="n">
        <v>3.90319863873086</v>
      </c>
      <c r="F221" s="270" t="n">
        <v>0.471963624090677</v>
      </c>
      <c r="G221" s="271" t="n">
        <v>7.21</v>
      </c>
      <c r="H221" s="271" t="n">
        <v>16.7</v>
      </c>
      <c r="I221" s="141" t="n">
        <v>0.246</v>
      </c>
      <c r="J221" s="141" t="n">
        <v>0.117</v>
      </c>
      <c r="K221" s="141" t="n">
        <v>0.067</v>
      </c>
      <c r="L221" s="270" t="n">
        <v>12.1167324256249</v>
      </c>
      <c r="M221" s="272" t="n">
        <v>12.8901678614835</v>
      </c>
      <c r="N221" s="270" t="n">
        <v>19.4152323722732</v>
      </c>
      <c r="O221" s="273" t="n">
        <v>0.663920349461892</v>
      </c>
      <c r="P221" s="270" t="n">
        <v>2.54724714965079</v>
      </c>
      <c r="Q221" s="270" t="n">
        <v>3.40895795610562</v>
      </c>
      <c r="R221" s="270" t="n">
        <v>1.07840367179365</v>
      </c>
      <c r="S221" s="270" t="n">
        <v>7.13066836460593</v>
      </c>
      <c r="T221" s="270" t="n">
        <v>1.54989354716756</v>
      </c>
      <c r="U221" s="270" t="n">
        <v>0.464147614594318</v>
      </c>
      <c r="V221" s="270" t="n">
        <v>2.16266390751537</v>
      </c>
      <c r="W221" s="270" t="n">
        <v>1.07325016083995</v>
      </c>
      <c r="X221" s="270" t="n">
        <v>0.318795906504853</v>
      </c>
      <c r="Y221" s="269" t="n">
        <v>13.2089637679883</v>
      </c>
      <c r="Z221" s="275" t="n">
        <v>2081</v>
      </c>
      <c r="AA221" s="275" t="n">
        <v>1401</v>
      </c>
      <c r="AB221" s="270" t="n">
        <v>16247.19</v>
      </c>
      <c r="AC221" s="290" t="n"/>
      <c r="AD221" s="276" t="n">
        <v>0.009163686963873671</v>
      </c>
      <c r="AE221" s="142" t="n">
        <v>0.0061693058319976</v>
      </c>
      <c r="AF221" s="270" t="n">
        <v>7.80739548294089</v>
      </c>
      <c r="AG221" s="277" t="n">
        <v>0.0715445282088317</v>
      </c>
      <c r="AH221" s="118" t="n">
        <v>0.470067547824891</v>
      </c>
      <c r="AI221" s="118" t="n">
        <v>0.327134287825923</v>
      </c>
      <c r="AJ221" s="270" t="n">
        <v>0.460223169464358</v>
      </c>
      <c r="AK221" s="64" t="n">
        <v>0.289323269864196</v>
      </c>
      <c r="AL221" s="64" t="n">
        <v>0.0316964049812411</v>
      </c>
      <c r="AM221" s="119" t="n">
        <v>0.352707272823349</v>
      </c>
    </row>
    <row customHeight="1" hidden="1" ht="13.2" outlineLevel="1" r="222" s="3">
      <c r="A222" s="117" t="n">
        <v>43563</v>
      </c>
      <c r="B222" s="289" t="inlineStr">
        <is>
          <t>安卓</t>
        </is>
      </c>
      <c r="C222" s="268" t="n">
        <v>56058</v>
      </c>
      <c r="D222" s="268" t="n">
        <v>224609</v>
      </c>
      <c r="E222" s="269" t="n">
        <v>4.00672517749474</v>
      </c>
      <c r="F222" s="270" t="n">
        <v>0.420418754101572</v>
      </c>
      <c r="G222" s="271" t="n">
        <v>7.48</v>
      </c>
      <c r="H222" s="271" t="n">
        <v>16.98</v>
      </c>
      <c r="I222" s="141" t="n">
        <v>0.258</v>
      </c>
      <c r="J222" s="141" t="n">
        <v>0.126</v>
      </c>
      <c r="K222" s="141" t="n">
        <v>0.068</v>
      </c>
      <c r="L222" s="270" t="n">
        <v>11.7699379811138</v>
      </c>
      <c r="M222" s="272" t="n">
        <v>12.3383746866777</v>
      </c>
      <c r="N222" s="270" t="n">
        <v>18.579818580422</v>
      </c>
      <c r="O222" s="273" t="n">
        <v>0.6640740130627</v>
      </c>
      <c r="P222" s="270" t="n">
        <v>2.50701609713255</v>
      </c>
      <c r="Q222" s="270" t="n">
        <v>3.35214572564479</v>
      </c>
      <c r="R222" s="270" t="n">
        <v>1.02691124117541</v>
      </c>
      <c r="S222" s="270" t="n">
        <v>6.5527933653801</v>
      </c>
      <c r="T222" s="270" t="n">
        <v>1.5487104192227</v>
      </c>
      <c r="U222" s="270" t="n">
        <v>0.460259994502437</v>
      </c>
      <c r="V222" s="270" t="n">
        <v>2.08918790267973</v>
      </c>
      <c r="W222" s="270" t="n">
        <v>1.04279383468426</v>
      </c>
      <c r="X222" s="270" t="n">
        <v>0.32373146222992</v>
      </c>
      <c r="Y222" s="269" t="n">
        <v>12.6621061489077</v>
      </c>
      <c r="Z222" s="275" t="n">
        <v>1771</v>
      </c>
      <c r="AA222" s="275" t="n">
        <v>1273</v>
      </c>
      <c r="AB222" s="270" t="n">
        <v>11265.29</v>
      </c>
      <c r="AC222" s="290" t="n"/>
      <c r="AD222" s="276" t="n">
        <v>0.007884813164209799</v>
      </c>
      <c r="AE222" s="142" t="n">
        <v>0.00566762685377701</v>
      </c>
      <c r="AF222" s="270" t="n">
        <v>6.36097684923772</v>
      </c>
      <c r="AG222" s="277" t="n">
        <v>0.0501551139981034</v>
      </c>
      <c r="AH222" s="118" t="n">
        <v>0.454850333583075</v>
      </c>
      <c r="AI222" s="118" t="n">
        <v>0.321024653037925</v>
      </c>
      <c r="AJ222" s="270" t="n">
        <v>0.468102346744788</v>
      </c>
      <c r="AK222" s="64" t="n">
        <v>0.294511796054477</v>
      </c>
      <c r="AL222" s="64" t="n">
        <v>0.0334447862730345</v>
      </c>
      <c r="AM222" s="119" t="n">
        <v>0.345751951168475</v>
      </c>
    </row>
    <row customHeight="1" hidden="1" ht="13.2" outlineLevel="1" r="223" s="3">
      <c r="A223" s="117" t="n">
        <v>43564</v>
      </c>
      <c r="B223" s="289" t="inlineStr">
        <is>
          <t>安卓</t>
        </is>
      </c>
      <c r="C223" s="268" t="n">
        <v>55673</v>
      </c>
      <c r="D223" s="268" t="n">
        <v>219231</v>
      </c>
      <c r="E223" s="269" t="n">
        <v>3.9378334201498</v>
      </c>
      <c r="F223" s="270" t="n">
        <v>0.427756109637779</v>
      </c>
      <c r="G223" s="271" t="n">
        <v>8.039999999999999</v>
      </c>
      <c r="H223" s="271" t="n">
        <v>17.32</v>
      </c>
      <c r="I223" s="141" t="n">
        <v>0.247</v>
      </c>
      <c r="J223" s="141" t="n">
        <v>0.121</v>
      </c>
      <c r="K223" s="141" t="n">
        <v>0.062</v>
      </c>
      <c r="L223" s="270" t="n">
        <v>11.1445233566421</v>
      </c>
      <c r="M223" s="272" t="n">
        <v>11.6478554583978</v>
      </c>
      <c r="N223" s="270" t="n">
        <v>17.7872347835778</v>
      </c>
      <c r="O223" s="273" t="n">
        <v>0.654843521217346</v>
      </c>
      <c r="P223" s="270" t="n">
        <v>2.4330184867862</v>
      </c>
      <c r="Q223" s="270" t="n">
        <v>3.14966355999498</v>
      </c>
      <c r="R223" s="270" t="n">
        <v>1.02820384224238</v>
      </c>
      <c r="S223" s="270" t="n">
        <v>6.157214304621</v>
      </c>
      <c r="T223" s="270" t="n">
        <v>1.48431339769577</v>
      </c>
      <c r="U223" s="270" t="n">
        <v>0.491425307532634</v>
      </c>
      <c r="V223" s="270" t="n">
        <v>2.02620470598069</v>
      </c>
      <c r="W223" s="270" t="n">
        <v>1.01719117872417</v>
      </c>
      <c r="X223" s="270" t="n">
        <v>0.301120735662384</v>
      </c>
      <c r="Y223" s="269" t="n">
        <v>11.9489761940601</v>
      </c>
      <c r="Z223" s="275" t="n">
        <v>1831</v>
      </c>
      <c r="AA223" s="275" t="n">
        <v>1280</v>
      </c>
      <c r="AB223" s="270" t="n">
        <v>11266.69</v>
      </c>
      <c r="AC223" s="290" t="n"/>
      <c r="AD223" s="276" t="n">
        <v>0.00835192103306558</v>
      </c>
      <c r="AE223" s="142" t="n">
        <v>0.0058385903453435</v>
      </c>
      <c r="AF223" s="270" t="n">
        <v>6.15329874385581</v>
      </c>
      <c r="AG223" s="277" t="n">
        <v>0.0513918652015454</v>
      </c>
      <c r="AH223" s="118" t="n">
        <v>0.450685251378586</v>
      </c>
      <c r="AI223" s="118" t="n">
        <v>0.317730318107521</v>
      </c>
      <c r="AJ223" s="270" t="n">
        <v>0.51534682595071</v>
      </c>
      <c r="AK223" s="64" t="n">
        <v>0.307091606570239</v>
      </c>
      <c r="AL223" s="64" t="n">
        <v>0.0389041695745583</v>
      </c>
      <c r="AM223" s="119" t="n">
        <v>0.293685655769485</v>
      </c>
    </row>
    <row customFormat="1" customHeight="1" hidden="1" ht="12.45" outlineLevel="1" r="224" s="294">
      <c r="A224" s="121" t="n">
        <v>43565</v>
      </c>
      <c r="B224" s="295" t="inlineStr">
        <is>
          <t>安卓</t>
        </is>
      </c>
      <c r="C224" s="296" t="n">
        <v>45628</v>
      </c>
      <c r="D224" s="296" t="n">
        <v>202267</v>
      </c>
      <c r="E224" s="297" t="n">
        <v>4.43295783290962</v>
      </c>
      <c r="F224" s="294" t="n">
        <v>0.400097076759926</v>
      </c>
      <c r="G224" s="306" t="n">
        <v>9.33</v>
      </c>
      <c r="H224" s="306" t="n">
        <v>21.31</v>
      </c>
      <c r="I224" s="123" t="n">
        <v>0.244</v>
      </c>
      <c r="J224" s="123" t="n">
        <v>0.115</v>
      </c>
      <c r="K224" s="123" t="n">
        <v>0.06</v>
      </c>
      <c r="L224" s="294" t="n">
        <v>10.3903652103408</v>
      </c>
      <c r="M224" s="299" t="n">
        <v>10.4595658214143</v>
      </c>
      <c r="N224" s="294" t="n">
        <v>15.9142539059268</v>
      </c>
      <c r="O224" s="300" t="n">
        <v>0.657245126491222</v>
      </c>
      <c r="P224" s="294" t="n">
        <v>2.24111810680086</v>
      </c>
      <c r="Q224" s="294" t="n">
        <v>2.66449273727048</v>
      </c>
      <c r="R224" s="294" t="n">
        <v>0.935203363948879</v>
      </c>
      <c r="S224" s="294" t="n">
        <v>5.48268002617742</v>
      </c>
      <c r="T224" s="294" t="n">
        <v>1.34391713492655</v>
      </c>
      <c r="U224" s="294" t="n">
        <v>0.513822128946359</v>
      </c>
      <c r="V224" s="294" t="n">
        <v>1.79642542820391</v>
      </c>
      <c r="W224" s="294" t="n">
        <v>0.936594979652322</v>
      </c>
      <c r="X224" s="294" t="n">
        <v>0.242768222201348</v>
      </c>
      <c r="Y224" s="297" t="n">
        <v>10.7023340436156</v>
      </c>
      <c r="Z224" s="293" t="n">
        <v>1317</v>
      </c>
      <c r="AA224" s="293" t="n">
        <v>987</v>
      </c>
      <c r="AB224" s="294" t="n">
        <v>6834.83</v>
      </c>
      <c r="AC224" s="302" t="n"/>
      <c r="AD224" s="303" t="n">
        <v>0.00651119559789783</v>
      </c>
      <c r="AE224" s="124" t="n">
        <v>0.00487968872826511</v>
      </c>
      <c r="AF224" s="294" t="n">
        <v>5.18969627942293</v>
      </c>
      <c r="AG224" s="304" t="n">
        <v>0.0337911275690053</v>
      </c>
      <c r="AH224" s="125" t="n">
        <v>0.437363022705356</v>
      </c>
      <c r="AI224" s="125" t="n">
        <v>0.325896379416148</v>
      </c>
      <c r="AJ224" s="294" t="n">
        <v>0.586684926359713</v>
      </c>
      <c r="AK224" s="126" t="n">
        <v>0.339506691650146</v>
      </c>
      <c r="AL224" s="126" t="n">
        <v>0.0445895771430832</v>
      </c>
      <c r="AM224" s="127" t="n">
        <v>0</v>
      </c>
      <c r="AN224" s="303" t="n"/>
    </row>
    <row customHeight="1" hidden="1" ht="13.2" outlineLevel="1" r="225" s="3">
      <c r="A225" s="117" t="n">
        <v>43566</v>
      </c>
      <c r="B225" s="267" t="inlineStr">
        <is>
          <t>安卓</t>
        </is>
      </c>
      <c r="C225" s="268" t="n">
        <v>39027</v>
      </c>
      <c r="D225" s="268" t="n">
        <v>189091</v>
      </c>
      <c r="E225" s="269" t="n">
        <v>4.84513285674021</v>
      </c>
      <c r="F225" s="270" t="n">
        <v>0.412793539110799</v>
      </c>
      <c r="G225" s="271" t="n">
        <v>8.960000000000001</v>
      </c>
      <c r="H225" s="271" t="n">
        <v>18.87</v>
      </c>
      <c r="I225" s="141" t="n">
        <v>0.239</v>
      </c>
      <c r="J225" s="141" t="n">
        <v>0.114</v>
      </c>
      <c r="K225" s="141" t="n">
        <v>0.059</v>
      </c>
      <c r="L225" s="270" t="n">
        <v>10.3089782168374</v>
      </c>
      <c r="M225" s="272" t="n">
        <v>10.5424266622949</v>
      </c>
      <c r="N225" s="270" t="n">
        <v>15.9145943270451</v>
      </c>
      <c r="O225" s="273" t="n">
        <v>0.662437662289585</v>
      </c>
      <c r="P225" s="270" t="n">
        <v>2.28415069335228</v>
      </c>
      <c r="Q225" s="270" t="n">
        <v>2.68504961640095</v>
      </c>
      <c r="R225" s="270" t="n">
        <v>0.9300181221609281</v>
      </c>
      <c r="S225" s="270" t="n">
        <v>5.3948874749523</v>
      </c>
      <c r="T225" s="270" t="n">
        <v>1.37656573075419</v>
      </c>
      <c r="U225" s="270" t="n">
        <v>0.5156912366977749</v>
      </c>
      <c r="V225" s="270" t="n">
        <v>1.79272878230255</v>
      </c>
      <c r="W225" s="270" t="n">
        <v>0.935502670424154</v>
      </c>
      <c r="X225" s="270" t="n">
        <v>0.253713820329894</v>
      </c>
      <c r="Y225" s="269" t="n">
        <v>10.7961404826248</v>
      </c>
      <c r="Z225" s="275" t="n">
        <v>1424</v>
      </c>
      <c r="AA225" s="275" t="n">
        <v>1031</v>
      </c>
      <c r="AB225" s="270" t="n">
        <v>8273.76</v>
      </c>
      <c r="AC225" s="290" t="n"/>
      <c r="AD225" s="276" t="n">
        <v>0.00753076561020884</v>
      </c>
      <c r="AE225" s="142" t="n">
        <v>0.0054524012248071</v>
      </c>
      <c r="AF225" s="270" t="n">
        <v>5.81022471910112</v>
      </c>
      <c r="AG225" s="277" t="n">
        <v>0.0437554405021921</v>
      </c>
      <c r="AH225" s="118" t="n">
        <v>0.333589566197761</v>
      </c>
      <c r="AI225" s="118" t="n">
        <v>0.259153919081661</v>
      </c>
      <c r="AJ225" s="270" t="n">
        <v>0.414377204626344</v>
      </c>
      <c r="AK225" s="64" t="n">
        <v>0.351756561655499</v>
      </c>
      <c r="AL225" s="64" t="n">
        <v>0.0460519009365861</v>
      </c>
      <c r="AM225" s="119" t="n">
        <v>0</v>
      </c>
    </row>
    <row customHeight="1" hidden="1" ht="13.2" outlineLevel="1" r="226" s="3">
      <c r="A226" s="117" t="n">
        <v>43567</v>
      </c>
      <c r="B226" s="267" t="inlineStr">
        <is>
          <t>安卓</t>
        </is>
      </c>
      <c r="C226" s="268" t="n">
        <v>39511</v>
      </c>
      <c r="D226" s="268" t="n">
        <v>183918</v>
      </c>
      <c r="E226" s="269" t="n">
        <v>4.65485560983017</v>
      </c>
      <c r="F226" s="270" t="n">
        <v>0.398007047841973</v>
      </c>
      <c r="G226" s="271" t="n">
        <v>8.35</v>
      </c>
      <c r="H226" s="271" t="n">
        <v>18.36</v>
      </c>
      <c r="I226" s="141" t="n">
        <v>0.235</v>
      </c>
      <c r="J226" s="141" t="n">
        <v>0.114</v>
      </c>
      <c r="K226" s="141" t="n">
        <v>0.057</v>
      </c>
      <c r="L226" s="270" t="n">
        <v>10.2760632455768</v>
      </c>
      <c r="M226" s="272" t="n">
        <v>10.3533911852021</v>
      </c>
      <c r="N226" s="270" t="n">
        <v>15.7356830014048</v>
      </c>
      <c r="O226" s="273" t="n">
        <v>0.657956263117259</v>
      </c>
      <c r="P226" s="270" t="n">
        <v>2.28355507809272</v>
      </c>
      <c r="Q226" s="270" t="n">
        <v>2.66047434096356</v>
      </c>
      <c r="R226" s="270" t="n">
        <v>0.903404677299397</v>
      </c>
      <c r="S226" s="270" t="n">
        <v>5.28782745227667</v>
      </c>
      <c r="T226" s="270" t="n">
        <v>1.37699363688951</v>
      </c>
      <c r="U226" s="270" t="n">
        <v>0.51413932732832</v>
      </c>
      <c r="V226" s="270" t="n">
        <v>1.77305181389968</v>
      </c>
      <c r="W226" s="270" t="n">
        <v>0.9362366746549869</v>
      </c>
      <c r="X226" s="270" t="n">
        <v>0.238209419415174</v>
      </c>
      <c r="Y226" s="269" t="n">
        <v>10.5916006046173</v>
      </c>
      <c r="Z226" s="275" t="n">
        <v>1449</v>
      </c>
      <c r="AA226" s="275" t="n">
        <v>1039</v>
      </c>
      <c r="AB226" s="270" t="n">
        <v>8974.51</v>
      </c>
      <c r="AC226" s="290" t="n"/>
      <c r="AD226" s="276" t="n">
        <v>0.00787851107558803</v>
      </c>
      <c r="AE226" s="142" t="n">
        <v>0.00564925673397927</v>
      </c>
      <c r="AF226" s="270" t="n">
        <v>6.19358868184955</v>
      </c>
      <c r="AG226" s="277" t="n">
        <v>0.0487962570275884</v>
      </c>
      <c r="AH226" s="118" t="n">
        <v>0.426210422414011</v>
      </c>
      <c r="AI226" s="118" t="n">
        <v>0.308951937435145</v>
      </c>
      <c r="AJ226" s="270" t="n">
        <v>0.571531878337085</v>
      </c>
      <c r="AK226" s="64" t="n">
        <v>0.35167846540306</v>
      </c>
      <c r="AL226" s="64" t="n">
        <v>0.0463249926597723</v>
      </c>
      <c r="AM226" s="119" t="n">
        <v>0</v>
      </c>
    </row>
    <row customHeight="1" hidden="1" ht="13.2" outlineLevel="1" r="227" s="3">
      <c r="A227" s="117" t="n">
        <v>43568</v>
      </c>
      <c r="B227" s="289" t="inlineStr">
        <is>
          <t>安卓</t>
        </is>
      </c>
      <c r="C227" s="268" t="n">
        <v>37909</v>
      </c>
      <c r="D227" s="268" t="n">
        <v>176259</v>
      </c>
      <c r="E227" s="269" t="n">
        <v>4.64952913556148</v>
      </c>
      <c r="F227" s="270" t="n">
        <v>0.587836675642095</v>
      </c>
      <c r="G227" s="271" t="n">
        <v>7.84</v>
      </c>
      <c r="H227" s="271" t="n">
        <v>16.92</v>
      </c>
      <c r="I227" s="141" t="n">
        <v>0.233</v>
      </c>
      <c r="J227" s="141" t="n">
        <v>0.106</v>
      </c>
      <c r="K227" s="141" t="n">
        <v>0.06</v>
      </c>
      <c r="L227" s="270" t="n">
        <v>13.0624138341872</v>
      </c>
      <c r="M227" s="272" t="n">
        <v>14.0321685701156</v>
      </c>
      <c r="N227" s="270" t="n">
        <v>21.0462826654867</v>
      </c>
      <c r="O227" s="273" t="n">
        <v>0.666729074827385</v>
      </c>
      <c r="P227" s="270" t="n">
        <v>2.77356467574904</v>
      </c>
      <c r="Q227" s="270" t="n">
        <v>3.431886450471</v>
      </c>
      <c r="R227" s="270" t="n">
        <v>1.15828348238978</v>
      </c>
      <c r="S227" s="270" t="n">
        <v>8.02163091297429</v>
      </c>
      <c r="T227" s="270" t="n">
        <v>1.71672183598969</v>
      </c>
      <c r="U227" s="270" t="n">
        <v>0.450666712050171</v>
      </c>
      <c r="V227" s="270" t="n">
        <v>2.39922734583082</v>
      </c>
      <c r="W227" s="270" t="n">
        <v>1.09430125003191</v>
      </c>
      <c r="X227" s="270" t="n">
        <v>0.361019862815516</v>
      </c>
      <c r="Y227" s="269" t="n">
        <v>14.3931884329311</v>
      </c>
      <c r="Z227" s="275" t="n">
        <v>2245</v>
      </c>
      <c r="AA227" s="275" t="n">
        <v>1394</v>
      </c>
      <c r="AB227" s="270" t="n">
        <v>17152.55</v>
      </c>
      <c r="AC227" s="290" t="n"/>
      <c r="AD227" s="276" t="n">
        <v>0.0127369382556352</v>
      </c>
      <c r="AE227" s="142" t="n">
        <v>0.0079088160037218</v>
      </c>
      <c r="AF227" s="270" t="n">
        <v>7.64033407572383</v>
      </c>
      <c r="AG227" s="277" t="n">
        <v>0.09731446337491979</v>
      </c>
      <c r="AH227" s="118" t="n">
        <v>0.428921891899021</v>
      </c>
      <c r="AI227" s="118" t="n">
        <v>0.305679390118442</v>
      </c>
      <c r="AJ227" s="270" t="n">
        <v>0.484054714936542</v>
      </c>
      <c r="AK227" s="64" t="n">
        <v>0.320261660397483</v>
      </c>
      <c r="AL227" s="64" t="n">
        <v>0.043748120663342</v>
      </c>
      <c r="AM227" s="119" t="n">
        <v>0.350444516308387</v>
      </c>
    </row>
    <row customHeight="1" hidden="1" ht="13.2" outlineLevel="1" r="228" s="3">
      <c r="A228" s="117" t="n">
        <v>43569</v>
      </c>
      <c r="B228" s="289" t="inlineStr">
        <is>
          <t>安卓</t>
        </is>
      </c>
      <c r="C228" s="268" t="n">
        <v>46584</v>
      </c>
      <c r="D228" s="268" t="n">
        <v>185695</v>
      </c>
      <c r="E228" s="269" t="n">
        <v>3.98623991069895</v>
      </c>
      <c r="F228" s="270" t="n">
        <v>0.509621066598454</v>
      </c>
      <c r="G228" s="271" t="n">
        <v>7.94</v>
      </c>
      <c r="H228" s="271" t="n">
        <v>17.55</v>
      </c>
      <c r="I228" s="141" t="n">
        <v>0.229</v>
      </c>
      <c r="J228" s="141" t="n">
        <v>0.107</v>
      </c>
      <c r="K228" s="141" t="n">
        <v>0.061</v>
      </c>
      <c r="L228" s="270" t="n">
        <v>12.4394894854466</v>
      </c>
      <c r="M228" s="272" t="n">
        <v>13.2641212741323</v>
      </c>
      <c r="N228" s="270" t="n">
        <v>20.3540227415463</v>
      </c>
      <c r="O228" s="273" t="n">
        <v>0.651670750424083</v>
      </c>
      <c r="P228" s="270" t="n">
        <v>2.67194988926718</v>
      </c>
      <c r="Q228" s="270" t="n">
        <v>3.50242951112286</v>
      </c>
      <c r="R228" s="270" t="n">
        <v>1.17257792615608</v>
      </c>
      <c r="S228" s="270" t="n">
        <v>7.51346973853833</v>
      </c>
      <c r="T228" s="270" t="n">
        <v>1.6750900737117</v>
      </c>
      <c r="U228" s="270" t="n">
        <v>0.45440121640829</v>
      </c>
      <c r="V228" s="270" t="n">
        <v>2.2712623541467</v>
      </c>
      <c r="W228" s="270" t="n">
        <v>1.09284203219515</v>
      </c>
      <c r="X228" s="270" t="n">
        <v>0.350305608659361</v>
      </c>
      <c r="Y228" s="269" t="n">
        <v>13.6144268827917</v>
      </c>
      <c r="Z228" s="275" t="n">
        <v>1924</v>
      </c>
      <c r="AA228" s="275" t="n">
        <v>1275</v>
      </c>
      <c r="AB228" s="270" t="n">
        <v>13028.76</v>
      </c>
      <c r="AC228" s="290" t="n"/>
      <c r="AD228" s="276" t="n">
        <v>0.0103610759578879</v>
      </c>
      <c r="AE228" s="142" t="n">
        <v>0.00686609763321576</v>
      </c>
      <c r="AF228" s="270" t="n">
        <v>6.77170478170478</v>
      </c>
      <c r="AG228" s="277" t="n">
        <v>0.0701621476076362</v>
      </c>
      <c r="AH228" s="118" t="n">
        <v>0.409947621500945</v>
      </c>
      <c r="AI228" s="118" t="n">
        <v>0.275115919629057</v>
      </c>
      <c r="AJ228" s="270" t="n">
        <v>0.463480438353214</v>
      </c>
      <c r="AK228" s="64" t="n">
        <v>0.299329545760521</v>
      </c>
      <c r="AL228" s="64" t="n">
        <v>0.0417512587845661</v>
      </c>
      <c r="AM228" s="119" t="n">
        <v>0.347144511160774</v>
      </c>
    </row>
    <row customHeight="1" hidden="1" ht="13.2" outlineLevel="1" r="229" s="3">
      <c r="A229" s="117" t="n">
        <v>43570</v>
      </c>
      <c r="B229" s="289" t="inlineStr">
        <is>
          <t>安卓</t>
        </is>
      </c>
      <c r="C229" s="268" t="n">
        <v>52388</v>
      </c>
      <c r="D229" s="268" t="n">
        <v>191310</v>
      </c>
      <c r="E229" s="269" t="n">
        <v>3.65179048637092</v>
      </c>
      <c r="F229" s="270" t="n">
        <v>0.465494495593539</v>
      </c>
      <c r="G229" s="271" t="n">
        <v>8.01</v>
      </c>
      <c r="H229" s="271" t="n">
        <v>17.52</v>
      </c>
      <c r="I229" s="141" t="n">
        <v>0.222</v>
      </c>
      <c r="J229" s="141" t="n">
        <v>0.106</v>
      </c>
      <c r="K229" s="141" t="n">
        <v>0.057</v>
      </c>
      <c r="L229" s="270" t="n">
        <v>11.8340703570122</v>
      </c>
      <c r="M229" s="272" t="n">
        <v>12.4705660969108</v>
      </c>
      <c r="N229" s="270" t="n">
        <v>19.4090742684207</v>
      </c>
      <c r="O229" s="273" t="n">
        <v>0.642512153050024</v>
      </c>
      <c r="P229" s="270" t="n">
        <v>2.6406413979938</v>
      </c>
      <c r="Q229" s="270" t="n">
        <v>3.42820882044273</v>
      </c>
      <c r="R229" s="270" t="n">
        <v>1.09517649834444</v>
      </c>
      <c r="S229" s="270" t="n">
        <v>6.92033778341835</v>
      </c>
      <c r="T229" s="270" t="n">
        <v>1.63988480218681</v>
      </c>
      <c r="U229" s="270" t="n">
        <v>0.452851064522165</v>
      </c>
      <c r="V229" s="270" t="n">
        <v>2.1681025716122</v>
      </c>
      <c r="W229" s="270" t="n">
        <v>1.06387132990018</v>
      </c>
      <c r="X229" s="270" t="n">
        <v>0.33139407244786</v>
      </c>
      <c r="Y229" s="269" t="n">
        <v>12.8019601693586</v>
      </c>
      <c r="Z229" s="275" t="n">
        <v>1732</v>
      </c>
      <c r="AA229" s="275" t="n">
        <v>1177</v>
      </c>
      <c r="AB229" s="270" t="n">
        <v>11251.68</v>
      </c>
      <c r="AC229" s="290" t="n"/>
      <c r="AD229" s="276" t="n">
        <v>0.009053368877737699</v>
      </c>
      <c r="AE229" s="142" t="n">
        <v>0.00615231822696148</v>
      </c>
      <c r="AF229" s="270" t="n">
        <v>6.49635103926097</v>
      </c>
      <c r="AG229" s="277" t="n">
        <v>0.0588138623177042</v>
      </c>
      <c r="AH229" s="118" t="n">
        <v>0.396655722684584</v>
      </c>
      <c r="AI229" s="118" t="n">
        <v>0.263724517064977</v>
      </c>
      <c r="AJ229" s="270" t="n">
        <v>0.450948721969578</v>
      </c>
      <c r="AK229" s="64" t="n">
        <v>0.291903193769275</v>
      </c>
      <c r="AL229" s="64" t="n">
        <v>0.0410694684020699</v>
      </c>
      <c r="AM229" s="119" t="n">
        <v>0.3323872249229</v>
      </c>
    </row>
    <row customHeight="1" hidden="1" ht="13.2" outlineLevel="1" r="230" s="3">
      <c r="A230" s="117" t="n">
        <v>43571</v>
      </c>
      <c r="B230" s="289" t="inlineStr">
        <is>
          <t>安卓</t>
        </is>
      </c>
      <c r="C230" s="268" t="n">
        <v>49561</v>
      </c>
      <c r="D230" s="268" t="n">
        <v>185359</v>
      </c>
      <c r="E230" s="269" t="n">
        <v>3.74001735235367</v>
      </c>
      <c r="F230" s="270" t="n">
        <v>0.460374743546307</v>
      </c>
      <c r="G230" s="271" t="n">
        <v>8.67</v>
      </c>
      <c r="H230" s="271" t="n">
        <v>17.91</v>
      </c>
      <c r="I230" s="141" t="n">
        <v>0.228</v>
      </c>
      <c r="J230" s="141" t="n">
        <v>0.106</v>
      </c>
      <c r="K230" s="141" t="n">
        <v>0.055</v>
      </c>
      <c r="L230" s="270" t="n">
        <v>11.1509503180315</v>
      </c>
      <c r="M230" s="272" t="n">
        <v>11.688663620326</v>
      </c>
      <c r="N230" s="270" t="n">
        <v>18.0806058582993</v>
      </c>
      <c r="O230" s="273" t="n">
        <v>0.646475218360047</v>
      </c>
      <c r="P230" s="270" t="n">
        <v>2.51686555954269</v>
      </c>
      <c r="Q230" s="270" t="n">
        <v>3.13056830509889</v>
      </c>
      <c r="R230" s="270" t="n">
        <v>1.04972043728616</v>
      </c>
      <c r="S230" s="270" t="n">
        <v>6.28315947592423</v>
      </c>
      <c r="T230" s="270" t="n">
        <v>1.54736710339648</v>
      </c>
      <c r="U230" s="270" t="n">
        <v>0.487248602186431</v>
      </c>
      <c r="V230" s="270" t="n">
        <v>2.04610698489527</v>
      </c>
      <c r="W230" s="270" t="n">
        <v>1.01956938996912</v>
      </c>
      <c r="X230" s="270" t="n">
        <v>0.298334583160246</v>
      </c>
      <c r="Y230" s="269" t="n">
        <v>11.9869982034862</v>
      </c>
      <c r="Z230" s="275" t="n">
        <v>1549</v>
      </c>
      <c r="AA230" s="275" t="n">
        <v>1082</v>
      </c>
      <c r="AB230" s="270" t="n">
        <v>10106.51</v>
      </c>
      <c r="AC230" s="290" t="n"/>
      <c r="AD230" s="276" t="n">
        <v>0.00835675634849131</v>
      </c>
      <c r="AE230" s="142" t="n">
        <v>0.00583732109042453</v>
      </c>
      <c r="AF230" s="270" t="n">
        <v>6.52453841187863</v>
      </c>
      <c r="AG230" s="277" t="n">
        <v>0.0545239777944421</v>
      </c>
      <c r="AH230" s="118" t="n">
        <v>0.408567220193297</v>
      </c>
      <c r="AI230" s="118" t="n">
        <v>0.270898488731059</v>
      </c>
      <c r="AJ230" s="270" t="n">
        <v>0.499463203836879</v>
      </c>
      <c r="AK230" s="64" t="n">
        <v>0.305774200335565</v>
      </c>
      <c r="AL230" s="64" t="n">
        <v>0.0466823839144579</v>
      </c>
      <c r="AM230" s="119" t="n">
        <v>0.284744738588361</v>
      </c>
    </row>
    <row customFormat="1" customHeight="1" hidden="1" ht="12.45" outlineLevel="1" r="231" s="294">
      <c r="A231" s="121" t="n">
        <v>43572</v>
      </c>
      <c r="B231" s="295" t="inlineStr">
        <is>
          <t>安卓</t>
        </is>
      </c>
      <c r="C231" s="296" t="n">
        <v>39436</v>
      </c>
      <c r="D231" s="296" t="n">
        <v>171027</v>
      </c>
      <c r="E231" s="297" t="n">
        <v>4.33682422152348</v>
      </c>
      <c r="F231" s="294" t="n">
        <v>0.40030743128278</v>
      </c>
      <c r="G231" s="306" t="n">
        <v>9.140000000000001</v>
      </c>
      <c r="H231" s="306" t="n">
        <v>20.03</v>
      </c>
      <c r="I231" s="123" t="n">
        <v>0.224</v>
      </c>
      <c r="J231" s="123" t="n">
        <v>0.104</v>
      </c>
      <c r="K231" s="123" t="n">
        <v>0.055</v>
      </c>
      <c r="L231" s="294" t="n">
        <v>10.3803200664223</v>
      </c>
      <c r="M231" s="299" t="n">
        <v>10.4882562402428</v>
      </c>
      <c r="N231" s="294" t="n">
        <v>16.0079871491678</v>
      </c>
      <c r="O231" s="300" t="n">
        <v>0.655188946774486</v>
      </c>
      <c r="P231" s="294" t="n">
        <v>2.2993797688635</v>
      </c>
      <c r="Q231" s="294" t="n">
        <v>2.66238008121012</v>
      </c>
      <c r="R231" s="294" t="n">
        <v>0.928660033019499</v>
      </c>
      <c r="S231" s="294" t="n">
        <v>5.48381598322252</v>
      </c>
      <c r="T231" s="294" t="n">
        <v>1.38926420061577</v>
      </c>
      <c r="U231" s="294" t="n">
        <v>0.511695149703271</v>
      </c>
      <c r="V231" s="294" t="n">
        <v>1.79730489491767</v>
      </c>
      <c r="W231" s="294" t="n">
        <v>0.935487037615457</v>
      </c>
      <c r="X231" s="294" t="n">
        <v>0.243932244616347</v>
      </c>
      <c r="Y231" s="297" t="n">
        <v>10.7321884848591</v>
      </c>
      <c r="Z231" s="293" t="n">
        <v>1175</v>
      </c>
      <c r="AA231" s="293" t="n">
        <v>850</v>
      </c>
      <c r="AB231" s="294" t="n">
        <v>6216.25</v>
      </c>
      <c r="AC231" s="302" t="n"/>
      <c r="AD231" s="303" t="n">
        <v>0.00687026025130535</v>
      </c>
      <c r="AE231" s="124" t="n">
        <v>0.0049699755009443</v>
      </c>
      <c r="AF231" s="294" t="n">
        <v>5.29042553191489</v>
      </c>
      <c r="AG231" s="304" t="n">
        <v>0.0363466002444058</v>
      </c>
      <c r="AH231" s="125" t="n">
        <v>0.4328025154681</v>
      </c>
      <c r="AI231" s="125" t="n">
        <v>0.310756669033371</v>
      </c>
      <c r="AJ231" s="294" t="n">
        <v>0.585217538751191</v>
      </c>
      <c r="AK231" s="126" t="n">
        <v>0.338572272214329</v>
      </c>
      <c r="AL231" s="126" t="n">
        <v>0.0519976377998796</v>
      </c>
      <c r="AM231" s="127" t="n">
        <v>0</v>
      </c>
      <c r="AN231" s="303" t="n"/>
    </row>
    <row customHeight="1" hidden="1" ht="13.2" outlineLevel="1" r="232" s="3">
      <c r="A232" s="117" t="n">
        <v>43573</v>
      </c>
      <c r="B232" s="267" t="inlineStr">
        <is>
          <t>安卓</t>
        </is>
      </c>
      <c r="C232" s="268" t="n">
        <v>39441</v>
      </c>
      <c r="D232" s="268" t="n">
        <v>165536</v>
      </c>
      <c r="E232" s="269" t="n">
        <v>4.19705382723562</v>
      </c>
      <c r="F232" s="270" t="n">
        <v>0.386514139673545</v>
      </c>
      <c r="G232" s="271" t="n">
        <v>8.75</v>
      </c>
      <c r="H232" s="271" t="n">
        <v>18.47</v>
      </c>
      <c r="I232" s="141" t="n">
        <v>0.236</v>
      </c>
      <c r="J232" s="141" t="n">
        <v>0.107</v>
      </c>
      <c r="K232" s="141" t="n">
        <v>0.054</v>
      </c>
      <c r="L232" s="270" t="n">
        <v>10.0432413493137</v>
      </c>
      <c r="M232" s="272" t="n">
        <v>10.1626413589793</v>
      </c>
      <c r="N232" s="270" t="n">
        <v>15.6730547067154</v>
      </c>
      <c r="O232" s="273" t="n">
        <v>0.648414846317417</v>
      </c>
      <c r="P232" s="270" t="n">
        <v>2.31986472385779</v>
      </c>
      <c r="Q232" s="270" t="n">
        <v>2.61576731012894</v>
      </c>
      <c r="R232" s="270" t="n">
        <v>0.892794588954312</v>
      </c>
      <c r="S232" s="270" t="n">
        <v>5.24775471416859</v>
      </c>
      <c r="T232" s="270" t="n">
        <v>1.3897853469479</v>
      </c>
      <c r="U232" s="270" t="n">
        <v>0.511971752254602</v>
      </c>
      <c r="V232" s="270" t="n">
        <v>1.76338786613997</v>
      </c>
      <c r="W232" s="270" t="n">
        <v>0.931728404263248</v>
      </c>
      <c r="X232" s="270" t="n">
        <v>0.231798521167601</v>
      </c>
      <c r="Y232" s="269" t="n">
        <v>10.3944398801469</v>
      </c>
      <c r="Z232" s="275" t="n">
        <v>1170</v>
      </c>
      <c r="AA232" s="275" t="n">
        <v>870</v>
      </c>
      <c r="AB232" s="270" t="n">
        <v>6669.3</v>
      </c>
      <c r="AC232" s="290" t="n"/>
      <c r="AD232" s="276" t="n">
        <v>0.00706794896578388</v>
      </c>
      <c r="AE232" s="142" t="n">
        <v>0.00525565435917263</v>
      </c>
      <c r="AF232" s="270" t="n">
        <v>5.70025641025641</v>
      </c>
      <c r="AG232" s="277" t="n">
        <v>0.0402891213995747</v>
      </c>
      <c r="AH232" s="118" t="n">
        <v>0.425952688826348</v>
      </c>
      <c r="AI232" s="118" t="n">
        <v>0.285185466899926</v>
      </c>
      <c r="AJ232" s="270" t="n">
        <v>0.553619756427605</v>
      </c>
      <c r="AK232" s="64" t="n">
        <v>0.340530156582254</v>
      </c>
      <c r="AL232" s="64" t="n">
        <v>0.0520672240479412</v>
      </c>
      <c r="AM232" s="119" t="n">
        <v>0</v>
      </c>
    </row>
    <row customHeight="1" hidden="1" ht="13.2" outlineLevel="1" r="233" s="3">
      <c r="A233" s="117" t="n">
        <v>43574</v>
      </c>
      <c r="B233" s="267" t="inlineStr">
        <is>
          <t>安卓</t>
        </is>
      </c>
      <c r="C233" s="268" t="n">
        <v>58889</v>
      </c>
      <c r="D233" s="268" t="n">
        <v>182560</v>
      </c>
      <c r="E233" s="269" t="n">
        <v>3.10006962251015</v>
      </c>
      <c r="F233" s="270" t="n">
        <v>0.353582811546889</v>
      </c>
      <c r="G233" s="271" t="n">
        <v>8.56</v>
      </c>
      <c r="H233" s="271" t="n">
        <v>18.8</v>
      </c>
      <c r="I233" s="141" t="n">
        <v>0.226</v>
      </c>
      <c r="J233" s="141" t="n">
        <v>0.101</v>
      </c>
      <c r="K233" s="141" t="n">
        <v>0.047</v>
      </c>
      <c r="L233" s="270" t="n">
        <v>9.463118974583701</v>
      </c>
      <c r="M233" s="272" t="n">
        <v>9.422036590709901</v>
      </c>
      <c r="N233" s="270" t="n">
        <v>15.400684042296</v>
      </c>
      <c r="O233" s="273" t="n">
        <v>0.611793382997371</v>
      </c>
      <c r="P233" s="270" t="n">
        <v>2.3358074653726</v>
      </c>
      <c r="Q233" s="270" t="n">
        <v>2.54048294818648</v>
      </c>
      <c r="R233" s="270" t="n">
        <v>0.860138420077179</v>
      </c>
      <c r="S233" s="270" t="n">
        <v>5.12962780578213</v>
      </c>
      <c r="T233" s="270" t="n">
        <v>1.3678070356078</v>
      </c>
      <c r="U233" s="270" t="n">
        <v>0.52588885208033</v>
      </c>
      <c r="V233" s="270" t="n">
        <v>1.72957050380969</v>
      </c>
      <c r="W233" s="270" t="n">
        <v>0.911361011379814</v>
      </c>
      <c r="X233" s="270" t="n">
        <v>0.214198071866784</v>
      </c>
      <c r="Y233" s="269" t="n">
        <v>9.63623466257669</v>
      </c>
      <c r="Z233" s="275" t="n">
        <v>1245</v>
      </c>
      <c r="AA233" s="275" t="n">
        <v>868</v>
      </c>
      <c r="AB233" s="270" t="n">
        <v>6909.55</v>
      </c>
      <c r="AC233" s="290" t="n"/>
      <c r="AD233" s="276" t="n">
        <v>0.00681967572304996</v>
      </c>
      <c r="AE233" s="142" t="n">
        <v>0.00475460122699387</v>
      </c>
      <c r="AF233" s="270" t="n">
        <v>5.54983935742972</v>
      </c>
      <c r="AG233" s="277" t="n">
        <v>0.0378481047326906</v>
      </c>
      <c r="AH233" s="118" t="n">
        <v>0.396627553532918</v>
      </c>
      <c r="AI233" s="118" t="n">
        <v>0.236444836896534</v>
      </c>
      <c r="AJ233" s="270" t="n">
        <v>0.504601226993865</v>
      </c>
      <c r="AK233" s="64" t="n">
        <v>0.301062664329535</v>
      </c>
      <c r="AL233" s="64" t="n">
        <v>0.046160166520596</v>
      </c>
      <c r="AM233" s="119" t="n">
        <v>0</v>
      </c>
    </row>
    <row customHeight="1" hidden="1" ht="13.2" outlineLevel="1" r="234" s="3">
      <c r="A234" s="117" t="n">
        <v>43575</v>
      </c>
      <c r="B234" s="289" t="inlineStr">
        <is>
          <t>安卓</t>
        </is>
      </c>
      <c r="C234" s="268" t="n">
        <v>63165</v>
      </c>
      <c r="D234" s="268" t="n">
        <v>187994</v>
      </c>
      <c r="E234" s="269" t="n">
        <v>2.97623684002216</v>
      </c>
      <c r="F234" s="270" t="n">
        <v>0.487389342042831</v>
      </c>
      <c r="G234" s="271" t="n">
        <v>7.63</v>
      </c>
      <c r="H234" s="271" t="n">
        <v>17.06</v>
      </c>
      <c r="I234" s="141" t="n">
        <v>0.226</v>
      </c>
      <c r="J234" s="141" t="n">
        <v>0.101</v>
      </c>
      <c r="K234" s="141" t="n">
        <v>0.051</v>
      </c>
      <c r="L234" s="270" t="n">
        <v>11.7301456429461</v>
      </c>
      <c r="M234" s="272" t="n">
        <v>12.4838665063779</v>
      </c>
      <c r="N234" s="270" t="n">
        <v>20.1253022793147</v>
      </c>
      <c r="O234" s="273" t="n">
        <v>0.62030703107546</v>
      </c>
      <c r="P234" s="270" t="n">
        <v>2.75914555713722</v>
      </c>
      <c r="Q234" s="270" t="n">
        <v>3.29014526557703</v>
      </c>
      <c r="R234" s="270" t="n">
        <v>1.07627729089132</v>
      </c>
      <c r="S234" s="270" t="n">
        <v>7.50325861388856</v>
      </c>
      <c r="T234" s="270" t="n">
        <v>1.66837600974154</v>
      </c>
      <c r="U234" s="270" t="n">
        <v>0.480671274461042</v>
      </c>
      <c r="V234" s="270" t="n">
        <v>2.28747834736824</v>
      </c>
      <c r="W234" s="270" t="n">
        <v>1.05994992024971</v>
      </c>
      <c r="X234" s="270" t="n">
        <v>0.31012159962552</v>
      </c>
      <c r="Y234" s="269" t="n">
        <v>12.7939881060034</v>
      </c>
      <c r="Z234" s="275" t="n">
        <v>1907</v>
      </c>
      <c r="AA234" s="275" t="n">
        <v>1194</v>
      </c>
      <c r="AB234" s="270" t="n">
        <v>14083.93</v>
      </c>
      <c r="AC234" s="290" t="n"/>
      <c r="AD234" s="276" t="n">
        <v>0.0101439407640669</v>
      </c>
      <c r="AE234" s="142" t="n">
        <v>0.00635126652978287</v>
      </c>
      <c r="AF234" s="270" t="n">
        <v>7.385385422129</v>
      </c>
      <c r="AG234" s="277" t="n">
        <v>0.0749169122418801</v>
      </c>
      <c r="AH234" s="118" t="n">
        <v>0.412285284572152</v>
      </c>
      <c r="AI234" s="118" t="n">
        <v>0.255568748515792</v>
      </c>
      <c r="AJ234" s="270" t="n">
        <v>0.420853857037991</v>
      </c>
      <c r="AK234" s="64" t="n">
        <v>0.26447652584657</v>
      </c>
      <c r="AL234" s="64" t="n">
        <v>0.0401608561975382</v>
      </c>
      <c r="AM234" s="119" t="n">
        <v>0.294956222007085</v>
      </c>
    </row>
    <row customHeight="1" hidden="1" ht="13.2" outlineLevel="1" r="235" s="3">
      <c r="A235" s="117" t="n">
        <v>43576</v>
      </c>
      <c r="B235" s="289" t="inlineStr">
        <is>
          <t>安卓</t>
        </is>
      </c>
      <c r="C235" s="268" t="n">
        <v>66408</v>
      </c>
      <c r="D235" s="268" t="n">
        <v>194520</v>
      </c>
      <c r="E235" s="269" t="n">
        <v>2.929165160824</v>
      </c>
      <c r="F235" s="270" t="n">
        <v>0.451828187014189</v>
      </c>
      <c r="G235" s="271" t="n">
        <v>7.78</v>
      </c>
      <c r="H235" s="271" t="n">
        <v>17.25</v>
      </c>
      <c r="I235" s="141" t="n">
        <v>0.227</v>
      </c>
      <c r="J235" s="141" t="n">
        <v>0.102</v>
      </c>
      <c r="K235" s="141" t="n">
        <v>0.055</v>
      </c>
      <c r="L235" s="270" t="n">
        <v>11.4873894715196</v>
      </c>
      <c r="M235" s="272" t="n">
        <v>11.9593717869628</v>
      </c>
      <c r="N235" s="270" t="n">
        <v>19.329923804934</v>
      </c>
      <c r="O235" s="273" t="n">
        <v>0.618697306189595</v>
      </c>
      <c r="P235" s="270" t="n">
        <v>2.64750849612377</v>
      </c>
      <c r="Q235" s="270" t="n">
        <v>3.36319371162203</v>
      </c>
      <c r="R235" s="270" t="n">
        <v>1.07808955620736</v>
      </c>
      <c r="S235" s="270" t="n">
        <v>6.90914756250571</v>
      </c>
      <c r="T235" s="270" t="n">
        <v>1.61845133736051</v>
      </c>
      <c r="U235" s="270" t="n">
        <v>0.483302727899692</v>
      </c>
      <c r="V235" s="270" t="n">
        <v>2.17261464573864</v>
      </c>
      <c r="W235" s="270" t="n">
        <v>1.05761576747626</v>
      </c>
      <c r="X235" s="270" t="n">
        <v>0.332922064569196</v>
      </c>
      <c r="Y235" s="269" t="n">
        <v>12.292293851532</v>
      </c>
      <c r="Z235" s="275" t="n">
        <v>1712</v>
      </c>
      <c r="AA235" s="275" t="n">
        <v>1103</v>
      </c>
      <c r="AB235" s="270" t="n">
        <v>12191.88</v>
      </c>
      <c r="AC235" s="290" t="n"/>
      <c r="AD235" s="276" t="n">
        <v>0.008801151552539591</v>
      </c>
      <c r="AE235" s="142" t="n">
        <v>0.0056703680855439</v>
      </c>
      <c r="AF235" s="270" t="n">
        <v>7.12142523364486</v>
      </c>
      <c r="AG235" s="277" t="n">
        <v>0.062676742751388</v>
      </c>
      <c r="AH235" s="118" t="n">
        <v>0.257649680761354</v>
      </c>
      <c r="AI235" s="118" t="n">
        <v>0.185580050596314</v>
      </c>
      <c r="AJ235" s="270" t="n">
        <v>0.294566111453835</v>
      </c>
      <c r="AK235" s="64" t="n">
        <v>0.253002261978203</v>
      </c>
      <c r="AL235" s="64" t="n">
        <v>0.0381657413119474</v>
      </c>
      <c r="AM235" s="119" t="n">
        <v>0.301259510590171</v>
      </c>
    </row>
    <row customHeight="1" hidden="1" ht="13.2" outlineLevel="1" r="236" s="3">
      <c r="A236" s="117" t="n">
        <v>43577</v>
      </c>
      <c r="B236" s="289" t="inlineStr">
        <is>
          <t>安卓</t>
        </is>
      </c>
      <c r="C236" s="268" t="n">
        <v>67197</v>
      </c>
      <c r="D236" s="268" t="n">
        <v>199014</v>
      </c>
      <c r="E236" s="269" t="n">
        <v>2.961650073664</v>
      </c>
      <c r="F236" s="270" t="n">
        <v>0.417752683228316</v>
      </c>
      <c r="G236" s="271" t="n">
        <v>7.6</v>
      </c>
      <c r="H236" s="271" t="n">
        <v>16.67</v>
      </c>
      <c r="I236" s="141" t="n">
        <v>0.227</v>
      </c>
      <c r="J236" s="141" t="n">
        <v>0.104</v>
      </c>
      <c r="K236" s="141" t="n">
        <v>0.055</v>
      </c>
      <c r="L236" s="270" t="n">
        <v>11.1188961580592</v>
      </c>
      <c r="M236" s="272" t="n">
        <v>11.6246344478278</v>
      </c>
      <c r="N236" s="270" t="n">
        <v>18.7399454034394</v>
      </c>
      <c r="O236" s="273" t="n">
        <v>0.620313143798929</v>
      </c>
      <c r="P236" s="270" t="n">
        <v>2.60591651748467</v>
      </c>
      <c r="Q236" s="270" t="n">
        <v>3.3328122088926</v>
      </c>
      <c r="R236" s="270" t="n">
        <v>1.03390819029412</v>
      </c>
      <c r="S236" s="270" t="n">
        <v>6.52210188657848</v>
      </c>
      <c r="T236" s="270" t="n">
        <v>1.58814428396692</v>
      </c>
      <c r="U236" s="270" t="n">
        <v>0.48524515799791</v>
      </c>
      <c r="V236" s="270" t="n">
        <v>2.12633352504232</v>
      </c>
      <c r="W236" s="270" t="n">
        <v>1.0454836331824</v>
      </c>
      <c r="X236" s="270" t="n">
        <v>0.304335373390817</v>
      </c>
      <c r="Y236" s="269" t="n">
        <v>11.9289698212186</v>
      </c>
      <c r="Z236" s="275" t="n">
        <v>1587</v>
      </c>
      <c r="AA236" s="275" t="n">
        <v>1037</v>
      </c>
      <c r="AB236" s="270" t="n">
        <v>10873.13</v>
      </c>
      <c r="AC236" s="290" t="n"/>
      <c r="AD236" s="276" t="n">
        <v>0.007974313364888901</v>
      </c>
      <c r="AE236" s="142" t="n">
        <v>0.00521068869526767</v>
      </c>
      <c r="AF236" s="270" t="n">
        <v>6.85137366099559</v>
      </c>
      <c r="AG236" s="277" t="n">
        <v>0.0546350005527249</v>
      </c>
      <c r="AH236" s="118" t="n">
        <v>0.415345923181094</v>
      </c>
      <c r="AI236" s="118" t="n">
        <v>0.263865946396417</v>
      </c>
      <c r="AJ236" s="270" t="n">
        <v>0.424975127377973</v>
      </c>
      <c r="AK236" s="64" t="n">
        <v>0.25261036911976</v>
      </c>
      <c r="AL236" s="64" t="n">
        <v>0.0388314389942416</v>
      </c>
      <c r="AM236" s="119" t="n">
        <v>0.293898921683902</v>
      </c>
    </row>
    <row customHeight="1" hidden="1" ht="13.2" outlineLevel="1" r="237" s="3">
      <c r="A237" s="117" t="n">
        <v>43578</v>
      </c>
      <c r="B237" s="289" t="inlineStr">
        <is>
          <t>安卓</t>
        </is>
      </c>
      <c r="C237" s="268" t="n">
        <v>64465</v>
      </c>
      <c r="D237" s="268" t="n">
        <v>196639</v>
      </c>
      <c r="E237" s="269" t="n">
        <v>3.05032188008997</v>
      </c>
      <c r="F237" s="270" t="n">
        <v>0.390286104180758</v>
      </c>
      <c r="G237" s="271" t="n">
        <v>7.95</v>
      </c>
      <c r="H237" s="271" t="n">
        <v>17.78</v>
      </c>
      <c r="I237" s="141" t="n">
        <v>0.227</v>
      </c>
      <c r="J237" s="141" t="n">
        <v>0.102</v>
      </c>
      <c r="K237" s="141" t="n">
        <v>0.051</v>
      </c>
      <c r="L237" s="270" t="n">
        <v>10.5599092753726</v>
      </c>
      <c r="M237" s="272" t="n">
        <v>10.8250347082725</v>
      </c>
      <c r="N237" s="270" t="n">
        <v>17.4130543262191</v>
      </c>
      <c r="O237" s="273" t="n">
        <v>0.621662030421229</v>
      </c>
      <c r="P237" s="270" t="n">
        <v>2.4612043225379</v>
      </c>
      <c r="Q237" s="270" t="n">
        <v>3.07611069754505</v>
      </c>
      <c r="R237" s="270" t="n">
        <v>0.9822239310226351</v>
      </c>
      <c r="S237" s="270" t="n">
        <v>5.90637500715787</v>
      </c>
      <c r="T237" s="270" t="n">
        <v>1.49365607846666</v>
      </c>
      <c r="U237" s="270" t="n">
        <v>0.50271999214679</v>
      </c>
      <c r="V237" s="270" t="n">
        <v>1.98741850249094</v>
      </c>
      <c r="W237" s="270" t="n">
        <v>1.00334579485124</v>
      </c>
      <c r="X237" s="270" t="n">
        <v>0.27681182268014</v>
      </c>
      <c r="Y237" s="269" t="n">
        <v>11.1018465309527</v>
      </c>
      <c r="Z237" s="275" t="n">
        <v>1394</v>
      </c>
      <c r="AA237" s="275" t="n">
        <v>996</v>
      </c>
      <c r="AB237" s="270" t="n">
        <v>9048.059999999999</v>
      </c>
      <c r="AC237" s="290" t="n"/>
      <c r="AD237" s="276" t="n">
        <v>0.00708913287801504</v>
      </c>
      <c r="AE237" s="142" t="n">
        <v>0.00506511933034647</v>
      </c>
      <c r="AF237" s="270" t="n">
        <v>6.49071736011478</v>
      </c>
      <c r="AG237" s="277" t="n">
        <v>0.0460135578394927</v>
      </c>
      <c r="AH237" s="118" t="n">
        <v>0.410532847281471</v>
      </c>
      <c r="AI237" s="118" t="n">
        <v>0.26389513689599</v>
      </c>
      <c r="AJ237" s="270" t="n">
        <v>0.457289754321371</v>
      </c>
      <c r="AK237" s="64" t="n">
        <v>0.267780043633257</v>
      </c>
      <c r="AL237" s="64" t="n">
        <v>0.0433993256678482</v>
      </c>
      <c r="AM237" s="119" t="n">
        <v>0.249431699713689</v>
      </c>
    </row>
    <row customFormat="1" customHeight="1" hidden="1" ht="12.45" outlineLevel="1" r="238" s="294">
      <c r="A238" s="121" t="n">
        <v>43579</v>
      </c>
      <c r="B238" s="295" t="inlineStr">
        <is>
          <t>安卓</t>
        </is>
      </c>
      <c r="C238" s="296" t="n">
        <v>48917</v>
      </c>
      <c r="D238" s="296" t="n">
        <v>177904</v>
      </c>
      <c r="E238" s="297" t="n">
        <v>3.63685426334403</v>
      </c>
      <c r="F238" s="294" t="n">
        <v>0.371142837738331</v>
      </c>
      <c r="G238" s="306" t="n">
        <v>8.65</v>
      </c>
      <c r="H238" s="306" t="n">
        <v>18.44</v>
      </c>
      <c r="I238" s="123" t="n">
        <v>0.23</v>
      </c>
      <c r="J238" s="123" t="n">
        <v>0.109</v>
      </c>
      <c r="K238" s="123" t="n">
        <v>0.053</v>
      </c>
      <c r="L238" s="294" t="n">
        <v>9.958168450400221</v>
      </c>
      <c r="M238" s="299" t="n">
        <v>9.95957932368019</v>
      </c>
      <c r="N238" s="294" t="n">
        <v>15.6398036913788</v>
      </c>
      <c r="O238" s="300" t="n">
        <v>0.6368097400845401</v>
      </c>
      <c r="P238" s="294" t="n">
        <v>2.27578536688704</v>
      </c>
      <c r="Q238" s="294" t="n">
        <v>2.6597170119427</v>
      </c>
      <c r="R238" s="294" t="n">
        <v>0.879593259835292</v>
      </c>
      <c r="S238" s="294" t="n">
        <v>5.21657501478493</v>
      </c>
      <c r="T238" s="294" t="n">
        <v>1.36422134150109</v>
      </c>
      <c r="U238" s="294" t="n">
        <v>0.527261653617675</v>
      </c>
      <c r="V238" s="294" t="n">
        <v>1.78950666866741</v>
      </c>
      <c r="W238" s="294" t="n">
        <v>0.927143374142695</v>
      </c>
      <c r="X238" s="294" t="n">
        <v>0.219028239949636</v>
      </c>
      <c r="Y238" s="297" t="n">
        <v>10.1786075636298</v>
      </c>
      <c r="Z238" s="293" t="n">
        <v>1153</v>
      </c>
      <c r="AA238" s="293" t="n">
        <v>827</v>
      </c>
      <c r="AB238" s="294" t="n">
        <v>6688.47</v>
      </c>
      <c r="AC238" s="302" t="n"/>
      <c r="AD238" s="303" t="n">
        <v>0.00648102347333393</v>
      </c>
      <c r="AE238" s="124" t="n">
        <v>0.00464857451209641</v>
      </c>
      <c r="AF238" s="294" t="n">
        <v>5.80092801387684</v>
      </c>
      <c r="AG238" s="304" t="n">
        <v>0.0375959506250562</v>
      </c>
      <c r="AH238" s="125" t="n">
        <v>0.43066827483288</v>
      </c>
      <c r="AI238" s="125" t="n">
        <v>0.303493672956232</v>
      </c>
      <c r="AJ238" s="294" t="n">
        <v>0.535226863926612</v>
      </c>
      <c r="AK238" s="126" t="n">
        <v>0.307115073297958</v>
      </c>
      <c r="AL238" s="126" t="n">
        <v>0.0486273495817969</v>
      </c>
      <c r="AM238" s="127" t="n">
        <v>0</v>
      </c>
      <c r="AN238" s="303" t="n"/>
    </row>
    <row customHeight="1" hidden="1" ht="13.2" outlineLevel="1" r="239" s="3">
      <c r="A239" s="117" t="n">
        <v>43580</v>
      </c>
      <c r="B239" s="267" t="inlineStr">
        <is>
          <t>安卓</t>
        </is>
      </c>
      <c r="C239" s="268" t="n">
        <v>43330</v>
      </c>
      <c r="D239" s="268" t="n">
        <v>168144</v>
      </c>
      <c r="E239" s="269" t="n">
        <v>3.88054465728133</v>
      </c>
      <c r="F239" s="270" t="n">
        <v>0.38523828067014</v>
      </c>
      <c r="G239" s="271" t="n">
        <v>9.15</v>
      </c>
      <c r="H239" s="271" t="n">
        <v>20.36</v>
      </c>
      <c r="I239" s="141" t="n">
        <v>0.24</v>
      </c>
      <c r="J239" s="141" t="n">
        <v>0.111</v>
      </c>
      <c r="K239" s="141" t="n">
        <v>0.057</v>
      </c>
      <c r="L239" s="270" t="n">
        <v>9.95397397468836</v>
      </c>
      <c r="M239" s="272" t="n">
        <v>9.95174969074127</v>
      </c>
      <c r="N239" s="270" t="n">
        <v>15.477431229998</v>
      </c>
      <c r="O239" s="273" t="n">
        <v>0.642984584641736</v>
      </c>
      <c r="P239" s="270" t="n">
        <v>2.31621251641785</v>
      </c>
      <c r="Q239" s="270" t="n">
        <v>2.64709473333703</v>
      </c>
      <c r="R239" s="270" t="n">
        <v>0.8631259596352</v>
      </c>
      <c r="S239" s="270" t="n">
        <v>5.05529348650498</v>
      </c>
      <c r="T239" s="270" t="n">
        <v>1.3852045063544</v>
      </c>
      <c r="U239" s="270" t="n">
        <v>0.522411528571693</v>
      </c>
      <c r="V239" s="270" t="n">
        <v>1.7640083615443</v>
      </c>
      <c r="W239" s="270" t="n">
        <v>0.924080137632499</v>
      </c>
      <c r="X239" s="270" t="n">
        <v>0.218848130174136</v>
      </c>
      <c r="Y239" s="269" t="n">
        <v>10.1705978209154</v>
      </c>
      <c r="Z239" s="275" t="n">
        <v>1143</v>
      </c>
      <c r="AA239" s="275" t="n">
        <v>818</v>
      </c>
      <c r="AB239" s="270" t="n">
        <v>6168.57</v>
      </c>
      <c r="AC239" s="290" t="n"/>
      <c r="AD239" s="276" t="n">
        <v>0.00679774479017985</v>
      </c>
      <c r="AE239" s="142" t="n">
        <v>0.00486487772385574</v>
      </c>
      <c r="AF239" s="270" t="n">
        <v>5.39682414698163</v>
      </c>
      <c r="AG239" s="277" t="n">
        <v>0.0366862332286611</v>
      </c>
      <c r="AH239" s="118" t="n">
        <v>0.428525271174706</v>
      </c>
      <c r="AI239" s="118" t="n">
        <v>0.302307869836141</v>
      </c>
      <c r="AJ239" s="270" t="n">
        <v>0.534345560947759</v>
      </c>
      <c r="AK239" s="64" t="n">
        <v>0.321278190122752</v>
      </c>
      <c r="AL239" s="64" t="n">
        <v>0.0510217432676753</v>
      </c>
      <c r="AM239" s="119" t="n">
        <v>0</v>
      </c>
    </row>
    <row customHeight="1" hidden="1" ht="13.2" outlineLevel="1" r="240" s="3">
      <c r="A240" s="117" t="n">
        <v>43581</v>
      </c>
      <c r="B240" s="267" t="inlineStr">
        <is>
          <t>安卓</t>
        </is>
      </c>
      <c r="C240" s="268" t="n">
        <v>45558</v>
      </c>
      <c r="D240" s="268" t="n">
        <v>166088</v>
      </c>
      <c r="E240" s="269" t="n">
        <v>3.6456385267132</v>
      </c>
      <c r="F240" s="270" t="n">
        <v>0.37292560476374</v>
      </c>
      <c r="G240" s="271" t="n">
        <v>9.08</v>
      </c>
      <c r="H240" s="271" t="n">
        <v>20.32</v>
      </c>
      <c r="I240" s="141" t="n">
        <v>0.237</v>
      </c>
      <c r="J240" s="141" t="n">
        <v>0.105</v>
      </c>
      <c r="K240" s="141" t="n">
        <v>0.052</v>
      </c>
      <c r="L240" s="270" t="n">
        <v>9.737217619575169</v>
      </c>
      <c r="M240" s="272" t="n">
        <v>9.53633615914455</v>
      </c>
      <c r="N240" s="270" t="n">
        <v>15.0900906050819</v>
      </c>
      <c r="O240" s="273" t="n">
        <v>0.631960165695294</v>
      </c>
      <c r="P240" s="270" t="n">
        <v>2.38579091281524</v>
      </c>
      <c r="Q240" s="270" t="n">
        <v>2.72661274187555</v>
      </c>
      <c r="R240" s="270" t="n">
        <v>0.889054029591944</v>
      </c>
      <c r="S240" s="270" t="n">
        <v>5.20715313306847</v>
      </c>
      <c r="T240" s="270" t="n">
        <v>1.42681567439335</v>
      </c>
      <c r="U240" s="270" t="n">
        <v>0.538104629338516</v>
      </c>
      <c r="V240" s="270" t="n">
        <v>1.81699869475329</v>
      </c>
      <c r="W240" s="270" t="n">
        <v>0.951839254580273</v>
      </c>
      <c r="X240" s="270" t="n">
        <v>0.194228360868937</v>
      </c>
      <c r="Y240" s="269" t="n">
        <v>9.730564520013489</v>
      </c>
      <c r="Z240" s="275" t="n">
        <v>1088</v>
      </c>
      <c r="AA240" s="275" t="n">
        <v>768</v>
      </c>
      <c r="AB240" s="270" t="n">
        <v>6268.12</v>
      </c>
      <c r="AC240" s="290" t="n"/>
      <c r="AD240" s="276" t="n">
        <v>0.00655074418380617</v>
      </c>
      <c r="AE240" s="142" t="n">
        <v>0.00462405471798083</v>
      </c>
      <c r="AF240" s="270" t="n">
        <v>5.76113970588235</v>
      </c>
      <c r="AG240" s="277" t="n">
        <v>0.0377397524204036</v>
      </c>
      <c r="AH240" s="118" t="n">
        <v>0.422889503490057</v>
      </c>
      <c r="AI240" s="118" t="n">
        <v>0.285701742833311</v>
      </c>
      <c r="AJ240" s="270" t="n">
        <v>0.513920331390588</v>
      </c>
      <c r="AK240" s="64" t="n">
        <v>0.313538606040171</v>
      </c>
      <c r="AL240" s="64" t="n">
        <v>0.0494436684167429</v>
      </c>
      <c r="AM240" s="119" t="n">
        <v>0</v>
      </c>
    </row>
    <row customHeight="1" hidden="1" ht="13.2" outlineLevel="1" r="241" s="3">
      <c r="A241" s="117" t="n">
        <v>43582</v>
      </c>
      <c r="B241" s="289" t="inlineStr">
        <is>
          <t>安卓</t>
        </is>
      </c>
      <c r="C241" s="268" t="n">
        <v>45936</v>
      </c>
      <c r="D241" s="268" t="n">
        <v>164569</v>
      </c>
      <c r="E241" s="269" t="n">
        <v>3.58257140369209</v>
      </c>
      <c r="F241" s="270" t="n">
        <v>0.539060263950076</v>
      </c>
      <c r="G241" s="271" t="n">
        <v>8.369999999999999</v>
      </c>
      <c r="H241" s="271" t="n">
        <v>18.87</v>
      </c>
      <c r="I241" s="141" t="n">
        <v>0.235</v>
      </c>
      <c r="J241" s="141" t="n">
        <v>0.107</v>
      </c>
      <c r="K241" s="141" t="n">
        <v>0.056</v>
      </c>
      <c r="L241" s="270" t="n">
        <v>12.2607599244086</v>
      </c>
      <c r="M241" s="272" t="n">
        <v>12.8257326714023</v>
      </c>
      <c r="N241" s="270" t="n">
        <v>20.0400474721101</v>
      </c>
      <c r="O241" s="273" t="n">
        <v>0.64000510424199</v>
      </c>
      <c r="P241" s="270" t="n">
        <v>2.75927842392594</v>
      </c>
      <c r="Q241" s="270" t="n">
        <v>3.36935200569665</v>
      </c>
      <c r="R241" s="270" t="n">
        <v>1.19017327320199</v>
      </c>
      <c r="S241" s="270" t="n">
        <v>7.20097792546879</v>
      </c>
      <c r="T241" s="270" t="n">
        <v>1.70465701400427</v>
      </c>
      <c r="U241" s="270" t="n">
        <v>0.473391882269167</v>
      </c>
      <c r="V241" s="270" t="n">
        <v>2.29480180394019</v>
      </c>
      <c r="W241" s="270" t="n">
        <v>1.04741514360313</v>
      </c>
      <c r="X241" s="270" t="n">
        <v>0.260109741202778</v>
      </c>
      <c r="Y241" s="269" t="n">
        <v>13.085842412605</v>
      </c>
      <c r="Z241" s="275" t="n">
        <v>1843</v>
      </c>
      <c r="AA241" s="275" t="n">
        <v>1094</v>
      </c>
      <c r="AB241" s="270" t="n">
        <v>13165.57</v>
      </c>
      <c r="AC241" s="290" t="n"/>
      <c r="AD241" s="276" t="n">
        <v>0.011198949984505</v>
      </c>
      <c r="AE241" s="142" t="n">
        <v>0.00664766754370507</v>
      </c>
      <c r="AF241" s="270" t="n">
        <v>7.14355398806294</v>
      </c>
      <c r="AG241" s="277" t="n">
        <v>0.08000030382392791</v>
      </c>
      <c r="AH241" s="118" t="n">
        <v>0.434321664925113</v>
      </c>
      <c r="AI241" s="118" t="n">
        <v>0.293908916753744</v>
      </c>
      <c r="AJ241" s="270" t="n">
        <v>0.427741555213922</v>
      </c>
      <c r="AK241" s="64" t="n">
        <v>0.281468563338174</v>
      </c>
      <c r="AL241" s="64" t="n">
        <v>0.0445162819242992</v>
      </c>
      <c r="AM241" s="119" t="n">
        <v>0.310769342950373</v>
      </c>
    </row>
    <row customHeight="1" hidden="1" ht="13.2" outlineLevel="1" r="242" s="3">
      <c r="A242" s="117" t="n">
        <v>43583</v>
      </c>
      <c r="B242" s="289" t="inlineStr">
        <is>
          <t>安卓</t>
        </is>
      </c>
      <c r="C242" s="268" t="n">
        <v>66284</v>
      </c>
      <c r="D242" s="268" t="n">
        <v>186228</v>
      </c>
      <c r="E242" s="269" t="n">
        <v>2.8095467986241</v>
      </c>
      <c r="F242" s="270" t="n">
        <v>0.468360302210194</v>
      </c>
      <c r="G242" s="271" t="n">
        <v>8.19</v>
      </c>
      <c r="H242" s="271" t="n">
        <v>17.72</v>
      </c>
      <c r="I242" s="141" t="n">
        <v>0.227</v>
      </c>
      <c r="J242" s="141" t="n">
        <v>0.108</v>
      </c>
      <c r="K242" s="141" t="n">
        <v>0.06</v>
      </c>
      <c r="L242" s="270" t="n">
        <v>11.5079902055545</v>
      </c>
      <c r="M242" s="272" t="n">
        <v>11.9567411989604</v>
      </c>
      <c r="N242" s="270" t="n">
        <v>19.5895026700801</v>
      </c>
      <c r="O242" s="273" t="n">
        <v>0.610364714221277</v>
      </c>
      <c r="P242" s="270" t="n">
        <v>2.6891358089859</v>
      </c>
      <c r="Q242" s="270" t="n">
        <v>3.46136521593778</v>
      </c>
      <c r="R242" s="270" t="n">
        <v>1.16723411368295</v>
      </c>
      <c r="S242" s="270" t="n">
        <v>6.89529062964625</v>
      </c>
      <c r="T242" s="270" t="n">
        <v>1.65290717622529</v>
      </c>
      <c r="U242" s="270" t="n">
        <v>0.494180368972525</v>
      </c>
      <c r="V242" s="270" t="n">
        <v>2.18211970052874</v>
      </c>
      <c r="W242" s="270" t="n">
        <v>1.04726965610072</v>
      </c>
      <c r="X242" s="270" t="n">
        <v>0.142357755009988</v>
      </c>
      <c r="Y242" s="269" t="n">
        <v>12.0990989539704</v>
      </c>
      <c r="Z242" s="275" t="n">
        <v>1580</v>
      </c>
      <c r="AA242" s="275" t="n">
        <v>1022</v>
      </c>
      <c r="AB242" s="270" t="n">
        <v>11706.2</v>
      </c>
      <c r="AC242" s="290" t="n"/>
      <c r="AD242" s="276" t="n">
        <v>0.00848422363983934</v>
      </c>
      <c r="AE242" s="142" t="n">
        <v>0.00548789655690874</v>
      </c>
      <c r="AF242" s="270" t="n">
        <v>7.40898734177215</v>
      </c>
      <c r="AG242" s="277" t="n">
        <v>0.0628595055523337</v>
      </c>
      <c r="AH242" s="118" t="n">
        <v>0.408620481564178</v>
      </c>
      <c r="AI242" s="118" t="n">
        <v>0.252142296783538</v>
      </c>
      <c r="AJ242" s="270" t="n">
        <v>0.403892003350731</v>
      </c>
      <c r="AK242" s="64" t="n">
        <v>0.246713705780012</v>
      </c>
      <c r="AL242" s="64" t="n">
        <v>0.0384850828017269</v>
      </c>
      <c r="AM242" s="119" t="n">
        <v>0.300803316364886</v>
      </c>
    </row>
    <row customHeight="1" hidden="1" ht="13.2" outlineLevel="1" r="243" s="3">
      <c r="A243" s="117" t="n">
        <v>43584</v>
      </c>
      <c r="B243" s="289" t="inlineStr">
        <is>
          <t>安卓</t>
        </is>
      </c>
      <c r="C243" s="268" t="n">
        <v>56359</v>
      </c>
      <c r="D243" s="268" t="n">
        <v>181506</v>
      </c>
      <c r="E243" s="269" t="n">
        <v>3.22053265671854</v>
      </c>
      <c r="F243" s="270" t="n">
        <v>0.466724494727447</v>
      </c>
      <c r="G243" s="271" t="n">
        <v>8.59</v>
      </c>
      <c r="H243" s="271" t="n">
        <v>20.44</v>
      </c>
      <c r="I243" s="141" t="n">
        <v>0.237</v>
      </c>
      <c r="J243" s="141" t="n">
        <v>0.115</v>
      </c>
      <c r="K243" s="141" t="n">
        <v>0.062</v>
      </c>
      <c r="L243" s="270" t="n">
        <v>11.2941390367261</v>
      </c>
      <c r="M243" s="272" t="n">
        <v>11.8404901215387</v>
      </c>
      <c r="N243" s="270" t="n">
        <v>18.835242460627</v>
      </c>
      <c r="O243" s="273" t="n">
        <v>0.628634866065034</v>
      </c>
      <c r="P243" s="270" t="n">
        <v>2.62673420916556</v>
      </c>
      <c r="Q243" s="270" t="n">
        <v>3.46858485026424</v>
      </c>
      <c r="R243" s="270" t="n">
        <v>1.09130507182233</v>
      </c>
      <c r="S243" s="270" t="n">
        <v>6.42856767250068</v>
      </c>
      <c r="T243" s="270" t="n">
        <v>1.61848712982358</v>
      </c>
      <c r="U243" s="270" t="n">
        <v>0.479320952489461</v>
      </c>
      <c r="V243" s="270" t="n">
        <v>2.1034171479654</v>
      </c>
      <c r="W243" s="270" t="n">
        <v>1.01882542659574</v>
      </c>
      <c r="X243" s="270" t="n">
        <v>0.0194924685685322</v>
      </c>
      <c r="Y243" s="269" t="n">
        <v>11.8599825901072</v>
      </c>
      <c r="Z243" s="275" t="n">
        <v>1535</v>
      </c>
      <c r="AA243" s="275" t="n">
        <v>1032</v>
      </c>
      <c r="AB243" s="270" t="n">
        <v>10299.65</v>
      </c>
      <c r="AC243" s="290" t="n"/>
      <c r="AD243" s="276" t="n">
        <v>0.008457020704549709</v>
      </c>
      <c r="AE243" s="142" t="n">
        <v>0.00568576245413375</v>
      </c>
      <c r="AF243" s="270" t="n">
        <v>6.70986970684039</v>
      </c>
      <c r="AG243" s="277" t="n">
        <v>0.0567455070355801</v>
      </c>
      <c r="AH243" s="118" t="n">
        <v>0.414396990720204</v>
      </c>
      <c r="AI243" s="118" t="n">
        <v>0.279671392324207</v>
      </c>
      <c r="AJ243" s="270" t="n">
        <v>0.411997399535002</v>
      </c>
      <c r="AK243" s="64" t="n">
        <v>0.257820678104305</v>
      </c>
      <c r="AL243" s="64" t="n">
        <v>0.0398884885348143</v>
      </c>
      <c r="AM243" s="119" t="n">
        <v>0.307741892829989</v>
      </c>
    </row>
    <row customHeight="1" hidden="1" ht="13.2" outlineLevel="1" r="244" s="3">
      <c r="A244" s="117" t="n">
        <v>43585</v>
      </c>
      <c r="B244" s="289" t="inlineStr">
        <is>
          <t>安卓</t>
        </is>
      </c>
      <c r="C244" s="268" t="n">
        <v>50946</v>
      </c>
      <c r="D244" s="268" t="n">
        <v>174558</v>
      </c>
      <c r="E244" s="269" t="n">
        <v>3.42633376516311</v>
      </c>
      <c r="F244" s="270" t="n">
        <v>0.429010875227718</v>
      </c>
      <c r="G244" s="271" t="n">
        <v>8.57</v>
      </c>
      <c r="H244" s="271" t="n">
        <v>19.8</v>
      </c>
      <c r="I244" s="141" t="n">
        <v>0.228</v>
      </c>
      <c r="J244" s="141" t="n">
        <v>0.11</v>
      </c>
      <c r="K244" s="141" t="n">
        <v>0.058</v>
      </c>
      <c r="L244" s="270" t="n">
        <v>10.5777277466515</v>
      </c>
      <c r="M244" s="272" t="n">
        <v>11.2278898704156</v>
      </c>
      <c r="N244" s="270" t="n">
        <v>17.6899082071972</v>
      </c>
      <c r="O244" s="273" t="n">
        <v>0.634705943010346</v>
      </c>
      <c r="P244" s="270" t="n">
        <v>2.50483333784625</v>
      </c>
      <c r="Q244" s="270" t="n">
        <v>3.19408265865172</v>
      </c>
      <c r="R244" s="270" t="n">
        <v>1.02470372676974</v>
      </c>
      <c r="S244" s="270" t="n">
        <v>5.94883250746888</v>
      </c>
      <c r="T244" s="270" t="n">
        <v>1.53232604947966</v>
      </c>
      <c r="U244" s="270" t="n">
        <v>0.504472304206945</v>
      </c>
      <c r="V244" s="270" t="n">
        <v>1.9940429449514</v>
      </c>
      <c r="W244" s="270" t="n">
        <v>0.986614677822606</v>
      </c>
      <c r="X244" s="270" t="n">
        <v>0.0105351802839171</v>
      </c>
      <c r="Y244" s="269" t="n">
        <v>11.2384250506995</v>
      </c>
      <c r="Z244" s="275" t="n">
        <v>1426</v>
      </c>
      <c r="AA244" s="275" t="n">
        <v>980</v>
      </c>
      <c r="AB244" s="270" t="n">
        <v>8423.74</v>
      </c>
      <c r="AC244" s="290" t="n"/>
      <c r="AD244" s="276" t="n">
        <v>0.008169204505092859</v>
      </c>
      <c r="AE244" s="142" t="n">
        <v>0.00561417981415919</v>
      </c>
      <c r="AF244" s="270" t="n">
        <v>5.90725105189341</v>
      </c>
      <c r="AG244" s="277" t="n">
        <v>0.0482575419058422</v>
      </c>
      <c r="AH244" s="118" t="n">
        <v>0.410100891139638</v>
      </c>
      <c r="AI244" s="118" t="n">
        <v>0.284870254779571</v>
      </c>
      <c r="AJ244" s="270" t="n">
        <v>0.454588159809347</v>
      </c>
      <c r="AK244" s="64" t="n">
        <v>0.278457590027383</v>
      </c>
      <c r="AL244" s="64" t="n">
        <v>0.0457670229952222</v>
      </c>
      <c r="AM244" s="119" t="n">
        <v>0.26769325954697</v>
      </c>
    </row>
    <row customFormat="1" customHeight="1" ht="12.45" r="245" s="294">
      <c r="A245" s="121" t="n">
        <v>43586</v>
      </c>
      <c r="B245" s="295" t="inlineStr">
        <is>
          <t>安卓</t>
        </is>
      </c>
      <c r="C245" s="296" t="n">
        <v>57695</v>
      </c>
      <c r="D245" s="296" t="n">
        <v>175618</v>
      </c>
      <c r="E245" s="297" t="n">
        <v>3.04390328451339</v>
      </c>
      <c r="F245" s="294" t="n">
        <v>0.379932217733945</v>
      </c>
      <c r="G245" s="306" t="n">
        <v>9.27</v>
      </c>
      <c r="H245" s="306" t="n">
        <v>20.57</v>
      </c>
      <c r="I245" s="123" t="n">
        <v>0.222</v>
      </c>
      <c r="J245" s="123" t="n">
        <v>0.104</v>
      </c>
      <c r="K245" s="123" t="n">
        <v>0.051</v>
      </c>
      <c r="L245" s="294" t="n">
        <v>9.415367445250491</v>
      </c>
      <c r="M245" s="299" t="n">
        <v>9.743613980343699</v>
      </c>
      <c r="N245" s="294" t="n">
        <v>15.7928380249192</v>
      </c>
      <c r="O245" s="300" t="n">
        <v>0.61696409251899</v>
      </c>
      <c r="P245" s="294" t="n">
        <v>2.34609137055838</v>
      </c>
      <c r="Q245" s="294" t="n">
        <v>2.69226580526073</v>
      </c>
      <c r="R245" s="294" t="n">
        <v>0.876852791878172</v>
      </c>
      <c r="S245" s="294" t="n">
        <v>5.26084910013844</v>
      </c>
      <c r="T245" s="294" t="n">
        <v>1.36999538532533</v>
      </c>
      <c r="U245" s="294" t="n">
        <v>0.5439224734656209</v>
      </c>
      <c r="V245" s="294" t="n">
        <v>1.78147669589294</v>
      </c>
      <c r="W245" s="294" t="n">
        <v>0.921384402399631</v>
      </c>
      <c r="X245" s="294" t="n">
        <v>0.00479449714721726</v>
      </c>
      <c r="Y245" s="297" t="n">
        <v>9.748408477490919</v>
      </c>
      <c r="Z245" s="293" t="n">
        <v>1118</v>
      </c>
      <c r="AA245" s="293" t="n">
        <v>789</v>
      </c>
      <c r="AB245" s="294" t="n">
        <v>6223.82</v>
      </c>
      <c r="AC245" s="302" t="n"/>
      <c r="AD245" s="303" t="n">
        <v>0.00636609003632885</v>
      </c>
      <c r="AE245" s="124" t="n">
        <v>0.00449270575909075</v>
      </c>
      <c r="AF245" s="294" t="n">
        <v>5.56692307692308</v>
      </c>
      <c r="AG245" s="304" t="n">
        <v>0.0354395335330091</v>
      </c>
      <c r="AH245" s="125" t="n">
        <v>0.402842534015079</v>
      </c>
      <c r="AI245" s="125" t="n">
        <v>0.257682641476731</v>
      </c>
      <c r="AJ245" s="294" t="n">
        <v>0.506605245475976</v>
      </c>
      <c r="AK245" s="126" t="n">
        <v>0.285426323042057</v>
      </c>
      <c r="AL245" s="126" t="n">
        <v>0.0458836793494972</v>
      </c>
      <c r="AM245" s="127" t="n">
        <v>0</v>
      </c>
      <c r="AN245" s="303" t="n"/>
    </row>
    <row customHeight="1" ht="13.2" r="246" s="3">
      <c r="A246" s="117" t="n">
        <v>43587</v>
      </c>
      <c r="B246" s="267" t="inlineStr">
        <is>
          <t>安卓</t>
        </is>
      </c>
      <c r="C246" s="268" t="n">
        <v>54532</v>
      </c>
      <c r="D246" s="268" t="n">
        <v>173013</v>
      </c>
      <c r="E246" s="269" t="n">
        <v>3.17268759627375</v>
      </c>
      <c r="F246" s="270" t="n">
        <v>0.383335483761336</v>
      </c>
      <c r="G246" s="271" t="n">
        <v>9.19</v>
      </c>
      <c r="H246" s="271" t="n">
        <v>20.04</v>
      </c>
      <c r="I246" s="141" t="n">
        <v>0.222</v>
      </c>
      <c r="J246" s="141" t="n">
        <v>0.104</v>
      </c>
      <c r="K246" s="141" t="n">
        <v>0.05</v>
      </c>
      <c r="L246" s="270" t="n">
        <v>9.728268974007729</v>
      </c>
      <c r="M246" s="272" t="n">
        <v>9.70953627762076</v>
      </c>
      <c r="N246" s="270" t="n">
        <v>15.540449781215</v>
      </c>
      <c r="O246" s="273" t="n">
        <v>0.624791200661222</v>
      </c>
      <c r="P246" s="270" t="n">
        <v>2.32098948166924</v>
      </c>
      <c r="Q246" s="270" t="n">
        <v>2.71416413036439</v>
      </c>
      <c r="R246" s="270" t="n">
        <v>0.849348270534797</v>
      </c>
      <c r="S246" s="270" t="n">
        <v>5.07106580201116</v>
      </c>
      <c r="T246" s="270" t="n">
        <v>1.36975124194011</v>
      </c>
      <c r="U246" s="270" t="n">
        <v>0.534233142455387</v>
      </c>
      <c r="V246" s="270" t="n">
        <v>1.76179727466997</v>
      </c>
      <c r="W246" s="270" t="n">
        <v>0.91910043756996</v>
      </c>
      <c r="X246" s="270" t="n">
        <v>0.00384364180726304</v>
      </c>
      <c r="Y246" s="269" t="n">
        <v>9.71337991942802</v>
      </c>
      <c r="Z246" s="275" t="n">
        <v>1154</v>
      </c>
      <c r="AA246" s="275" t="n">
        <v>782</v>
      </c>
      <c r="AB246" s="270" t="n">
        <v>6656.46</v>
      </c>
      <c r="AC246" s="290" t="n"/>
      <c r="AD246" s="276" t="n">
        <v>0.0066700190159121</v>
      </c>
      <c r="AE246" s="142" t="n">
        <v>0.00451989156884165</v>
      </c>
      <c r="AF246" s="270" t="n">
        <v>5.76816291161179</v>
      </c>
      <c r="AG246" s="277" t="n">
        <v>0.0384737563073295</v>
      </c>
      <c r="AH246" s="118" t="n">
        <v>0.413793735788161</v>
      </c>
      <c r="AI246" s="118" t="n">
        <v>0.276773270740116</v>
      </c>
      <c r="AJ246" s="270" t="n">
        <v>0.503233861039344</v>
      </c>
      <c r="AK246" s="64" t="n">
        <v>0.296312993821274</v>
      </c>
      <c r="AL246" s="64" t="n">
        <v>0.0464531566992076</v>
      </c>
      <c r="AM246" s="119" t="n">
        <v>0</v>
      </c>
    </row>
    <row customHeight="1" ht="13.2" r="247" s="3">
      <c r="A247" s="117" t="n">
        <v>43588</v>
      </c>
      <c r="B247" s="267" t="inlineStr">
        <is>
          <t>安卓</t>
        </is>
      </c>
      <c r="C247" s="268" t="n">
        <v>43738</v>
      </c>
      <c r="D247" s="268" t="n">
        <v>162519</v>
      </c>
      <c r="E247" s="269" t="n">
        <v>3.71573917417349</v>
      </c>
      <c r="F247" s="270" t="n">
        <v>0.379638396987429</v>
      </c>
      <c r="G247" s="271" t="n">
        <v>8.119999999999999</v>
      </c>
      <c r="H247" s="271" t="n">
        <v>18.31</v>
      </c>
      <c r="I247" s="141" t="n">
        <v>0.232</v>
      </c>
      <c r="J247" s="141" t="n">
        <v>0.109</v>
      </c>
      <c r="K247" s="141" t="n">
        <v>0.054</v>
      </c>
      <c r="L247" s="270" t="n">
        <v>10.0382601418911</v>
      </c>
      <c r="M247" s="272" t="n">
        <v>10.1516315015475</v>
      </c>
      <c r="N247" s="270" t="n">
        <v>15.7860628444581</v>
      </c>
      <c r="O247" s="273" t="n">
        <v>0.643075578855395</v>
      </c>
      <c r="P247" s="270" t="n">
        <v>2.79737255052051</v>
      </c>
      <c r="Q247" s="270" t="n">
        <v>3.50584621861604</v>
      </c>
      <c r="R247" s="270" t="n">
        <v>1.14219419779547</v>
      </c>
      <c r="S247" s="270" t="n">
        <v>7.70129745866503</v>
      </c>
      <c r="T247" s="270" t="n">
        <v>1.7198790569504</v>
      </c>
      <c r="U247" s="270" t="n">
        <v>0.468960502143295</v>
      </c>
      <c r="V247" s="270" t="n">
        <v>2.36040837415799</v>
      </c>
      <c r="W247" s="270" t="n">
        <v>1.05995483772198</v>
      </c>
      <c r="X247" s="270" t="n">
        <v>0.00591930789630751</v>
      </c>
      <c r="Y247" s="269" t="n">
        <v>10.1575508094438</v>
      </c>
      <c r="Z247" s="275" t="n">
        <v>1109</v>
      </c>
      <c r="AA247" s="275" t="n">
        <v>790</v>
      </c>
      <c r="AB247" s="270" t="n">
        <v>6439.91</v>
      </c>
      <c r="AC247" s="290" t="n"/>
      <c r="AD247" s="276" t="n">
        <v>0.00682381752287425</v>
      </c>
      <c r="AE247" s="142" t="n">
        <v>0.00486097010195731</v>
      </c>
      <c r="AF247" s="270" t="n">
        <v>5.80695220919747</v>
      </c>
      <c r="AG247" s="277" t="n">
        <v>0.039625582239615</v>
      </c>
      <c r="AH247" s="118" t="n">
        <v>0.433124514152453</v>
      </c>
      <c r="AI247" s="118" t="n">
        <v>0.305432347158078</v>
      </c>
      <c r="AJ247" s="270" t="n">
        <v>0.531224041496687</v>
      </c>
      <c r="AK247" s="64" t="n">
        <v>0.316356856736751</v>
      </c>
      <c r="AL247" s="64" t="n">
        <v>0.0484066478380989</v>
      </c>
      <c r="AM247" s="119" t="n">
        <v>0</v>
      </c>
    </row>
    <row customHeight="1" ht="13.2" r="248" s="3">
      <c r="A248" s="117" t="n">
        <v>43589</v>
      </c>
      <c r="B248" s="289" t="inlineStr">
        <is>
          <t>安卓</t>
        </is>
      </c>
      <c r="C248" s="268" t="n">
        <v>39995</v>
      </c>
      <c r="D248" s="268" t="n">
        <v>155700</v>
      </c>
      <c r="E248" s="269" t="n">
        <v>3.89298662332792</v>
      </c>
      <c r="F248" s="270" t="n">
        <v>0.512729573641618</v>
      </c>
      <c r="G248" s="271" t="n">
        <v>7.11</v>
      </c>
      <c r="H248" s="271" t="n">
        <v>16.55</v>
      </c>
      <c r="I248" s="141" t="n">
        <v>0.229</v>
      </c>
      <c r="J248" s="141" t="n">
        <v>0.104</v>
      </c>
      <c r="K248" s="141" t="n">
        <v>0.054</v>
      </c>
      <c r="L248" s="270" t="n">
        <v>12.928002569043</v>
      </c>
      <c r="M248" s="272" t="n">
        <v>13.9321901091843</v>
      </c>
      <c r="N248" s="270" t="n">
        <v>21.0491577394814</v>
      </c>
      <c r="O248" s="273" t="n">
        <v>0.6618882466281309</v>
      </c>
      <c r="P248" s="270" t="n">
        <v>2.83689450395901</v>
      </c>
      <c r="Q248" s="270" t="n">
        <v>3.55537765874864</v>
      </c>
      <c r="R248" s="270" t="n">
        <v>1.15833139264089</v>
      </c>
      <c r="S248" s="270" t="n">
        <v>7.81010324483776</v>
      </c>
      <c r="T248" s="270" t="n">
        <v>1.74417792268281</v>
      </c>
      <c r="U248" s="270" t="n">
        <v>0.475586089116597</v>
      </c>
      <c r="V248" s="270" t="n">
        <v>2.39375679242354</v>
      </c>
      <c r="W248" s="270" t="n">
        <v>1.07493013507219</v>
      </c>
      <c r="X248" s="270" t="n">
        <v>0.00526653821451509</v>
      </c>
      <c r="Y248" s="269" t="n">
        <v>13.9374566473988</v>
      </c>
      <c r="Z248" s="275" t="n">
        <v>1705</v>
      </c>
      <c r="AA248" s="275" t="n">
        <v>1095</v>
      </c>
      <c r="AB248" s="270" t="n">
        <v>12680.95</v>
      </c>
      <c r="AC248" s="290" t="n"/>
      <c r="AD248" s="276" t="n">
        <v>0.0109505459216442</v>
      </c>
      <c r="AE248" s="142" t="n">
        <v>0.00703275529865125</v>
      </c>
      <c r="AF248" s="270" t="n">
        <v>7.4375073313783</v>
      </c>
      <c r="AG248" s="277" t="n">
        <v>0.0814447655748234</v>
      </c>
      <c r="AH248" s="118" t="n">
        <v>0.435279409926241</v>
      </c>
      <c r="AI248" s="118" t="n">
        <v>0.309538692336542</v>
      </c>
      <c r="AJ248" s="270" t="n">
        <v>0.435895953757225</v>
      </c>
      <c r="AK248" s="64" t="n">
        <v>0.293127809890816</v>
      </c>
      <c r="AL248" s="64" t="n">
        <v>0.0457931920359666</v>
      </c>
      <c r="AM248" s="119" t="n">
        <v>0.328805394990366</v>
      </c>
    </row>
    <row customHeight="1" ht="13.2" r="249" s="3">
      <c r="A249" s="117" t="n">
        <v>43590</v>
      </c>
      <c r="B249" s="289" t="inlineStr">
        <is>
          <t>安卓</t>
        </is>
      </c>
      <c r="C249" s="268" t="n">
        <v>43777</v>
      </c>
      <c r="D249" s="268" t="n">
        <v>159700</v>
      </c>
      <c r="E249" s="269" t="n">
        <v>3.64803435594033</v>
      </c>
      <c r="F249" s="270" t="n">
        <v>0.485797271609267</v>
      </c>
      <c r="G249" s="271" t="n">
        <v>7.32</v>
      </c>
      <c r="H249" s="271" t="n">
        <v>16.63</v>
      </c>
      <c r="I249" s="141" t="n">
        <v>0.219</v>
      </c>
      <c r="J249" s="141" t="n">
        <v>0.095</v>
      </c>
      <c r="K249" s="141" t="n">
        <v>0.051</v>
      </c>
      <c r="L249" s="270" t="n">
        <v>12.4238321853475</v>
      </c>
      <c r="M249" s="272" t="n">
        <v>13.4484721352536</v>
      </c>
      <c r="N249" s="270" t="n">
        <v>20.4806228901646</v>
      </c>
      <c r="O249" s="273" t="n">
        <v>0.656643706950532</v>
      </c>
      <c r="P249" s="270" t="n">
        <v>2.80004005111285</v>
      </c>
      <c r="Q249" s="270" t="n">
        <v>3.64450822955009</v>
      </c>
      <c r="R249" s="270" t="n">
        <v>1.15298571510308</v>
      </c>
      <c r="S249" s="270" t="n">
        <v>7.25625083439818</v>
      </c>
      <c r="T249" s="270" t="n">
        <v>1.74311979097133</v>
      </c>
      <c r="U249" s="270" t="n">
        <v>0.484866400930712</v>
      </c>
      <c r="V249" s="270" t="n">
        <v>2.30749718688612</v>
      </c>
      <c r="W249" s="270" t="n">
        <v>1.09135468121221</v>
      </c>
      <c r="X249" s="270" t="n">
        <v>0.00647463994990607</v>
      </c>
      <c r="Y249" s="269" t="n">
        <v>13.4549467752035</v>
      </c>
      <c r="Z249" s="275" t="n">
        <v>1482</v>
      </c>
      <c r="AA249" s="275" t="n">
        <v>984</v>
      </c>
      <c r="AB249" s="270" t="n">
        <v>11126.18</v>
      </c>
      <c r="AC249" s="290" t="n"/>
      <c r="AD249" s="276" t="n">
        <v>0.009279899812147781</v>
      </c>
      <c r="AE249" s="142" t="n">
        <v>0.00616155291170946</v>
      </c>
      <c r="AF249" s="270" t="n">
        <v>7.50754385964912</v>
      </c>
      <c r="AG249" s="277" t="n">
        <v>0.0696692548528491</v>
      </c>
      <c r="AH249" s="118" t="n">
        <v>0.429769056810654</v>
      </c>
      <c r="AI249" s="118" t="n">
        <v>0.290060990931311</v>
      </c>
      <c r="AJ249" s="270" t="n">
        <v>0.432999373825924</v>
      </c>
      <c r="AK249" s="64" t="n">
        <v>0.281934877896055</v>
      </c>
      <c r="AL249" s="64" t="n">
        <v>0.0444395742016281</v>
      </c>
      <c r="AM249" s="119" t="n">
        <v>0.33551033187226</v>
      </c>
    </row>
    <row customHeight="1" ht="13.2" r="250" s="3">
      <c r="A250" s="117" t="n">
        <v>43591</v>
      </c>
      <c r="B250" s="289" t="inlineStr">
        <is>
          <t>安卓</t>
        </is>
      </c>
      <c r="C250" s="268" t="n">
        <v>35247</v>
      </c>
      <c r="D250" s="268" t="n">
        <v>151406</v>
      </c>
      <c r="E250" s="269" t="n">
        <v>4.29557125429115</v>
      </c>
      <c r="F250" s="270" t="n">
        <v>0.442015998507325</v>
      </c>
      <c r="G250" s="271" t="n">
        <v>7.3</v>
      </c>
      <c r="H250" s="271" t="n">
        <v>16.48</v>
      </c>
      <c r="I250" s="141" t="n">
        <v>0.225</v>
      </c>
      <c r="J250" s="141" t="n">
        <v>0.103</v>
      </c>
      <c r="K250" s="141" t="n">
        <v>0.054</v>
      </c>
      <c r="L250" s="270" t="n">
        <v>12.0886424580268</v>
      </c>
      <c r="M250" s="272" t="n">
        <v>12.911331122941</v>
      </c>
      <c r="N250" s="270" t="n">
        <v>19.1923205309456</v>
      </c>
      <c r="O250" s="273" t="n">
        <v>0.672734237744871</v>
      </c>
      <c r="P250" s="270" t="n">
        <v>2.3846410618913</v>
      </c>
      <c r="Q250" s="270" t="n">
        <v>3.02567349984292</v>
      </c>
      <c r="R250" s="270" t="n">
        <v>0.97817507068803</v>
      </c>
      <c r="S250" s="270" t="n">
        <v>5.70297282437952</v>
      </c>
      <c r="T250" s="270" t="n">
        <v>1.49822298146403</v>
      </c>
      <c r="U250" s="270" t="n">
        <v>0.45724355953503</v>
      </c>
      <c r="V250" s="270" t="n">
        <v>1.92456016336789</v>
      </c>
      <c r="W250" s="270" t="n">
        <v>0.94689561734213</v>
      </c>
      <c r="X250" s="270" t="n">
        <v>0.00643303435795147</v>
      </c>
      <c r="Y250" s="269" t="n">
        <v>12.9177641572989</v>
      </c>
      <c r="Z250" s="275" t="n">
        <v>1295</v>
      </c>
      <c r="AA250" s="275" t="n">
        <v>903</v>
      </c>
      <c r="AB250" s="270" t="n">
        <v>8585.049999999999</v>
      </c>
      <c r="AC250" s="290" t="n"/>
      <c r="AD250" s="276" t="n">
        <v>0.008553161697687011</v>
      </c>
      <c r="AE250" s="142" t="n">
        <v>0.00596409653514392</v>
      </c>
      <c r="AF250" s="270" t="n">
        <v>6.62938223938224</v>
      </c>
      <c r="AG250" s="277" t="n">
        <v>0.0567021782492107</v>
      </c>
      <c r="AH250" s="118" t="n">
        <v>0.446874911339972</v>
      </c>
      <c r="AI250" s="118" t="n">
        <v>0.315544585354782</v>
      </c>
      <c r="AJ250" s="270" t="n">
        <v>0.444658732150641</v>
      </c>
      <c r="AK250" s="64" t="n">
        <v>0.295444037884892</v>
      </c>
      <c r="AL250" s="64" t="n">
        <v>0.0479307292973858</v>
      </c>
      <c r="AM250" s="119" t="n">
        <v>0.339134512502807</v>
      </c>
    </row>
    <row customHeight="1" ht="13.2" r="251" s="3">
      <c r="A251" s="117" t="n">
        <v>43592</v>
      </c>
      <c r="B251" s="289" t="inlineStr">
        <is>
          <t>安卓</t>
        </is>
      </c>
      <c r="C251" s="268" t="n">
        <v>30757</v>
      </c>
      <c r="D251" s="268" t="n">
        <v>142866</v>
      </c>
      <c r="E251" s="269" t="n">
        <v>4.64499138407517</v>
      </c>
      <c r="F251" s="270" t="n">
        <v>0.439463853366091</v>
      </c>
      <c r="G251" s="271" t="n">
        <v>8.25</v>
      </c>
      <c r="H251" s="271" t="n">
        <v>18.46</v>
      </c>
      <c r="I251" s="141" t="n">
        <v>0.23</v>
      </c>
      <c r="J251" s="141" t="n">
        <v>0.105</v>
      </c>
      <c r="K251" s="141" t="n">
        <v>0.055</v>
      </c>
      <c r="L251" s="270" t="n">
        <v>11.3724259095936</v>
      </c>
      <c r="M251" s="272" t="n">
        <v>12.06192516064</v>
      </c>
      <c r="N251" s="270" t="n">
        <v>18.0424981677311</v>
      </c>
      <c r="O251" s="273" t="n">
        <v>0.668528551229824</v>
      </c>
      <c r="P251" s="270" t="n">
        <v>2.54308449377029</v>
      </c>
      <c r="Q251" s="270" t="n">
        <v>3.22670924510522</v>
      </c>
      <c r="R251" s="270" t="n">
        <v>1.04316825463302</v>
      </c>
      <c r="S251" s="270" t="n">
        <v>6.08189718354099</v>
      </c>
      <c r="T251" s="270" t="n">
        <v>1.59776986702963</v>
      </c>
      <c r="U251" s="270" t="n">
        <v>0.487624332530625</v>
      </c>
      <c r="V251" s="270" t="n">
        <v>2.05243430007329</v>
      </c>
      <c r="W251" s="270" t="n">
        <v>1.00981049104806</v>
      </c>
      <c r="X251" s="270" t="n">
        <v>0.00390575784301373</v>
      </c>
      <c r="Y251" s="269" t="n">
        <v>12.0658309184831</v>
      </c>
      <c r="Z251" s="275" t="n">
        <v>1119</v>
      </c>
      <c r="AA251" s="275" t="n">
        <v>809</v>
      </c>
      <c r="AB251" s="270" t="n">
        <v>6869.81</v>
      </c>
      <c r="AC251" s="290" t="n"/>
      <c r="AD251" s="276" t="n">
        <v>0.00783251438410818</v>
      </c>
      <c r="AE251" s="142" t="n">
        <v>0.00566264891576722</v>
      </c>
      <c r="AF251" s="270" t="n">
        <v>6.13924039320822</v>
      </c>
      <c r="AG251" s="277" t="n">
        <v>0.0480856886873014</v>
      </c>
      <c r="AH251" s="118" t="n">
        <v>0.428097668823357</v>
      </c>
      <c r="AI251" s="118" t="n">
        <v>0.309425496634912</v>
      </c>
      <c r="AJ251" s="270" t="n">
        <v>0.485307910909524</v>
      </c>
      <c r="AK251" s="64" t="n">
        <v>0.317542312376633</v>
      </c>
      <c r="AL251" s="64" t="n">
        <v>0.0551005837638066</v>
      </c>
      <c r="AM251" s="119" t="n">
        <v>0.291587921548864</v>
      </c>
    </row>
    <row customFormat="1" customHeight="1" ht="12.45" r="252" s="294">
      <c r="A252" s="121" t="n">
        <v>43593</v>
      </c>
      <c r="B252" s="295" t="inlineStr">
        <is>
          <t>安卓</t>
        </is>
      </c>
      <c r="C252" s="296" t="n">
        <v>30212</v>
      </c>
      <c r="D252" s="296" t="n">
        <v>136159</v>
      </c>
      <c r="E252" s="297" t="n">
        <v>4.50678538329141</v>
      </c>
      <c r="F252" s="294" t="n">
        <v>0.370989026637975</v>
      </c>
      <c r="G252" s="306" t="n">
        <v>8.460000000000001</v>
      </c>
      <c r="H252" s="306" t="n">
        <v>18.96</v>
      </c>
      <c r="I252" s="123" t="n">
        <v>0.226</v>
      </c>
      <c r="J252" s="123" t="n">
        <v>0.105</v>
      </c>
      <c r="K252" s="123" t="n">
        <v>0.054</v>
      </c>
      <c r="L252" s="294" t="n">
        <v>10.0974669320427</v>
      </c>
      <c r="M252" s="299" t="n">
        <v>10.4750402103423</v>
      </c>
      <c r="N252" s="294" t="n">
        <v>16.0077105242483</v>
      </c>
      <c r="O252" s="300" t="n">
        <v>0.654374664913814</v>
      </c>
      <c r="P252" s="294" t="n">
        <v>2.34369633778157</v>
      </c>
      <c r="Q252" s="294" t="n">
        <v>2.75587829268566</v>
      </c>
      <c r="R252" s="294" t="n">
        <v>0.912412036049787</v>
      </c>
      <c r="S252" s="294" t="n">
        <v>5.30138385391531</v>
      </c>
      <c r="T252" s="294" t="n">
        <v>1.43825407692567</v>
      </c>
      <c r="U252" s="294" t="n">
        <v>0.517873376805576</v>
      </c>
      <c r="V252" s="294" t="n">
        <v>1.81134468400319</v>
      </c>
      <c r="W252" s="294" t="n">
        <v>0.92686786608155</v>
      </c>
      <c r="X252" s="294" t="n">
        <v>0.00350325722133682</v>
      </c>
      <c r="Y252" s="297" t="n">
        <v>10.4785434675637</v>
      </c>
      <c r="Z252" s="293" t="n">
        <v>919</v>
      </c>
      <c r="AA252" s="293" t="n">
        <v>662</v>
      </c>
      <c r="AB252" s="294" t="n">
        <v>4629.81</v>
      </c>
      <c r="AC252" s="302" t="n"/>
      <c r="AD252" s="303" t="n">
        <v>0.0067494620260137</v>
      </c>
      <c r="AE252" s="124" t="n">
        <v>0.00486196285225361</v>
      </c>
      <c r="AF252" s="294" t="n">
        <v>5.03787812840043</v>
      </c>
      <c r="AG252" s="304" t="n">
        <v>0.0340029671193237</v>
      </c>
      <c r="AH252" s="125" t="n">
        <v>0.418972593671389</v>
      </c>
      <c r="AI252" s="125" t="n">
        <v>0.293260955911558</v>
      </c>
      <c r="AJ252" s="294" t="n">
        <v>0.547330694261856</v>
      </c>
      <c r="AK252" s="126" t="n">
        <v>0.338214881131618</v>
      </c>
      <c r="AL252" s="126" t="n">
        <v>0.0592689429270191</v>
      </c>
      <c r="AM252" s="127" t="n">
        <v>0</v>
      </c>
      <c r="AN252" s="276" t="n">
        <v>5.378</v>
      </c>
    </row>
    <row customHeight="1" ht="13.2" r="253" s="3">
      <c r="A253" s="117" t="n">
        <v>43594</v>
      </c>
      <c r="B253" s="267" t="inlineStr">
        <is>
          <t>安卓</t>
        </is>
      </c>
      <c r="C253" s="268" t="n">
        <v>26181</v>
      </c>
      <c r="D253" s="268" t="n">
        <v>127442</v>
      </c>
      <c r="E253" s="269" t="n">
        <v>4.86772850540468</v>
      </c>
      <c r="F253" s="270" t="n">
        <v>0.382954646490168</v>
      </c>
      <c r="G253" s="271" t="n">
        <v>8.539999999999999</v>
      </c>
      <c r="H253" s="271" t="n">
        <v>18.15</v>
      </c>
      <c r="I253" s="141" t="n">
        <v>0.228</v>
      </c>
      <c r="J253" s="141" t="n">
        <v>0.106</v>
      </c>
      <c r="K253" s="141" t="n">
        <v>0.052</v>
      </c>
      <c r="L253" s="270" t="n">
        <v>10.1237268718319</v>
      </c>
      <c r="M253" s="272" t="n">
        <v>10.5394532414746</v>
      </c>
      <c r="N253" s="270" t="n">
        <v>15.9500421560129</v>
      </c>
      <c r="O253" s="273" t="n">
        <v>0.660779021044867</v>
      </c>
      <c r="P253" s="270" t="n">
        <v>2.37650663215019</v>
      </c>
      <c r="Q253" s="270" t="n">
        <v>2.76799943000321</v>
      </c>
      <c r="R253" s="270" t="n">
        <v>0.910213630048331</v>
      </c>
      <c r="S253" s="270" t="n">
        <v>5.19806201090119</v>
      </c>
      <c r="T253" s="270" t="n">
        <v>1.45357494864091</v>
      </c>
      <c r="U253" s="270" t="n">
        <v>0.512557741862702</v>
      </c>
      <c r="V253" s="270" t="n">
        <v>1.80312548241916</v>
      </c>
      <c r="W253" s="270" t="n">
        <v>0.928002279987175</v>
      </c>
      <c r="X253" s="270" t="n">
        <v>0.0035231713249949</v>
      </c>
      <c r="Y253" s="269" t="n">
        <v>10.5429764127995</v>
      </c>
      <c r="Z253" s="275" t="n">
        <v>917</v>
      </c>
      <c r="AA253" s="275" t="n">
        <v>669</v>
      </c>
      <c r="AB253" s="270" t="n">
        <v>4740.83</v>
      </c>
      <c r="AC253" s="290" t="n"/>
      <c r="AD253" s="276" t="n">
        <v>0.00719543007799626</v>
      </c>
      <c r="AE253" s="142" t="n">
        <v>0.00524944680717503</v>
      </c>
      <c r="AF253" s="270" t="n">
        <v>5.16993456924755</v>
      </c>
      <c r="AG253" s="277" t="n">
        <v>0.0371999027008365</v>
      </c>
      <c r="AH253" s="118" t="n">
        <v>0.422940300217715</v>
      </c>
      <c r="AI253" s="118" t="n">
        <v>0.303005996715175</v>
      </c>
      <c r="AJ253" s="270" t="n">
        <v>0.550124762637121</v>
      </c>
      <c r="AK253" s="64" t="n">
        <v>0.35095180552722</v>
      </c>
      <c r="AL253" s="64" t="n">
        <v>0.0606942766121059</v>
      </c>
      <c r="AM253" s="119" t="n">
        <v>0</v>
      </c>
      <c r="AN253" s="276" t="n">
        <v>4.867</v>
      </c>
    </row>
    <row customHeight="1" ht="13.2" r="254" s="3">
      <c r="A254" s="117" t="n">
        <v>43595</v>
      </c>
      <c r="B254" s="267" t="inlineStr">
        <is>
          <t>安卓</t>
        </is>
      </c>
      <c r="C254" s="268" t="n">
        <v>35608</v>
      </c>
      <c r="D254" s="268" t="n">
        <v>134243</v>
      </c>
      <c r="E254" s="269" t="n">
        <v>3.77002359020445</v>
      </c>
      <c r="F254" s="270" t="n">
        <v>0.368442611584961</v>
      </c>
      <c r="G254" s="271" t="n">
        <v>8.57</v>
      </c>
      <c r="H254" s="271" t="n">
        <v>18.63</v>
      </c>
      <c r="I254" s="141" t="n">
        <v>0.211</v>
      </c>
      <c r="J254" s="141" t="n">
        <v>0.092</v>
      </c>
      <c r="K254" s="141" t="n">
        <v>0.042</v>
      </c>
      <c r="L254" s="270" t="n">
        <v>9.72080480918931</v>
      </c>
      <c r="M254" s="272" t="n">
        <v>9.798998830479061</v>
      </c>
      <c r="N254" s="270" t="n">
        <v>15.6165800033241</v>
      </c>
      <c r="O254" s="273" t="n">
        <v>0.627474058237673</v>
      </c>
      <c r="P254" s="270" t="n">
        <v>2.38109314528575</v>
      </c>
      <c r="Q254" s="270" t="n">
        <v>2.67738680342854</v>
      </c>
      <c r="R254" s="270" t="n">
        <v>0.864330317923879</v>
      </c>
      <c r="S254" s="270" t="n">
        <v>5.0719661894247</v>
      </c>
      <c r="T254" s="270" t="n">
        <v>1.44290903910535</v>
      </c>
      <c r="U254" s="270" t="n">
        <v>0.517368283590949</v>
      </c>
      <c r="V254" s="270" t="n">
        <v>1.75056390531139</v>
      </c>
      <c r="W254" s="270" t="n">
        <v>0.910962319253508</v>
      </c>
      <c r="X254" s="270" t="n">
        <v>0.0027263991418547</v>
      </c>
      <c r="Y254" s="269" t="n">
        <v>9.80172522962091</v>
      </c>
      <c r="Z254" s="275" t="n">
        <v>921</v>
      </c>
      <c r="AA254" s="275" t="n">
        <v>654</v>
      </c>
      <c r="AB254" s="270" t="n">
        <v>5306.79</v>
      </c>
      <c r="AC254" s="290" t="n"/>
      <c r="AD254" s="276" t="n">
        <v>0.006860692922536</v>
      </c>
      <c r="AE254" s="142" t="n">
        <v>0.00487176240101905</v>
      </c>
      <c r="AF254" s="270" t="n">
        <v>5.76198697068404</v>
      </c>
      <c r="AG254" s="277" t="n">
        <v>0.0395312232295166</v>
      </c>
      <c r="AH254" s="118" t="n">
        <v>0.384492248932824</v>
      </c>
      <c r="AI254" s="118" t="n">
        <v>0.239243990114581</v>
      </c>
      <c r="AJ254" s="270" t="n">
        <v>0.505650201500264</v>
      </c>
      <c r="AK254" s="64" t="n">
        <v>0.326102664570965</v>
      </c>
      <c r="AL254" s="64" t="n">
        <v>0.0571724410211333</v>
      </c>
      <c r="AM254" s="119" t="n">
        <v>0</v>
      </c>
      <c r="AN254" s="276" t="n">
        <v>5.139</v>
      </c>
    </row>
    <row customHeight="1" ht="13.2" r="255" s="3">
      <c r="A255" s="117" t="n">
        <v>43596</v>
      </c>
      <c r="B255" s="289" t="inlineStr">
        <is>
          <t>安卓</t>
        </is>
      </c>
      <c r="C255" s="268" t="n">
        <v>28240</v>
      </c>
      <c r="D255" s="268" t="n">
        <v>125352</v>
      </c>
      <c r="E255" s="269" t="n">
        <v>4.43881019830028</v>
      </c>
      <c r="F255" s="270" t="n">
        <v>0.598863202565575</v>
      </c>
      <c r="G255" s="271" t="n">
        <v>8.57</v>
      </c>
      <c r="H255" s="271" t="n">
        <v>16.83</v>
      </c>
      <c r="I255" s="141" t="n">
        <v>0.214</v>
      </c>
      <c r="J255" s="141" t="n">
        <v>0.094</v>
      </c>
      <c r="K255" s="141" t="n">
        <v>0.049</v>
      </c>
      <c r="L255" s="270" t="n">
        <v>12.8771459569851</v>
      </c>
      <c r="M255" s="272" t="n">
        <v>14.3015508328547</v>
      </c>
      <c r="N255" s="270" t="n">
        <v>21.6528733966229</v>
      </c>
      <c r="O255" s="273" t="n">
        <v>0.66049205437488</v>
      </c>
      <c r="P255" s="270" t="n">
        <v>2.90919631857381</v>
      </c>
      <c r="Q255" s="270" t="n">
        <v>3.49793463294442</v>
      </c>
      <c r="R255" s="270" t="n">
        <v>1.26434282677489</v>
      </c>
      <c r="S255" s="270" t="n">
        <v>8.18145034664348</v>
      </c>
      <c r="T255" s="270" t="n">
        <v>1.85544846244897</v>
      </c>
      <c r="U255" s="270" t="n">
        <v>0.456494431963669</v>
      </c>
      <c r="V255" s="270" t="n">
        <v>2.42300166678745</v>
      </c>
      <c r="W255" s="270" t="n">
        <v>1.06500471048627</v>
      </c>
      <c r="X255" s="270" t="n">
        <v>0.00402067777139575</v>
      </c>
      <c r="Y255" s="269" t="n">
        <v>14.3055715106261</v>
      </c>
      <c r="Z255" s="275" t="n">
        <v>1484</v>
      </c>
      <c r="AA255" s="275" t="n">
        <v>945</v>
      </c>
      <c r="AB255" s="270" t="n">
        <v>10549.16</v>
      </c>
      <c r="AC255" s="290" t="n"/>
      <c r="AD255" s="276" t="n">
        <v>0.0118386623268875</v>
      </c>
      <c r="AE255" s="142" t="n">
        <v>0.00753877082136703</v>
      </c>
      <c r="AF255" s="270" t="n">
        <v>7.10859838274933</v>
      </c>
      <c r="AG255" s="277" t="n">
        <v>0.08415629587082769</v>
      </c>
      <c r="AH255" s="118" t="n">
        <v>0.425</v>
      </c>
      <c r="AI255" s="118" t="n">
        <v>0.287712464589235</v>
      </c>
      <c r="AJ255" s="270" t="n">
        <v>0.438652753845172</v>
      </c>
      <c r="AK255" s="64" t="n">
        <v>0.307230837960304</v>
      </c>
      <c r="AL255" s="64" t="n">
        <v>0.0550609483693918</v>
      </c>
      <c r="AM255" s="119" t="n">
        <v>0.344493905163061</v>
      </c>
      <c r="AN255" s="276" t="n">
        <v>4.935</v>
      </c>
    </row>
    <row customHeight="1" ht="13.2" r="256" s="3">
      <c r="A256" s="117" t="n">
        <v>43597</v>
      </c>
      <c r="B256" s="289" t="inlineStr">
        <is>
          <t>安卓</t>
        </is>
      </c>
      <c r="C256" s="268" t="n">
        <v>27223</v>
      </c>
      <c r="D256" s="268" t="n">
        <v>124251</v>
      </c>
      <c r="E256" s="269" t="n">
        <v>4.56419204349263</v>
      </c>
      <c r="F256" s="270" t="n">
        <v>0.473910280078229</v>
      </c>
      <c r="G256" s="271" t="n">
        <v>7.13</v>
      </c>
      <c r="H256" s="271" t="n">
        <v>15.96</v>
      </c>
      <c r="I256" s="141" t="n">
        <v>0.227</v>
      </c>
      <c r="J256" s="141" t="n">
        <v>0.103</v>
      </c>
      <c r="K256" s="141" t="n">
        <v>0.058</v>
      </c>
      <c r="L256" s="270" t="n">
        <v>12.6011702119098</v>
      </c>
      <c r="M256" s="272" t="n">
        <v>13.8613773732203</v>
      </c>
      <c r="N256" s="270" t="n">
        <v>20.7522321159616</v>
      </c>
      <c r="O256" s="273" t="n">
        <v>0.66794633443594</v>
      </c>
      <c r="P256" s="270" t="n">
        <v>2.90222066921307</v>
      </c>
      <c r="Q256" s="270" t="n">
        <v>3.48954731121902</v>
      </c>
      <c r="R256" s="270" t="n">
        <v>1.26131119492005</v>
      </c>
      <c r="S256" s="270" t="n">
        <v>8.161832925668429</v>
      </c>
      <c r="T256" s="270" t="n">
        <v>1.85099948188401</v>
      </c>
      <c r="U256" s="270" t="n">
        <v>0.455399852999651</v>
      </c>
      <c r="V256" s="270" t="n">
        <v>2.41719181135758</v>
      </c>
      <c r="W256" s="270" t="n">
        <v>1.06245105008856</v>
      </c>
      <c r="X256" s="270" t="n">
        <v>0.00405630538184803</v>
      </c>
      <c r="Y256" s="269" t="n">
        <v>13.8654336786022</v>
      </c>
      <c r="Z256" s="275" t="n">
        <v>1192</v>
      </c>
      <c r="AA256" s="275" t="n">
        <v>805</v>
      </c>
      <c r="AB256" s="270" t="n">
        <v>7948.08</v>
      </c>
      <c r="AC256" s="290" t="n"/>
      <c r="AD256" s="276" t="n">
        <v>0.009593484157069161</v>
      </c>
      <c r="AE256" s="142" t="n">
        <v>0.00647882109600728</v>
      </c>
      <c r="AF256" s="270" t="n">
        <v>6.66785234899329</v>
      </c>
      <c r="AG256" s="277" t="n">
        <v>0.0639679358717435</v>
      </c>
      <c r="AH256" s="118" t="n">
        <v>0.426110274400323</v>
      </c>
      <c r="AI256" s="118" t="n">
        <v>0.293097748227602</v>
      </c>
      <c r="AJ256" s="270" t="n">
        <v>0.442338492245535</v>
      </c>
      <c r="AK256" s="64" t="n">
        <v>0.30365147966616</v>
      </c>
      <c r="AL256" s="64" t="n">
        <v>0.0541565057826496</v>
      </c>
      <c r="AM256" s="119" t="n">
        <v>0.361904531955477</v>
      </c>
      <c r="AN256" s="276" t="n">
        <v>5.336</v>
      </c>
    </row>
    <row customHeight="1" ht="13.2" r="257" s="3">
      <c r="A257" s="117" t="n">
        <v>43598</v>
      </c>
      <c r="B257" s="289" t="inlineStr">
        <is>
          <t>安卓</t>
        </is>
      </c>
      <c r="C257" s="268" t="n">
        <v>32148</v>
      </c>
      <c r="D257" s="268" t="n">
        <v>129690</v>
      </c>
      <c r="E257" s="269" t="n">
        <v>4.03415453527436</v>
      </c>
      <c r="F257" s="270" t="n">
        <v>0.485229880407125</v>
      </c>
      <c r="G257" s="271" t="n">
        <v>7.28</v>
      </c>
      <c r="H257" s="271" t="n">
        <v>16.01</v>
      </c>
      <c r="I257" s="141" t="n">
        <v>0.236</v>
      </c>
      <c r="J257" s="141" t="n">
        <v>0.108</v>
      </c>
      <c r="K257" s="141" t="n">
        <v>0.059</v>
      </c>
      <c r="L257" s="270" t="n">
        <v>12.0726964299483</v>
      </c>
      <c r="M257" s="272" t="n">
        <v>12.6111882180584</v>
      </c>
      <c r="N257" s="270" t="n">
        <v>19.3002879327842</v>
      </c>
      <c r="O257" s="273" t="n">
        <v>0.65341969311435</v>
      </c>
      <c r="P257" s="270" t="n">
        <v>2.70829104812254</v>
      </c>
      <c r="Q257" s="270" t="n">
        <v>3.4432394798329</v>
      </c>
      <c r="R257" s="270" t="n">
        <v>1.10331358712327</v>
      </c>
      <c r="S257" s="270" t="n">
        <v>6.68256590592622</v>
      </c>
      <c r="T257" s="270" t="n">
        <v>1.75478511245899</v>
      </c>
      <c r="U257" s="270" t="n">
        <v>0.44738146373699</v>
      </c>
      <c r="V257" s="270" t="n">
        <v>2.14722333671615</v>
      </c>
      <c r="W257" s="270" t="n">
        <v>1.01348799886715</v>
      </c>
      <c r="X257" s="270" t="n">
        <v>0.00390161153519932</v>
      </c>
      <c r="Y257" s="269" t="n">
        <v>12.6150898295936</v>
      </c>
      <c r="Z257" s="275" t="n">
        <v>1086</v>
      </c>
      <c r="AA257" s="275" t="n">
        <v>757</v>
      </c>
      <c r="AB257" s="270" t="n">
        <v>8223.139999999999</v>
      </c>
      <c r="AC257" s="290" t="n"/>
      <c r="AD257" s="276" t="n">
        <v>0.008373814480684709</v>
      </c>
      <c r="AE257" s="142" t="n">
        <v>0.00583699591333179</v>
      </c>
      <c r="AF257" s="270" t="n">
        <v>7.57195211786372</v>
      </c>
      <c r="AG257" s="277" t="n">
        <v>0.0634061222916185</v>
      </c>
      <c r="AH257" s="118" t="n">
        <v>0.406432748538012</v>
      </c>
      <c r="AI257" s="118" t="n">
        <v>0.267854920990419</v>
      </c>
      <c r="AJ257" s="270" t="n">
        <v>0.432523710386306</v>
      </c>
      <c r="AK257" s="64" t="n">
        <v>0.29283676459249</v>
      </c>
      <c r="AL257" s="64" t="n">
        <v>0.0536047497879559</v>
      </c>
      <c r="AM257" s="119" t="n">
        <v>0.342925437581926</v>
      </c>
      <c r="AN257" s="276" t="n">
        <v>5.378</v>
      </c>
    </row>
    <row customHeight="1" ht="13.2" r="258" s="3">
      <c r="A258" s="117" t="n">
        <v>43599</v>
      </c>
      <c r="B258" s="289" t="inlineStr">
        <is>
          <t>安卓</t>
        </is>
      </c>
      <c r="C258" s="268" t="n">
        <v>35384</v>
      </c>
      <c r="D258" s="268" t="n">
        <v>131792</v>
      </c>
      <c r="E258" s="269" t="n">
        <v>3.7246212977617</v>
      </c>
      <c r="F258" s="270" t="n">
        <v>0.442193439662498</v>
      </c>
      <c r="G258" s="271" t="n">
        <v>8.050000000000001</v>
      </c>
      <c r="H258" s="271" t="n">
        <v>16.82</v>
      </c>
      <c r="I258" s="141" t="n">
        <v>0.239</v>
      </c>
      <c r="J258" s="141" t="n">
        <v>0.11</v>
      </c>
      <c r="K258" s="141" t="n">
        <v>0.057</v>
      </c>
      <c r="L258" s="270" t="n">
        <v>10.7825588806604</v>
      </c>
      <c r="M258" s="272" t="n">
        <v>11.4214823358019</v>
      </c>
      <c r="N258" s="270" t="n">
        <v>17.8922844679005</v>
      </c>
      <c r="O258" s="273" t="n">
        <v>0.638346788879446</v>
      </c>
      <c r="P258" s="270" t="n">
        <v>2.57054047950172</v>
      </c>
      <c r="Q258" s="270" t="n">
        <v>3.17263963674833</v>
      </c>
      <c r="R258" s="270" t="n">
        <v>1.02172853593886</v>
      </c>
      <c r="S258" s="270" t="n">
        <v>6.02490223347478</v>
      </c>
      <c r="T258" s="270" t="n">
        <v>1.62509954950136</v>
      </c>
      <c r="U258" s="270" t="n">
        <v>0.488036230075242</v>
      </c>
      <c r="V258" s="270" t="n">
        <v>2.01264724411321</v>
      </c>
      <c r="W258" s="270" t="n">
        <v>0.976690558546993</v>
      </c>
      <c r="X258" s="270" t="n">
        <v>0.00274675245841933</v>
      </c>
      <c r="Y258" s="269" t="n">
        <v>11.4242290882603</v>
      </c>
      <c r="Z258" s="275" t="n">
        <v>1111</v>
      </c>
      <c r="AA258" s="275" t="n">
        <v>734</v>
      </c>
      <c r="AB258" s="270" t="n">
        <v>7917.89</v>
      </c>
      <c r="AC258" s="290" t="n"/>
      <c r="AD258" s="276" t="n">
        <v>0.00842995022459633</v>
      </c>
      <c r="AE258" s="142" t="n">
        <v>0.005569382056574</v>
      </c>
      <c r="AF258" s="270" t="n">
        <v>7.12681368136814</v>
      </c>
      <c r="AG258" s="277" t="n">
        <v>0.0600786845939056</v>
      </c>
      <c r="AH258" s="118" t="n">
        <v>0.39591340718969</v>
      </c>
      <c r="AI258" s="118" t="n">
        <v>0.25802622654307</v>
      </c>
      <c r="AJ258" s="270" t="n">
        <v>0.454830338715552</v>
      </c>
      <c r="AK258" s="64" t="n">
        <v>0.298219922301809</v>
      </c>
      <c r="AL258" s="64" t="n">
        <v>0.0569685565132937</v>
      </c>
      <c r="AM258" s="119" t="n">
        <v>0.284372344300109</v>
      </c>
      <c r="AN258" s="276" t="n">
        <v>5.222</v>
      </c>
    </row>
    <row customFormat="1" customHeight="1" ht="12.45" r="259" s="294">
      <c r="A259" s="121" t="n">
        <v>43600</v>
      </c>
      <c r="B259" s="295" t="inlineStr">
        <is>
          <t>安卓</t>
        </is>
      </c>
      <c r="C259" s="296" t="n">
        <v>37139</v>
      </c>
      <c r="D259" s="296" t="n">
        <v>131157</v>
      </c>
      <c r="E259" s="297" t="n">
        <v>3.53151673443011</v>
      </c>
      <c r="F259" s="294" t="n">
        <v>0.340141068803038</v>
      </c>
      <c r="G259" s="306" t="n">
        <v>8.470000000000001</v>
      </c>
      <c r="H259" s="306" t="n">
        <v>18.09</v>
      </c>
      <c r="I259" s="123" t="n">
        <v>0.231</v>
      </c>
      <c r="J259" s="123" t="n">
        <v>0.106</v>
      </c>
      <c r="K259" s="123" t="n">
        <v>0.056</v>
      </c>
      <c r="L259" s="294" t="n">
        <v>9.650106361078709</v>
      </c>
      <c r="M259" s="299" t="n">
        <v>9.75175552963243</v>
      </c>
      <c r="N259" s="294" t="n">
        <v>15.7754575953426</v>
      </c>
      <c r="O259" s="300" t="n">
        <v>0.618159915216115</v>
      </c>
      <c r="P259" s="294" t="n">
        <v>2.36761803739701</v>
      </c>
      <c r="Q259" s="294" t="n">
        <v>2.68804578420248</v>
      </c>
      <c r="R259" s="294" t="n">
        <v>0.891151512161429</v>
      </c>
      <c r="S259" s="294" t="n">
        <v>5.19228871675958</v>
      </c>
      <c r="T259" s="294" t="n">
        <v>1.44682766786719</v>
      </c>
      <c r="U259" s="294" t="n">
        <v>0.527986087128127</v>
      </c>
      <c r="V259" s="294" t="n">
        <v>1.76566431496374</v>
      </c>
      <c r="W259" s="294" t="n">
        <v>0.895875474863091</v>
      </c>
      <c r="X259" s="294" t="n">
        <v>0.00144102106635559</v>
      </c>
      <c r="Y259" s="297" t="n">
        <v>9.75319655069878</v>
      </c>
      <c r="Z259" s="293" t="n">
        <v>753</v>
      </c>
      <c r="AA259" s="293" t="n">
        <v>570</v>
      </c>
      <c r="AB259" s="294" t="n">
        <v>3836.47</v>
      </c>
      <c r="AC259" s="302" t="n"/>
      <c r="AD259" s="303" t="n">
        <v>0.00574121091516274</v>
      </c>
      <c r="AE259" s="124" t="n">
        <v>0.00434593654932638</v>
      </c>
      <c r="AF259" s="294" t="n">
        <v>5.09491367861886</v>
      </c>
      <c r="AG259" s="304" t="n">
        <v>0.0292509740234986</v>
      </c>
      <c r="AH259" s="125" t="n">
        <v>0.397937478122728</v>
      </c>
      <c r="AI259" s="125" t="n">
        <v>0.25792293815127</v>
      </c>
      <c r="AJ259" s="294" t="n">
        <v>0.515184092347339</v>
      </c>
      <c r="AK259" s="126" t="n">
        <v>0.312114488742499</v>
      </c>
      <c r="AL259" s="126" t="n">
        <v>0.059859557629406</v>
      </c>
      <c r="AM259" s="127" t="n">
        <v>0</v>
      </c>
      <c r="AN259" s="276" t="n">
        <v>5.116</v>
      </c>
    </row>
    <row customHeight="1" ht="13.2" r="260" s="3">
      <c r="A260" s="117" t="n">
        <v>43601</v>
      </c>
      <c r="B260" s="267" t="inlineStr">
        <is>
          <t>安卓</t>
        </is>
      </c>
      <c r="C260" s="268" t="n">
        <v>52348</v>
      </c>
      <c r="D260" s="268" t="n">
        <v>144944</v>
      </c>
      <c r="E260" s="269" t="n">
        <v>2.76885458852296</v>
      </c>
      <c r="F260" s="270" t="n">
        <v>0.333826460012143</v>
      </c>
      <c r="G260" s="271" t="n">
        <v>8.6</v>
      </c>
      <c r="H260" s="271" t="n">
        <v>18.78</v>
      </c>
      <c r="I260" s="141" t="n">
        <v>0.245</v>
      </c>
      <c r="J260" s="141" t="n">
        <v>0.108</v>
      </c>
      <c r="K260" s="141" t="n">
        <v>0.052</v>
      </c>
      <c r="L260" s="270" t="n">
        <v>9.15581879898444</v>
      </c>
      <c r="M260" s="272" t="n">
        <v>9.198511149133459</v>
      </c>
      <c r="N260" s="270" t="n">
        <v>15.4544284869771</v>
      </c>
      <c r="O260" s="273" t="n">
        <v>0.5952022850204221</v>
      </c>
      <c r="P260" s="270" t="n">
        <v>2.36636876818398</v>
      </c>
      <c r="Q260" s="270" t="n">
        <v>2.65207311842914</v>
      </c>
      <c r="R260" s="270" t="n">
        <v>0.846530120202617</v>
      </c>
      <c r="S260" s="270" t="n">
        <v>4.95235942553117</v>
      </c>
      <c r="T260" s="270" t="n">
        <v>1.44487718932202</v>
      </c>
      <c r="U260" s="270" t="n">
        <v>0.552236556896292</v>
      </c>
      <c r="V260" s="270" t="n">
        <v>1.7445143791077</v>
      </c>
      <c r="W260" s="270" t="n">
        <v>0.895468929304169</v>
      </c>
      <c r="X260" s="270" t="n">
        <v>0.00249751628215035</v>
      </c>
      <c r="Y260" s="269" t="n">
        <v>9.20100866541561</v>
      </c>
      <c r="Z260" s="275" t="n">
        <v>878</v>
      </c>
      <c r="AA260" s="275" t="n">
        <v>637</v>
      </c>
      <c r="AB260" s="270" t="n">
        <v>4566.22</v>
      </c>
      <c r="AC260" s="290" t="n"/>
      <c r="AD260" s="276" t="n">
        <v>0.00605751186665195</v>
      </c>
      <c r="AE260" s="142" t="n">
        <v>0.00439480075063473</v>
      </c>
      <c r="AF260" s="270" t="n">
        <v>5.20070615034169</v>
      </c>
      <c r="AG260" s="277" t="n">
        <v>0.0315033392206645</v>
      </c>
      <c r="AH260" s="118" t="n">
        <v>0.414705432872316</v>
      </c>
      <c r="AI260" s="118" t="n">
        <v>0.24652326736456</v>
      </c>
      <c r="AJ260" s="270" t="n">
        <v>0.484738933657137</v>
      </c>
      <c r="AK260" s="64" t="n">
        <v>0.286351970416161</v>
      </c>
      <c r="AL260" s="64" t="n">
        <v>0.052985980792582</v>
      </c>
      <c r="AM260" s="119" t="n">
        <v>0</v>
      </c>
      <c r="AN260" s="276" t="n">
        <v>5.55</v>
      </c>
    </row>
    <row customHeight="1" ht="13.2" r="261" s="3">
      <c r="A261" s="117" t="n">
        <v>43602</v>
      </c>
      <c r="B261" s="267" t="inlineStr">
        <is>
          <t>安卓</t>
        </is>
      </c>
      <c r="C261" s="268" t="n">
        <v>62061</v>
      </c>
      <c r="D261" s="268" t="n">
        <v>157986</v>
      </c>
      <c r="E261" s="269" t="n">
        <v>2.54565669260888</v>
      </c>
      <c r="F261" s="270" t="n">
        <v>0.298444970794881</v>
      </c>
      <c r="G261" s="271" t="n">
        <v>7.76</v>
      </c>
      <c r="H261" s="271" t="n">
        <v>17.57</v>
      </c>
      <c r="I261" s="141" t="n">
        <v>0.239</v>
      </c>
      <c r="J261" s="141" t="n">
        <v>0.105</v>
      </c>
      <c r="K261" s="141" t="n">
        <v>0.049</v>
      </c>
      <c r="L261" s="270" t="n">
        <v>8.864874102768599</v>
      </c>
      <c r="M261" s="272" t="n">
        <v>8.79718456065727</v>
      </c>
      <c r="N261" s="270" t="n">
        <v>15.2432302005988</v>
      </c>
      <c r="O261" s="273" t="n">
        <v>0.577120757535478</v>
      </c>
      <c r="P261" s="270" t="n">
        <v>2.376706844928</v>
      </c>
      <c r="Q261" s="270" t="n">
        <v>2.62347960560229</v>
      </c>
      <c r="R261" s="270" t="n">
        <v>0.816390098380074</v>
      </c>
      <c r="S261" s="270" t="n">
        <v>4.81243076653103</v>
      </c>
      <c r="T261" s="270" t="n">
        <v>1.42166335808373</v>
      </c>
      <c r="U261" s="270" t="n">
        <v>0.562411573094092</v>
      </c>
      <c r="V261" s="270" t="n">
        <v>1.73174155762967</v>
      </c>
      <c r="W261" s="270" t="n">
        <v>0.898406396349957</v>
      </c>
      <c r="X261" s="270" t="n">
        <v>0.00141784715101338</v>
      </c>
      <c r="Y261" s="269" t="n">
        <v>8.798602407808289</v>
      </c>
      <c r="Z261" s="275" t="n">
        <v>897</v>
      </c>
      <c r="AA261" s="275" t="n">
        <v>652</v>
      </c>
      <c r="AB261" s="270" t="n">
        <v>5004.03</v>
      </c>
      <c r="AC261" s="290" t="n"/>
      <c r="AD261" s="276" t="n">
        <v>0.00567771827883483</v>
      </c>
      <c r="AE261" s="142" t="n">
        <v>0.00412694795741395</v>
      </c>
      <c r="AF261" s="270" t="n">
        <v>5.57862876254181</v>
      </c>
      <c r="AG261" s="277" t="n">
        <v>0.0316738824959174</v>
      </c>
      <c r="AH261" s="118" t="n">
        <v>0.40668052400058</v>
      </c>
      <c r="AI261" s="118" t="n">
        <v>0.251607289602166</v>
      </c>
      <c r="AJ261" s="270" t="n">
        <v>0.456761991568873</v>
      </c>
      <c r="AK261" s="64" t="n">
        <v>0.267504715607712</v>
      </c>
      <c r="AL261" s="64" t="n">
        <v>0.0466433734634714</v>
      </c>
      <c r="AM261" s="119" t="n">
        <v>0</v>
      </c>
      <c r="AN261" s="276" t="n">
        <v>4.211</v>
      </c>
    </row>
    <row customHeight="1" ht="13.2" r="262" s="3">
      <c r="A262" s="117" t="n">
        <v>43603</v>
      </c>
      <c r="B262" s="289" t="inlineStr">
        <is>
          <t>安卓</t>
        </is>
      </c>
      <c r="C262" s="268" t="n">
        <v>58470</v>
      </c>
      <c r="D262" s="268" t="n">
        <v>158060</v>
      </c>
      <c r="E262" s="269" t="n">
        <v>2.70326663246109</v>
      </c>
      <c r="F262" s="270" t="n">
        <v>0.417140898608123</v>
      </c>
      <c r="G262" s="271" t="n">
        <v>6.54</v>
      </c>
      <c r="H262" s="271" t="n">
        <v>14.8</v>
      </c>
      <c r="I262" s="141" t="n">
        <v>0.231</v>
      </c>
      <c r="J262" s="141" t="n">
        <v>0.099</v>
      </c>
      <c r="K262" s="141" t="n">
        <v>0.049</v>
      </c>
      <c r="L262" s="270" t="n">
        <v>10.7625901556371</v>
      </c>
      <c r="M262" s="272" t="n">
        <v>11.6682715424522</v>
      </c>
      <c r="N262" s="270" t="n">
        <v>19.4448638333316</v>
      </c>
      <c r="O262" s="273" t="n">
        <v>0.60006959382513</v>
      </c>
      <c r="P262" s="270" t="n">
        <v>2.72646472740308</v>
      </c>
      <c r="Q262" s="270" t="n">
        <v>3.28955053928959</v>
      </c>
      <c r="R262" s="270" t="n">
        <v>1.03534112834354</v>
      </c>
      <c r="S262" s="270" t="n">
        <v>7.00317353210961</v>
      </c>
      <c r="T262" s="270" t="n">
        <v>1.6774489440889</v>
      </c>
      <c r="U262" s="270" t="n">
        <v>0.494923402954232</v>
      </c>
      <c r="V262" s="270" t="n">
        <v>2.20623741394035</v>
      </c>
      <c r="W262" s="270" t="n">
        <v>1.01172414520227</v>
      </c>
      <c r="X262" s="270" t="n">
        <v>0.00168923193723902</v>
      </c>
      <c r="Y262" s="269" t="n">
        <v>11.6699607743895</v>
      </c>
      <c r="Z262" s="275" t="n">
        <v>1436</v>
      </c>
      <c r="AA262" s="275" t="n">
        <v>938</v>
      </c>
      <c r="AB262" s="270" t="n">
        <v>11311.64</v>
      </c>
      <c r="AC262" s="290" t="n"/>
      <c r="AD262" s="276" t="n">
        <v>0.009085157535113251</v>
      </c>
      <c r="AE262" s="142" t="n">
        <v>0.00593445527015058</v>
      </c>
      <c r="AF262" s="270" t="n">
        <v>7.87718662952646</v>
      </c>
      <c r="AG262" s="277" t="n">
        <v>0.0715654814627357</v>
      </c>
      <c r="AH262" s="118" t="n">
        <v>0.420916709423636</v>
      </c>
      <c r="AI262" s="118" t="n">
        <v>0.266683769454421</v>
      </c>
      <c r="AJ262" s="270" t="n">
        <v>0.385549791218525</v>
      </c>
      <c r="AK262" s="64" t="n">
        <v>0.239908895356194</v>
      </c>
      <c r="AL262" s="64" t="n">
        <v>0.0412881184360369</v>
      </c>
      <c r="AM262" s="119" t="n">
        <v>0.286505124636214</v>
      </c>
      <c r="AN262" s="276" t="n">
        <v>4.457</v>
      </c>
    </row>
    <row customHeight="1" ht="13.2" r="263" s="3">
      <c r="A263" s="117" t="n">
        <v>43604</v>
      </c>
      <c r="B263" s="289" t="inlineStr">
        <is>
          <t>安卓</t>
        </is>
      </c>
      <c r="C263" s="268" t="n">
        <v>69072</v>
      </c>
      <c r="D263" s="268" t="n">
        <v>171933</v>
      </c>
      <c r="E263" s="269" t="n">
        <v>2.4891851980542</v>
      </c>
      <c r="F263" s="270" t="n">
        <v>0.33635516127794</v>
      </c>
      <c r="G263" s="271" t="n">
        <v>6.36</v>
      </c>
      <c r="H263" s="271" t="n">
        <v>14.87</v>
      </c>
      <c r="I263" s="141" t="n">
        <v>0.224</v>
      </c>
      <c r="J263" s="141" t="n">
        <v>0.097</v>
      </c>
      <c r="K263" s="141" t="n">
        <v>0.049</v>
      </c>
      <c r="L263" s="270" t="n">
        <v>10.3531957215892</v>
      </c>
      <c r="M263" s="272" t="n">
        <v>11.0109054108286</v>
      </c>
      <c r="N263" s="270" t="n">
        <v>18.6528923176968</v>
      </c>
      <c r="O263" s="273" t="n">
        <v>0.590305525989775</v>
      </c>
      <c r="P263" s="270" t="n">
        <v>2.63338358310425</v>
      </c>
      <c r="Q263" s="270" t="n">
        <v>3.28585222626191</v>
      </c>
      <c r="R263" s="270" t="n">
        <v>1.04888021834018</v>
      </c>
      <c r="S263" s="270" t="n">
        <v>6.45165676450593</v>
      </c>
      <c r="T263" s="270" t="n">
        <v>1.62742258086765</v>
      </c>
      <c r="U263" s="270" t="n">
        <v>0.498063905885135</v>
      </c>
      <c r="V263" s="270" t="n">
        <v>2.09891322554265</v>
      </c>
      <c r="W263" s="270" t="n">
        <v>1.00871981318909</v>
      </c>
      <c r="X263" s="270" t="n">
        <v>0.00182047658099376</v>
      </c>
      <c r="Y263" s="269" t="n">
        <v>11.0127258874096</v>
      </c>
      <c r="Z263" s="275" t="n">
        <v>1264</v>
      </c>
      <c r="AA263" s="275" t="n">
        <v>886</v>
      </c>
      <c r="AB263" s="270" t="n">
        <v>7834.36</v>
      </c>
      <c r="AC263" s="290" t="n"/>
      <c r="AD263" s="276" t="n">
        <v>0.00735170095327831</v>
      </c>
      <c r="AE263" s="142" t="n">
        <v>0.00515317013022515</v>
      </c>
      <c r="AF263" s="270" t="n">
        <v>6.19806962025316</v>
      </c>
      <c r="AG263" s="277" t="n">
        <v>0.0455663543357005</v>
      </c>
      <c r="AH263" s="118" t="n">
        <v>0.419822793606671</v>
      </c>
      <c r="AI263" s="118" t="n">
        <v>0.25707956914524</v>
      </c>
      <c r="AJ263" s="270" t="n">
        <v>0.374215537447727</v>
      </c>
      <c r="AK263" s="64" t="n">
        <v>0.221778250830265</v>
      </c>
      <c r="AL263" s="64" t="n">
        <v>0.038096235161371</v>
      </c>
      <c r="AM263" s="119" t="n">
        <v>0.286960618380416</v>
      </c>
      <c r="AN263" s="276" t="n">
        <v>5.116</v>
      </c>
    </row>
    <row customHeight="1" ht="13.2" r="264" s="3">
      <c r="A264" s="117" t="n">
        <v>43605</v>
      </c>
      <c r="B264" s="289" t="inlineStr">
        <is>
          <t>安卓</t>
        </is>
      </c>
      <c r="C264" s="268" t="n">
        <v>52368</v>
      </c>
      <c r="D264" s="268" t="n">
        <v>160864</v>
      </c>
      <c r="E264" s="269" t="n">
        <v>3.07179957225787</v>
      </c>
      <c r="F264" s="270" t="n">
        <v>0.333884702338621</v>
      </c>
      <c r="G264" s="271" t="n">
        <v>6.19</v>
      </c>
      <c r="H264" s="271" t="n">
        <v>14.23</v>
      </c>
      <c r="I264" s="141" t="n">
        <v>0.228</v>
      </c>
      <c r="J264" s="141" t="n">
        <v>0.104</v>
      </c>
      <c r="K264" s="141" t="n">
        <v>0.053</v>
      </c>
      <c r="L264" s="270" t="n">
        <v>10.5261587427889</v>
      </c>
      <c r="M264" s="272" t="n">
        <v>11.079489506664</v>
      </c>
      <c r="N264" s="270" t="n">
        <v>17.9815068907767</v>
      </c>
      <c r="O264" s="273" t="n">
        <v>0.616160234732445</v>
      </c>
      <c r="P264" s="270" t="n">
        <v>2.55076777174681</v>
      </c>
      <c r="Q264" s="270" t="n">
        <v>3.29595028148268</v>
      </c>
      <c r="R264" s="270" t="n">
        <v>0.994400613410279</v>
      </c>
      <c r="S264" s="270" t="n">
        <v>6.05482354365504</v>
      </c>
      <c r="T264" s="270" t="n">
        <v>1.60279666659941</v>
      </c>
      <c r="U264" s="270" t="n">
        <v>0.474131842853972</v>
      </c>
      <c r="V264" s="270" t="n">
        <v>2.02216549970742</v>
      </c>
      <c r="W264" s="270" t="n">
        <v>0.986470671321052</v>
      </c>
      <c r="X264" s="270" t="n">
        <v>0.00160383926795305</v>
      </c>
      <c r="Y264" s="269" t="n">
        <v>11.081093345932</v>
      </c>
      <c r="Z264" s="275" t="n">
        <v>1145</v>
      </c>
      <c r="AA264" s="275" t="n">
        <v>809</v>
      </c>
      <c r="AB264" s="270" t="n">
        <v>7490.55</v>
      </c>
      <c r="AC264" s="290" t="n"/>
      <c r="AD264" s="276" t="n">
        <v>0.00711781380545057</v>
      </c>
      <c r="AE264" s="142" t="n">
        <v>0.00502909289834892</v>
      </c>
      <c r="AF264" s="270" t="n">
        <v>6.54196506550218</v>
      </c>
      <c r="AG264" s="277" t="n">
        <v>0.0465644892580068</v>
      </c>
      <c r="AH264" s="118" t="n">
        <v>0.429040635502597</v>
      </c>
      <c r="AI264" s="118" t="n">
        <v>0.296115948670944</v>
      </c>
      <c r="AJ264" s="270" t="n">
        <v>0.401127660632584</v>
      </c>
      <c r="AK264" s="64" t="n">
        <v>0.24600283469266</v>
      </c>
      <c r="AL264" s="64" t="n">
        <v>0.0413889994032226</v>
      </c>
      <c r="AM264" s="119" t="n">
        <v>0.303330763875075</v>
      </c>
      <c r="AN264" s="276" t="n">
        <v>4.802</v>
      </c>
    </row>
    <row customHeight="1" ht="13.2" r="265" s="3">
      <c r="A265" s="117" t="n">
        <v>43606</v>
      </c>
      <c r="B265" s="289" t="inlineStr">
        <is>
          <t>安卓</t>
        </is>
      </c>
      <c r="C265" s="268" t="n">
        <v>39799</v>
      </c>
      <c r="D265" s="268" t="n">
        <v>145372</v>
      </c>
      <c r="E265" s="269" t="n">
        <v>3.65265458931129</v>
      </c>
      <c r="F265" s="270" t="n">
        <v>0.364572904961065</v>
      </c>
      <c r="G265" s="271" t="n">
        <v>7.02</v>
      </c>
      <c r="H265" s="271" t="n">
        <v>15.41</v>
      </c>
      <c r="I265" s="141" t="n">
        <v>0.238</v>
      </c>
      <c r="J265" s="141" t="n">
        <v>0.104</v>
      </c>
      <c r="K265" s="141" t="n">
        <v>0.053</v>
      </c>
      <c r="L265" s="270" t="n">
        <v>10.3752854745068</v>
      </c>
      <c r="M265" s="272" t="n">
        <v>10.7482596373442</v>
      </c>
      <c r="N265" s="270" t="n">
        <v>16.9714769839029</v>
      </c>
      <c r="O265" s="273" t="n">
        <v>0.633313155215585</v>
      </c>
      <c r="P265" s="270" t="n">
        <v>2.45337040818543</v>
      </c>
      <c r="Q265" s="270" t="n">
        <v>3.0727304325158</v>
      </c>
      <c r="R265" s="270" t="n">
        <v>0.963026524449851</v>
      </c>
      <c r="S265" s="270" t="n">
        <v>5.59199921795234</v>
      </c>
      <c r="T265" s="270" t="n">
        <v>1.53290031064671</v>
      </c>
      <c r="U265" s="270" t="n">
        <v>0.486813807485934</v>
      </c>
      <c r="V265" s="270" t="n">
        <v>1.92075250363869</v>
      </c>
      <c r="W265" s="270" t="n">
        <v>0.949883779028089</v>
      </c>
      <c r="X265" s="270" t="n">
        <v>0.00191233525025452</v>
      </c>
      <c r="Y265" s="269" t="n">
        <v>10.7501719725944</v>
      </c>
      <c r="Z265" s="275" t="n">
        <v>1041</v>
      </c>
      <c r="AA265" s="275" t="n">
        <v>764</v>
      </c>
      <c r="AB265" s="270" t="n">
        <v>7206.59</v>
      </c>
      <c r="AC265" s="290" t="n"/>
      <c r="AD265" s="276" t="n">
        <v>0.00716093883278761</v>
      </c>
      <c r="AE265" s="142" t="n">
        <v>0.00525548248631098</v>
      </c>
      <c r="AF265" s="270" t="n">
        <v>6.92275696445725</v>
      </c>
      <c r="AG265" s="277" t="n">
        <v>0.0495734391767328</v>
      </c>
      <c r="AH265" s="118" t="n">
        <v>0.433679238171813</v>
      </c>
      <c r="AI265" s="118" t="n">
        <v>0.310032915399884</v>
      </c>
      <c r="AJ265" s="270" t="n">
        <v>0.446475249704207</v>
      </c>
      <c r="AK265" s="64" t="n">
        <v>0.278478661640481</v>
      </c>
      <c r="AL265" s="64" t="n">
        <v>0.0488058223041576</v>
      </c>
      <c r="AM265" s="119" t="n">
        <v>0.274179346779297</v>
      </c>
      <c r="AN265" s="276" t="n">
        <v>5.286</v>
      </c>
    </row>
    <row customFormat="1" customHeight="1" ht="12.45" r="266" s="294">
      <c r="A266" s="121" t="n">
        <v>43607</v>
      </c>
      <c r="B266" s="295" t="inlineStr">
        <is>
          <t>安卓</t>
        </is>
      </c>
      <c r="C266" s="296" t="n">
        <v>36324</v>
      </c>
      <c r="D266" s="296" t="n">
        <v>136941</v>
      </c>
      <c r="E266" s="297" t="n">
        <v>3.7699867855963</v>
      </c>
      <c r="F266" s="294" t="n">
        <v>0.296925352443753</v>
      </c>
      <c r="G266" s="306" t="n">
        <v>7.57</v>
      </c>
      <c r="H266" s="306" t="n">
        <v>17.08</v>
      </c>
      <c r="I266" s="123" t="n">
        <v>0.24</v>
      </c>
      <c r="J266" s="123" t="n">
        <v>0.103</v>
      </c>
      <c r="K266" s="123" t="n">
        <v>0.054</v>
      </c>
      <c r="L266" s="294" t="n">
        <v>9.351516346455769</v>
      </c>
      <c r="M266" s="299" t="n">
        <v>9.415507408299931</v>
      </c>
      <c r="N266" s="294" t="n">
        <v>15.0015590640962</v>
      </c>
      <c r="O266" s="300" t="n">
        <v>0.627635258980145</v>
      </c>
      <c r="P266" s="294" t="n">
        <v>2.25821126481984</v>
      </c>
      <c r="Q266" s="294" t="n">
        <v>2.610885525137</v>
      </c>
      <c r="R266" s="294" t="n">
        <v>0.845373419120641</v>
      </c>
      <c r="S266" s="294" t="n">
        <v>4.79874111391639</v>
      </c>
      <c r="T266" s="294" t="n">
        <v>1.38897485718275</v>
      </c>
      <c r="U266" s="294" t="n">
        <v>0.522030506463135</v>
      </c>
      <c r="V266" s="294" t="n">
        <v>1.69236407637087</v>
      </c>
      <c r="W266" s="294" t="n">
        <v>0.884978301085528</v>
      </c>
      <c r="X266" s="294" t="n">
        <v>0.00167225301407175</v>
      </c>
      <c r="Y266" s="297" t="n">
        <v>9.417179661314</v>
      </c>
      <c r="Z266" s="293" t="n">
        <v>733</v>
      </c>
      <c r="AA266" s="293" t="n">
        <v>565</v>
      </c>
      <c r="AB266" s="294" t="n">
        <v>3658.67</v>
      </c>
      <c r="AC266" s="302" t="n"/>
      <c r="AD266" s="303" t="n">
        <v>0.00535267012801133</v>
      </c>
      <c r="AE266" s="124" t="n">
        <v>0.00412586442336481</v>
      </c>
      <c r="AF266" s="294" t="n">
        <v>4.99136425648022</v>
      </c>
      <c r="AG266" s="304" t="n">
        <v>0.0267171263536852</v>
      </c>
      <c r="AH266" s="125" t="n">
        <v>0.443646074220901</v>
      </c>
      <c r="AI266" s="125" t="n">
        <v>0.316374848584958</v>
      </c>
      <c r="AJ266" s="294" t="n">
        <v>0.5136883767461899</v>
      </c>
      <c r="AK266" s="126" t="n">
        <v>0.311374971703142</v>
      </c>
      <c r="AL266" s="126" t="n">
        <v>0.053402560226667</v>
      </c>
      <c r="AM266" s="127" t="n">
        <v>0</v>
      </c>
      <c r="AN266" s="276" t="n">
        <v>5.062</v>
      </c>
    </row>
    <row customHeight="1" ht="13.2" r="267" s="3">
      <c r="A267" s="117" t="n">
        <v>43608</v>
      </c>
      <c r="B267" s="267" t="inlineStr">
        <is>
          <t>安卓</t>
        </is>
      </c>
      <c r="C267" s="268" t="n">
        <v>32881</v>
      </c>
      <c r="D267" s="268" t="n">
        <v>129006</v>
      </c>
      <c r="E267" s="269" t="n">
        <v>3.92342082053466</v>
      </c>
      <c r="F267" s="270" t="n">
        <v>0.317103037695921</v>
      </c>
      <c r="G267" s="271" t="n">
        <v>7.77</v>
      </c>
      <c r="H267" s="271" t="n">
        <v>17.63</v>
      </c>
      <c r="I267" s="141" t="n">
        <v>0.242</v>
      </c>
      <c r="J267" s="141" t="n">
        <v>0.109</v>
      </c>
      <c r="K267" s="141" t="n">
        <v>0.054</v>
      </c>
      <c r="L267" s="270" t="n">
        <v>9.349107793435961</v>
      </c>
      <c r="M267" s="272" t="n">
        <v>9.45879261429701</v>
      </c>
      <c r="N267" s="270" t="n">
        <v>15.0529958180674</v>
      </c>
      <c r="O267" s="273" t="n">
        <v>0.62836612250593</v>
      </c>
      <c r="P267" s="270" t="n">
        <v>2.3203187644178</v>
      </c>
      <c r="Q267" s="270" t="n">
        <v>2.65415787720662</v>
      </c>
      <c r="R267" s="270" t="n">
        <v>0.822138336849118</v>
      </c>
      <c r="S267" s="270" t="n">
        <v>4.71356845909971</v>
      </c>
      <c r="T267" s="270" t="n">
        <v>1.42127727816636</v>
      </c>
      <c r="U267" s="270" t="n">
        <v>0.5192011151820189</v>
      </c>
      <c r="V267" s="270" t="n">
        <v>1.70580906208751</v>
      </c>
      <c r="W267" s="270" t="n">
        <v>0.896524925058288</v>
      </c>
      <c r="X267" s="270" t="n">
        <v>0.0009301892935212321</v>
      </c>
      <c r="Y267" s="269" t="n">
        <v>9.45972280359053</v>
      </c>
      <c r="Z267" s="275" t="n">
        <v>850</v>
      </c>
      <c r="AA267" s="275" t="n">
        <v>598</v>
      </c>
      <c r="AB267" s="270" t="n">
        <v>4164.5</v>
      </c>
      <c r="AC267" s="290" t="n"/>
      <c r="AD267" s="276" t="n">
        <v>0.00658884082910872</v>
      </c>
      <c r="AE267" s="142" t="n">
        <v>0.00463544331271414</v>
      </c>
      <c r="AF267" s="270" t="n">
        <v>4.89941176470588</v>
      </c>
      <c r="AG267" s="277" t="n">
        <v>0.0322814442739097</v>
      </c>
      <c r="AH267" s="118" t="n">
        <v>0.438824853258721</v>
      </c>
      <c r="AI267" s="118" t="n">
        <v>0.30947963869712</v>
      </c>
      <c r="AJ267" s="270" t="n">
        <v>0.508751530936546</v>
      </c>
      <c r="AK267" s="64" t="n">
        <v>0.321736973474102</v>
      </c>
      <c r="AL267" s="64" t="n">
        <v>0.0540750042633676</v>
      </c>
      <c r="AM267" s="119" t="n">
        <v>0</v>
      </c>
      <c r="AN267" s="276" t="n">
        <v>4.313</v>
      </c>
    </row>
    <row customHeight="1" ht="13.2" r="268" s="3">
      <c r="A268" s="117" t="n">
        <v>43609</v>
      </c>
      <c r="B268" s="267" t="inlineStr">
        <is>
          <t>安卓</t>
        </is>
      </c>
      <c r="C268" s="268" t="n">
        <v>31602</v>
      </c>
      <c r="D268" s="268" t="n">
        <v>124916</v>
      </c>
      <c r="E268" s="269" t="n">
        <v>3.95278779824062</v>
      </c>
      <c r="F268" s="270" t="n">
        <v>0.295779682106375</v>
      </c>
      <c r="G268" s="271" t="n">
        <v>6.89</v>
      </c>
      <c r="H268" s="271" t="n">
        <v>15.93</v>
      </c>
      <c r="I268" s="141" t="n">
        <v>0.242</v>
      </c>
      <c r="J268" s="141" t="n">
        <v>0.108</v>
      </c>
      <c r="K268" s="141" t="n">
        <v>0.052</v>
      </c>
      <c r="L268" s="270" t="n">
        <v>9.37841429440584</v>
      </c>
      <c r="M268" s="272" t="n">
        <v>9.358368823849631</v>
      </c>
      <c r="N268" s="270" t="n">
        <v>14.9967287141922</v>
      </c>
      <c r="O268" s="273" t="n">
        <v>0.624027346376765</v>
      </c>
      <c r="P268" s="270" t="n">
        <v>2.31169580890559</v>
      </c>
      <c r="Q268" s="270" t="n">
        <v>2.62767636079075</v>
      </c>
      <c r="R268" s="270" t="n">
        <v>0.818950366255725</v>
      </c>
      <c r="S268" s="270" t="n">
        <v>4.7139869918282</v>
      </c>
      <c r="T268" s="270" t="n">
        <v>1.42354812638709</v>
      </c>
      <c r="U268" s="270" t="n">
        <v>0.516260214750292</v>
      </c>
      <c r="V268" s="270" t="n">
        <v>1.70070942002027</v>
      </c>
      <c r="W268" s="270" t="n">
        <v>0.883901425254326</v>
      </c>
      <c r="X268" s="270" t="n">
        <v>0.00198533414454513</v>
      </c>
      <c r="Y268" s="269" t="n">
        <v>9.36035415799417</v>
      </c>
      <c r="Z268" s="275" t="n">
        <v>776</v>
      </c>
      <c r="AA268" s="275" t="n">
        <v>585</v>
      </c>
      <c r="AB268" s="270" t="n">
        <v>4488.24</v>
      </c>
      <c r="AC268" s="290" t="n"/>
      <c r="AD268" s="276" t="n">
        <v>0.00621217458131865</v>
      </c>
      <c r="AE268" s="142" t="n">
        <v>0.00468314707483429</v>
      </c>
      <c r="AF268" s="270" t="n">
        <v>5.78381443298969</v>
      </c>
      <c r="AG268" s="277" t="n">
        <v>0.0359300650036825</v>
      </c>
      <c r="AH268" s="118" t="n">
        <v>0.438263401050566</v>
      </c>
      <c r="AI268" s="118" t="n">
        <v>0.298525409784191</v>
      </c>
      <c r="AJ268" s="270" t="n">
        <v>0.499975983861155</v>
      </c>
      <c r="AK268" s="64" t="n">
        <v>0.321263889333632</v>
      </c>
      <c r="AL268" s="64" t="n">
        <v>0.0560216465464792</v>
      </c>
      <c r="AM268" s="119" t="n">
        <v>0</v>
      </c>
      <c r="AN268" s="276" t="n">
        <v>3.521</v>
      </c>
    </row>
    <row customHeight="1" ht="13.2" r="269" s="3">
      <c r="A269" s="117" t="n">
        <v>43610</v>
      </c>
      <c r="B269" s="289" t="inlineStr">
        <is>
          <t>安卓</t>
        </is>
      </c>
      <c r="C269" s="268" t="n">
        <v>30999</v>
      </c>
      <c r="D269" s="268" t="n">
        <v>120695</v>
      </c>
      <c r="E269" s="269" t="n">
        <v>3.89351269395787</v>
      </c>
      <c r="F269" s="270" t="n">
        <v>0.378053533949211</v>
      </c>
      <c r="G269" s="271" t="n">
        <v>6.84</v>
      </c>
      <c r="H269" s="271" t="n">
        <v>15.88</v>
      </c>
      <c r="I269" s="141" t="n">
        <v>0.231</v>
      </c>
      <c r="J269" s="141" t="n">
        <v>0.1</v>
      </c>
      <c r="K269" s="141" t="n">
        <v>0.051</v>
      </c>
      <c r="L269" s="270" t="n">
        <v>11.7751688139525</v>
      </c>
      <c r="M269" s="272" t="n">
        <v>12.7605948879407</v>
      </c>
      <c r="N269" s="270" t="n">
        <v>20.0913158615652</v>
      </c>
      <c r="O269" s="273" t="n">
        <v>0.635129872819918</v>
      </c>
      <c r="P269" s="270" t="n">
        <v>2.77217997051802</v>
      </c>
      <c r="Q269" s="270" t="n">
        <v>3.32141878758626</v>
      </c>
      <c r="R269" s="270" t="n">
        <v>1.13998721577938</v>
      </c>
      <c r="S269" s="270" t="n">
        <v>7.36798987698449</v>
      </c>
      <c r="T269" s="270" t="n">
        <v>1.76255266968444</v>
      </c>
      <c r="U269" s="270" t="n">
        <v>0.460727656965443</v>
      </c>
      <c r="V269" s="270" t="n">
        <v>2.25593226972096</v>
      </c>
      <c r="W269" s="270" t="n">
        <v>1.01052741432615</v>
      </c>
      <c r="X269" s="270" t="n">
        <v>0.00301586644020051</v>
      </c>
      <c r="Y269" s="269" t="n">
        <v>12.7636107543809</v>
      </c>
      <c r="Z269" s="275" t="n">
        <v>748</v>
      </c>
      <c r="AA269" s="275" t="n">
        <v>824</v>
      </c>
      <c r="AB269" s="270" t="n">
        <v>4703.52</v>
      </c>
      <c r="AC269" s="290" t="n"/>
      <c r="AD269" s="276" t="n">
        <v>0.00619743982766478</v>
      </c>
      <c r="AE269" s="142" t="n">
        <v>0.00682712622726708</v>
      </c>
      <c r="AF269" s="270" t="n">
        <v>6.28812834224599</v>
      </c>
      <c r="AG269" s="277" t="n">
        <v>0.038970297029703</v>
      </c>
      <c r="AH269" s="118" t="n">
        <v>0.446433755927611</v>
      </c>
      <c r="AI269" s="118" t="n">
        <v>0.303138810929385</v>
      </c>
      <c r="AJ269" s="270" t="n">
        <v>0.422146733501802</v>
      </c>
      <c r="AK269" s="64" t="n">
        <v>0.290699697584821</v>
      </c>
      <c r="AL269" s="64" t="n">
        <v>0.0512283027465927</v>
      </c>
      <c r="AM269" s="119" t="n">
        <v>0.311761050582046</v>
      </c>
      <c r="AN269" s="276" t="n">
        <v>4.326</v>
      </c>
    </row>
    <row customHeight="1" ht="13.2" r="270" s="3">
      <c r="A270" s="117" t="n">
        <v>43611</v>
      </c>
      <c r="B270" s="289" t="inlineStr">
        <is>
          <t>安卓</t>
        </is>
      </c>
      <c r="C270" s="268" t="n">
        <v>35630</v>
      </c>
      <c r="D270" s="268" t="n">
        <v>124992</v>
      </c>
      <c r="E270" s="269" t="n">
        <v>3.50805500982318</v>
      </c>
      <c r="F270" s="270" t="n">
        <v>0.395429987519201</v>
      </c>
      <c r="G270" s="271" t="n">
        <v>6.5</v>
      </c>
      <c r="H270" s="271" t="n">
        <v>14.64</v>
      </c>
      <c r="I270" s="141" t="n">
        <v>0.231</v>
      </c>
      <c r="J270" s="141" t="n">
        <v>0.102</v>
      </c>
      <c r="K270" s="141" t="n">
        <v>0.052</v>
      </c>
      <c r="L270" s="270" t="n">
        <v>11.5103046594982</v>
      </c>
      <c r="M270" s="272" t="n">
        <v>12.3499423963134</v>
      </c>
      <c r="N270" s="270" t="n">
        <v>19.6780419402129</v>
      </c>
      <c r="O270" s="273" t="n">
        <v>0.62760016641065</v>
      </c>
      <c r="P270" s="270" t="n">
        <v>2.71253744661865</v>
      </c>
      <c r="Q270" s="270" t="n">
        <v>3.42525336222831</v>
      </c>
      <c r="R270" s="270" t="n">
        <v>1.14982471795526</v>
      </c>
      <c r="S270" s="270" t="n">
        <v>6.95011791701192</v>
      </c>
      <c r="T270" s="270" t="n">
        <v>1.7510485053222</v>
      </c>
      <c r="U270" s="270" t="n">
        <v>0.46891452610109</v>
      </c>
      <c r="V270" s="270" t="n">
        <v>2.19173943527312</v>
      </c>
      <c r="W270" s="270" t="n">
        <v>1.02860602970234</v>
      </c>
      <c r="X270" s="270" t="n">
        <v>0.00305619559651818</v>
      </c>
      <c r="Y270" s="269" t="n">
        <v>12.3529985919099</v>
      </c>
      <c r="Z270" s="275" t="n">
        <v>1048</v>
      </c>
      <c r="AA270" s="275" t="n">
        <v>732</v>
      </c>
      <c r="AB270" s="270" t="n">
        <v>7062.52</v>
      </c>
      <c r="AC270" s="290" t="n"/>
      <c r="AD270" s="276" t="n">
        <v>0.008384536610343061</v>
      </c>
      <c r="AE270" s="142" t="n">
        <v>0.00585637480798771</v>
      </c>
      <c r="AF270" s="270" t="n">
        <v>6.73904580152672</v>
      </c>
      <c r="AG270" s="277" t="n">
        <v>0.0565037762416795</v>
      </c>
      <c r="AH270" s="118" t="n">
        <v>0.436907100757788</v>
      </c>
      <c r="AI270" s="118" t="n">
        <v>0.298119562166713</v>
      </c>
      <c r="AJ270" s="270" t="n">
        <v>0.414618535586278</v>
      </c>
      <c r="AK270" s="64" t="n">
        <v>0.275937660010241</v>
      </c>
      <c r="AL270" s="64" t="n">
        <v>0.0487231182795699</v>
      </c>
      <c r="AM270" s="119" t="n">
        <v>0.31946044546851</v>
      </c>
      <c r="AN270" s="276" t="n">
        <v>4.798</v>
      </c>
    </row>
    <row customHeight="1" ht="13.2" r="271" s="3">
      <c r="A271" s="117" t="n">
        <v>43612</v>
      </c>
      <c r="B271" s="289" t="inlineStr">
        <is>
          <t>安卓</t>
        </is>
      </c>
      <c r="C271" s="268" t="n">
        <v>35904</v>
      </c>
      <c r="D271" s="268" t="n">
        <v>127484</v>
      </c>
      <c r="E271" s="269" t="n">
        <v>3.55069073083779</v>
      </c>
      <c r="F271" s="270" t="n">
        <v>0.373345155721502</v>
      </c>
      <c r="G271" s="271" t="n">
        <v>6.58</v>
      </c>
      <c r="H271" s="271" t="n">
        <v>14.81</v>
      </c>
      <c r="I271" s="141" t="n">
        <v>0.239</v>
      </c>
      <c r="J271" s="141" t="n">
        <v>0.109</v>
      </c>
      <c r="K271" s="141" t="n">
        <v>0.056</v>
      </c>
      <c r="L271" s="270" t="n">
        <v>11.2802390888268</v>
      </c>
      <c r="M271" s="272" t="n">
        <v>11.9508173574723</v>
      </c>
      <c r="N271" s="270" t="n">
        <v>18.906678910923</v>
      </c>
      <c r="O271" s="273" t="n">
        <v>0.632095008001004</v>
      </c>
      <c r="P271" s="270" t="n">
        <v>2.64060211958005</v>
      </c>
      <c r="Q271" s="270" t="n">
        <v>3.33441711548485</v>
      </c>
      <c r="R271" s="270" t="n">
        <v>1.11933186071331</v>
      </c>
      <c r="S271" s="270" t="n">
        <v>6.76580377751855</v>
      </c>
      <c r="T271" s="270" t="n">
        <v>1.70461145168896</v>
      </c>
      <c r="U271" s="270" t="n">
        <v>0.456479114442431</v>
      </c>
      <c r="V271" s="270" t="n">
        <v>2.13361544761857</v>
      </c>
      <c r="W271" s="270" t="n">
        <v>1.00132783996426</v>
      </c>
      <c r="X271" s="270" t="n">
        <v>0.0022434187819648</v>
      </c>
      <c r="Y271" s="269" t="n">
        <v>11.9530607762543</v>
      </c>
      <c r="Z271" s="275" t="n">
        <v>913</v>
      </c>
      <c r="AA271" s="275" t="n">
        <v>663</v>
      </c>
      <c r="AB271" s="270" t="n">
        <v>6282.87</v>
      </c>
      <c r="AC271" s="290" t="n"/>
      <c r="AD271" s="276" t="n">
        <v>0.00716168303473377</v>
      </c>
      <c r="AE271" s="142" t="n">
        <v>0.00520065263091839</v>
      </c>
      <c r="AF271" s="270" t="n">
        <v>6.88156626506024</v>
      </c>
      <c r="AG271" s="277" t="n">
        <v>0.0492835963728782</v>
      </c>
      <c r="AH271" s="118" t="n">
        <v>0.509469696969697</v>
      </c>
      <c r="AI271" s="118" t="n">
        <v>0.401598707664884</v>
      </c>
      <c r="AJ271" s="270" t="n">
        <v>0.420405697969941</v>
      </c>
      <c r="AK271" s="64" t="n">
        <v>0.277650528693797</v>
      </c>
      <c r="AL271" s="64" t="n">
        <v>0.0485551127984688</v>
      </c>
      <c r="AM271" s="119" t="n">
        <v>0.31629851589219</v>
      </c>
      <c r="AN271" s="276" t="n">
        <v>4.245</v>
      </c>
    </row>
    <row customHeight="1" ht="13.2" r="272" s="3">
      <c r="A272" s="117" t="n">
        <v>43613</v>
      </c>
      <c r="B272" s="289" t="inlineStr">
        <is>
          <t>安卓</t>
        </is>
      </c>
      <c r="C272" s="268" t="n">
        <v>59563</v>
      </c>
      <c r="D272" s="268" t="n">
        <v>151010</v>
      </c>
      <c r="E272" s="269" t="n">
        <v>2.53529875929688</v>
      </c>
      <c r="F272" s="270" t="n">
        <v>0.298972166843255</v>
      </c>
      <c r="G272" s="271" t="n">
        <v>6.75</v>
      </c>
      <c r="H272" s="271" t="n">
        <v>15.81</v>
      </c>
      <c r="I272" s="141" t="n">
        <v>0.229</v>
      </c>
      <c r="J272" s="141" t="n">
        <v>0.09</v>
      </c>
      <c r="K272" s="141" t="n">
        <v>0.041</v>
      </c>
      <c r="L272" s="270" t="n">
        <v>9.384590424475199</v>
      </c>
      <c r="M272" s="272" t="n">
        <v>9.59966227402159</v>
      </c>
      <c r="N272" s="270" t="n">
        <v>16.8950386350128</v>
      </c>
      <c r="O272" s="273" t="n">
        <v>0.568194159327197</v>
      </c>
      <c r="P272" s="270" t="n">
        <v>2.50315257042295</v>
      </c>
      <c r="Q272" s="270" t="n">
        <v>2.98244816614804</v>
      </c>
      <c r="R272" s="270" t="n">
        <v>0.952402596645805</v>
      </c>
      <c r="S272" s="270" t="n">
        <v>5.58319639173455</v>
      </c>
      <c r="T272" s="270" t="n">
        <v>1.547043809657</v>
      </c>
      <c r="U272" s="270" t="n">
        <v>0.484924769530203</v>
      </c>
      <c r="V272" s="270" t="n">
        <v>1.90183326923301</v>
      </c>
      <c r="W272" s="270" t="n">
        <v>0.940037061641201</v>
      </c>
      <c r="X272" s="270" t="n">
        <v>0.00301966757168399</v>
      </c>
      <c r="Y272" s="269" t="n">
        <v>9.60268194159327</v>
      </c>
      <c r="Z272" s="275" t="n">
        <v>906</v>
      </c>
      <c r="AA272" s="275" t="n">
        <v>656</v>
      </c>
      <c r="AB272" s="270" t="n">
        <v>5482.94</v>
      </c>
      <c r="AC272" s="290" t="n"/>
      <c r="AD272" s="276" t="n">
        <v>0.00599960267531952</v>
      </c>
      <c r="AE272" s="142" t="n">
        <v>0.00434408317329978</v>
      </c>
      <c r="AF272" s="270" t="n">
        <v>6.05181015452539</v>
      </c>
      <c r="AG272" s="277" t="n">
        <v>0.0363084563936163</v>
      </c>
      <c r="AH272" s="118" t="n">
        <v>0.34041267229656</v>
      </c>
      <c r="AI272" s="118" t="n">
        <v>0.196917549485419</v>
      </c>
      <c r="AJ272" s="270" t="n">
        <v>0.393053440169525</v>
      </c>
      <c r="AK272" s="64" t="n">
        <v>0.2436063836832</v>
      </c>
      <c r="AL272" s="64" t="n">
        <v>0.0453082577312761</v>
      </c>
      <c r="AM272" s="119" t="n">
        <v>0.229527845838024</v>
      </c>
      <c r="AN272" s="276" t="n">
        <v>4.029</v>
      </c>
    </row>
    <row customFormat="1" customHeight="1" ht="12.45" r="273" s="294">
      <c r="A273" s="121" t="n">
        <v>43614</v>
      </c>
      <c r="B273" s="295" t="inlineStr">
        <is>
          <t>安卓</t>
        </is>
      </c>
      <c r="C273" s="296" t="n">
        <v>80780</v>
      </c>
      <c r="D273" s="296" t="n">
        <v>174993</v>
      </c>
      <c r="E273" s="297" t="n">
        <v>2.16629116117851</v>
      </c>
      <c r="F273" s="294" t="n">
        <v>0.216500754435892</v>
      </c>
      <c r="G273" s="306" t="n">
        <v>7</v>
      </c>
      <c r="H273" s="306" t="n">
        <v>16.95</v>
      </c>
      <c r="I273" s="123" t="n">
        <v>0.176</v>
      </c>
      <c r="J273" s="123" t="n">
        <v>0.073</v>
      </c>
      <c r="K273" s="123" t="n">
        <v>0.033</v>
      </c>
      <c r="L273" s="294" t="n">
        <v>7.96723868954758</v>
      </c>
      <c r="M273" s="299" t="n">
        <v>7.40613053093552</v>
      </c>
      <c r="N273" s="294" t="n">
        <v>14.0595241969603</v>
      </c>
      <c r="O273" s="300" t="n">
        <v>0.52676964221426</v>
      </c>
      <c r="P273" s="294" t="n">
        <v>2.28112083835064</v>
      </c>
      <c r="Q273" s="294" t="n">
        <v>2.39522244280275</v>
      </c>
      <c r="R273" s="294" t="n">
        <v>0.746303468176739</v>
      </c>
      <c r="S273" s="294" t="n">
        <v>4.39914949935453</v>
      </c>
      <c r="T273" s="294" t="n">
        <v>1.30800273375207</v>
      </c>
      <c r="U273" s="294" t="n">
        <v>0.518458250615637</v>
      </c>
      <c r="V273" s="294" t="n">
        <v>1.57384927479632</v>
      </c>
      <c r="W273" s="294" t="n">
        <v>0.8374176891116391</v>
      </c>
      <c r="X273" s="294" t="n">
        <v>0.000920036801472059</v>
      </c>
      <c r="Y273" s="297" t="n">
        <v>7.407050567737</v>
      </c>
      <c r="Z273" s="293" t="n">
        <v>675</v>
      </c>
      <c r="AA273" s="293" t="n">
        <v>482</v>
      </c>
      <c r="AB273" s="294" t="n">
        <v>3496.25</v>
      </c>
      <c r="AC273" s="302" t="n"/>
      <c r="AD273" s="303" t="n">
        <v>0.00385729714902882</v>
      </c>
      <c r="AE273" s="124" t="n">
        <v>0.00275439589012132</v>
      </c>
      <c r="AF273" s="294" t="n">
        <v>5.17962962962963</v>
      </c>
      <c r="AG273" s="304" t="n">
        <v>0.0199793706033956</v>
      </c>
      <c r="AH273" s="125" t="n">
        <v>0.321985640009903</v>
      </c>
      <c r="AI273" s="125" t="n">
        <v>0.189811834612528</v>
      </c>
      <c r="AJ273" s="294" t="n">
        <v>0.394535781431257</v>
      </c>
      <c r="AK273" s="126" t="n">
        <v>0.225471876017898</v>
      </c>
      <c r="AL273" s="126" t="n">
        <v>0.0395101518346448</v>
      </c>
      <c r="AM273" s="127" t="n">
        <v>0</v>
      </c>
      <c r="AN273" s="276" t="n">
        <v>4.633</v>
      </c>
    </row>
    <row customHeight="1" ht="13.2" r="274" s="3">
      <c r="A274" s="117" t="n">
        <v>43615</v>
      </c>
      <c r="B274" s="267" t="inlineStr">
        <is>
          <t>安卓</t>
        </is>
      </c>
      <c r="C274" s="268" t="n">
        <v>35664</v>
      </c>
      <c r="D274" s="268" t="n">
        <v>130296</v>
      </c>
      <c r="E274" s="269" t="n">
        <v>3.65343203230148</v>
      </c>
      <c r="F274" s="270" t="n">
        <v>0.286957136765518</v>
      </c>
      <c r="G274" s="271" t="n">
        <v>7.42</v>
      </c>
      <c r="H274" s="271" t="n">
        <v>16.92</v>
      </c>
      <c r="I274" s="141" t="n">
        <v>0.236</v>
      </c>
      <c r="J274" s="141" t="n">
        <v>0.105</v>
      </c>
      <c r="K274" s="141" t="n">
        <v>0.05</v>
      </c>
      <c r="L274" s="270" t="n">
        <v>9.39490851599435</v>
      </c>
      <c r="M274" s="272" t="n">
        <v>9.24220236998833</v>
      </c>
      <c r="N274" s="270" t="n">
        <v>15.0120548013513</v>
      </c>
      <c r="O274" s="273" t="n">
        <v>0.615652053785227</v>
      </c>
      <c r="P274" s="270" t="n">
        <v>2.28430382587232</v>
      </c>
      <c r="Q274" s="270" t="n">
        <v>2.61338618995973</v>
      </c>
      <c r="R274" s="270" t="n">
        <v>0.813917249460837</v>
      </c>
      <c r="S274" s="270" t="n">
        <v>4.80041637059476</v>
      </c>
      <c r="T274" s="270" t="n">
        <v>1.39062792176222</v>
      </c>
      <c r="U274" s="270" t="n">
        <v>0.518356458107384</v>
      </c>
      <c r="V274" s="270" t="n">
        <v>1.70015084084421</v>
      </c>
      <c r="W274" s="270" t="n">
        <v>0.890895944749866</v>
      </c>
      <c r="X274" s="270" t="n">
        <v>0.00159636519923866</v>
      </c>
      <c r="Y274" s="269" t="n">
        <v>9.243798735187569</v>
      </c>
      <c r="Z274" s="275" t="n">
        <v>688</v>
      </c>
      <c r="AA274" s="275" t="n">
        <v>522</v>
      </c>
      <c r="AB274" s="270" t="n">
        <v>3421.12</v>
      </c>
      <c r="AC274" s="290" t="n"/>
      <c r="AD274" s="276" t="n">
        <v>0.0052802848897894</v>
      </c>
      <c r="AE274" s="142" t="n">
        <v>0.00400626266347394</v>
      </c>
      <c r="AF274" s="270" t="n">
        <v>4.97255813953488</v>
      </c>
      <c r="AG274" s="277" t="n">
        <v>0.0262565236077853</v>
      </c>
      <c r="AH274" s="118" t="n">
        <v>0.461726110363392</v>
      </c>
      <c r="AI274" s="118" t="n">
        <v>0.334314715118887</v>
      </c>
      <c r="AJ274" s="270" t="n">
        <v>0.504819794928471</v>
      </c>
      <c r="AK274" s="64" t="n">
        <v>0.299241726530362</v>
      </c>
      <c r="AL274" s="64" t="n">
        <v>0.0508611162276662</v>
      </c>
      <c r="AM274" s="119" t="n">
        <v>0</v>
      </c>
      <c r="AN274" s="276" t="n">
        <v>4.701</v>
      </c>
    </row>
    <row customHeight="1" ht="13.2" r="275" s="3">
      <c r="A275" s="117" t="n">
        <v>43616</v>
      </c>
      <c r="B275" s="267" t="inlineStr">
        <is>
          <t>安卓</t>
        </is>
      </c>
      <c r="C275" s="268" t="n">
        <v>34618</v>
      </c>
      <c r="D275" s="268" t="n">
        <v>124511</v>
      </c>
      <c r="E275" s="269" t="n">
        <v>3.59671269281876</v>
      </c>
      <c r="F275" s="270" t="n">
        <v>0.292616449952213</v>
      </c>
      <c r="G275" s="271" t="n">
        <v>6.99</v>
      </c>
      <c r="H275" s="271" t="n">
        <v>16.18</v>
      </c>
      <c r="I275" s="141" t="n">
        <v>0.242</v>
      </c>
      <c r="J275" s="141" t="n">
        <v>0.11</v>
      </c>
      <c r="K275" s="141" t="n">
        <v>0.051</v>
      </c>
      <c r="L275" s="270" t="n">
        <v>9.32556159696734</v>
      </c>
      <c r="M275" s="272" t="n">
        <v>9.186336950148981</v>
      </c>
      <c r="N275" s="270" t="n">
        <v>14.9362096658353</v>
      </c>
      <c r="O275" s="273" t="n">
        <v>0.615038028768543</v>
      </c>
      <c r="P275" s="270" t="n">
        <v>2.27576750806357</v>
      </c>
      <c r="Q275" s="270" t="n">
        <v>2.62000026116821</v>
      </c>
      <c r="R275" s="270" t="n">
        <v>0.815354078794448</v>
      </c>
      <c r="S275" s="270" t="n">
        <v>4.73683385784615</v>
      </c>
      <c r="T275" s="270" t="n">
        <v>1.3862155421199</v>
      </c>
      <c r="U275" s="270" t="n">
        <v>0.52073022630225</v>
      </c>
      <c r="V275" s="270" t="n">
        <v>1.70207236970971</v>
      </c>
      <c r="W275" s="270" t="n">
        <v>0.87923582183105</v>
      </c>
      <c r="X275" s="270" t="n">
        <v>0.00119668141770607</v>
      </c>
      <c r="Y275" s="269" t="n">
        <v>9.187533631566691</v>
      </c>
      <c r="Z275" s="275" t="n">
        <v>794</v>
      </c>
      <c r="AA275" s="275" t="n">
        <v>565</v>
      </c>
      <c r="AB275" s="270" t="n">
        <v>4612.06</v>
      </c>
      <c r="AC275" s="290" t="n"/>
      <c r="AD275" s="276" t="n">
        <v>0.0063769466151585</v>
      </c>
      <c r="AE275" s="142" t="n">
        <v>0.00453775168459012</v>
      </c>
      <c r="AF275" s="270" t="n">
        <v>5.80863979848867</v>
      </c>
      <c r="AG275" s="277" t="n">
        <v>0.0370413859016473</v>
      </c>
      <c r="AH275" s="118" t="n">
        <v>0.439424576809752</v>
      </c>
      <c r="AI275" s="118" t="n">
        <v>0.30773008261598</v>
      </c>
      <c r="AJ275" s="270" t="n">
        <v>0.504573893069689</v>
      </c>
      <c r="AK275" s="64" t="n">
        <v>0.308526957457574</v>
      </c>
      <c r="AL275" s="64" t="n">
        <v>0.0516982435286842</v>
      </c>
      <c r="AM275" s="119" t="n">
        <v>0</v>
      </c>
      <c r="AN275" s="276" t="n">
        <v>4.99</v>
      </c>
    </row>
    <row customHeight="1" ht="13.2" r="276" s="3">
      <c r="A276" s="117" t="n">
        <v>43617</v>
      </c>
      <c r="B276" s="289" t="inlineStr">
        <is>
          <t>安卓</t>
        </is>
      </c>
      <c r="C276" s="268" t="n">
        <v>34765</v>
      </c>
      <c r="D276" s="268" t="n">
        <v>122541</v>
      </c>
      <c r="E276" s="269" t="n">
        <v>3.52483819933841</v>
      </c>
      <c r="F276" s="270" t="n">
        <v>0.42991222738512</v>
      </c>
      <c r="G276" s="271" t="n">
        <v>6.28</v>
      </c>
      <c r="H276" s="271" t="n">
        <v>14.91</v>
      </c>
      <c r="I276" s="141" t="n">
        <v>0.234</v>
      </c>
      <c r="J276" s="141" t="n">
        <v>0.106</v>
      </c>
      <c r="K276" s="141" t="n">
        <v>0.053</v>
      </c>
      <c r="L276" s="270" t="n">
        <v>11.6436866028513</v>
      </c>
      <c r="M276" s="272" t="n">
        <v>12.2208158901919</v>
      </c>
      <c r="N276" s="270" t="n">
        <v>19.6606406721806</v>
      </c>
      <c r="O276" s="273" t="n">
        <v>0.621587876710652</v>
      </c>
      <c r="P276" s="270" t="n">
        <v>2.73258500722069</v>
      </c>
      <c r="Q276" s="270" t="n">
        <v>3.33514507023763</v>
      </c>
      <c r="R276" s="270" t="n">
        <v>1.21634501772351</v>
      </c>
      <c r="S276" s="270" t="n">
        <v>6.97451752658527</v>
      </c>
      <c r="T276" s="270" t="n">
        <v>1.7338716029933</v>
      </c>
      <c r="U276" s="270" t="n">
        <v>0.464040961008271</v>
      </c>
      <c r="V276" s="270" t="n">
        <v>2.22380202179336</v>
      </c>
      <c r="W276" s="270" t="n">
        <v>0.980320336090324</v>
      </c>
      <c r="X276" s="270" t="n">
        <v>0.00228494952709705</v>
      </c>
      <c r="Y276" s="269" t="n">
        <v>12.223100839719</v>
      </c>
      <c r="Z276" s="275" t="n">
        <v>1274</v>
      </c>
      <c r="AA276" s="275" t="n">
        <v>768</v>
      </c>
      <c r="AB276" s="270" t="n">
        <v>9285.26</v>
      </c>
      <c r="AC276" s="290" t="n"/>
      <c r="AD276" s="276" t="n">
        <v>0.0103965203482916</v>
      </c>
      <c r="AE276" s="142" t="n">
        <v>0.0062672901314662</v>
      </c>
      <c r="AF276" s="270" t="n">
        <v>7.28827315541601</v>
      </c>
      <c r="AG276" s="277" t="n">
        <v>0.07577268016418991</v>
      </c>
      <c r="AH276" s="118" t="n">
        <v>0.445850711922911</v>
      </c>
      <c r="AI276" s="118" t="n">
        <v>0.307291816482094</v>
      </c>
      <c r="AJ276" s="270" t="n">
        <v>0.407153524126619</v>
      </c>
      <c r="AK276" s="64" t="n">
        <v>0.274601969952914</v>
      </c>
      <c r="AL276" s="64" t="n">
        <v>0.0465313650125264</v>
      </c>
      <c r="AM276" s="119" t="n">
        <v>0.304804106380722</v>
      </c>
      <c r="AN276" s="276" t="n">
        <v>5.627</v>
      </c>
    </row>
    <row customHeight="1" ht="13.2" r="277" s="3">
      <c r="A277" s="117" t="n">
        <v>43618</v>
      </c>
      <c r="B277" s="289" t="inlineStr">
        <is>
          <t>安卓</t>
        </is>
      </c>
      <c r="C277" s="268" t="n">
        <v>49682</v>
      </c>
      <c r="D277" s="268" t="n">
        <v>136741</v>
      </c>
      <c r="E277" s="269" t="n">
        <v>2.75232478563665</v>
      </c>
      <c r="F277" s="270" t="n">
        <v>0.358894030729627</v>
      </c>
      <c r="G277" s="271" t="n">
        <v>6.13</v>
      </c>
      <c r="H277" s="271" t="n">
        <v>15.17</v>
      </c>
      <c r="I277" s="141" t="n">
        <v>0.232</v>
      </c>
      <c r="J277" s="141" t="n">
        <v>0.107</v>
      </c>
      <c r="K277" s="141" t="n">
        <v>0.059</v>
      </c>
      <c r="L277" s="270" t="n">
        <v>10.9120965913662</v>
      </c>
      <c r="M277" s="272" t="n">
        <v>11.4448263505459</v>
      </c>
      <c r="N277" s="270" t="n">
        <v>19.0446734977</v>
      </c>
      <c r="O277" s="273" t="n">
        <v>0.600946314565492</v>
      </c>
      <c r="P277" s="270" t="n">
        <v>2.65764110302529</v>
      </c>
      <c r="Q277" s="270" t="n">
        <v>3.37412076812617</v>
      </c>
      <c r="R277" s="270" t="n">
        <v>1.16521040718475</v>
      </c>
      <c r="S277" s="270" t="n">
        <v>6.58506340204931</v>
      </c>
      <c r="T277" s="270" t="n">
        <v>1.68021515321148</v>
      </c>
      <c r="U277" s="270" t="n">
        <v>0.493574609973958</v>
      </c>
      <c r="V277" s="270" t="n">
        <v>2.10384063085648</v>
      </c>
      <c r="W277" s="270" t="n">
        <v>0.985007423272568</v>
      </c>
      <c r="X277" s="270" t="n">
        <v>0.00272047154840172</v>
      </c>
      <c r="Y277" s="269" t="n">
        <v>11.4475468220943</v>
      </c>
      <c r="Z277" s="275" t="n">
        <v>1098</v>
      </c>
      <c r="AA277" s="275" t="n">
        <v>743</v>
      </c>
      <c r="AB277" s="270" t="n">
        <v>7473.02</v>
      </c>
      <c r="AC277" s="290" t="n"/>
      <c r="AD277" s="276" t="n">
        <v>0.008029778925121221</v>
      </c>
      <c r="AE277" s="142" t="n">
        <v>0.00543363000124323</v>
      </c>
      <c r="AF277" s="270" t="n">
        <v>6.806029143898</v>
      </c>
      <c r="AG277" s="277" t="n">
        <v>0.0546509093834329</v>
      </c>
      <c r="AH277" s="118" t="n">
        <v>0.435107282315527</v>
      </c>
      <c r="AI277" s="118" t="n">
        <v>0.283704359727869</v>
      </c>
      <c r="AJ277" s="270" t="n">
        <v>0.387842709940691</v>
      </c>
      <c r="AK277" s="64" t="n">
        <v>0.240264441535458</v>
      </c>
      <c r="AL277" s="64" t="n">
        <v>0.0407997601304656</v>
      </c>
      <c r="AM277" s="119" t="n">
        <v>0.301189840647648</v>
      </c>
      <c r="AN277" s="276" t="n">
        <v>5.57</v>
      </c>
    </row>
    <row customHeight="1" ht="13.2" r="278" s="3">
      <c r="A278" s="117" t="n">
        <v>43619</v>
      </c>
      <c r="B278" s="289" t="inlineStr">
        <is>
          <t>安卓</t>
        </is>
      </c>
      <c r="C278" s="268" t="n">
        <v>32296</v>
      </c>
      <c r="D278" s="268" t="n">
        <v>125097</v>
      </c>
      <c r="E278" s="269" t="n">
        <v>3.8734518206589</v>
      </c>
      <c r="F278" s="270" t="n">
        <v>0.35619868488453</v>
      </c>
      <c r="G278" s="271" t="n">
        <v>5.96</v>
      </c>
      <c r="H278" s="271" t="n">
        <v>14.95</v>
      </c>
      <c r="I278" s="141" t="n">
        <v>0.259</v>
      </c>
      <c r="J278" s="141" t="n">
        <v>0.118</v>
      </c>
      <c r="K278" s="141" t="n">
        <v>0.065</v>
      </c>
      <c r="L278" s="270" t="n">
        <v>11.390920645579</v>
      </c>
      <c r="M278" s="272" t="n">
        <v>11.9679049057931</v>
      </c>
      <c r="N278" s="270" t="n">
        <v>18.721383018632</v>
      </c>
      <c r="O278" s="273" t="n">
        <v>0.639263931189397</v>
      </c>
      <c r="P278" s="270" t="n">
        <v>2.58323121170439</v>
      </c>
      <c r="Q278" s="270" t="n">
        <v>3.44951856946355</v>
      </c>
      <c r="R278" s="270" t="n">
        <v>1.13256221082906</v>
      </c>
      <c r="S278" s="270" t="n">
        <v>6.33922721020383</v>
      </c>
      <c r="T278" s="270" t="n">
        <v>1.68586970113793</v>
      </c>
      <c r="U278" s="270" t="n">
        <v>0.456808803301238</v>
      </c>
      <c r="V278" s="270" t="n">
        <v>2.08643241215456</v>
      </c>
      <c r="W278" s="270" t="n">
        <v>0.98772039514818</v>
      </c>
      <c r="X278" s="270" t="n">
        <v>0.00211036235880956</v>
      </c>
      <c r="Y278" s="269" t="n">
        <v>11.9700152681519</v>
      </c>
      <c r="Z278" s="275" t="n">
        <v>954</v>
      </c>
      <c r="AA278" s="275" t="n">
        <v>689</v>
      </c>
      <c r="AB278" s="270" t="n">
        <v>6478.46</v>
      </c>
      <c r="AC278" s="290" t="n"/>
      <c r="AD278" s="276" t="n">
        <v>0.00762608216024365</v>
      </c>
      <c r="AE278" s="142" t="n">
        <v>0.00550772600462041</v>
      </c>
      <c r="AF278" s="270" t="n">
        <v>6.79083857442348</v>
      </c>
      <c r="AG278" s="277" t="n">
        <v>0.0517874929055053</v>
      </c>
      <c r="AH278" s="118" t="n">
        <v>0.456527124102056</v>
      </c>
      <c r="AI278" s="118" t="n">
        <v>0.337379242011395</v>
      </c>
      <c r="AJ278" s="270" t="n">
        <v>0.423727187702343</v>
      </c>
      <c r="AK278" s="64" t="n">
        <v>0.272260725676875</v>
      </c>
      <c r="AL278" s="64" t="n">
        <v>0.0469395748898854</v>
      </c>
      <c r="AM278" s="119" t="n">
        <v>0.325755213953972</v>
      </c>
      <c r="AN278" s="276" t="n">
        <v>5.019</v>
      </c>
    </row>
    <row customHeight="1" ht="13.2" r="279" s="3">
      <c r="A279" s="117" t="n">
        <v>43620</v>
      </c>
      <c r="B279" s="289" t="inlineStr">
        <is>
          <t>安卓</t>
        </is>
      </c>
      <c r="C279" s="268" t="n">
        <v>36388</v>
      </c>
      <c r="D279" s="268" t="n">
        <v>126803</v>
      </c>
      <c r="E279" s="269" t="n">
        <v>3.48474771902825</v>
      </c>
      <c r="F279" s="270" t="n">
        <v>0.364444883307177</v>
      </c>
      <c r="G279" s="271" t="n">
        <v>6.53</v>
      </c>
      <c r="H279" s="271" t="n">
        <v>15.95</v>
      </c>
      <c r="I279" s="141" t="n">
        <v>0.25</v>
      </c>
      <c r="J279" s="141" t="n">
        <v>0.119</v>
      </c>
      <c r="K279" s="141" t="n">
        <v>0.062</v>
      </c>
      <c r="L279" s="270" t="n">
        <v>10.7850839491179</v>
      </c>
      <c r="M279" s="272" t="n">
        <v>11.0249599772876</v>
      </c>
      <c r="N279" s="270" t="n">
        <v>17.5429539465429</v>
      </c>
      <c r="O279" s="273" t="n">
        <v>0.628455162732743</v>
      </c>
      <c r="P279" s="270" t="n">
        <v>2.46497678504204</v>
      </c>
      <c r="Q279" s="270" t="n">
        <v>3.17029740243443</v>
      </c>
      <c r="R279" s="270" t="n">
        <v>1.04247709875769</v>
      </c>
      <c r="S279" s="270" t="n">
        <v>5.82049190613628</v>
      </c>
      <c r="T279" s="270" t="n">
        <v>1.59111557284477</v>
      </c>
      <c r="U279" s="270" t="n">
        <v>0.49646128748902</v>
      </c>
      <c r="V279" s="270" t="n">
        <v>1.99494290375204</v>
      </c>
      <c r="W279" s="270" t="n">
        <v>0.962190990086586</v>
      </c>
      <c r="X279" s="270" t="n">
        <v>0.00166399848584024</v>
      </c>
      <c r="Y279" s="269" t="n">
        <v>11.0266239757734</v>
      </c>
      <c r="Z279" s="275" t="n">
        <v>971</v>
      </c>
      <c r="AA279" s="275" t="n">
        <v>668</v>
      </c>
      <c r="AB279" s="270" t="n">
        <v>6884.29</v>
      </c>
      <c r="AC279" s="290" t="n"/>
      <c r="AD279" s="276" t="n">
        <v>0.00765754753436433</v>
      </c>
      <c r="AE279" s="142" t="n">
        <v>0.00526801416370275</v>
      </c>
      <c r="AF279" s="270" t="n">
        <v>7.08989701338826</v>
      </c>
      <c r="AG279" s="277" t="n">
        <v>0.0542912233937683</v>
      </c>
      <c r="AH279" s="118" t="n">
        <v>0.448746839617456</v>
      </c>
      <c r="AI279" s="118" t="n">
        <v>0.313042761349896</v>
      </c>
      <c r="AJ279" s="270" t="n">
        <v>0.467417963297398</v>
      </c>
      <c r="AK279" s="64" t="n">
        <v>0.277800998399092</v>
      </c>
      <c r="AL279" s="64" t="n">
        <v>0.0499278408239553</v>
      </c>
      <c r="AM279" s="119" t="n">
        <v>0.273266405368958</v>
      </c>
      <c r="AN279" s="276" t="n">
        <v>5.092</v>
      </c>
    </row>
    <row customFormat="1" customHeight="1" ht="16.5" r="280" s="294">
      <c r="A280" s="121" t="n">
        <v>43621</v>
      </c>
      <c r="B280" s="295" t="inlineStr">
        <is>
          <t>安卓</t>
        </is>
      </c>
      <c r="C280" s="296" t="n">
        <v>18848</v>
      </c>
      <c r="D280" s="296" t="n">
        <v>105678</v>
      </c>
      <c r="E280" s="297" t="n">
        <v>5.60685483870968</v>
      </c>
      <c r="F280" s="294" t="n">
        <v>0.304503625049679</v>
      </c>
      <c r="G280" s="306" t="n">
        <v>6.58</v>
      </c>
      <c r="H280" s="306" t="n">
        <v>16.22</v>
      </c>
      <c r="I280" s="123" t="n">
        <v>0.259</v>
      </c>
      <c r="J280" s="123" t="n">
        <v>0.122</v>
      </c>
      <c r="K280" s="123" t="n">
        <v>0.068</v>
      </c>
      <c r="L280" s="294" t="n">
        <v>10.2587955865932</v>
      </c>
      <c r="M280" s="299" t="n">
        <v>10.208160638922</v>
      </c>
      <c r="N280" s="294" t="n">
        <v>15.4433246485527</v>
      </c>
      <c r="O280" s="300" t="n">
        <v>0.66100796759969</v>
      </c>
      <c r="P280" s="294" t="n">
        <v>2.22733129097833</v>
      </c>
      <c r="Q280" s="294" t="n">
        <v>2.73347267157214</v>
      </c>
      <c r="R280" s="294" t="n">
        <v>0.895295902883156</v>
      </c>
      <c r="S280" s="294" t="n">
        <v>4.9507401150972</v>
      </c>
      <c r="T280" s="294" t="n">
        <v>1.44286655023334</v>
      </c>
      <c r="U280" s="294" t="n">
        <v>0.517235949265611</v>
      </c>
      <c r="V280" s="294" t="n">
        <v>1.76894666017694</v>
      </c>
      <c r="W280" s="294" t="n">
        <v>0.907435508345979</v>
      </c>
      <c r="X280" s="294" t="n">
        <v>0.00124907738602169</v>
      </c>
      <c r="Y280" s="297" t="n">
        <v>10.209409716308</v>
      </c>
      <c r="Z280" s="293" t="n">
        <v>671</v>
      </c>
      <c r="AA280" s="293" t="n">
        <v>488</v>
      </c>
      <c r="AB280" s="294" t="n">
        <v>3728.29</v>
      </c>
      <c r="AC280" s="302" t="n"/>
      <c r="AD280" s="303" t="n">
        <v>0.00634947671227692</v>
      </c>
      <c r="AE280" s="124" t="n">
        <v>0.0046178012452923</v>
      </c>
      <c r="AF280" s="294" t="n">
        <v>5.55631892697466</v>
      </c>
      <c r="AG280" s="304" t="n">
        <v>0.0352797176328091</v>
      </c>
      <c r="AH280" s="125" t="n">
        <v>0.51188455008489</v>
      </c>
      <c r="AI280" s="125" t="n">
        <v>0.438773344651952</v>
      </c>
      <c r="AJ280" s="294" t="n">
        <v>0.583612483203694</v>
      </c>
      <c r="AK280" s="126" t="n">
        <v>0.341622665076932</v>
      </c>
      <c r="AL280" s="126" t="n">
        <v>0.0591986979314521</v>
      </c>
      <c r="AM280" s="127" t="n">
        <v>0</v>
      </c>
      <c r="AN280" s="276" t="n">
        <v>5.308</v>
      </c>
    </row>
    <row customHeight="1" ht="16.5" r="281" s="3">
      <c r="A281" s="117" t="n">
        <v>43622</v>
      </c>
      <c r="B281" s="267" t="inlineStr">
        <is>
          <t>安卓</t>
        </is>
      </c>
      <c r="C281" s="268" t="n">
        <v>20714</v>
      </c>
      <c r="D281" s="268" t="n">
        <v>101590</v>
      </c>
      <c r="E281" s="269" t="n">
        <v>4.90441247465482</v>
      </c>
      <c r="F281" s="270" t="n">
        <v>0.322430704990649</v>
      </c>
      <c r="G281" s="271" t="n">
        <v>7.47</v>
      </c>
      <c r="H281" s="271" t="n">
        <v>18.45</v>
      </c>
      <c r="I281" s="141" t="n">
        <v>0.276</v>
      </c>
      <c r="J281" s="141" t="n">
        <v>0.124</v>
      </c>
      <c r="K281" s="141" t="n">
        <v>0.065</v>
      </c>
      <c r="L281" s="270" t="n">
        <v>9.940122059257799</v>
      </c>
      <c r="M281" s="272" t="n">
        <v>9.85746628605178</v>
      </c>
      <c r="N281" s="270" t="n">
        <v>15.2297959059525</v>
      </c>
      <c r="O281" s="273" t="n">
        <v>0.647248744955212</v>
      </c>
      <c r="P281" s="270" t="n">
        <v>2.26643246038264</v>
      </c>
      <c r="Q281" s="270" t="n">
        <v>2.67420993399641</v>
      </c>
      <c r="R281" s="270" t="n">
        <v>0.877208991087995</v>
      </c>
      <c r="S281" s="270" t="n">
        <v>4.81403412720139</v>
      </c>
      <c r="T281" s="270" t="n">
        <v>1.46433677038659</v>
      </c>
      <c r="U281" s="270" t="n">
        <v>0.510371992578398</v>
      </c>
      <c r="V281" s="270" t="n">
        <v>1.73200109499042</v>
      </c>
      <c r="W281" s="270" t="n">
        <v>0.891200535328649</v>
      </c>
      <c r="X281" s="270" t="n">
        <v>0.00189979328674082</v>
      </c>
      <c r="Y281" s="269" t="n">
        <v>9.859366079338519</v>
      </c>
      <c r="Z281" s="275" t="n">
        <v>661</v>
      </c>
      <c r="AA281" s="275" t="n">
        <v>491</v>
      </c>
      <c r="AB281" s="270" t="n">
        <v>3493.39</v>
      </c>
      <c r="AC281" s="290" t="n"/>
      <c r="AD281" s="276" t="n">
        <v>0.006506545919874</v>
      </c>
      <c r="AE281" s="142" t="n">
        <v>0.00483315286937691</v>
      </c>
      <c r="AF281" s="270" t="n">
        <v>5.28500756429652</v>
      </c>
      <c r="AG281" s="277" t="n">
        <v>0.0343871444039768</v>
      </c>
      <c r="AH281" s="118" t="n">
        <v>0.472434102539345</v>
      </c>
      <c r="AI281" s="118" t="n">
        <v>0.34416336777059</v>
      </c>
      <c r="AJ281" s="270" t="n">
        <v>0.552052367358992</v>
      </c>
      <c r="AK281" s="64" t="n">
        <v>0.341834826262427</v>
      </c>
      <c r="AL281" s="64" t="n">
        <v>0.059730288414214</v>
      </c>
      <c r="AM281" s="119" t="n">
        <v>0.0252091741313121</v>
      </c>
      <c r="AN281" s="276" t="n">
        <v>4.589</v>
      </c>
    </row>
    <row customHeight="1" ht="16.5" r="282" s="3">
      <c r="A282" s="117" t="n">
        <v>43623</v>
      </c>
      <c r="B282" s="267" t="inlineStr">
        <is>
          <t>安卓</t>
        </is>
      </c>
      <c r="C282" s="268" t="n">
        <v>21923</v>
      </c>
      <c r="D282" s="268" t="n">
        <v>100463</v>
      </c>
      <c r="E282" s="269" t="n">
        <v>4.58253888610135</v>
      </c>
      <c r="F282" s="270" t="n">
        <v>0.317248471915033</v>
      </c>
      <c r="G282" s="271" t="n">
        <v>7.24</v>
      </c>
      <c r="H282" s="271" t="n">
        <v>18.33</v>
      </c>
      <c r="I282" s="141" t="n">
        <v>0.251</v>
      </c>
      <c r="J282" s="141" t="n">
        <v>0.124</v>
      </c>
      <c r="K282" s="141" t="n">
        <v>0.059</v>
      </c>
      <c r="L282" s="270" t="n">
        <v>9.8834695360481</v>
      </c>
      <c r="M282" s="272" t="n">
        <v>9.80976080746145</v>
      </c>
      <c r="N282" s="270" t="n">
        <v>15.3684620902598</v>
      </c>
      <c r="O282" s="273" t="n">
        <v>0.63830464947294</v>
      </c>
      <c r="P282" s="270" t="n">
        <v>2.28994479618252</v>
      </c>
      <c r="Q282" s="270" t="n">
        <v>2.69555250600381</v>
      </c>
      <c r="R282" s="270" t="n">
        <v>0.867838318310826</v>
      </c>
      <c r="S282" s="270" t="n">
        <v>4.85204129370302</v>
      </c>
      <c r="T282" s="270" t="n">
        <v>1.48173907619374</v>
      </c>
      <c r="U282" s="270" t="n">
        <v>0.525403112622025</v>
      </c>
      <c r="V282" s="270" t="n">
        <v>1.75200386738608</v>
      </c>
      <c r="W282" s="270" t="n">
        <v>0.90393911985778</v>
      </c>
      <c r="X282" s="270" t="n">
        <v>0.000597234802862745</v>
      </c>
      <c r="Y282" s="269" t="n">
        <v>9.810358042264321</v>
      </c>
      <c r="Z282" s="275" t="n">
        <v>676</v>
      </c>
      <c r="AA282" s="275" t="n">
        <v>502</v>
      </c>
      <c r="AB282" s="270" t="n">
        <v>3787.24</v>
      </c>
      <c r="AC282" s="290" t="n"/>
      <c r="AD282" s="276" t="n">
        <v>0.00672884544558693</v>
      </c>
      <c r="AE282" s="142" t="n">
        <v>0.00499686451728497</v>
      </c>
      <c r="AF282" s="270" t="n">
        <v>5.60242603550296</v>
      </c>
      <c r="AG282" s="277" t="n">
        <v>0.0376978589132317</v>
      </c>
      <c r="AH282" s="118" t="n">
        <v>0.462847238060484</v>
      </c>
      <c r="AI282" s="118" t="n">
        <v>0.337316973042011</v>
      </c>
      <c r="AJ282" s="270" t="n">
        <v>0.541482934015508</v>
      </c>
      <c r="AK282" s="64" t="n">
        <v>0.338602271483034</v>
      </c>
      <c r="AL282" s="64" t="n">
        <v>0.0589968446094582</v>
      </c>
      <c r="AM282" s="119" t="n">
        <v>0.0162547405512477</v>
      </c>
      <c r="AN282" s="276" t="n">
        <v>5.192</v>
      </c>
    </row>
    <row customHeight="1" ht="16.5" r="283" s="3">
      <c r="A283" s="117" t="n">
        <v>43624</v>
      </c>
      <c r="B283" s="289" t="inlineStr">
        <is>
          <t>安卓</t>
        </is>
      </c>
      <c r="C283" s="268" t="n">
        <v>17210</v>
      </c>
      <c r="D283" s="268" t="n">
        <v>93044</v>
      </c>
      <c r="E283" s="269" t="n">
        <v>5.40639163277164</v>
      </c>
      <c r="F283" s="270" t="n">
        <v>0.518989458245561</v>
      </c>
      <c r="G283" s="271" t="n">
        <v>6.29</v>
      </c>
      <c r="H283" s="271" t="n">
        <v>15.51</v>
      </c>
      <c r="I283" s="141" t="n">
        <v>0.235</v>
      </c>
      <c r="J283" s="141" t="n">
        <v>0.111</v>
      </c>
      <c r="K283" s="141" t="n">
        <v>0.06</v>
      </c>
      <c r="L283" s="270" t="n">
        <v>12.9813314130949</v>
      </c>
      <c r="M283" s="272" t="n">
        <v>14.0843794333864</v>
      </c>
      <c r="N283" s="270" t="n">
        <v>21.0913202324047</v>
      </c>
      <c r="O283" s="273" t="n">
        <v>0.667780834873823</v>
      </c>
      <c r="P283" s="270" t="n">
        <v>2.81396359422529</v>
      </c>
      <c r="Q283" s="270" t="n">
        <v>3.48384916228091</v>
      </c>
      <c r="R283" s="270" t="n">
        <v>1.2481772970885</v>
      </c>
      <c r="S283" s="270" t="n">
        <v>7.8085397453849</v>
      </c>
      <c r="T283" s="270" t="n">
        <v>1.90269261101186</v>
      </c>
      <c r="U283" s="270" t="n">
        <v>0.444884360967602</v>
      </c>
      <c r="V283" s="270" t="n">
        <v>2.37096229057023</v>
      </c>
      <c r="W283" s="270" t="n">
        <v>1.01825117087538</v>
      </c>
      <c r="X283" s="270" t="n">
        <v>0.0024182107390052</v>
      </c>
      <c r="Y283" s="269" t="n">
        <v>14.0867976441254</v>
      </c>
      <c r="Z283" s="275" t="n">
        <v>1189</v>
      </c>
      <c r="AA283" s="275" t="n">
        <v>741</v>
      </c>
      <c r="AB283" s="270" t="n">
        <v>9241.110000000001</v>
      </c>
      <c r="AC283" s="290" t="n"/>
      <c r="AD283" s="276" t="n">
        <v>0.0127789003052319</v>
      </c>
      <c r="AE283" s="142" t="n">
        <v>0.00796397403379046</v>
      </c>
      <c r="AF283" s="270" t="n">
        <v>7.77216989066442</v>
      </c>
      <c r="AG283" s="277" t="n">
        <v>0.099319784188126</v>
      </c>
      <c r="AH283" s="118" t="n">
        <v>0.481929110981987</v>
      </c>
      <c r="AI283" s="118" t="n">
        <v>0.36316095293434</v>
      </c>
      <c r="AJ283" s="270" t="n">
        <v>0.452033446541421</v>
      </c>
      <c r="AK283" s="64" t="n">
        <v>0.31610850780276</v>
      </c>
      <c r="AL283" s="64" t="n">
        <v>0.0566291217058596</v>
      </c>
      <c r="AM283" s="119" t="n">
        <v>0.347803189888655</v>
      </c>
      <c r="AN283" s="276" t="n">
        <v>4.807</v>
      </c>
    </row>
    <row customHeight="1" ht="16.5" r="284" s="3">
      <c r="A284" s="117" t="n">
        <v>43625</v>
      </c>
      <c r="B284" s="289" t="inlineStr">
        <is>
          <t>安卓</t>
        </is>
      </c>
      <c r="C284" s="268" t="n">
        <v>15397</v>
      </c>
      <c r="D284" s="268" t="n">
        <v>89754</v>
      </c>
      <c r="E284" s="269" t="n">
        <v>5.82931739949341</v>
      </c>
      <c r="F284" s="270" t="n">
        <v>0.452548985894779</v>
      </c>
      <c r="G284" s="271" t="n">
        <v>6.52</v>
      </c>
      <c r="H284" s="271" t="n">
        <v>15.73</v>
      </c>
      <c r="I284" s="141" t="n">
        <v>0.268</v>
      </c>
      <c r="J284" s="141" t="n">
        <v>0.124</v>
      </c>
      <c r="K284" s="141" t="n">
        <v>0.07199999999999999</v>
      </c>
      <c r="L284" s="270" t="n">
        <v>12.5664260088687</v>
      </c>
      <c r="M284" s="272" t="n">
        <v>13.7825055150745</v>
      </c>
      <c r="N284" s="270" t="n">
        <v>20.397635458233</v>
      </c>
      <c r="O284" s="273" t="n">
        <v>0.67569133409096</v>
      </c>
      <c r="P284" s="270" t="n">
        <v>2.76972924842529</v>
      </c>
      <c r="Q284" s="270" t="n">
        <v>3.58656795171982</v>
      </c>
      <c r="R284" s="270" t="n">
        <v>1.23884510107839</v>
      </c>
      <c r="S284" s="270" t="n">
        <v>7.14362035418659</v>
      </c>
      <c r="T284" s="270" t="n">
        <v>1.90413217689543</v>
      </c>
      <c r="U284" s="270" t="n">
        <v>0.441710912508657</v>
      </c>
      <c r="V284" s="270" t="n">
        <v>2.27160900966263</v>
      </c>
      <c r="W284" s="270" t="n">
        <v>1.04142070375622</v>
      </c>
      <c r="X284" s="270" t="n">
        <v>0.00238429485036879</v>
      </c>
      <c r="Y284" s="269" t="n">
        <v>13.7848898099249</v>
      </c>
      <c r="Z284" s="275" t="n">
        <v>920</v>
      </c>
      <c r="AA284" s="275" t="n">
        <v>616</v>
      </c>
      <c r="AB284" s="270" t="n">
        <v>5990.8</v>
      </c>
      <c r="AC284" s="290" t="n"/>
      <c r="AD284" s="276" t="n">
        <v>0.0102502395436415</v>
      </c>
      <c r="AE284" s="142" t="n">
        <v>0.00686320386835127</v>
      </c>
      <c r="AF284" s="270" t="n">
        <v>6.51173913043478</v>
      </c>
      <c r="AG284" s="277" t="n">
        <v>0.0667468859326604</v>
      </c>
      <c r="AH284" s="118" t="n">
        <v>0.50042216016107</v>
      </c>
      <c r="AI284" s="118" t="n">
        <v>0.36682470611158</v>
      </c>
      <c r="AJ284" s="270" t="n">
        <v>0.454063328653876</v>
      </c>
      <c r="AK284" s="64" t="n">
        <v>0.316776968157408</v>
      </c>
      <c r="AL284" s="64" t="n">
        <v>0.0576241727388194</v>
      </c>
      <c r="AM284" s="119" t="n">
        <v>0.366156383002429</v>
      </c>
      <c r="AN284" s="276" t="n">
        <v>5.802</v>
      </c>
    </row>
    <row customHeight="1" ht="16.5" r="285" s="3">
      <c r="A285" s="117" t="n">
        <v>43626</v>
      </c>
      <c r="B285" s="289" t="inlineStr">
        <is>
          <t>安卓</t>
        </is>
      </c>
      <c r="C285" s="268" t="n">
        <v>27443</v>
      </c>
      <c r="D285" s="268" t="n">
        <v>102986</v>
      </c>
      <c r="E285" s="269" t="n">
        <v>3.75272382756987</v>
      </c>
      <c r="F285" s="270" t="n">
        <v>0.422359933835667</v>
      </c>
      <c r="G285" s="271" t="n">
        <v>6.56</v>
      </c>
      <c r="H285" s="271" t="n">
        <v>15.46</v>
      </c>
      <c r="I285" s="141" t="n">
        <v>0.267</v>
      </c>
      <c r="J285" s="141" t="n">
        <v>0.118</v>
      </c>
      <c r="K285" s="141" t="n">
        <v>0.062</v>
      </c>
      <c r="L285" s="270" t="n">
        <v>11.4989318936554</v>
      </c>
      <c r="M285" s="272" t="n">
        <v>12.320839725788</v>
      </c>
      <c r="N285" s="270" t="n">
        <v>19.2674016034985</v>
      </c>
      <c r="O285" s="273" t="n">
        <v>0.639465558425417</v>
      </c>
      <c r="P285" s="270" t="n">
        <v>2.6921768707483</v>
      </c>
      <c r="Q285" s="270" t="n">
        <v>3.42952806122449</v>
      </c>
      <c r="R285" s="270" t="n">
        <v>1.14633442662779</v>
      </c>
      <c r="S285" s="270" t="n">
        <v>6.54913751214772</v>
      </c>
      <c r="T285" s="270" t="n">
        <v>1.83012937317784</v>
      </c>
      <c r="U285" s="270" t="n">
        <v>0.452821307094266</v>
      </c>
      <c r="V285" s="270" t="n">
        <v>2.1576166180758</v>
      </c>
      <c r="W285" s="270" t="n">
        <v>1.00964224975705</v>
      </c>
      <c r="X285" s="270" t="n">
        <v>0.00224302332355854</v>
      </c>
      <c r="Y285" s="269" t="n">
        <v>12.3230827491115</v>
      </c>
      <c r="Z285" s="275" t="n">
        <v>911</v>
      </c>
      <c r="AA285" s="275" t="n">
        <v>637</v>
      </c>
      <c r="AB285" s="270" t="n">
        <v>6811.89</v>
      </c>
      <c r="AC285" s="290" t="n"/>
      <c r="AD285" s="276" t="n">
        <v>0.008845862544423509</v>
      </c>
      <c r="AE285" s="142" t="n">
        <v>0.00618530674072204</v>
      </c>
      <c r="AF285" s="270" t="n">
        <v>7.47737650933041</v>
      </c>
      <c r="AG285" s="277" t="n">
        <v>0.06614384479443811</v>
      </c>
      <c r="AH285" s="118" t="n">
        <v>0.424953540064862</v>
      </c>
      <c r="AI285" s="118" t="n">
        <v>0.255365667018912</v>
      </c>
      <c r="AJ285" s="270" t="n">
        <v>0.434408560386849</v>
      </c>
      <c r="AK285" s="64" t="n">
        <v>0.286097139417008</v>
      </c>
      <c r="AL285" s="64" t="n">
        <v>0.0529198143436972</v>
      </c>
      <c r="AM285" s="119" t="n">
        <v>0.327160973336182</v>
      </c>
      <c r="AN285" s="276" t="n">
        <v>5.161</v>
      </c>
    </row>
    <row customHeight="1" ht="16.5" r="286" s="3">
      <c r="A286" s="117" t="n">
        <v>43627</v>
      </c>
      <c r="B286" s="289" t="inlineStr">
        <is>
          <t>安卓</t>
        </is>
      </c>
      <c r="C286" s="268" t="n">
        <v>27732</v>
      </c>
      <c r="D286" s="268" t="n">
        <v>104362</v>
      </c>
      <c r="E286" s="269" t="n">
        <v>3.76323380931776</v>
      </c>
      <c r="F286" s="270" t="n">
        <v>0.367022343381691</v>
      </c>
      <c r="G286" s="271" t="n">
        <v>6.73</v>
      </c>
      <c r="H286" s="271" t="n">
        <v>16.64</v>
      </c>
      <c r="I286" s="141" t="n">
        <v>0.226</v>
      </c>
      <c r="J286" s="141" t="n">
        <v>0.105</v>
      </c>
      <c r="K286" s="141" t="n">
        <v>0.054</v>
      </c>
      <c r="L286" s="270" t="n">
        <v>10.828232498419</v>
      </c>
      <c r="M286" s="272" t="n">
        <v>11.2186428010195</v>
      </c>
      <c r="N286" s="270" t="n">
        <v>17.7179176755448</v>
      </c>
      <c r="O286" s="273" t="n">
        <v>0.633180659627067</v>
      </c>
      <c r="P286" s="270" t="n">
        <v>2.49794188861985</v>
      </c>
      <c r="Q286" s="270" t="n">
        <v>3.14854721549637</v>
      </c>
      <c r="R286" s="270" t="n">
        <v>1.0330205811138</v>
      </c>
      <c r="S286" s="270" t="n">
        <v>5.86051755447942</v>
      </c>
      <c r="T286" s="270" t="n">
        <v>1.68812046004843</v>
      </c>
      <c r="U286" s="270" t="n">
        <v>0.482097457627119</v>
      </c>
      <c r="V286" s="270" t="n">
        <v>2.03689467312349</v>
      </c>
      <c r="W286" s="270" t="n">
        <v>0.970717312348668</v>
      </c>
      <c r="X286" s="270" t="n">
        <v>0.00128399225771833</v>
      </c>
      <c r="Y286" s="269" t="n">
        <v>11.2199267932772</v>
      </c>
      <c r="Z286" s="275" t="n">
        <v>794</v>
      </c>
      <c r="AA286" s="275" t="n">
        <v>544</v>
      </c>
      <c r="AB286" s="270" t="n">
        <v>5325.06</v>
      </c>
      <c r="AC286" s="290" t="n"/>
      <c r="AD286" s="276" t="n">
        <v>0.00760813322856979</v>
      </c>
      <c r="AE286" s="142" t="n">
        <v>0.00521262528506545</v>
      </c>
      <c r="AF286" s="270" t="n">
        <v>6.70662468513854</v>
      </c>
      <c r="AG286" s="277" t="n">
        <v>0.0510248941185489</v>
      </c>
      <c r="AH286" s="118" t="n">
        <v>0.42777296985432</v>
      </c>
      <c r="AI286" s="118" t="n">
        <v>0.296336362325112</v>
      </c>
      <c r="AJ286" s="270" t="n">
        <v>0.47655276824898</v>
      </c>
      <c r="AK286" s="64" t="n">
        <v>0.291140453421744</v>
      </c>
      <c r="AL286" s="64" t="n">
        <v>0.0560644679097756</v>
      </c>
      <c r="AM286" s="119" t="n">
        <v>0.280820605201127</v>
      </c>
      <c r="AN286" s="276" t="n">
        <v>5.146</v>
      </c>
    </row>
    <row customFormat="1" customHeight="1" ht="13.95" r="287" s="294">
      <c r="A287" s="121" t="n">
        <v>43628</v>
      </c>
      <c r="B287" s="295" t="inlineStr">
        <is>
          <t>安卓</t>
        </is>
      </c>
      <c r="C287" s="296" t="n">
        <v>18784</v>
      </c>
      <c r="D287" s="296" t="n">
        <v>91710</v>
      </c>
      <c r="E287" s="297" t="n">
        <v>4.88234667802385</v>
      </c>
      <c r="F287" s="294" t="n">
        <v>0.303337154334315</v>
      </c>
      <c r="G287" s="306" t="n">
        <v>7.17</v>
      </c>
      <c r="H287" s="306" t="n">
        <v>17.66</v>
      </c>
      <c r="I287" s="123" t="n">
        <v>0.239</v>
      </c>
      <c r="J287" s="123" t="n">
        <v>0.106</v>
      </c>
      <c r="K287" s="123" t="n">
        <v>0.053</v>
      </c>
      <c r="L287" s="294" t="n">
        <v>9.975760549558389</v>
      </c>
      <c r="M287" s="299" t="n">
        <v>10.0332242939701</v>
      </c>
      <c r="N287" s="294" t="n">
        <v>15.4800053834895</v>
      </c>
      <c r="O287" s="300" t="n">
        <v>0.648140878857267</v>
      </c>
      <c r="P287" s="294" t="n">
        <v>2.28840362712606</v>
      </c>
      <c r="Q287" s="294" t="n">
        <v>2.64916471795562</v>
      </c>
      <c r="R287" s="294" t="n">
        <v>0.898571692939217</v>
      </c>
      <c r="S287" s="294" t="n">
        <v>4.9999158829764</v>
      </c>
      <c r="T287" s="294" t="n">
        <v>1.49819148399253</v>
      </c>
      <c r="U287" s="294" t="n">
        <v>0.50234686495853</v>
      </c>
      <c r="V287" s="294" t="n">
        <v>1.75619521878838</v>
      </c>
      <c r="W287" s="294" t="n">
        <v>0.88721589475278</v>
      </c>
      <c r="X287" s="294" t="n">
        <v>0.00116672118634827</v>
      </c>
      <c r="Y287" s="297" t="n">
        <v>10.0343910151565</v>
      </c>
      <c r="Z287" s="293" t="n">
        <v>507</v>
      </c>
      <c r="AA287" s="293" t="n">
        <v>384</v>
      </c>
      <c r="AB287" s="294" t="n">
        <v>2525.93</v>
      </c>
      <c r="AC287" s="302" t="n"/>
      <c r="AD287" s="303" t="n">
        <v>0.00552829571475303</v>
      </c>
      <c r="AE287" s="124" t="n">
        <v>0.00418711154726856</v>
      </c>
      <c r="AF287" s="294" t="n">
        <v>4.98211045364891</v>
      </c>
      <c r="AG287" s="304" t="n">
        <v>0.0275425798713335</v>
      </c>
      <c r="AH287" s="125" t="n">
        <v>0.443568994889267</v>
      </c>
      <c r="AI287" s="125" t="n">
        <v>0.328364565587734</v>
      </c>
      <c r="AJ287" s="294" t="n">
        <v>0.567571693381311</v>
      </c>
      <c r="AK287" s="126" t="n">
        <v>0.340148293533966</v>
      </c>
      <c r="AL287" s="126" t="n">
        <v>0.0654672336713554</v>
      </c>
      <c r="AM287" s="127" t="n">
        <v>0</v>
      </c>
      <c r="AN287" s="276" t="n">
        <v>4.763</v>
      </c>
    </row>
    <row customHeight="1" ht="13.95" r="288" s="3">
      <c r="A288" s="117" t="n">
        <v>43629</v>
      </c>
      <c r="B288" s="267" t="inlineStr">
        <is>
          <t>安卓</t>
        </is>
      </c>
      <c r="C288" s="268" t="n">
        <v>14843</v>
      </c>
      <c r="D288" s="268" t="n">
        <v>84336</v>
      </c>
      <c r="E288" s="269" t="n">
        <v>5.68187024186485</v>
      </c>
      <c r="F288" s="270" t="n">
        <v>0.335416700981787</v>
      </c>
      <c r="G288" s="271" t="n">
        <v>7.96</v>
      </c>
      <c r="H288" s="271" t="n">
        <v>18.86</v>
      </c>
      <c r="I288" s="141" t="n">
        <v>0.241</v>
      </c>
      <c r="J288" s="141" t="n">
        <v>0.106</v>
      </c>
      <c r="K288" s="141" t="n">
        <v>0.056</v>
      </c>
      <c r="L288" s="270" t="n">
        <v>9.855992695883129</v>
      </c>
      <c r="M288" s="272" t="n">
        <v>9.874300417378111</v>
      </c>
      <c r="N288" s="270" t="n">
        <v>15.2068770315182</v>
      </c>
      <c r="O288" s="273" t="n">
        <v>0.6493312464428</v>
      </c>
      <c r="P288" s="270" t="n">
        <v>2.33055768598663</v>
      </c>
      <c r="Q288" s="270" t="n">
        <v>2.61862240239582</v>
      </c>
      <c r="R288" s="270" t="n">
        <v>0.8567437274022131</v>
      </c>
      <c r="S288" s="270" t="n">
        <v>4.76834301157737</v>
      </c>
      <c r="T288" s="270" t="n">
        <v>1.52733647419744</v>
      </c>
      <c r="U288" s="270" t="n">
        <v>0.500219130053687</v>
      </c>
      <c r="V288" s="270" t="n">
        <v>1.71902048866002</v>
      </c>
      <c r="W288" s="270" t="n">
        <v>0.886034111245024</v>
      </c>
      <c r="X288" s="270" t="n">
        <v>0.00271532915955227</v>
      </c>
      <c r="Y288" s="269" t="n">
        <v>9.87701574653766</v>
      </c>
      <c r="Z288" s="275" t="n">
        <v>528</v>
      </c>
      <c r="AA288" s="275" t="n">
        <v>399</v>
      </c>
      <c r="AB288" s="270" t="n">
        <v>2704.72</v>
      </c>
      <c r="AC288" s="290" t="n"/>
      <c r="AD288" s="276" t="n">
        <v>0.00626067159931702</v>
      </c>
      <c r="AE288" s="142" t="n">
        <v>0.00473107569721116</v>
      </c>
      <c r="AF288" s="270" t="n">
        <v>5.12257575757576</v>
      </c>
      <c r="AG288" s="277" t="n">
        <v>0.0320707645608044</v>
      </c>
      <c r="AH288" s="118" t="n">
        <v>0.44815738058344</v>
      </c>
      <c r="AI288" s="118" t="n">
        <v>0.338476049316176</v>
      </c>
      <c r="AJ288" s="270" t="n">
        <v>0.552184120660216</v>
      </c>
      <c r="AK288" s="64" t="n">
        <v>0.355909694555113</v>
      </c>
      <c r="AL288" s="64" t="n">
        <v>0.0683930942895086</v>
      </c>
      <c r="AM288" s="119" t="n">
        <v>0</v>
      </c>
      <c r="AN288" s="276" t="n">
        <v>4.644</v>
      </c>
    </row>
    <row customHeight="1" ht="13.95" r="289" s="3">
      <c r="A289" s="117" t="n">
        <v>43630</v>
      </c>
      <c r="B289" s="267" t="inlineStr">
        <is>
          <t>安卓</t>
        </is>
      </c>
      <c r="C289" s="268" t="n">
        <v>14819</v>
      </c>
      <c r="D289" s="268" t="n">
        <v>81643</v>
      </c>
      <c r="E289" s="269" t="n">
        <v>5.509346109724</v>
      </c>
      <c r="F289" s="270" t="n">
        <v>0.334187559864287</v>
      </c>
      <c r="G289" s="271" t="n">
        <v>7.5</v>
      </c>
      <c r="H289" s="271" t="n">
        <v>17.84</v>
      </c>
      <c r="I289" s="141" t="n">
        <v>0.237</v>
      </c>
      <c r="J289" s="141" t="n">
        <v>0.116</v>
      </c>
      <c r="K289" s="141" t="n">
        <v>0.058</v>
      </c>
      <c r="L289" s="270" t="n">
        <v>9.672329532231791</v>
      </c>
      <c r="M289" s="272" t="n">
        <v>9.73358401822569</v>
      </c>
      <c r="N289" s="270" t="n">
        <v>15.059295054008</v>
      </c>
      <c r="O289" s="273" t="n">
        <v>0.646350575064611</v>
      </c>
      <c r="P289" s="270" t="n">
        <v>2.32512791358727</v>
      </c>
      <c r="Q289" s="270" t="n">
        <v>2.59810498389236</v>
      </c>
      <c r="R289" s="270" t="n">
        <v>0.855713473564525</v>
      </c>
      <c r="S289" s="270" t="n">
        <v>4.68167519423915</v>
      </c>
      <c r="T289" s="270" t="n">
        <v>1.52099677847262</v>
      </c>
      <c r="U289" s="270" t="n">
        <v>0.498673488724654</v>
      </c>
      <c r="V289" s="270" t="n">
        <v>1.70475649043017</v>
      </c>
      <c r="W289" s="270" t="n">
        <v>0.874246731097214</v>
      </c>
      <c r="X289" s="270" t="n">
        <v>0.00635694425731538</v>
      </c>
      <c r="Y289" s="269" t="n">
        <v>9.73994096248301</v>
      </c>
      <c r="Z289" s="275" t="n">
        <v>513</v>
      </c>
      <c r="AA289" s="275" t="n">
        <v>384</v>
      </c>
      <c r="AB289" s="270" t="n">
        <v>3296.87</v>
      </c>
      <c r="AC289" s="290" t="n"/>
      <c r="AD289" s="276" t="n">
        <v>0.00628345357225972</v>
      </c>
      <c r="AE289" s="142" t="n">
        <v>0.00470340384356283</v>
      </c>
      <c r="AF289" s="270" t="n">
        <v>6.42664717348928</v>
      </c>
      <c r="AG289" s="277" t="n">
        <v>0.040381539139914</v>
      </c>
      <c r="AH289" s="118" t="n">
        <v>0.656656994399082</v>
      </c>
      <c r="AI289" s="118" t="n">
        <v>0.443889601187664</v>
      </c>
      <c r="AJ289" s="270" t="n">
        <v>0.465110297269821</v>
      </c>
      <c r="AK289" s="64" t="n">
        <v>0.356821772840292</v>
      </c>
      <c r="AL289" s="64" t="n">
        <v>0.0695099396151538</v>
      </c>
      <c r="AM289" s="119" t="n">
        <v>0.0168538637727668</v>
      </c>
      <c r="AN289" s="276" t="n">
        <v>5.145</v>
      </c>
    </row>
    <row customHeight="1" ht="13.95" r="290" s="3">
      <c r="A290" s="117" t="n">
        <v>43631</v>
      </c>
      <c r="B290" s="289" t="inlineStr">
        <is>
          <t>安卓</t>
        </is>
      </c>
      <c r="C290" s="268" t="n">
        <v>11452</v>
      </c>
      <c r="D290" s="268" t="n">
        <v>75607</v>
      </c>
      <c r="E290" s="269" t="n">
        <v>6.6020782396088</v>
      </c>
      <c r="F290" s="270" t="n">
        <v>0.578074832965202</v>
      </c>
      <c r="G290" s="271" t="n">
        <v>6.68</v>
      </c>
      <c r="H290" s="271" t="n">
        <v>15.67</v>
      </c>
      <c r="I290" s="141" t="n">
        <v>0.227</v>
      </c>
      <c r="J290" s="141" t="n">
        <v>0.109</v>
      </c>
      <c r="K290" s="141" t="n">
        <v>0.061</v>
      </c>
      <c r="L290" s="270" t="n">
        <v>13.3303926885077</v>
      </c>
      <c r="M290" s="272" t="n">
        <v>14.3950427870435</v>
      </c>
      <c r="N290" s="270" t="n">
        <v>21.4587432717522</v>
      </c>
      <c r="O290" s="273" t="n">
        <v>0.670824130040869</v>
      </c>
      <c r="P290" s="270" t="n">
        <v>2.84889291981309</v>
      </c>
      <c r="Q290" s="270" t="n">
        <v>3.3902876634003</v>
      </c>
      <c r="R290" s="270" t="n">
        <v>1.33153256176186</v>
      </c>
      <c r="S290" s="270" t="n">
        <v>8.151954888700489</v>
      </c>
      <c r="T290" s="270" t="n">
        <v>1.96204578165973</v>
      </c>
      <c r="U290" s="270" t="n">
        <v>0.425521007906307</v>
      </c>
      <c r="V290" s="270" t="n">
        <v>2.37015714032217</v>
      </c>
      <c r="W290" s="270" t="n">
        <v>0.977542932628798</v>
      </c>
      <c r="X290" s="270" t="n">
        <v>0.00304204637136773</v>
      </c>
      <c r="Y290" s="269" t="n">
        <v>14.3980848334149</v>
      </c>
      <c r="Z290" s="275" t="n">
        <v>923</v>
      </c>
      <c r="AA290" s="275" t="n">
        <v>612</v>
      </c>
      <c r="AB290" s="270" t="n">
        <v>8316.77</v>
      </c>
      <c r="AC290" s="290" t="n"/>
      <c r="AD290" s="276" t="n">
        <v>0.0122078643511844</v>
      </c>
      <c r="AE290" s="142" t="n">
        <v>0.0080944886055524</v>
      </c>
      <c r="AF290" s="270" t="n">
        <v>9.010585048754059</v>
      </c>
      <c r="AG290" s="277" t="n">
        <v>0.11</v>
      </c>
      <c r="AH290" s="118" t="n">
        <v>0.445860984980789</v>
      </c>
      <c r="AI290" s="118" t="n">
        <v>0.334788683199441</v>
      </c>
      <c r="AJ290" s="270" t="n">
        <v>0.451915827899533</v>
      </c>
      <c r="AK290" s="64" t="n">
        <v>0.329612337481979</v>
      </c>
      <c r="AL290" s="64" t="n">
        <v>0.0677979552157869</v>
      </c>
      <c r="AM290" s="119" t="n">
        <v>0.361408335207058</v>
      </c>
      <c r="AN290" s="276" t="n">
        <v>4.728</v>
      </c>
    </row>
    <row customHeight="1" ht="13.95" r="291" s="3">
      <c r="A291" s="117" t="n">
        <v>43632</v>
      </c>
      <c r="B291" s="289" t="inlineStr">
        <is>
          <t>安卓</t>
        </is>
      </c>
      <c r="C291" s="268" t="n">
        <v>11467</v>
      </c>
      <c r="D291" s="268" t="n">
        <v>75030</v>
      </c>
      <c r="E291" s="269" t="n">
        <v>6.54312374640272</v>
      </c>
      <c r="F291" s="270" t="n">
        <v>0.461307014954018</v>
      </c>
      <c r="G291" s="271" t="n">
        <v>6.69</v>
      </c>
      <c r="H291" s="271" t="n">
        <v>15.64</v>
      </c>
      <c r="I291" s="141" t="n">
        <v>0.226</v>
      </c>
      <c r="J291" s="141" t="n">
        <v>0.109</v>
      </c>
      <c r="K291" s="141" t="n">
        <v>0.063</v>
      </c>
      <c r="L291" s="270" t="n">
        <v>12.9452352392376</v>
      </c>
      <c r="M291" s="272" t="n">
        <v>13.7465413834466</v>
      </c>
      <c r="N291" s="270" t="n">
        <v>20.4165445979651</v>
      </c>
      <c r="O291" s="273" t="n">
        <v>0.673304011728642</v>
      </c>
      <c r="P291" s="270" t="n">
        <v>2.74919830555446</v>
      </c>
      <c r="Q291" s="270" t="n">
        <v>3.47246525990736</v>
      </c>
      <c r="R291" s="270" t="n">
        <v>1.27410032067778</v>
      </c>
      <c r="S291" s="270" t="n">
        <v>7.33801813215092</v>
      </c>
      <c r="T291" s="270" t="n">
        <v>1.92604616176412</v>
      </c>
      <c r="U291" s="270" t="n">
        <v>0.41606951977513</v>
      </c>
      <c r="V291" s="270" t="n">
        <v>2.24624886179184</v>
      </c>
      <c r="W291" s="270" t="n">
        <v>0.9943782414189</v>
      </c>
      <c r="X291" s="270" t="n">
        <v>0.0014927362388378</v>
      </c>
      <c r="Y291" s="269" t="n">
        <v>13.7480341196855</v>
      </c>
      <c r="Z291" s="275" t="n">
        <v>704</v>
      </c>
      <c r="AA291" s="275" t="n">
        <v>509</v>
      </c>
      <c r="AB291" s="270" t="n">
        <v>5140.96</v>
      </c>
      <c r="AC291" s="290" t="n"/>
      <c r="AD291" s="276" t="n">
        <v>0.00938291350126616</v>
      </c>
      <c r="AE291" s="142" t="n">
        <v>0.00678395308543249</v>
      </c>
      <c r="AF291" s="270" t="n">
        <v>7.3025</v>
      </c>
      <c r="AG291" s="277" t="n">
        <v>0.06851872584299611</v>
      </c>
      <c r="AH291" s="118" t="n">
        <v>0.43821400540682</v>
      </c>
      <c r="AI291" s="118" t="n">
        <v>0.32161855760007</v>
      </c>
      <c r="AJ291" s="270" t="n">
        <v>0.43895775023324</v>
      </c>
      <c r="AK291" s="64" t="n">
        <v>0.321178195388511</v>
      </c>
      <c r="AL291" s="64" t="n">
        <v>0.0648140743702519</v>
      </c>
      <c r="AM291" s="119" t="n">
        <v>0.380541116886579</v>
      </c>
      <c r="AN291" s="276" t="n">
        <v>5.954</v>
      </c>
    </row>
    <row customHeight="1" ht="13.95" r="292" s="3">
      <c r="A292" s="117" t="n">
        <v>43633</v>
      </c>
      <c r="B292" s="289" t="inlineStr">
        <is>
          <t>安卓</t>
        </is>
      </c>
      <c r="C292" s="268" t="n">
        <v>11658</v>
      </c>
      <c r="D292" s="268" t="n">
        <v>75560</v>
      </c>
      <c r="E292" s="269" t="n">
        <v>6.48138617258535</v>
      </c>
      <c r="F292" s="270" t="n">
        <v>0.44868065888036</v>
      </c>
      <c r="G292" s="271" t="n">
        <v>6.5</v>
      </c>
      <c r="H292" s="271" t="n">
        <v>15.33</v>
      </c>
      <c r="I292" s="141" t="n">
        <v>0.228</v>
      </c>
      <c r="J292" s="141" t="n">
        <v>0.107</v>
      </c>
      <c r="K292" s="141" t="n">
        <v>0.059</v>
      </c>
      <c r="L292" s="270" t="n">
        <v>12.5386844891477</v>
      </c>
      <c r="M292" s="272" t="n">
        <v>13.0981868713605</v>
      </c>
      <c r="N292" s="270" t="n">
        <v>19.4306272700501</v>
      </c>
      <c r="O292" s="273" t="n">
        <v>0.674100052938062</v>
      </c>
      <c r="P292" s="270" t="n">
        <v>2.7519387454599</v>
      </c>
      <c r="Q292" s="270" t="n">
        <v>3.39420830470207</v>
      </c>
      <c r="R292" s="270" t="n">
        <v>1.17545891822912</v>
      </c>
      <c r="S292" s="270" t="n">
        <v>6.62234220084421</v>
      </c>
      <c r="T292" s="270" t="n">
        <v>1.93246294296653</v>
      </c>
      <c r="U292" s="270" t="n">
        <v>0.415902620987533</v>
      </c>
      <c r="V292" s="270" t="n">
        <v>2.16356140178659</v>
      </c>
      <c r="W292" s="270" t="n">
        <v>0.974752135074114</v>
      </c>
      <c r="X292" s="270" t="n">
        <v>0.00177342509264161</v>
      </c>
      <c r="Y292" s="269" t="n">
        <v>13.0999602964531</v>
      </c>
      <c r="Z292" s="275" t="n">
        <v>743</v>
      </c>
      <c r="AA292" s="275" t="n">
        <v>493</v>
      </c>
      <c r="AB292" s="270" t="n">
        <v>5415.57</v>
      </c>
      <c r="AC292" s="290" t="n"/>
      <c r="AD292" s="276" t="n">
        <v>0.009833245103229219</v>
      </c>
      <c r="AE292" s="142" t="n">
        <v>0.00652461619904712</v>
      </c>
      <c r="AF292" s="270" t="n">
        <v>7.28878869448183</v>
      </c>
      <c r="AG292" s="277" t="n">
        <v>0.071672445738486</v>
      </c>
      <c r="AH292" s="118" t="n">
        <v>0.431720706810774</v>
      </c>
      <c r="AI292" s="118" t="n">
        <v>0.307342597358037</v>
      </c>
      <c r="AJ292" s="270" t="n">
        <v>0.451707252514558</v>
      </c>
      <c r="AK292" s="64" t="n">
        <v>0.32220751720487</v>
      </c>
      <c r="AL292" s="64" t="n">
        <v>0.0692297511911064</v>
      </c>
      <c r="AM292" s="119" t="n">
        <v>0.372975119110641</v>
      </c>
      <c r="AN292" s="276" t="n">
        <v>4.807</v>
      </c>
    </row>
    <row customHeight="1" ht="13.95" r="293" s="3">
      <c r="A293" s="117" t="n">
        <v>43634</v>
      </c>
      <c r="B293" s="289" t="inlineStr">
        <is>
          <t>安卓</t>
        </is>
      </c>
      <c r="C293" s="268" t="n">
        <v>11680</v>
      </c>
      <c r="D293" s="268" t="n">
        <v>73679</v>
      </c>
      <c r="E293" s="269" t="n">
        <v>6.30813356164384</v>
      </c>
      <c r="F293" s="270" t="n">
        <v>0.411526863013885</v>
      </c>
      <c r="G293" s="271" t="n">
        <v>7.1</v>
      </c>
      <c r="H293" s="271" t="n">
        <v>16.44</v>
      </c>
      <c r="I293" s="141" t="n">
        <v>0.236</v>
      </c>
      <c r="J293" s="141" t="n">
        <v>0.111</v>
      </c>
      <c r="K293" s="141" t="n">
        <v>0.062</v>
      </c>
      <c r="L293" s="270" t="n">
        <v>11.2538850961604</v>
      </c>
      <c r="M293" s="272" t="n">
        <v>11.9224202282876</v>
      </c>
      <c r="N293" s="270" t="n">
        <v>17.8408920121047</v>
      </c>
      <c r="O293" s="273" t="n">
        <v>0.668263684360537</v>
      </c>
      <c r="P293" s="270" t="n">
        <v>2.53774600402137</v>
      </c>
      <c r="Q293" s="270" t="n">
        <v>3.11599000751467</v>
      </c>
      <c r="R293" s="270" t="n">
        <v>1.09068383532709</v>
      </c>
      <c r="S293" s="270" t="n">
        <v>5.91941019964661</v>
      </c>
      <c r="T293" s="270" t="n">
        <v>1.77819525966245</v>
      </c>
      <c r="U293" s="270" t="n">
        <v>0.446432560879014</v>
      </c>
      <c r="V293" s="270" t="n">
        <v>2.01070333285943</v>
      </c>
      <c r="W293" s="270" t="n">
        <v>0.9417308121940819</v>
      </c>
      <c r="X293" s="270" t="n">
        <v>0.00223944407497387</v>
      </c>
      <c r="Y293" s="269" t="n">
        <v>11.9246596723625</v>
      </c>
      <c r="Z293" s="275" t="n">
        <v>663</v>
      </c>
      <c r="AA293" s="275" t="n">
        <v>471</v>
      </c>
      <c r="AB293" s="270" t="n">
        <v>4153.37</v>
      </c>
      <c r="AC293" s="290" t="n"/>
      <c r="AD293" s="276" t="n">
        <v>0.00899849346489502</v>
      </c>
      <c r="AE293" s="142" t="n">
        <v>0.00639259490492542</v>
      </c>
      <c r="AF293" s="270" t="n">
        <v>6.26450980392157</v>
      </c>
      <c r="AG293" s="277" t="n">
        <v>0.056371150531359</v>
      </c>
      <c r="AH293" s="118" t="n">
        <v>0.418578767123288</v>
      </c>
      <c r="AI293" s="118" t="n">
        <v>0.284674657534247</v>
      </c>
      <c r="AJ293" s="270" t="n">
        <v>0.497048005537534</v>
      </c>
      <c r="AK293" s="64" t="n">
        <v>0.337355284409398</v>
      </c>
      <c r="AL293" s="64" t="n">
        <v>0.07508245225912399</v>
      </c>
      <c r="AM293" s="119" t="n">
        <v>0.321814899767912</v>
      </c>
      <c r="AN293" s="276" t="n">
        <v>4.797</v>
      </c>
    </row>
    <row customFormat="1" customHeight="1" ht="13.95" r="294" s="294">
      <c r="A294" s="121" t="n">
        <v>43635</v>
      </c>
      <c r="B294" s="295" t="inlineStr">
        <is>
          <t>安卓</t>
        </is>
      </c>
      <c r="C294" s="296" t="n">
        <v>13372</v>
      </c>
      <c r="D294" s="296" t="n">
        <v>71969</v>
      </c>
      <c r="E294" s="297" t="n">
        <v>5.38206700568352</v>
      </c>
      <c r="F294" s="294" t="n">
        <v>0.344383698981506</v>
      </c>
      <c r="G294" s="306" t="n">
        <v>8.27</v>
      </c>
      <c r="H294" s="306" t="n">
        <v>18.89</v>
      </c>
      <c r="I294" s="123" t="n">
        <v>0.241</v>
      </c>
      <c r="J294" s="123" t="n">
        <v>0.104</v>
      </c>
      <c r="K294" s="123" t="n">
        <v>0.057</v>
      </c>
      <c r="L294" s="294" t="n">
        <v>9.654309494365631</v>
      </c>
      <c r="M294" s="299" t="n">
        <v>9.716794731064761</v>
      </c>
      <c r="N294" s="294" t="n">
        <v>15.1152707230088</v>
      </c>
      <c r="O294" s="300" t="n">
        <v>0.642846225458183</v>
      </c>
      <c r="P294" s="294" t="n">
        <v>2.37992002593753</v>
      </c>
      <c r="Q294" s="294" t="n">
        <v>2.51170431211499</v>
      </c>
      <c r="R294" s="294" t="n">
        <v>0.890630065924565</v>
      </c>
      <c r="S294" s="294" t="n">
        <v>4.72802334378039</v>
      </c>
      <c r="T294" s="294" t="n">
        <v>1.56617313303793</v>
      </c>
      <c r="U294" s="294" t="n">
        <v>0.490867826650816</v>
      </c>
      <c r="V294" s="294" t="n">
        <v>1.69581757267913</v>
      </c>
      <c r="W294" s="294" t="n">
        <v>0.852134442883389</v>
      </c>
      <c r="X294" s="294" t="n">
        <v>0.00201475635342995</v>
      </c>
      <c r="Y294" s="297" t="n">
        <v>9.71880948741819</v>
      </c>
      <c r="Z294" s="293" t="n">
        <v>430</v>
      </c>
      <c r="AA294" s="293" t="n">
        <v>331</v>
      </c>
      <c r="AB294" s="294" t="n">
        <v>2357.7</v>
      </c>
      <c r="AC294" s="302" t="n"/>
      <c r="AD294" s="303" t="n">
        <v>0.00597479470327502</v>
      </c>
      <c r="AE294" s="124" t="n">
        <v>0.00459920243438147</v>
      </c>
      <c r="AF294" s="294" t="n">
        <v>5.48302325581395</v>
      </c>
      <c r="AG294" s="304" t="n">
        <v>0.032759938306771</v>
      </c>
      <c r="AH294" s="125" t="n">
        <v>0.414223751121747</v>
      </c>
      <c r="AI294" s="125" t="n">
        <v>0.2752019144481</v>
      </c>
      <c r="AJ294" s="294" t="n">
        <v>0.553015881838014</v>
      </c>
      <c r="AK294" s="126" t="n">
        <v>0.353499423362837</v>
      </c>
      <c r="AL294" s="126" t="n">
        <v>0.0786032875265739</v>
      </c>
      <c r="AM294" s="127" t="n">
        <v>0</v>
      </c>
      <c r="AN294" s="276" t="n">
        <v>5.171</v>
      </c>
    </row>
    <row customHeight="1" ht="13.95" r="295" s="3">
      <c r="A295" s="117" t="n">
        <v>43636</v>
      </c>
      <c r="B295" s="267" t="inlineStr">
        <is>
          <t>安卓</t>
        </is>
      </c>
      <c r="C295" s="268" t="n">
        <v>14043</v>
      </c>
      <c r="D295" s="268" t="n">
        <v>71160</v>
      </c>
      <c r="E295" s="269" t="n">
        <v>5.06729331339457</v>
      </c>
      <c r="F295" s="270" t="n">
        <v>0.364555692158516</v>
      </c>
      <c r="G295" s="271" t="n">
        <v>8.109999999999999</v>
      </c>
      <c r="H295" s="271" t="n">
        <v>18.24</v>
      </c>
      <c r="I295" s="141" t="n">
        <v>0.236</v>
      </c>
      <c r="J295" s="141" t="n">
        <v>0.104</v>
      </c>
      <c r="K295" s="141" t="n">
        <v>0.056</v>
      </c>
      <c r="L295" s="270" t="n">
        <v>9.61226812816189</v>
      </c>
      <c r="M295" s="272" t="n">
        <v>9.735890949971891</v>
      </c>
      <c r="N295" s="270" t="n">
        <v>15.2405737163976</v>
      </c>
      <c r="O295" s="273" t="n">
        <v>0.638813940415964</v>
      </c>
      <c r="P295" s="270" t="n">
        <v>2.40118351005324</v>
      </c>
      <c r="Q295" s="270" t="n">
        <v>2.55108011791104</v>
      </c>
      <c r="R295" s="270" t="n">
        <v>0.865832196753047</v>
      </c>
      <c r="S295" s="270" t="n">
        <v>4.77733292269787</v>
      </c>
      <c r="T295" s="270" t="n">
        <v>1.57182454133486</v>
      </c>
      <c r="U295" s="270" t="n">
        <v>0.5029917726252801</v>
      </c>
      <c r="V295" s="270" t="n">
        <v>1.70971006203528</v>
      </c>
      <c r="W295" s="270" t="n">
        <v>0.860618592986933</v>
      </c>
      <c r="X295" s="270" t="n">
        <v>0.00272625070264193</v>
      </c>
      <c r="Y295" s="269" t="n">
        <v>9.73861720067454</v>
      </c>
      <c r="Z295" s="275" t="n">
        <v>521</v>
      </c>
      <c r="AA295" s="275" t="n">
        <v>372</v>
      </c>
      <c r="AB295" s="270" t="n">
        <v>3084.79</v>
      </c>
      <c r="AC295" s="290" t="n"/>
      <c r="AD295" s="276" t="n">
        <v>0.00732152894884767</v>
      </c>
      <c r="AE295" s="142" t="n">
        <v>0.00522765598650927</v>
      </c>
      <c r="AF295" s="270" t="n">
        <v>5.92090211132438</v>
      </c>
      <c r="AG295" s="277" t="n">
        <v>0.0433500562113547</v>
      </c>
      <c r="AH295" s="118" t="n">
        <v>0.436302784305348</v>
      </c>
      <c r="AI295" s="118" t="n">
        <v>0.287687815993734</v>
      </c>
      <c r="AJ295" s="270" t="n">
        <v>0.538617200674536</v>
      </c>
      <c r="AK295" s="64" t="n">
        <v>0.348088813940416</v>
      </c>
      <c r="AL295" s="64" t="n">
        <v>0.07661607644744239</v>
      </c>
      <c r="AM295" s="119" t="n">
        <v>0.024761101742552</v>
      </c>
      <c r="AN295" s="276" t="n">
        <v>5.324</v>
      </c>
    </row>
    <row customHeight="1" ht="13.95" r="296" s="3">
      <c r="A296" s="117" t="n">
        <v>43637</v>
      </c>
      <c r="B296" s="267" t="inlineStr">
        <is>
          <t>安卓</t>
        </is>
      </c>
      <c r="C296" s="268" t="n">
        <v>12993</v>
      </c>
      <c r="D296" s="268" t="n">
        <v>69207</v>
      </c>
      <c r="E296" s="269" t="n">
        <v>5.3264834911106</v>
      </c>
      <c r="F296" s="270" t="n">
        <v>0.36406562625168</v>
      </c>
      <c r="G296" s="271" t="n">
        <v>8.390000000000001</v>
      </c>
      <c r="H296" s="271" t="n">
        <v>18.77</v>
      </c>
      <c r="I296" s="141" t="n">
        <v>0.242</v>
      </c>
      <c r="J296" s="141" t="n">
        <v>0.119</v>
      </c>
      <c r="K296" s="141" t="n">
        <v>0.064</v>
      </c>
      <c r="L296" s="270" t="n">
        <v>9.66380568439609</v>
      </c>
      <c r="M296" s="272" t="n">
        <v>9.68936668256101</v>
      </c>
      <c r="N296" s="270" t="n">
        <v>15.1575949367089</v>
      </c>
      <c r="O296" s="273" t="n">
        <v>0.639241695204242</v>
      </c>
      <c r="P296" s="270" t="n">
        <v>2.40162748643761</v>
      </c>
      <c r="Q296" s="270" t="n">
        <v>2.56724683544304</v>
      </c>
      <c r="R296" s="270" t="n">
        <v>0.852305605786619</v>
      </c>
      <c r="S296" s="270" t="n">
        <v>4.7124095840868</v>
      </c>
      <c r="T296" s="270" t="n">
        <v>1.58207504520796</v>
      </c>
      <c r="U296" s="270" t="n">
        <v>0.503458408679928</v>
      </c>
      <c r="V296" s="270" t="n">
        <v>1.6872061482821</v>
      </c>
      <c r="W296" s="270" t="n">
        <v>0.85126582278481</v>
      </c>
      <c r="X296" s="270" t="n">
        <v>0.00252864594621931</v>
      </c>
      <c r="Y296" s="269" t="n">
        <v>9.691895328507229</v>
      </c>
      <c r="Z296" s="275" t="n">
        <v>503</v>
      </c>
      <c r="AA296" s="275" t="n">
        <v>369</v>
      </c>
      <c r="AB296" s="270" t="n">
        <v>2802.97</v>
      </c>
      <c r="AC296" s="290" t="n"/>
      <c r="AD296" s="276" t="n">
        <v>0.00726805091970465</v>
      </c>
      <c r="AE296" s="142" t="n">
        <v>0.00533183059517101</v>
      </c>
      <c r="AF296" s="270" t="n">
        <v>5.57250497017893</v>
      </c>
      <c r="AG296" s="277" t="n">
        <v>0.0405012498735677</v>
      </c>
      <c r="AH296" s="118" t="n">
        <v>0.434772569845301</v>
      </c>
      <c r="AI296" s="118" t="n">
        <v>0.299699838374509</v>
      </c>
      <c r="AJ296" s="270" t="n">
        <v>0.5416648604909911</v>
      </c>
      <c r="AK296" s="64" t="n">
        <v>0.354097128903146</v>
      </c>
      <c r="AL296" s="64" t="n">
        <v>0.07913939341396101</v>
      </c>
      <c r="AM296" s="119" t="n">
        <v>0.0179028132992327</v>
      </c>
      <c r="AN296" s="276" t="n">
        <v>5.667</v>
      </c>
    </row>
    <row customHeight="1" ht="13.95" r="297" s="3">
      <c r="A297" s="117" t="n">
        <v>43638</v>
      </c>
      <c r="B297" s="289" t="inlineStr">
        <is>
          <t>安卓</t>
        </is>
      </c>
      <c r="C297" s="268" t="n">
        <v>9394</v>
      </c>
      <c r="D297" s="268" t="n">
        <v>63888</v>
      </c>
      <c r="E297" s="269" t="n">
        <v>6.80093676814988</v>
      </c>
      <c r="F297" s="270" t="n">
        <v>0.393113001033058</v>
      </c>
      <c r="G297" s="271" t="n">
        <v>8.6</v>
      </c>
      <c r="H297" s="271" t="n">
        <v>19.1</v>
      </c>
      <c r="I297" s="141" t="n">
        <v>0.243</v>
      </c>
      <c r="J297" s="141" t="n">
        <v>0.12</v>
      </c>
      <c r="K297" s="141" t="n">
        <v>0.062</v>
      </c>
      <c r="L297" s="270" t="n">
        <v>9.5841159529176</v>
      </c>
      <c r="M297" s="272" t="n">
        <v>9.715298647633359</v>
      </c>
      <c r="N297" s="270" t="n">
        <v>14.9636210221794</v>
      </c>
      <c r="O297" s="273" t="n">
        <v>0.6492612071124469</v>
      </c>
      <c r="P297" s="270" t="n">
        <v>2.35009643201543</v>
      </c>
      <c r="Q297" s="270" t="n">
        <v>2.53100289296046</v>
      </c>
      <c r="R297" s="270" t="n">
        <v>0.840742526518804</v>
      </c>
      <c r="S297" s="270" t="n">
        <v>4.6551350048216</v>
      </c>
      <c r="T297" s="270" t="n">
        <v>1.56752651880424</v>
      </c>
      <c r="U297" s="270" t="n">
        <v>0.492984570877531</v>
      </c>
      <c r="V297" s="270" t="n">
        <v>1.67478302796528</v>
      </c>
      <c r="W297" s="270" t="n">
        <v>0.851350048216008</v>
      </c>
      <c r="X297" s="270" t="n">
        <v>0.00278612572001002</v>
      </c>
      <c r="Y297" s="269" t="n">
        <v>9.71808477335337</v>
      </c>
      <c r="Z297" s="275" t="n">
        <v>492</v>
      </c>
      <c r="AA297" s="275" t="n">
        <v>353</v>
      </c>
      <c r="AB297" s="270" t="n">
        <v>3158.08</v>
      </c>
      <c r="AC297" s="290" t="n"/>
      <c r="AD297" s="276" t="n">
        <v>0.00770097670924117</v>
      </c>
      <c r="AE297" s="142" t="n">
        <v>0.00552529426496369</v>
      </c>
      <c r="AF297" s="270" t="n">
        <v>6.41886178861788</v>
      </c>
      <c r="AG297" s="277" t="n">
        <v>0.0494315051339845</v>
      </c>
      <c r="AH297" s="118" t="n">
        <v>0.465722801788376</v>
      </c>
      <c r="AI297" s="118" t="n">
        <v>0.346710666382798</v>
      </c>
      <c r="AJ297" s="270" t="n">
        <v>0.5372839969947411</v>
      </c>
      <c r="AK297" s="64" t="n">
        <v>0.36612509391435</v>
      </c>
      <c r="AL297" s="64" t="n">
        <v>0.0823315802654646</v>
      </c>
      <c r="AM297" s="119" t="n">
        <v>0.0152767342849987</v>
      </c>
      <c r="AN297" s="276" t="n">
        <v>5.583</v>
      </c>
    </row>
    <row customHeight="1" ht="13.95" r="298" s="3">
      <c r="A298" s="117" t="n">
        <v>43639</v>
      </c>
      <c r="B298" s="289" t="inlineStr">
        <is>
          <t>安卓</t>
        </is>
      </c>
      <c r="C298" s="268" t="n">
        <v>9241</v>
      </c>
      <c r="D298" s="268" t="n">
        <v>61841</v>
      </c>
      <c r="E298" s="269" t="n">
        <v>6.69202467265447</v>
      </c>
      <c r="F298" s="270" t="n">
        <v>0.361205567568442</v>
      </c>
      <c r="G298" s="271" t="n">
        <v>7.81</v>
      </c>
      <c r="H298" s="271" t="n">
        <v>17.9</v>
      </c>
      <c r="I298" s="141" t="n">
        <v>0.249</v>
      </c>
      <c r="J298" s="141" t="n">
        <v>0.119</v>
      </c>
      <c r="K298" s="141" t="n">
        <v>0.067</v>
      </c>
      <c r="L298" s="270" t="n">
        <v>9.689736582526161</v>
      </c>
      <c r="M298" s="272" t="n">
        <v>10.0137125855015</v>
      </c>
      <c r="N298" s="270" t="n">
        <v>15.4182352355343</v>
      </c>
      <c r="O298" s="273" t="n">
        <v>0.649472033117188</v>
      </c>
      <c r="P298" s="270" t="n">
        <v>2.36268797928493</v>
      </c>
      <c r="Q298" s="270" t="n">
        <v>2.59493576337018</v>
      </c>
      <c r="R298" s="270" t="n">
        <v>0.861891245891843</v>
      </c>
      <c r="S298" s="270" t="n">
        <v>4.90939647445474</v>
      </c>
      <c r="T298" s="270" t="n">
        <v>1.56906682601335</v>
      </c>
      <c r="U298" s="270" t="n">
        <v>0.488870630415297</v>
      </c>
      <c r="V298" s="270" t="n">
        <v>1.74905387909571</v>
      </c>
      <c r="W298" s="270" t="n">
        <v>0.882332437008266</v>
      </c>
      <c r="X298" s="270" t="n">
        <v>0.00147151566113096</v>
      </c>
      <c r="Y298" s="269" t="n">
        <v>10.0151841011627</v>
      </c>
      <c r="Z298" s="275" t="n">
        <v>455</v>
      </c>
      <c r="AA298" s="275" t="n">
        <v>339</v>
      </c>
      <c r="AB298" s="270" t="n">
        <v>2716.45</v>
      </c>
      <c r="AC298" s="290" t="n"/>
      <c r="AD298" s="276" t="n">
        <v>0.00735757830565482</v>
      </c>
      <c r="AE298" s="142" t="n">
        <v>0.00548180010025711</v>
      </c>
      <c r="AF298" s="270" t="n">
        <v>5.97021978021978</v>
      </c>
      <c r="AG298" s="277" t="n">
        <v>0.0439263595349364</v>
      </c>
      <c r="AH298" s="118" t="n">
        <v>0.456876961367817</v>
      </c>
      <c r="AI298" s="118" t="n">
        <v>0.329834433502868</v>
      </c>
      <c r="AJ298" s="270" t="n">
        <v>0.554357141702107</v>
      </c>
      <c r="AK298" s="64" t="n">
        <v>0.361831147620511</v>
      </c>
      <c r="AL298" s="64" t="n">
        <v>0.08035122329845901</v>
      </c>
      <c r="AM298" s="119" t="n">
        <v>0.0134053459678854</v>
      </c>
      <c r="AN298" s="276" t="n">
        <v>5.815</v>
      </c>
    </row>
    <row customHeight="1" ht="15" r="299" s="3">
      <c r="A299" s="117" t="n">
        <v>43640</v>
      </c>
      <c r="B299" s="289" t="inlineStr">
        <is>
          <t>安卓</t>
        </is>
      </c>
      <c r="C299" s="268" t="n">
        <v>9648</v>
      </c>
      <c r="D299" s="268" t="n">
        <v>62482</v>
      </c>
      <c r="E299" s="269" t="n">
        <v>6.47616086235489</v>
      </c>
      <c r="F299" s="270" t="n">
        <v>0.6465000365385229</v>
      </c>
      <c r="G299" s="271" t="n">
        <v>6.83</v>
      </c>
      <c r="H299" s="271" t="n">
        <v>14.46</v>
      </c>
      <c r="I299" s="141" t="n">
        <v>0.257</v>
      </c>
      <c r="J299" s="141" t="n">
        <v>0.124</v>
      </c>
      <c r="K299" s="141" t="n">
        <v>0.07000000000000001</v>
      </c>
      <c r="L299" s="270" t="n">
        <v>13.3834064210493</v>
      </c>
      <c r="M299" s="272" t="n">
        <v>15.0609935661471</v>
      </c>
      <c r="N299" s="270" t="n">
        <v>22.2673623435319</v>
      </c>
      <c r="O299" s="273" t="n">
        <v>0.6763707947888991</v>
      </c>
      <c r="P299" s="270" t="n">
        <v>2.97910603156575</v>
      </c>
      <c r="Q299" s="270" t="n">
        <v>3.59217718463832</v>
      </c>
      <c r="R299" s="270" t="n">
        <v>1.28979437306263</v>
      </c>
      <c r="S299" s="270" t="n">
        <v>8.384775561392299</v>
      </c>
      <c r="T299" s="270" t="n">
        <v>2.05276732684981</v>
      </c>
      <c r="U299" s="270" t="n">
        <v>0.428243534227775</v>
      </c>
      <c r="V299" s="270" t="n">
        <v>2.51409100589196</v>
      </c>
      <c r="W299" s="270" t="n">
        <v>1.02640732590332</v>
      </c>
      <c r="X299" s="270" t="n">
        <v>0.00432124451842131</v>
      </c>
      <c r="Y299" s="269" t="n">
        <v>15.0653148106655</v>
      </c>
      <c r="Z299" s="275" t="n">
        <v>713</v>
      </c>
      <c r="AA299" s="275" t="n">
        <v>467</v>
      </c>
      <c r="AB299" s="270" t="n">
        <v>5239.87</v>
      </c>
      <c r="AC299" s="290" t="n"/>
      <c r="AD299" s="276" t="n">
        <v>0.0114112864504977</v>
      </c>
      <c r="AE299" s="142" t="n">
        <v>0.00747415255593611</v>
      </c>
      <c r="AF299" s="270" t="n">
        <v>7.34904628330996</v>
      </c>
      <c r="AG299" s="277" t="n">
        <v>0.08386207227681571</v>
      </c>
      <c r="AH299" s="118" t="n">
        <v>0.451492537313433</v>
      </c>
      <c r="AI299" s="118" t="n">
        <v>0.322139303482587</v>
      </c>
      <c r="AJ299" s="270" t="n">
        <v>0.451009890848564</v>
      </c>
      <c r="AK299" s="64" t="n">
        <v>0.335328574629493</v>
      </c>
      <c r="AL299" s="64" t="n">
        <v>0.07278896322140779</v>
      </c>
      <c r="AM299" s="119" t="n">
        <v>0.367577862424378</v>
      </c>
      <c r="AN299" s="276" t="n">
        <v>4.114</v>
      </c>
    </row>
    <row customHeight="1" ht="15" r="300" s="3">
      <c r="A300" s="117" t="n">
        <v>43641</v>
      </c>
      <c r="B300" s="289" t="inlineStr">
        <is>
          <t>安卓</t>
        </is>
      </c>
      <c r="C300" s="268" t="n">
        <v>11882</v>
      </c>
      <c r="D300" s="268" t="n">
        <v>65265</v>
      </c>
      <c r="E300" s="269" t="n">
        <v>5.49276216125231</v>
      </c>
      <c r="F300" s="270" t="n">
        <v>0.456280292254654</v>
      </c>
      <c r="G300" s="271" t="n">
        <v>6.84</v>
      </c>
      <c r="H300" s="271" t="n">
        <v>16.33</v>
      </c>
      <c r="I300" s="141" t="n">
        <v>0.257</v>
      </c>
      <c r="J300" s="141" t="n">
        <v>0.111</v>
      </c>
      <c r="K300" s="141" t="n">
        <v>0.058</v>
      </c>
      <c r="L300" s="270" t="n">
        <v>12.4535355856891</v>
      </c>
      <c r="M300" s="272" t="n">
        <v>13.8598942771777</v>
      </c>
      <c r="N300" s="270" t="n">
        <v>20.808014354067</v>
      </c>
      <c r="O300" s="273" t="n">
        <v>0.66608442503639</v>
      </c>
      <c r="P300" s="270" t="n">
        <v>2.90426021347074</v>
      </c>
      <c r="Q300" s="270" t="n">
        <v>3.58140872285609</v>
      </c>
      <c r="R300" s="270" t="n">
        <v>1.30322966507177</v>
      </c>
      <c r="S300" s="270" t="n">
        <v>7.20116396761134</v>
      </c>
      <c r="T300" s="270" t="n">
        <v>2.04510949576739</v>
      </c>
      <c r="U300" s="270" t="n">
        <v>0.434785609127714</v>
      </c>
      <c r="V300" s="270" t="n">
        <v>2.3153984173721</v>
      </c>
      <c r="W300" s="270" t="n">
        <v>1.02265826278984</v>
      </c>
      <c r="X300" s="270" t="n">
        <v>0.00407569141193595</v>
      </c>
      <c r="Y300" s="269" t="n">
        <v>13.8639699685896</v>
      </c>
      <c r="Z300" s="275" t="n">
        <v>658</v>
      </c>
      <c r="AA300" s="275" t="n">
        <v>432</v>
      </c>
      <c r="AB300" s="270" t="n">
        <v>4065.42</v>
      </c>
      <c r="AC300" s="290" t="n"/>
      <c r="AD300" s="276" t="n">
        <v>0.0100819734926837</v>
      </c>
      <c r="AE300" s="142" t="n">
        <v>0.00661916800735463</v>
      </c>
      <c r="AF300" s="270" t="n">
        <v>6.17844984802432</v>
      </c>
      <c r="AG300" s="277" t="n">
        <v>0.0622909675936566</v>
      </c>
      <c r="AH300" s="118" t="n">
        <v>0.417690624473994</v>
      </c>
      <c r="AI300" s="118" t="n">
        <v>0.266369298097963</v>
      </c>
      <c r="AJ300" s="270" t="n">
        <v>0.431165249367961</v>
      </c>
      <c r="AK300" s="64" t="n">
        <v>0.321734467172298</v>
      </c>
      <c r="AL300" s="64" t="n">
        <v>0.07396000919328891</v>
      </c>
      <c r="AM300" s="119" t="n">
        <v>0.363303455144411</v>
      </c>
      <c r="AN300" s="276" t="n">
        <v>4.443</v>
      </c>
    </row>
    <row customFormat="1" customHeight="1" ht="15" r="301" s="294">
      <c r="A301" s="121" t="n">
        <v>43642</v>
      </c>
      <c r="B301" s="295" t="inlineStr">
        <is>
          <t>安卓</t>
        </is>
      </c>
      <c r="C301" s="296" t="n">
        <v>15223</v>
      </c>
      <c r="D301" s="296" t="n">
        <v>67792</v>
      </c>
      <c r="E301" s="297" t="n">
        <v>4.45326151218551</v>
      </c>
      <c r="F301" s="294" t="n">
        <v>0.424603932396153</v>
      </c>
      <c r="G301" s="306" t="n">
        <v>7.14</v>
      </c>
      <c r="H301" s="306" t="n">
        <v>15.99</v>
      </c>
      <c r="I301" s="123" t="n">
        <v>0.256</v>
      </c>
      <c r="J301" s="123" t="n">
        <v>0.11</v>
      </c>
      <c r="K301" s="123" t="n">
        <v>0.056</v>
      </c>
      <c r="L301" s="294" t="n">
        <v>11.9476781921171</v>
      </c>
      <c r="M301" s="299" t="n">
        <v>12.6531596648572</v>
      </c>
      <c r="N301" s="294" t="n">
        <v>19.3901849089018</v>
      </c>
      <c r="O301" s="300" t="n">
        <v>0.652554873731414</v>
      </c>
      <c r="P301" s="294" t="n">
        <v>2.77912654279127</v>
      </c>
      <c r="Q301" s="294" t="n">
        <v>3.43189113431891</v>
      </c>
      <c r="R301" s="294" t="n">
        <v>1.18285184682852</v>
      </c>
      <c r="S301" s="294" t="n">
        <v>6.42508702925087</v>
      </c>
      <c r="T301" s="294" t="n">
        <v>1.95865545458655</v>
      </c>
      <c r="U301" s="294" t="n">
        <v>0.442470274424703</v>
      </c>
      <c r="V301" s="294" t="n">
        <v>2.17934807179348</v>
      </c>
      <c r="W301" s="294" t="n">
        <v>0.9907319499073191</v>
      </c>
      <c r="X301" s="294" t="n">
        <v>0.00207989143261742</v>
      </c>
      <c r="Y301" s="297" t="n">
        <v>12.6552395562898</v>
      </c>
      <c r="Z301" s="293" t="n">
        <v>571</v>
      </c>
      <c r="AA301" s="293" t="n">
        <v>404</v>
      </c>
      <c r="AB301" s="294" t="n">
        <v>3699.29</v>
      </c>
      <c r="AC301" s="302" t="n"/>
      <c r="AD301" s="303" t="n">
        <v>0.00842282275194713</v>
      </c>
      <c r="AE301" s="124" t="n">
        <v>0.00595940523955629</v>
      </c>
      <c r="AF301" s="294" t="n">
        <v>6.47861646234676</v>
      </c>
      <c r="AG301" s="304" t="n">
        <v>0.0545682381401935</v>
      </c>
      <c r="AH301" s="125" t="n">
        <v>0.439795046968403</v>
      </c>
      <c r="AI301" s="125" t="n">
        <v>0.267884122709059</v>
      </c>
      <c r="AJ301" s="294" t="n">
        <v>0.428560892140666</v>
      </c>
      <c r="AK301" s="126" t="n">
        <v>0.303590394146802</v>
      </c>
      <c r="AL301" s="126" t="n">
        <v>0.0676333490677366</v>
      </c>
      <c r="AM301" s="127" t="n">
        <v>0.342075761151758</v>
      </c>
      <c r="AN301" s="276" t="n">
        <v>4.858</v>
      </c>
    </row>
    <row customHeight="1" ht="15" r="302" s="3">
      <c r="A302" s="117" t="n">
        <v>43643</v>
      </c>
      <c r="B302" s="267" t="inlineStr">
        <is>
          <t>安卓</t>
        </is>
      </c>
      <c r="C302" s="268" t="n">
        <v>17363</v>
      </c>
      <c r="D302" s="268" t="n">
        <v>69684</v>
      </c>
      <c r="E302" s="269" t="n">
        <v>4.01336174624201</v>
      </c>
      <c r="F302" s="270" t="n">
        <v>0.32510187919752</v>
      </c>
      <c r="G302" s="271" t="n">
        <v>8.5</v>
      </c>
      <c r="H302" s="271" t="n">
        <v>17.46</v>
      </c>
      <c r="I302" s="141" t="n">
        <v>0.262</v>
      </c>
      <c r="J302" s="141" t="n">
        <v>0.112</v>
      </c>
      <c r="K302" s="141" t="n">
        <v>0.054</v>
      </c>
      <c r="L302" s="270" t="n">
        <v>9.390376557028871</v>
      </c>
      <c r="M302" s="272" t="n">
        <v>9.180572297801501</v>
      </c>
      <c r="N302" s="270" t="n">
        <v>14.6390013958491</v>
      </c>
      <c r="O302" s="273" t="n">
        <v>0.627131048734286</v>
      </c>
      <c r="P302" s="270" t="n">
        <v>2.32676597789524</v>
      </c>
      <c r="Q302" s="270" t="n">
        <v>2.45358229788792</v>
      </c>
      <c r="R302" s="270" t="n">
        <v>0.82494679755612</v>
      </c>
      <c r="S302" s="270" t="n">
        <v>4.52774536051807</v>
      </c>
      <c r="T302" s="270" t="n">
        <v>1.53232191483032</v>
      </c>
      <c r="U302" s="270" t="n">
        <v>0.499599551497677</v>
      </c>
      <c r="V302" s="270" t="n">
        <v>1.64540857188623</v>
      </c>
      <c r="W302" s="270" t="n">
        <v>0.828630923777488</v>
      </c>
      <c r="X302" s="270" t="n">
        <v>0.00173641007978876</v>
      </c>
      <c r="Y302" s="269" t="n">
        <v>9.18230870788129</v>
      </c>
      <c r="Z302" s="275" t="n">
        <v>416</v>
      </c>
      <c r="AA302" s="275" t="n">
        <v>311</v>
      </c>
      <c r="AB302" s="270" t="n">
        <v>2038.84</v>
      </c>
      <c r="AC302" s="290" t="n"/>
      <c r="AD302" s="276" t="n">
        <v>0.00596980655530681</v>
      </c>
      <c r="AE302" s="142" t="n">
        <v>0.00446300441995293</v>
      </c>
      <c r="AF302" s="270" t="n">
        <v>4.90105769230769</v>
      </c>
      <c r="AG302" s="277" t="n">
        <v>0.0292583663394753</v>
      </c>
      <c r="AH302" s="118" t="n">
        <v>0.430167597765363</v>
      </c>
      <c r="AI302" s="118" t="n">
        <v>0.263606519610666</v>
      </c>
      <c r="AJ302" s="270" t="n">
        <v>0.505094426267149</v>
      </c>
      <c r="AK302" s="64" t="n">
        <v>0.316012284025027</v>
      </c>
      <c r="AL302" s="64" t="n">
        <v>0.07087710234774119</v>
      </c>
      <c r="AM302" s="119" t="n">
        <v>0.0961626772286321</v>
      </c>
      <c r="AN302" s="276" t="n">
        <v>6.193</v>
      </c>
    </row>
    <row customHeight="1" ht="15" r="303" s="3">
      <c r="A303" s="117" t="n">
        <v>43644</v>
      </c>
      <c r="B303" s="267" t="inlineStr">
        <is>
          <t>安卓</t>
        </is>
      </c>
      <c r="C303" s="268" t="n">
        <v>18239</v>
      </c>
      <c r="D303" s="268" t="n">
        <v>69699</v>
      </c>
      <c r="E303" s="269" t="n">
        <v>3.82142661330117</v>
      </c>
      <c r="F303" s="270" t="n">
        <v>0.320324014031765</v>
      </c>
      <c r="G303" s="271" t="n">
        <v>7.82</v>
      </c>
      <c r="H303" s="271" t="n">
        <v>17.09</v>
      </c>
      <c r="I303" s="141" t="n">
        <v>0.246</v>
      </c>
      <c r="J303" s="141" t="n">
        <v>0.109</v>
      </c>
      <c r="K303" s="141" t="n">
        <v>0.054</v>
      </c>
      <c r="L303" s="270" t="n">
        <v>9.37495516434956</v>
      </c>
      <c r="M303" s="272" t="n">
        <v>8.96136242987704</v>
      </c>
      <c r="N303" s="270" t="n">
        <v>14.578424050042</v>
      </c>
      <c r="O303" s="273" t="n">
        <v>0.614700354380981</v>
      </c>
      <c r="P303" s="270" t="n">
        <v>2.32732704696107</v>
      </c>
      <c r="Q303" s="270" t="n">
        <v>2.50074689571469</v>
      </c>
      <c r="R303" s="270" t="n">
        <v>0.777028288675194</v>
      </c>
      <c r="S303" s="270" t="n">
        <v>4.46099803939875</v>
      </c>
      <c r="T303" s="270" t="n">
        <v>1.519465969564</v>
      </c>
      <c r="U303" s="270" t="n">
        <v>0.510946690318364</v>
      </c>
      <c r="V303" s="270" t="n">
        <v>1.64394080851461</v>
      </c>
      <c r="W303" s="270" t="n">
        <v>0.837970310895341</v>
      </c>
      <c r="X303" s="270" t="n">
        <v>0.00190820528271568</v>
      </c>
      <c r="Y303" s="269" t="n">
        <v>8.963270635159761</v>
      </c>
      <c r="Z303" s="275" t="n">
        <v>468</v>
      </c>
      <c r="AA303" s="275" t="n">
        <v>352</v>
      </c>
      <c r="AB303" s="270" t="n">
        <v>2696.32</v>
      </c>
      <c r="AC303" s="290" t="n"/>
      <c r="AD303" s="276" t="n">
        <v>0.00671458700985667</v>
      </c>
      <c r="AE303" s="142" t="n">
        <v>0.00505028766553322</v>
      </c>
      <c r="AF303" s="270" t="n">
        <v>5.76136752136752</v>
      </c>
      <c r="AG303" s="277" t="n">
        <v>0.0386852035179845</v>
      </c>
      <c r="AH303" s="118" t="n">
        <v>0.438949503810516</v>
      </c>
      <c r="AI303" s="118" t="n">
        <v>0.286967487252591</v>
      </c>
      <c r="AJ303" s="270" t="n">
        <v>0.488730110905465</v>
      </c>
      <c r="AK303" s="64" t="n">
        <v>0.314366059771302</v>
      </c>
      <c r="AL303" s="64" t="n">
        <v>0.0694988450336447</v>
      </c>
      <c r="AM303" s="119" t="n">
        <v>0.0240892982682678</v>
      </c>
      <c r="AN303" s="276" t="n">
        <v>5.39</v>
      </c>
    </row>
    <row customHeight="1" ht="13.95" r="304" s="3">
      <c r="A304" s="117" t="n">
        <v>43645</v>
      </c>
      <c r="B304" s="289" t="inlineStr">
        <is>
          <t>安卓</t>
        </is>
      </c>
      <c r="C304" s="268" t="n">
        <v>14117</v>
      </c>
      <c r="D304" s="268" t="n">
        <v>64951</v>
      </c>
      <c r="E304" s="269" t="n">
        <v>4.60090670822413</v>
      </c>
      <c r="F304" s="270" t="n">
        <v>0.487883419500854</v>
      </c>
      <c r="G304" s="271" t="n">
        <v>6.92</v>
      </c>
      <c r="H304" s="271" t="n">
        <v>15.06</v>
      </c>
      <c r="I304" s="141" t="n">
        <v>0.233</v>
      </c>
      <c r="J304" s="141" t="n">
        <v>0.104</v>
      </c>
      <c r="K304" s="141" t="n">
        <v>0.056</v>
      </c>
      <c r="L304" s="270" t="n">
        <v>12.3936967868085</v>
      </c>
      <c r="M304" s="272" t="n">
        <v>13.0365968191406</v>
      </c>
      <c r="N304" s="270" t="n">
        <v>20.2211396093041</v>
      </c>
      <c r="O304" s="273" t="n">
        <v>0.644701390278826</v>
      </c>
      <c r="P304" s="270" t="n">
        <v>2.80424607154798</v>
      </c>
      <c r="Q304" s="270" t="n">
        <v>3.26730190571715</v>
      </c>
      <c r="R304" s="270" t="n">
        <v>1.33596026173759</v>
      </c>
      <c r="S304" s="270" t="n">
        <v>7.25373740268424</v>
      </c>
      <c r="T304" s="270" t="n">
        <v>1.92176529588766</v>
      </c>
      <c r="U304" s="270" t="n">
        <v>0.449945073315184</v>
      </c>
      <c r="V304" s="270" t="n">
        <v>2.24721784400822</v>
      </c>
      <c r="W304" s="270" t="n">
        <v>0.940965754406075</v>
      </c>
      <c r="X304" s="270" t="n">
        <v>0.00397222521593201</v>
      </c>
      <c r="Y304" s="269" t="n">
        <v>13.0405690443565</v>
      </c>
      <c r="Z304" s="275" t="n">
        <v>785</v>
      </c>
      <c r="AA304" s="275" t="n">
        <v>516</v>
      </c>
      <c r="AB304" s="270" t="n">
        <v>5323.15</v>
      </c>
      <c r="AC304" s="290" t="n"/>
      <c r="AD304" s="276" t="n">
        <v>0.012086034087235</v>
      </c>
      <c r="AE304" s="142" t="n">
        <v>0.007944450431864021</v>
      </c>
      <c r="AF304" s="270" t="n">
        <v>6.78108280254777</v>
      </c>
      <c r="AG304" s="277" t="n">
        <v>0.0819563978999553</v>
      </c>
      <c r="AH304" s="118" t="n">
        <v>0.464617128285046</v>
      </c>
      <c r="AI304" s="118" t="n">
        <v>0.316781185804349</v>
      </c>
      <c r="AJ304" s="270" t="n">
        <v>0.418253760527167</v>
      </c>
      <c r="AK304" s="64" t="n">
        <v>0.294837646841465</v>
      </c>
      <c r="AL304" s="64" t="n">
        <v>0.0648950747486567</v>
      </c>
      <c r="AM304" s="119" t="n">
        <v>0.324152053086173</v>
      </c>
      <c r="AN304" s="276" t="n">
        <v>7.237</v>
      </c>
    </row>
    <row customHeight="1" ht="13.95" r="305" s="3">
      <c r="A305" s="117" t="n">
        <v>43646</v>
      </c>
      <c r="B305" s="289" t="inlineStr">
        <is>
          <t>安卓</t>
        </is>
      </c>
      <c r="C305" s="268" t="n">
        <v>14934</v>
      </c>
      <c r="D305" s="268" t="n">
        <v>66234</v>
      </c>
      <c r="E305" s="269" t="n">
        <v>4.43511450381679</v>
      </c>
      <c r="F305" s="270" t="n">
        <v>0.458445602454932</v>
      </c>
      <c r="G305" s="271" t="n">
        <v>6.85</v>
      </c>
      <c r="H305" s="271" t="n">
        <v>15.06</v>
      </c>
      <c r="I305" s="141" t="n">
        <v>0.244</v>
      </c>
      <c r="J305" s="141" t="n">
        <v>0.111</v>
      </c>
      <c r="K305" s="141" t="n">
        <v>0.061</v>
      </c>
      <c r="L305" s="270" t="n">
        <v>12.0540658876106</v>
      </c>
      <c r="M305" s="272" t="n">
        <v>12.8347827399825</v>
      </c>
      <c r="N305" s="270" t="n">
        <v>19.9976240884498</v>
      </c>
      <c r="O305" s="273" t="n">
        <v>0.641815381828064</v>
      </c>
      <c r="P305" s="270" t="n">
        <v>2.72924017878146</v>
      </c>
      <c r="Q305" s="270" t="n">
        <v>3.389884733004</v>
      </c>
      <c r="R305" s="270" t="n">
        <v>1.34262526464361</v>
      </c>
      <c r="S305" s="270" t="n">
        <v>7.1247471183251</v>
      </c>
      <c r="T305" s="270" t="n">
        <v>1.88572100682192</v>
      </c>
      <c r="U305" s="270" t="n">
        <v>0.436932486473771</v>
      </c>
      <c r="V305" s="270" t="n">
        <v>2.14892966360856</v>
      </c>
      <c r="W305" s="270" t="n">
        <v>0.939543636791343</v>
      </c>
      <c r="X305" s="270" t="n">
        <v>0.00227979587523024</v>
      </c>
      <c r="Y305" s="269" t="n">
        <v>12.8370625358577</v>
      </c>
      <c r="Z305" s="275" t="n">
        <v>696</v>
      </c>
      <c r="AA305" s="275" t="n">
        <v>474</v>
      </c>
      <c r="AB305" s="270" t="n">
        <v>4656.04</v>
      </c>
      <c r="AC305" s="290" t="n"/>
      <c r="AD305" s="276" t="n">
        <v>0.0105081982063593</v>
      </c>
      <c r="AE305" s="142" t="n">
        <v>0.00715644533019295</v>
      </c>
      <c r="AF305" s="270" t="n">
        <v>6.68971264367816</v>
      </c>
      <c r="AG305" s="277" t="n">
        <v>0.0702968264033578</v>
      </c>
      <c r="AH305" s="118" t="n">
        <v>0.465715816258203</v>
      </c>
      <c r="AI305" s="118" t="n">
        <v>0.309829918307218</v>
      </c>
      <c r="AJ305" s="270" t="n">
        <v>0.411223842739379</v>
      </c>
      <c r="AK305" s="64" t="n">
        <v>0.282392728809977</v>
      </c>
      <c r="AL305" s="64" t="n">
        <v>0.0622942899417218</v>
      </c>
      <c r="AM305" s="119" t="n">
        <v>0.338874294169158</v>
      </c>
      <c r="AN305" s="276" t="n">
        <v>6.725</v>
      </c>
    </row>
    <row customHeight="1" ht="15" r="306" s="3">
      <c r="A306" s="117" t="n">
        <v>43647</v>
      </c>
      <c r="B306" s="289" t="inlineStr">
        <is>
          <t>安卓</t>
        </is>
      </c>
      <c r="C306" s="268" t="n">
        <v>18412</v>
      </c>
      <c r="D306" s="268" t="n">
        <v>71123</v>
      </c>
      <c r="E306" s="269" t="n">
        <v>3.86286117749294</v>
      </c>
      <c r="F306" s="270" t="n">
        <v>0.402447441755831</v>
      </c>
      <c r="G306" s="271" t="n">
        <v>6.57</v>
      </c>
      <c r="H306" s="271" t="n">
        <v>14.87</v>
      </c>
      <c r="I306" s="141" t="n">
        <v>0.253</v>
      </c>
      <c r="J306" s="141" t="n">
        <v>0.114</v>
      </c>
      <c r="K306" s="141" t="n">
        <v>0.056</v>
      </c>
      <c r="L306" s="270" t="n">
        <v>11.4994868045499</v>
      </c>
      <c r="M306" s="272" t="n">
        <v>11.9462058687063</v>
      </c>
      <c r="N306" s="270" t="n">
        <v>18.8079690094079</v>
      </c>
      <c r="O306" s="273" t="n">
        <v>0.635167245476147</v>
      </c>
      <c r="P306" s="270" t="n">
        <v>2.65175428887659</v>
      </c>
      <c r="Q306" s="270" t="n">
        <v>3.30530160486995</v>
      </c>
      <c r="R306" s="270" t="n">
        <v>1.21232982844494</v>
      </c>
      <c r="S306" s="270" t="n">
        <v>6.3631654676259</v>
      </c>
      <c r="T306" s="270" t="n">
        <v>1.83251798561151</v>
      </c>
      <c r="U306" s="270" t="n">
        <v>0.441394576646375</v>
      </c>
      <c r="V306" s="270" t="n">
        <v>2.07725511898174</v>
      </c>
      <c r="W306" s="270" t="n">
        <v>0.924250138350858</v>
      </c>
      <c r="X306" s="270" t="n">
        <v>0.00262924792261294</v>
      </c>
      <c r="Y306" s="269" t="n">
        <v>11.9488351166289</v>
      </c>
      <c r="Z306" s="275" t="n">
        <v>696</v>
      </c>
      <c r="AA306" s="275" t="n">
        <v>452</v>
      </c>
      <c r="AB306" s="270" t="n">
        <v>4380.04</v>
      </c>
      <c r="AC306" s="290" t="n"/>
      <c r="AD306" s="276" t="n">
        <v>0.009785863925874889</v>
      </c>
      <c r="AE306" s="142" t="n">
        <v>0.00635518749209117</v>
      </c>
      <c r="AF306" s="270" t="n">
        <v>6.29316091954023</v>
      </c>
      <c r="AG306" s="277" t="n">
        <v>0.0615840164222544</v>
      </c>
      <c r="AH306" s="118" t="n">
        <v>0.437214859873995</v>
      </c>
      <c r="AI306" s="118" t="n">
        <v>0.27194221160113</v>
      </c>
      <c r="AJ306" s="270" t="n">
        <v>0.412960645642057</v>
      </c>
      <c r="AK306" s="64" t="n">
        <v>0.272893438128313</v>
      </c>
      <c r="AL306" s="64" t="n">
        <v>0.0599524766953025</v>
      </c>
      <c r="AM306" s="119" t="n">
        <v>0.328079524204547</v>
      </c>
      <c r="AN306" s="276" t="n">
        <v>4.601</v>
      </c>
    </row>
    <row customHeight="1" ht="15" r="307" s="3">
      <c r="A307" s="117" t="n">
        <v>43648</v>
      </c>
      <c r="B307" s="289" t="inlineStr">
        <is>
          <t>安卓</t>
        </is>
      </c>
      <c r="C307" s="268" t="n">
        <v>21846</v>
      </c>
      <c r="D307" s="268" t="n">
        <v>75300</v>
      </c>
      <c r="E307" s="269" t="n">
        <v>3.44685525954408</v>
      </c>
      <c r="F307" s="270" t="n">
        <v>0.378878925976096</v>
      </c>
      <c r="G307" s="271" t="n">
        <v>7.4</v>
      </c>
      <c r="H307" s="271" t="n">
        <v>15.49</v>
      </c>
      <c r="I307" s="141" t="n">
        <v>0.24</v>
      </c>
      <c r="J307" s="141" t="n">
        <v>0.104</v>
      </c>
      <c r="K307" s="141" t="n">
        <v>0.053</v>
      </c>
      <c r="L307" s="270" t="n">
        <v>10.453625498008</v>
      </c>
      <c r="M307" s="272" t="n">
        <v>10.4344488711819</v>
      </c>
      <c r="N307" s="270" t="n">
        <v>16.9061646046261</v>
      </c>
      <c r="O307" s="273" t="n">
        <v>0.617197875166003</v>
      </c>
      <c r="P307" s="270" t="n">
        <v>2.48901559978483</v>
      </c>
      <c r="Q307" s="270" t="n">
        <v>2.95918235610543</v>
      </c>
      <c r="R307" s="270" t="n">
        <v>1.05654653039268</v>
      </c>
      <c r="S307" s="270" t="n">
        <v>5.50231307154384</v>
      </c>
      <c r="T307" s="270" t="n">
        <v>1.66932759548144</v>
      </c>
      <c r="U307" s="270" t="n">
        <v>0.47182356105433</v>
      </c>
      <c r="V307" s="270" t="n">
        <v>1.87528778913394</v>
      </c>
      <c r="W307" s="270" t="n">
        <v>0.882646584185045</v>
      </c>
      <c r="X307" s="270" t="n">
        <v>0.00637450199203187</v>
      </c>
      <c r="Y307" s="269" t="n">
        <v>10.440823373174</v>
      </c>
      <c r="Z307" s="275" t="n">
        <v>661</v>
      </c>
      <c r="AA307" s="275" t="n">
        <v>450</v>
      </c>
      <c r="AB307" s="270" t="n">
        <v>4796.39</v>
      </c>
      <c r="AC307" s="290" t="n"/>
      <c r="AD307" s="276" t="n">
        <v>0.00877822045152723</v>
      </c>
      <c r="AE307" s="142" t="n">
        <v>0.00597609561752988</v>
      </c>
      <c r="AF307" s="270" t="n">
        <v>7.25626323751891</v>
      </c>
      <c r="AG307" s="277" t="n">
        <v>0.06369707835325369</v>
      </c>
      <c r="AH307" s="118" t="n">
        <v>0.42515792364735</v>
      </c>
      <c r="AI307" s="118" t="n">
        <v>0.274695596447862</v>
      </c>
      <c r="AJ307" s="270" t="n">
        <v>0.447954847277556</v>
      </c>
      <c r="AK307" s="64" t="n">
        <v>0.275285524568393</v>
      </c>
      <c r="AL307" s="64" t="n">
        <v>0.0623771580345286</v>
      </c>
      <c r="AM307" s="119" t="n">
        <v>0.27136786188579</v>
      </c>
      <c r="AN307" s="276" t="n">
        <v>4.282</v>
      </c>
    </row>
    <row customFormat="1" customHeight="1" ht="15" r="308" s="294">
      <c r="A308" s="121" t="n">
        <v>43649</v>
      </c>
      <c r="B308" s="295" t="inlineStr">
        <is>
          <t>安卓</t>
        </is>
      </c>
      <c r="C308" s="296" t="n">
        <v>19390</v>
      </c>
      <c r="D308" s="296" t="n">
        <v>71809</v>
      </c>
      <c r="E308" s="297" t="n">
        <v>3.70340381640021</v>
      </c>
      <c r="F308" s="294" t="n">
        <v>0.312754074726009</v>
      </c>
      <c r="G308" s="306" t="n">
        <v>7.88</v>
      </c>
      <c r="H308" s="306" t="n">
        <v>17.23</v>
      </c>
      <c r="I308" s="123" t="n">
        <v>0.235</v>
      </c>
      <c r="J308" s="123" t="n">
        <v>0.104</v>
      </c>
      <c r="K308" s="123" t="n">
        <v>0.053</v>
      </c>
      <c r="L308" s="294" t="n">
        <v>9.172011864808031</v>
      </c>
      <c r="M308" s="299" t="n">
        <v>8.676377612834051</v>
      </c>
      <c r="N308" s="294" t="n">
        <v>14.132102433824</v>
      </c>
      <c r="O308" s="300" t="n">
        <v>0.613948112353605</v>
      </c>
      <c r="P308" s="294" t="n">
        <v>2.23664572322907</v>
      </c>
      <c r="Q308" s="294" t="n">
        <v>2.42375303377413</v>
      </c>
      <c r="R308" s="294" t="n">
        <v>0.787125456483771</v>
      </c>
      <c r="S308" s="294" t="n">
        <v>4.34318506589244</v>
      </c>
      <c r="T308" s="294" t="n">
        <v>1.44110508766757</v>
      </c>
      <c r="U308" s="294" t="n">
        <v>0.498128700070316</v>
      </c>
      <c r="V308" s="294" t="n">
        <v>1.58570553677955</v>
      </c>
      <c r="W308" s="294" t="n">
        <v>0.81645382992719</v>
      </c>
      <c r="X308" s="294" t="n">
        <v>0.00208887465359495</v>
      </c>
      <c r="Y308" s="297" t="n">
        <v>8.67846648748764</v>
      </c>
      <c r="Z308" s="293" t="n">
        <v>495</v>
      </c>
      <c r="AA308" s="293" t="n">
        <v>347</v>
      </c>
      <c r="AB308" s="294" t="n">
        <v>2762.05</v>
      </c>
      <c r="AC308" s="302" t="n"/>
      <c r="AD308" s="303" t="n">
        <v>0.00689328635686335</v>
      </c>
      <c r="AE308" s="124" t="n">
        <v>0.00483226336531633</v>
      </c>
      <c r="AF308" s="294" t="n">
        <v>5.57989898989899</v>
      </c>
      <c r="AG308" s="304" t="n">
        <v>0.0384638415797463</v>
      </c>
      <c r="AH308" s="125" t="n">
        <v>0.423362558019598</v>
      </c>
      <c r="AI308" s="125" t="n">
        <v>0.284167096441465</v>
      </c>
      <c r="AJ308" s="294" t="n">
        <v>0.503390939854336</v>
      </c>
      <c r="AK308" s="126" t="n">
        <v>0.302970379757412</v>
      </c>
      <c r="AL308" s="126" t="n">
        <v>0.0652285925162584</v>
      </c>
      <c r="AM308" s="127" t="n">
        <v>0.0496038101073682</v>
      </c>
      <c r="AN308" s="276" t="n">
        <v>5.155</v>
      </c>
    </row>
    <row customHeight="1" ht="15" r="309" s="3">
      <c r="A309" s="117" t="n">
        <v>43650</v>
      </c>
      <c r="B309" s="267" t="inlineStr">
        <is>
          <t>安卓</t>
        </is>
      </c>
      <c r="C309" s="268" t="n">
        <v>18975</v>
      </c>
      <c r="D309" s="268" t="n">
        <v>71123</v>
      </c>
      <c r="E309" s="269" t="n">
        <v>3.74824769433465</v>
      </c>
      <c r="F309" s="270" t="n">
        <v>0.285178084417136</v>
      </c>
      <c r="G309" s="271" t="n">
        <v>7.34</v>
      </c>
      <c r="H309" s="271" t="n">
        <v>16.79</v>
      </c>
      <c r="I309" s="141" t="n">
        <v>0.222</v>
      </c>
      <c r="J309" s="141" t="n">
        <v>0.096</v>
      </c>
      <c r="K309" s="141" t="n">
        <v>0.051</v>
      </c>
      <c r="L309" s="270" t="n">
        <v>9.16129803298511</v>
      </c>
      <c r="M309" s="272" t="n">
        <v>8.698831601591611</v>
      </c>
      <c r="N309" s="270" t="n">
        <v>14.2515203169631</v>
      </c>
      <c r="O309" s="273" t="n">
        <v>0.610379202227128</v>
      </c>
      <c r="P309" s="270" t="n">
        <v>2.22966000184281</v>
      </c>
      <c r="Q309" s="270" t="n">
        <v>2.47196627660555</v>
      </c>
      <c r="R309" s="270" t="n">
        <v>0.788791117663319</v>
      </c>
      <c r="S309" s="270" t="n">
        <v>4.40164009951166</v>
      </c>
      <c r="T309" s="270" t="n">
        <v>1.44787155625173</v>
      </c>
      <c r="U309" s="270" t="n">
        <v>0.503731687091127</v>
      </c>
      <c r="V309" s="270" t="n">
        <v>1.59506588040173</v>
      </c>
      <c r="W309" s="270" t="n">
        <v>0.812793697595135</v>
      </c>
      <c r="X309" s="270" t="n">
        <v>0.00298075165558258</v>
      </c>
      <c r="Y309" s="269" t="n">
        <v>8.70181235324719</v>
      </c>
      <c r="Z309" s="275" t="n">
        <v>433</v>
      </c>
      <c r="AA309" s="275" t="n">
        <v>307</v>
      </c>
      <c r="AB309" s="270" t="n">
        <v>2257.67</v>
      </c>
      <c r="AC309" s="290" t="n"/>
      <c r="AD309" s="276" t="n">
        <v>0.00608804465503424</v>
      </c>
      <c r="AE309" s="142" t="n">
        <v>0.00431646584086723</v>
      </c>
      <c r="AF309" s="270" t="n">
        <v>5.21401847575058</v>
      </c>
      <c r="AG309" s="277" t="n">
        <v>0.0317431773125431</v>
      </c>
      <c r="AH309" s="118" t="n">
        <v>0.414387351778656</v>
      </c>
      <c r="AI309" s="118" t="n">
        <v>0.277259552042161</v>
      </c>
      <c r="AJ309" s="270" t="n">
        <v>0.49443921094442</v>
      </c>
      <c r="AK309" s="64" t="n">
        <v>0.307031480674325</v>
      </c>
      <c r="AL309" s="64" t="n">
        <v>0.0663217243367125</v>
      </c>
      <c r="AM309" s="119" t="n">
        <v>0.021722930697524</v>
      </c>
      <c r="AN309" s="276" t="n">
        <v>4.693</v>
      </c>
    </row>
    <row customHeight="1" ht="15" r="310" s="3">
      <c r="A310" s="117" t="n">
        <v>43651</v>
      </c>
      <c r="B310" s="267" t="inlineStr">
        <is>
          <t>安卓</t>
        </is>
      </c>
      <c r="C310" s="268" t="n">
        <v>19487</v>
      </c>
      <c r="D310" s="268" t="n">
        <v>69011</v>
      </c>
      <c r="E310" s="269" t="n">
        <v>3.54138656540258</v>
      </c>
      <c r="F310" s="270" t="n">
        <v>0.274896883946038</v>
      </c>
      <c r="G310" s="271" t="n">
        <v>7.02</v>
      </c>
      <c r="H310" s="271" t="n">
        <v>16.07</v>
      </c>
      <c r="I310" s="141" t="n">
        <v>0.225</v>
      </c>
      <c r="J310" s="141" t="n">
        <v>0.106</v>
      </c>
      <c r="K310" s="141" t="n">
        <v>0.051</v>
      </c>
      <c r="L310" s="270" t="n">
        <v>8.984814015156999</v>
      </c>
      <c r="M310" s="272" t="n">
        <v>8.67500833200504</v>
      </c>
      <c r="N310" s="270" t="n">
        <v>14.4707887167339</v>
      </c>
      <c r="O310" s="273" t="n">
        <v>0.599484140209532</v>
      </c>
      <c r="P310" s="270" t="n">
        <v>2.33588745739769</v>
      </c>
      <c r="Q310" s="270" t="n">
        <v>2.50431461651882</v>
      </c>
      <c r="R310" s="270" t="n">
        <v>0.78608203814266</v>
      </c>
      <c r="S310" s="270" t="n">
        <v>4.4453602765222</v>
      </c>
      <c r="T310" s="270" t="n">
        <v>1.46929008242489</v>
      </c>
      <c r="U310" s="270" t="n">
        <v>0.506030794517899</v>
      </c>
      <c r="V310" s="270" t="n">
        <v>1.60218510550869</v>
      </c>
      <c r="W310" s="270" t="n">
        <v>0.821638345701095</v>
      </c>
      <c r="X310" s="270" t="n">
        <v>0.00249235629102607</v>
      </c>
      <c r="Y310" s="269" t="n">
        <v>8.677500688296069</v>
      </c>
      <c r="Z310" s="275" t="n">
        <v>451</v>
      </c>
      <c r="AA310" s="275" t="n">
        <v>323</v>
      </c>
      <c r="AB310" s="270" t="n">
        <v>2174.49</v>
      </c>
      <c r="AC310" s="290" t="n"/>
      <c r="AD310" s="276" t="n">
        <v>0.00653519004216719</v>
      </c>
      <c r="AE310" s="142" t="n">
        <v>0.00468041326745012</v>
      </c>
      <c r="AF310" s="270" t="n">
        <v>4.82148558758315</v>
      </c>
      <c r="AG310" s="277" t="n">
        <v>0.031509324600426</v>
      </c>
      <c r="AH310" s="118" t="n">
        <v>0.400728690922153</v>
      </c>
      <c r="AI310" s="118" t="n">
        <v>0.254323395083902</v>
      </c>
      <c r="AJ310" s="270" t="n">
        <v>0.473779542391793</v>
      </c>
      <c r="AK310" s="64" t="n">
        <v>0.299807277100752</v>
      </c>
      <c r="AL310" s="64" t="n">
        <v>0.0635405949776123</v>
      </c>
      <c r="AM310" s="119" t="n">
        <v>0</v>
      </c>
      <c r="AN310" s="276" t="n">
        <v>5.369</v>
      </c>
    </row>
    <row customHeight="1" ht="13.95" r="311" s="3">
      <c r="A311" s="117" t="n">
        <v>43652</v>
      </c>
      <c r="B311" s="289" t="inlineStr">
        <is>
          <t>安卓</t>
        </is>
      </c>
      <c r="C311" s="268" t="n">
        <v>18237</v>
      </c>
      <c r="D311" s="268" t="n">
        <v>68258</v>
      </c>
      <c r="E311" s="269" t="n">
        <v>3.74283050940396</v>
      </c>
      <c r="F311" s="270" t="n">
        <v>0.485454760877846</v>
      </c>
      <c r="G311" s="271" t="n">
        <v>6.4</v>
      </c>
      <c r="H311" s="271" t="n">
        <v>14.06</v>
      </c>
      <c r="I311" s="141" t="n">
        <v>0.219</v>
      </c>
      <c r="J311" s="141" t="n">
        <v>0.097</v>
      </c>
      <c r="K311" s="141" t="n">
        <v>0.051</v>
      </c>
      <c r="L311" s="270" t="n">
        <v>11.9060183421723</v>
      </c>
      <c r="M311" s="272" t="n">
        <v>12.7048697588561</v>
      </c>
      <c r="N311" s="270" t="n">
        <v>20.4597980465248</v>
      </c>
      <c r="O311" s="273" t="n">
        <v>0.620967505640365</v>
      </c>
      <c r="P311" s="270" t="n">
        <v>2.82300759684802</v>
      </c>
      <c r="Q311" s="270" t="n">
        <v>3.24998820365215</v>
      </c>
      <c r="R311" s="270" t="n">
        <v>1.24677959703676</v>
      </c>
      <c r="S311" s="270" t="n">
        <v>7.67168404661917</v>
      </c>
      <c r="T311" s="270" t="n">
        <v>1.88161185297032</v>
      </c>
      <c r="U311" s="270" t="n">
        <v>0.443070825272496</v>
      </c>
      <c r="V311" s="270" t="n">
        <v>2.21967158967584</v>
      </c>
      <c r="W311" s="270" t="n">
        <v>0.923984334450054</v>
      </c>
      <c r="X311" s="270" t="n">
        <v>0.00356002226845205</v>
      </c>
      <c r="Y311" s="269" t="n">
        <v>12.7084297811246</v>
      </c>
      <c r="Z311" s="275" t="n">
        <v>866</v>
      </c>
      <c r="AA311" s="275" t="n">
        <v>538</v>
      </c>
      <c r="AB311" s="270" t="n">
        <v>6366.34</v>
      </c>
      <c r="AC311" s="290" t="n"/>
      <c r="AD311" s="276" t="n">
        <v>0.0126871575492983</v>
      </c>
      <c r="AE311" s="142" t="n">
        <v>0.007881860001758041</v>
      </c>
      <c r="AF311" s="270" t="n">
        <v>7.35143187066975</v>
      </c>
      <c r="AG311" s="277" t="n">
        <v>0.0932687743561194</v>
      </c>
      <c r="AH311" s="118" t="n">
        <v>0.415912704940506</v>
      </c>
      <c r="AI311" s="118" t="n">
        <v>0.268191040193014</v>
      </c>
      <c r="AJ311" s="270" t="n">
        <v>0.387793372205456</v>
      </c>
      <c r="AK311" s="64" t="n">
        <v>0.271294207272408</v>
      </c>
      <c r="AL311" s="64" t="n">
        <v>0.0588795452547687</v>
      </c>
      <c r="AM311" s="119" t="n">
        <v>0.310469102522781</v>
      </c>
      <c r="AN311" s="276" t="n">
        <v>4.618</v>
      </c>
    </row>
    <row customHeight="1" ht="13.95" r="312" s="3">
      <c r="A312" s="117" t="n">
        <v>43653</v>
      </c>
      <c r="B312" s="289" t="inlineStr">
        <is>
          <t>安卓</t>
        </is>
      </c>
      <c r="C312" s="268" t="n">
        <v>17824</v>
      </c>
      <c r="D312" s="268" t="n">
        <v>68235</v>
      </c>
      <c r="E312" s="269" t="n">
        <v>3.82826526032316</v>
      </c>
      <c r="F312" s="270" t="n">
        <v>0.402251078258958</v>
      </c>
      <c r="G312" s="271" t="n">
        <v>6.1</v>
      </c>
      <c r="H312" s="271" t="n">
        <v>13.55</v>
      </c>
      <c r="I312" s="141" t="n">
        <v>0.213</v>
      </c>
      <c r="J312" s="141" t="n">
        <v>0.091</v>
      </c>
      <c r="K312" s="141" t="n">
        <v>0.047</v>
      </c>
      <c r="L312" s="270" t="n">
        <v>11.4213819887155</v>
      </c>
      <c r="M312" s="272" t="n">
        <v>12.2081776214553</v>
      </c>
      <c r="N312" s="270" t="n">
        <v>19.4613821138211</v>
      </c>
      <c r="O312" s="273" t="n">
        <v>0.627302703890965</v>
      </c>
      <c r="P312" s="270" t="n">
        <v>2.7128773011868</v>
      </c>
      <c r="Q312" s="270" t="n">
        <v>3.35279413138959</v>
      </c>
      <c r="R312" s="270" t="n">
        <v>1.18012335295767</v>
      </c>
      <c r="S312" s="270" t="n">
        <v>6.86657788991683</v>
      </c>
      <c r="T312" s="270" t="n">
        <v>1.8529810298103</v>
      </c>
      <c r="U312" s="270" t="n">
        <v>0.434865900383142</v>
      </c>
      <c r="V312" s="270" t="n">
        <v>2.12019904681805</v>
      </c>
      <c r="W312" s="270" t="n">
        <v>0.940963461358752</v>
      </c>
      <c r="X312" s="270" t="n">
        <v>0.00417674214112992</v>
      </c>
      <c r="Y312" s="269" t="n">
        <v>12.2123543635964</v>
      </c>
      <c r="Z312" s="275" t="n">
        <v>684</v>
      </c>
      <c r="AA312" s="275" t="n">
        <v>444</v>
      </c>
      <c r="AB312" s="270" t="n">
        <v>4587.16</v>
      </c>
      <c r="AC312" s="290" t="n"/>
      <c r="AD312" s="276" t="n">
        <v>0.0100241811387118</v>
      </c>
      <c r="AE312" s="142" t="n">
        <v>0.00650692459881293</v>
      </c>
      <c r="AF312" s="270" t="n">
        <v>6.70637426900585</v>
      </c>
      <c r="AG312" s="277" t="n">
        <v>0.06722591045651061</v>
      </c>
      <c r="AH312" s="118" t="n">
        <v>0.41528276481149</v>
      </c>
      <c r="AI312" s="118" t="n">
        <v>0.273395421903052</v>
      </c>
      <c r="AJ312" s="270" t="n">
        <v>0.393493075401187</v>
      </c>
      <c r="AK312" s="64" t="n">
        <v>0.267985637869129</v>
      </c>
      <c r="AL312" s="64" t="n">
        <v>0.0576830072543416</v>
      </c>
      <c r="AM312" s="119" t="n">
        <v>0.32893676265846</v>
      </c>
      <c r="AN312" s="276" t="n">
        <v>5.064</v>
      </c>
    </row>
    <row customHeight="1" ht="15" r="313" s="3">
      <c r="A313" s="117" t="n">
        <v>43654</v>
      </c>
      <c r="B313" s="289" t="inlineStr">
        <is>
          <t>安卓</t>
        </is>
      </c>
      <c r="C313" s="268" t="n">
        <v>17701</v>
      </c>
      <c r="D313" s="268" t="n">
        <v>69444</v>
      </c>
      <c r="E313" s="269" t="n">
        <v>3.92316818258855</v>
      </c>
      <c r="F313" s="270" t="n">
        <v>0.382475006739243</v>
      </c>
      <c r="G313" s="271" t="n">
        <v>6.1</v>
      </c>
      <c r="H313" s="271" t="n">
        <v>13.79</v>
      </c>
      <c r="I313" s="141" t="n">
        <v>0.214</v>
      </c>
      <c r="J313" s="141" t="n">
        <v>0.097</v>
      </c>
      <c r="K313" s="141" t="n">
        <v>0.048</v>
      </c>
      <c r="L313" s="270" t="n">
        <v>11.2581504521629</v>
      </c>
      <c r="M313" s="272" t="n">
        <v>11.8034819422844</v>
      </c>
      <c r="N313" s="270" t="n">
        <v>18.8008853617138</v>
      </c>
      <c r="O313" s="273" t="n">
        <v>0.627815218017395</v>
      </c>
      <c r="P313" s="270" t="n">
        <v>2.70060553236387</v>
      </c>
      <c r="Q313" s="270" t="n">
        <v>3.35708060002752</v>
      </c>
      <c r="R313" s="270" t="n">
        <v>1.11048671957429</v>
      </c>
      <c r="S313" s="270" t="n">
        <v>6.30561034909858</v>
      </c>
      <c r="T313" s="270" t="n">
        <v>1.86322767099408</v>
      </c>
      <c r="U313" s="270" t="n">
        <v>0.433207945318592</v>
      </c>
      <c r="V313" s="270" t="n">
        <v>2.09195375934676</v>
      </c>
      <c r="W313" s="270" t="n">
        <v>0.938689848158172</v>
      </c>
      <c r="X313" s="270" t="n">
        <v>0.00180001152007373</v>
      </c>
      <c r="Y313" s="269" t="n">
        <v>11.8052819538045</v>
      </c>
      <c r="Z313" s="275" t="n">
        <v>610</v>
      </c>
      <c r="AA313" s="275" t="n">
        <v>404</v>
      </c>
      <c r="AB313" s="270" t="n">
        <v>4284.9</v>
      </c>
      <c r="AC313" s="290" t="n"/>
      <c r="AD313" s="276" t="n">
        <v>0.008784056217959789</v>
      </c>
      <c r="AE313" s="142" t="n">
        <v>0.00581763723287829</v>
      </c>
      <c r="AF313" s="270" t="n">
        <v>7.0244262295082</v>
      </c>
      <c r="AG313" s="277" t="n">
        <v>0.0617029548989113</v>
      </c>
      <c r="AH313" s="118" t="n">
        <v>0.415456753855714</v>
      </c>
      <c r="AI313" s="118" t="n">
        <v>0.276877012598158</v>
      </c>
      <c r="AJ313" s="270" t="n">
        <v>0.408415413858649</v>
      </c>
      <c r="AK313" s="64" t="n">
        <v>0.276035366626346</v>
      </c>
      <c r="AL313" s="64" t="n">
        <v>0.0603363861528714</v>
      </c>
      <c r="AM313" s="119" t="n">
        <v>0.327818098035827</v>
      </c>
      <c r="AN313" s="276" t="n">
        <v>4.384</v>
      </c>
    </row>
    <row customHeight="1" ht="15" r="314" s="3">
      <c r="A314" s="117" t="n">
        <v>43655</v>
      </c>
      <c r="B314" s="289" t="inlineStr">
        <is>
          <t>安卓</t>
        </is>
      </c>
      <c r="C314" s="268" t="n">
        <v>7638</v>
      </c>
      <c r="D314" s="268" t="n">
        <v>58312</v>
      </c>
      <c r="E314" s="269" t="n">
        <v>7.63445928253469</v>
      </c>
      <c r="F314" s="270" t="n">
        <v>0.370139987909864</v>
      </c>
      <c r="G314" s="271" t="n">
        <v>6.2</v>
      </c>
      <c r="H314" s="271" t="n">
        <v>14.03</v>
      </c>
      <c r="I314" s="141" t="n">
        <v>0.229</v>
      </c>
      <c r="J314" s="141" t="n">
        <v>0.111</v>
      </c>
      <c r="K314" s="141" t="n">
        <v>0.058</v>
      </c>
      <c r="L314" s="270" t="n">
        <v>11.3279427905062</v>
      </c>
      <c r="M314" s="272" t="n">
        <v>12.0346240910962</v>
      </c>
      <c r="N314" s="270" t="n">
        <v>17.815313142596</v>
      </c>
      <c r="O314" s="273" t="n">
        <v>0.675521333516257</v>
      </c>
      <c r="P314" s="270" t="n">
        <v>2.53834632276408</v>
      </c>
      <c r="Q314" s="270" t="n">
        <v>3.19664390342972</v>
      </c>
      <c r="R314" s="270" t="n">
        <v>1.06156228580133</v>
      </c>
      <c r="S314" s="270" t="n">
        <v>5.85141275925973</v>
      </c>
      <c r="T314" s="270" t="n">
        <v>1.79134827752532</v>
      </c>
      <c r="U314" s="270" t="n">
        <v>0.447183366758904</v>
      </c>
      <c r="V314" s="270" t="n">
        <v>1.99548120128963</v>
      </c>
      <c r="W314" s="270" t="n">
        <v>0.933335025767307</v>
      </c>
      <c r="X314" s="270" t="n">
        <v>0.00248662367951708</v>
      </c>
      <c r="Y314" s="269" t="n">
        <v>12.0371107147757</v>
      </c>
      <c r="Z314" s="275" t="n">
        <v>519</v>
      </c>
      <c r="AA314" s="275" t="n">
        <v>372</v>
      </c>
      <c r="AB314" s="270" t="n">
        <v>3077.81</v>
      </c>
      <c r="AC314" s="290" t="n"/>
      <c r="AD314" s="276" t="n">
        <v>0.00890039785978872</v>
      </c>
      <c r="AE314" s="142" t="n">
        <v>0.00637947592262313</v>
      </c>
      <c r="AF314" s="270" t="n">
        <v>5.9302697495183</v>
      </c>
      <c r="AG314" s="277" t="n">
        <v>0.0527817601865825</v>
      </c>
      <c r="AH314" s="118" t="n">
        <v>0.520031421838178</v>
      </c>
      <c r="AI314" s="118" t="n">
        <v>0.447630269704111</v>
      </c>
      <c r="AJ314" s="270" t="n">
        <v>0.511832898888736</v>
      </c>
      <c r="AK314" s="64" t="n">
        <v>0.334802442035945</v>
      </c>
      <c r="AL314" s="64" t="n">
        <v>0.0777370009603512</v>
      </c>
      <c r="AM314" s="119" t="n">
        <v>0.327788448346824</v>
      </c>
      <c r="AN314" s="276" t="n">
        <v>4.024</v>
      </c>
    </row>
    <row customFormat="1" customHeight="1" ht="15" r="315" s="294">
      <c r="A315" s="121" t="n">
        <v>43656</v>
      </c>
      <c r="B315" s="295" t="inlineStr">
        <is>
          <t>安卓</t>
        </is>
      </c>
      <c r="C315" s="296" t="n">
        <v>4404</v>
      </c>
      <c r="D315" s="296" t="n">
        <v>50957</v>
      </c>
      <c r="E315" s="297" t="n">
        <v>11.5706176203451</v>
      </c>
      <c r="F315" s="294" t="n">
        <v>0.292877253664855</v>
      </c>
      <c r="G315" s="306" t="n">
        <v>6.53</v>
      </c>
      <c r="H315" s="306" t="n">
        <v>14.96</v>
      </c>
      <c r="I315" s="123" t="n">
        <v>0.217</v>
      </c>
      <c r="J315" s="123" t="n">
        <v>0.11</v>
      </c>
      <c r="K315" s="123" t="n">
        <v>0.055</v>
      </c>
      <c r="L315" s="294" t="n">
        <v>9.936770218026959</v>
      </c>
      <c r="M315" s="299" t="n">
        <v>10.0528092313127</v>
      </c>
      <c r="N315" s="294" t="n">
        <v>14.9770780340906</v>
      </c>
      <c r="O315" s="300" t="n">
        <v>0.671212983495889</v>
      </c>
      <c r="P315" s="294" t="n">
        <v>2.27798731105459</v>
      </c>
      <c r="Q315" s="294" t="n">
        <v>2.55565301289361</v>
      </c>
      <c r="R315" s="294" t="n">
        <v>0.897640557845803</v>
      </c>
      <c r="S315" s="294" t="n">
        <v>4.68505686635675</v>
      </c>
      <c r="T315" s="294" t="n">
        <v>1.57176271087331</v>
      </c>
      <c r="U315" s="294" t="n">
        <v>0.46659649738327</v>
      </c>
      <c r="V315" s="294" t="n">
        <v>1.67684121275911</v>
      </c>
      <c r="W315" s="294" t="n">
        <v>0.845539864924129</v>
      </c>
      <c r="X315" s="294" t="n">
        <v>0.00243342425966992</v>
      </c>
      <c r="Y315" s="297" t="n">
        <v>10.0552426555723</v>
      </c>
      <c r="Z315" s="293" t="n">
        <v>363</v>
      </c>
      <c r="AA315" s="293" t="n">
        <v>274</v>
      </c>
      <c r="AB315" s="294" t="n">
        <v>1667.37</v>
      </c>
      <c r="AC315" s="302" t="n"/>
      <c r="AD315" s="303" t="n">
        <v>0.00712365327629178</v>
      </c>
      <c r="AE315" s="124" t="n">
        <v>0.00537708263830288</v>
      </c>
      <c r="AF315" s="294" t="n">
        <v>4.59330578512397</v>
      </c>
      <c r="AG315" s="304" t="n">
        <v>0.0327211178052083</v>
      </c>
      <c r="AH315" s="125" t="n">
        <v>0.563124432334242</v>
      </c>
      <c r="AI315" s="125" t="n">
        <v>0.500681198910082</v>
      </c>
      <c r="AJ315" s="294" t="n">
        <v>0.604804050473929</v>
      </c>
      <c r="AK315" s="126" t="n">
        <v>0.389406754714759</v>
      </c>
      <c r="AL315" s="126" t="n">
        <v>0.08899660498067</v>
      </c>
      <c r="AM315" s="127" t="n">
        <v>0.064976352611025</v>
      </c>
      <c r="AN315" s="276" t="n">
        <v>3.75</v>
      </c>
    </row>
    <row customHeight="1" ht="13.2" r="316" s="3">
      <c r="A316" s="117" t="n">
        <v>43657</v>
      </c>
      <c r="B316" s="267" t="inlineStr">
        <is>
          <t>安卓</t>
        </is>
      </c>
      <c r="C316" s="268" t="n">
        <v>3730</v>
      </c>
      <c r="D316" s="268" t="n">
        <v>47128</v>
      </c>
      <c r="E316" s="269" t="n">
        <v>12.6348525469169</v>
      </c>
      <c r="F316" s="270" t="n">
        <v>0.350469389259039</v>
      </c>
      <c r="G316" s="271" t="n">
        <v>7.98</v>
      </c>
      <c r="H316" s="271" t="n">
        <v>16.56</v>
      </c>
      <c r="I316" s="141" t="n">
        <v>0.277</v>
      </c>
      <c r="J316" s="141" t="n">
        <v>0.129</v>
      </c>
      <c r="K316" s="141" t="n">
        <v>0.07199999999999999</v>
      </c>
      <c r="L316" s="270" t="n">
        <v>10.0022704124936</v>
      </c>
      <c r="M316" s="272" t="n">
        <v>10.0794219996605</v>
      </c>
      <c r="N316" s="270" t="n">
        <v>15.0323734177215</v>
      </c>
      <c r="O316" s="273" t="n">
        <v>0.670514343914446</v>
      </c>
      <c r="P316" s="270" t="n">
        <v>2.35085443037975</v>
      </c>
      <c r="Q316" s="270" t="n">
        <v>2.55088607594937</v>
      </c>
      <c r="R316" s="270" t="n">
        <v>0.869905063291139</v>
      </c>
      <c r="S316" s="270" t="n">
        <v>4.65971518987342</v>
      </c>
      <c r="T316" s="270" t="n">
        <v>1.62189873417722</v>
      </c>
      <c r="U316" s="270" t="n">
        <v>0.470411392405063</v>
      </c>
      <c r="V316" s="270" t="n">
        <v>1.6745253164557</v>
      </c>
      <c r="W316" s="270" t="n">
        <v>0.834177215189874</v>
      </c>
      <c r="X316" s="270" t="n">
        <v>0.00333135291122051</v>
      </c>
      <c r="Y316" s="269" t="n">
        <v>10.0827533525717</v>
      </c>
      <c r="Z316" s="275" t="n">
        <v>301</v>
      </c>
      <c r="AA316" s="275" t="n">
        <v>244</v>
      </c>
      <c r="AB316" s="270" t="n">
        <v>1700.99</v>
      </c>
      <c r="AC316" s="290" t="n"/>
      <c r="AD316" s="276" t="n">
        <v>0.00638686131386861</v>
      </c>
      <c r="AE316" s="142" t="n">
        <v>0.0051773892378204</v>
      </c>
      <c r="AF316" s="270" t="n">
        <v>5.65112956810631</v>
      </c>
      <c r="AG316" s="277" t="n">
        <v>0.0360929808181973</v>
      </c>
      <c r="AH316" s="118" t="n">
        <v>0.5509383378016089</v>
      </c>
      <c r="AI316" s="118" t="n">
        <v>0.485254691689008</v>
      </c>
      <c r="AJ316" s="270" t="n">
        <v>0.601680529621456</v>
      </c>
      <c r="AK316" s="64" t="n">
        <v>0.401863011373281</v>
      </c>
      <c r="AL316" s="64" t="n">
        <v>0.0950390426073672</v>
      </c>
      <c r="AM316" s="119" t="n">
        <v>0.0297699881174673</v>
      </c>
      <c r="AN316" s="276" t="n">
        <v>4.825</v>
      </c>
    </row>
    <row customHeight="1" ht="13.2" r="317" s="3">
      <c r="A317" s="117" t="n">
        <v>43658</v>
      </c>
      <c r="B317" s="267" t="inlineStr">
        <is>
          <t>安卓</t>
        </is>
      </c>
      <c r="C317" s="268" t="n">
        <v>8813</v>
      </c>
      <c r="D317" s="268" t="n">
        <v>50570</v>
      </c>
      <c r="E317" s="269" t="n">
        <v>5.7381141495518</v>
      </c>
      <c r="F317" s="270" t="n">
        <v>0.346837326952739</v>
      </c>
      <c r="G317" s="271" t="n">
        <v>8.220000000000001</v>
      </c>
      <c r="H317" s="271" t="n">
        <v>17.41</v>
      </c>
      <c r="I317" s="141" t="n">
        <v>0.226</v>
      </c>
      <c r="J317" s="141" t="n">
        <v>0.103</v>
      </c>
      <c r="K317" s="141" t="n">
        <v>0.054</v>
      </c>
      <c r="L317" s="270" t="n">
        <v>9.22883132291873</v>
      </c>
      <c r="M317" s="272" t="n">
        <v>9.384298991496941</v>
      </c>
      <c r="N317" s="270" t="n">
        <v>15.0121472858408</v>
      </c>
      <c r="O317" s="273" t="n">
        <v>0.625113703776943</v>
      </c>
      <c r="P317" s="270" t="n">
        <v>2.41240668100721</v>
      </c>
      <c r="Q317" s="270" t="n">
        <v>2.53770719979754</v>
      </c>
      <c r="R317" s="270" t="n">
        <v>0.8451853726433</v>
      </c>
      <c r="S317" s="270" t="n">
        <v>4.6355814247754</v>
      </c>
      <c r="T317" s="270" t="n">
        <v>1.62349740604834</v>
      </c>
      <c r="U317" s="270" t="n">
        <v>0.479248386688599</v>
      </c>
      <c r="V317" s="270" t="n">
        <v>1.64826648108313</v>
      </c>
      <c r="W317" s="270" t="n">
        <v>0.830254333797292</v>
      </c>
      <c r="X317" s="270" t="n">
        <v>0.0012853470437018</v>
      </c>
      <c r="Y317" s="269" t="n">
        <v>9.385584338540641</v>
      </c>
      <c r="Z317" s="275" t="n">
        <v>375</v>
      </c>
      <c r="AA317" s="275" t="n">
        <v>275</v>
      </c>
      <c r="AB317" s="270" t="n">
        <v>1986.25</v>
      </c>
      <c r="AC317" s="290" t="n"/>
      <c r="AD317" s="276" t="n">
        <v>0.00741546371366423</v>
      </c>
      <c r="AE317" s="142" t="n">
        <v>0.00543800672335377</v>
      </c>
      <c r="AF317" s="270" t="n">
        <v>5.29666666666667</v>
      </c>
      <c r="AG317" s="277" t="n">
        <v>0.0392772394700415</v>
      </c>
      <c r="AH317" s="118" t="n">
        <v>0.429706115965052</v>
      </c>
      <c r="AI317" s="118" t="n">
        <v>0.283671848405764</v>
      </c>
      <c r="AJ317" s="270" t="n">
        <v>0.551315008898556</v>
      </c>
      <c r="AK317" s="64" t="n">
        <v>0.366205260035594</v>
      </c>
      <c r="AL317" s="64" t="n">
        <v>0.0883527783270714</v>
      </c>
      <c r="AM317" s="119" t="n">
        <v>0.0180344077516314</v>
      </c>
      <c r="AN317" s="276" t="n">
        <v>4.28</v>
      </c>
    </row>
    <row customHeight="1" ht="13.95" r="318" s="3">
      <c r="A318" s="117" t="n">
        <v>43659</v>
      </c>
      <c r="B318" s="289" t="inlineStr">
        <is>
          <t>安卓</t>
        </is>
      </c>
      <c r="C318" s="268" t="n">
        <v>5103</v>
      </c>
      <c r="D318" s="268" t="n">
        <v>47077</v>
      </c>
      <c r="E318" s="269" t="n">
        <v>9.225357632765039</v>
      </c>
      <c r="F318" s="270" t="n">
        <v>0.641914401767317</v>
      </c>
      <c r="G318" s="271" t="n">
        <v>7.35</v>
      </c>
      <c r="H318" s="271" t="n">
        <v>14.93</v>
      </c>
      <c r="I318" s="141" t="n">
        <v>0.214</v>
      </c>
      <c r="J318" s="141" t="n">
        <v>0.1</v>
      </c>
      <c r="K318" s="141" t="n">
        <v>0.054</v>
      </c>
      <c r="L318" s="270" t="n">
        <v>13.7162096140366</v>
      </c>
      <c r="M318" s="272" t="n">
        <v>15.7594791511779</v>
      </c>
      <c r="N318" s="270" t="n">
        <v>23.1882794186592</v>
      </c>
      <c r="O318" s="273" t="n">
        <v>0.67963124243261</v>
      </c>
      <c r="P318" s="270" t="n">
        <v>3.04016252539459</v>
      </c>
      <c r="Q318" s="270" t="n">
        <v>3.5731520550086</v>
      </c>
      <c r="R318" s="270" t="n">
        <v>1.50260978277856</v>
      </c>
      <c r="S318" s="270" t="n">
        <v>8.95214877324582</v>
      </c>
      <c r="T318" s="270" t="n">
        <v>2.21306454133458</v>
      </c>
      <c r="U318" s="270" t="n">
        <v>0.407907485544616</v>
      </c>
      <c r="V318" s="270" t="n">
        <v>2.49995311767464</v>
      </c>
      <c r="W318" s="270" t="n">
        <v>0.9992811376777621</v>
      </c>
      <c r="X318" s="270" t="n">
        <v>0.00316502750812499</v>
      </c>
      <c r="Y318" s="269" t="n">
        <v>15.762644178686</v>
      </c>
      <c r="Z318" s="275" t="n">
        <v>765</v>
      </c>
      <c r="AA318" s="275" t="n">
        <v>481</v>
      </c>
      <c r="AB318" s="270" t="n">
        <v>5281.35</v>
      </c>
      <c r="AC318" s="290" t="n"/>
      <c r="AD318" s="276" t="n">
        <v>0.0162499734477558</v>
      </c>
      <c r="AE318" s="142" t="n">
        <v>0.0102173035664974</v>
      </c>
      <c r="AF318" s="270" t="n">
        <v>6.90372549019608</v>
      </c>
      <c r="AG318" s="277" t="n">
        <v>0.112185355906281</v>
      </c>
      <c r="AH318" s="118" t="n">
        <v>0.517538702723888</v>
      </c>
      <c r="AI318" s="118" t="n">
        <v>0.424652165392906</v>
      </c>
      <c r="AJ318" s="270" t="n">
        <v>0.468424071202498</v>
      </c>
      <c r="AK318" s="64" t="n">
        <v>0.35422817936572</v>
      </c>
      <c r="AL318" s="64" t="n">
        <v>0.08594430401257511</v>
      </c>
      <c r="AM318" s="119" t="n">
        <v>0.38065297278926</v>
      </c>
      <c r="AN318" s="276" t="n">
        <v>3.782</v>
      </c>
    </row>
    <row customHeight="1" ht="13.95" r="319" s="3">
      <c r="A319" s="117" t="n">
        <v>43660</v>
      </c>
      <c r="B319" s="289" t="inlineStr">
        <is>
          <t>安卓</t>
        </is>
      </c>
      <c r="C319" s="268" t="n">
        <v>6667</v>
      </c>
      <c r="D319" s="268" t="n">
        <v>47937</v>
      </c>
      <c r="E319" s="269" t="n">
        <v>7.19019049047548</v>
      </c>
      <c r="F319" s="270" t="n">
        <v>0.538869525502222</v>
      </c>
      <c r="G319" s="271" t="n">
        <v>7.16</v>
      </c>
      <c r="H319" s="271" t="n">
        <v>14.96</v>
      </c>
      <c r="I319" s="141" t="n">
        <v>0.251</v>
      </c>
      <c r="J319" s="141" t="n">
        <v>0.114</v>
      </c>
      <c r="K319" s="141" t="n">
        <v>0.064</v>
      </c>
      <c r="L319" s="270" t="n">
        <v>13.0084694494858</v>
      </c>
      <c r="M319" s="272" t="n">
        <v>14.9677284769593</v>
      </c>
      <c r="N319" s="270" t="n">
        <v>22.1459921602519</v>
      </c>
      <c r="O319" s="273" t="n">
        <v>0.675866241108121</v>
      </c>
      <c r="P319" s="270" t="n">
        <v>3.00651254668354</v>
      </c>
      <c r="Q319" s="270" t="n">
        <v>3.68002098830211</v>
      </c>
      <c r="R319" s="270" t="n">
        <v>1.40964227290966</v>
      </c>
      <c r="S319" s="270" t="n">
        <v>8.06808852125066</v>
      </c>
      <c r="T319" s="270" t="n">
        <v>2.18330812679404</v>
      </c>
      <c r="U319" s="270" t="n">
        <v>0.408376801753141</v>
      </c>
      <c r="V319" s="270" t="n">
        <v>2.37763511219482</v>
      </c>
      <c r="W319" s="270" t="n">
        <v>1.0124077903639</v>
      </c>
      <c r="X319" s="270" t="n">
        <v>0.00346287836118239</v>
      </c>
      <c r="Y319" s="269" t="n">
        <v>14.9711913553205</v>
      </c>
      <c r="Z319" s="275" t="n">
        <v>574</v>
      </c>
      <c r="AA319" s="275" t="n">
        <v>407</v>
      </c>
      <c r="AB319" s="270" t="n">
        <v>3792.26</v>
      </c>
      <c r="AC319" s="290" t="n"/>
      <c r="AD319" s="276" t="n">
        <v>0.0119740492730042</v>
      </c>
      <c r="AE319" s="142" t="n">
        <v>0.0084903101988026</v>
      </c>
      <c r="AF319" s="270" t="n">
        <v>6.60672473867596</v>
      </c>
      <c r="AG319" s="277" t="n">
        <v>0.0791092475540814</v>
      </c>
      <c r="AH319" s="118" t="n">
        <v>0.470076496175191</v>
      </c>
      <c r="AI319" s="118" t="n">
        <v>0.325783710814459</v>
      </c>
      <c r="AJ319" s="270" t="n">
        <v>0.444541794438534</v>
      </c>
      <c r="AK319" s="64" t="n">
        <v>0.331956526274068</v>
      </c>
      <c r="AL319" s="64" t="n">
        <v>0.0792498487598306</v>
      </c>
      <c r="AM319" s="119" t="n">
        <v>0.395039322444041</v>
      </c>
      <c r="AN319" s="276" t="n">
        <v>4.796</v>
      </c>
    </row>
    <row customHeight="1" ht="15" r="320" s="3">
      <c r="A320" s="117" t="n">
        <v>43661</v>
      </c>
      <c r="B320" s="289" t="inlineStr">
        <is>
          <t>安卓</t>
        </is>
      </c>
      <c r="C320" s="268" t="n">
        <v>6550</v>
      </c>
      <c r="D320" s="268" t="n">
        <v>48707</v>
      </c>
      <c r="E320" s="269" t="n">
        <v>7.43618320610687</v>
      </c>
      <c r="F320" s="270" t="n">
        <v>0.496197534748599</v>
      </c>
      <c r="G320" s="271" t="n">
        <v>7.13</v>
      </c>
      <c r="H320" s="271" t="n">
        <v>14.38</v>
      </c>
      <c r="I320" s="141" t="n">
        <v>0.247</v>
      </c>
      <c r="J320" s="141" t="n">
        <v>0.116</v>
      </c>
      <c r="K320" s="141" t="n">
        <v>0.061</v>
      </c>
      <c r="L320" s="270" t="n">
        <v>12.3865768780668</v>
      </c>
      <c r="M320" s="272" t="n">
        <v>14.0913010450243</v>
      </c>
      <c r="N320" s="270" t="n">
        <v>20.7712677420331</v>
      </c>
      <c r="O320" s="273" t="n">
        <v>0.67840351489519</v>
      </c>
      <c r="P320" s="270" t="n">
        <v>2.90321702024635</v>
      </c>
      <c r="Q320" s="270" t="n">
        <v>3.58378476530581</v>
      </c>
      <c r="R320" s="270" t="n">
        <v>1.26810519625942</v>
      </c>
      <c r="S320" s="270" t="n">
        <v>7.21668734679055</v>
      </c>
      <c r="T320" s="270" t="n">
        <v>2.11333716672215</v>
      </c>
      <c r="U320" s="270" t="n">
        <v>0.40480585903217</v>
      </c>
      <c r="V320" s="270" t="n">
        <v>2.2861120358321</v>
      </c>
      <c r="W320" s="270" t="n">
        <v>0.995218351844566</v>
      </c>
      <c r="X320" s="270" t="n">
        <v>0.00379822202147535</v>
      </c>
      <c r="Y320" s="269" t="n">
        <v>14.0950992670458</v>
      </c>
      <c r="Z320" s="275" t="n">
        <v>501</v>
      </c>
      <c r="AA320" s="275" t="n">
        <v>359</v>
      </c>
      <c r="AB320" s="270" t="n">
        <v>3549.99</v>
      </c>
      <c r="AC320" s="290" t="n"/>
      <c r="AD320" s="276" t="n">
        <v>0.0102859958527522</v>
      </c>
      <c r="AE320" s="142" t="n">
        <v>0.00737060381464677</v>
      </c>
      <c r="AF320" s="270" t="n">
        <v>7.08580838323353</v>
      </c>
      <c r="AG320" s="277" t="n">
        <v>0.0728845956433367</v>
      </c>
      <c r="AH320" s="118" t="n">
        <v>0.487328244274809</v>
      </c>
      <c r="AI320" s="118" t="n">
        <v>0.360610687022901</v>
      </c>
      <c r="AJ320" s="270" t="n">
        <v>0.45295337425832</v>
      </c>
      <c r="AK320" s="64" t="n">
        <v>0.330979120044347</v>
      </c>
      <c r="AL320" s="64" t="n">
        <v>0.0801527501180528</v>
      </c>
      <c r="AM320" s="119" t="n">
        <v>0.38828094524401</v>
      </c>
      <c r="AN320" s="276" t="n">
        <v>3.815</v>
      </c>
    </row>
    <row customHeight="1" ht="15" r="321" s="3">
      <c r="A321" s="117" t="n">
        <v>43662</v>
      </c>
      <c r="B321" s="289" t="inlineStr">
        <is>
          <t>安卓</t>
        </is>
      </c>
      <c r="C321" s="268" t="n">
        <v>10465</v>
      </c>
      <c r="D321" s="268" t="n">
        <v>51398</v>
      </c>
      <c r="E321" s="269" t="n">
        <v>4.91141901576684</v>
      </c>
      <c r="F321" s="270" t="n">
        <v>0.443993782870929</v>
      </c>
      <c r="G321" s="271" t="n">
        <v>7.89</v>
      </c>
      <c r="H321" s="271" t="n">
        <v>15.89</v>
      </c>
      <c r="I321" s="141" t="n">
        <v>0.232</v>
      </c>
      <c r="J321" s="141" t="n">
        <v>0.096</v>
      </c>
      <c r="K321" s="141" t="n">
        <v>0.048</v>
      </c>
      <c r="L321" s="270" t="n">
        <v>10.6847542705942</v>
      </c>
      <c r="M321" s="272" t="n">
        <v>11.9704268648586</v>
      </c>
      <c r="N321" s="270" t="n">
        <v>18.7435186595583</v>
      </c>
      <c r="O321" s="273" t="n">
        <v>0.638643526985486</v>
      </c>
      <c r="P321" s="270" t="n">
        <v>2.69904036557502</v>
      </c>
      <c r="Q321" s="270" t="n">
        <v>3.1972581873572</v>
      </c>
      <c r="R321" s="270" t="n">
        <v>1.160761614623</v>
      </c>
      <c r="S321" s="270" t="n">
        <v>6.31454683929931</v>
      </c>
      <c r="T321" s="270" t="n">
        <v>1.90589489718203</v>
      </c>
      <c r="U321" s="270" t="n">
        <v>0.4398476770754</v>
      </c>
      <c r="V321" s="270" t="n">
        <v>2.09632901751714</v>
      </c>
      <c r="W321" s="270" t="n">
        <v>0.92984006092917</v>
      </c>
      <c r="X321" s="270" t="n">
        <v>0.002976769524106</v>
      </c>
      <c r="Y321" s="269" t="n">
        <v>11.9734036343827</v>
      </c>
      <c r="Z321" s="275" t="n">
        <v>475</v>
      </c>
      <c r="AA321" s="275" t="n">
        <v>340</v>
      </c>
      <c r="AB321" s="270" t="n">
        <v>2856.25</v>
      </c>
      <c r="AC321" s="290" t="n"/>
      <c r="AD321" s="276" t="n">
        <v>0.00924160473170162</v>
      </c>
      <c r="AE321" s="142" t="n">
        <v>0.00661504338690221</v>
      </c>
      <c r="AF321" s="270" t="n">
        <v>6.01315789473684</v>
      </c>
      <c r="AG321" s="277" t="n">
        <v>0.055571228452469</v>
      </c>
      <c r="AH321" s="118" t="n">
        <v>0.380793119923555</v>
      </c>
      <c r="AI321" s="118" t="n">
        <v>0.229813664596273</v>
      </c>
      <c r="AJ321" s="270" t="n">
        <v>0.474006770691467</v>
      </c>
      <c r="AK321" s="64" t="n">
        <v>0.31940931553757</v>
      </c>
      <c r="AL321" s="64" t="n">
        <v>0.0812872096190513</v>
      </c>
      <c r="AM321" s="119" t="n">
        <v>0.312191135841862</v>
      </c>
      <c r="AN321" s="276" t="n">
        <v>3.843</v>
      </c>
    </row>
    <row customFormat="1" customHeight="1" ht="15" r="322" s="294">
      <c r="A322" s="121" t="n">
        <v>43663</v>
      </c>
      <c r="B322" s="295" t="inlineStr">
        <is>
          <t>安卓</t>
        </is>
      </c>
      <c r="C322" s="296" t="n">
        <v>20425</v>
      </c>
      <c r="D322" s="296" t="n">
        <v>60135</v>
      </c>
      <c r="E322" s="297" t="n">
        <v>2.94418604651163</v>
      </c>
      <c r="F322" s="294" t="n">
        <v>0.335536754103268</v>
      </c>
      <c r="G322" s="306" t="n">
        <v>8.43</v>
      </c>
      <c r="H322" s="306" t="n">
        <v>17.55</v>
      </c>
      <c r="I322" s="123" t="n">
        <v>0.214</v>
      </c>
      <c r="J322" s="123" t="n">
        <v>0.08699999999999999</v>
      </c>
      <c r="K322" s="123" t="n">
        <v>0.044</v>
      </c>
      <c r="L322" s="294" t="n">
        <v>8.574224661179009</v>
      </c>
      <c r="M322" s="299" t="n">
        <v>8.729724785898391</v>
      </c>
      <c r="N322" s="294" t="n">
        <v>15.2004285383368</v>
      </c>
      <c r="O322" s="300" t="n">
        <v>0.574307807433275</v>
      </c>
      <c r="P322" s="294" t="n">
        <v>2.49108176974751</v>
      </c>
      <c r="Q322" s="294" t="n">
        <v>2.46201065554783</v>
      </c>
      <c r="R322" s="294" t="n">
        <v>0.837068566133889</v>
      </c>
      <c r="S322" s="294" t="n">
        <v>4.80857655779477</v>
      </c>
      <c r="T322" s="294" t="n">
        <v>1.60678712068566</v>
      </c>
      <c r="U322" s="294" t="n">
        <v>0.512914060690294</v>
      </c>
      <c r="V322" s="294" t="n">
        <v>1.65910933518647</v>
      </c>
      <c r="W322" s="294" t="n">
        <v>0.822880472550382</v>
      </c>
      <c r="X322" s="294" t="n">
        <v>0.00327596241789307</v>
      </c>
      <c r="Y322" s="297" t="n">
        <v>8.733000748316289</v>
      </c>
      <c r="Z322" s="293" t="n">
        <v>369</v>
      </c>
      <c r="AA322" s="293" t="n">
        <v>280</v>
      </c>
      <c r="AB322" s="294" t="n">
        <v>2375.31</v>
      </c>
      <c r="AC322" s="302" t="n"/>
      <c r="AD322" s="303" t="n">
        <v>0.00613619356447992</v>
      </c>
      <c r="AE322" s="124" t="n">
        <v>0.00465619023862975</v>
      </c>
      <c r="AF322" s="294" t="n">
        <v>6.43715447154471</v>
      </c>
      <c r="AG322" s="304" t="n">
        <v>0.0394996258418558</v>
      </c>
      <c r="AH322" s="125" t="n">
        <v>0.363133414932681</v>
      </c>
      <c r="AI322" s="125" t="n">
        <v>0.195250917992656</v>
      </c>
      <c r="AJ322" s="294" t="n">
        <v>0.471638812671489</v>
      </c>
      <c r="AK322" s="126" t="n">
        <v>0.286921094204706</v>
      </c>
      <c r="AL322" s="126" t="n">
        <v>0.0707574623763199</v>
      </c>
      <c r="AM322" s="127" t="n">
        <v>0.0472270724203875</v>
      </c>
      <c r="AN322" s="276" t="n">
        <v>4.139</v>
      </c>
    </row>
    <row customHeight="1" ht="13.2" r="323" s="3">
      <c r="A323" s="117" t="n">
        <v>43664</v>
      </c>
      <c r="B323" s="267" t="inlineStr">
        <is>
          <t>安卓</t>
        </is>
      </c>
      <c r="C323" s="268" t="n">
        <v>15659</v>
      </c>
      <c r="D323" s="268" t="n">
        <v>56686</v>
      </c>
      <c r="E323" s="269" t="n">
        <v>3.62002682163612</v>
      </c>
      <c r="F323" s="270" t="n">
        <v>0.375428814345694</v>
      </c>
      <c r="G323" s="271" t="n">
        <v>8.9</v>
      </c>
      <c r="H323" s="271" t="n">
        <v>18.81</v>
      </c>
      <c r="I323" s="141" t="n">
        <v>0.228</v>
      </c>
      <c r="J323" s="141" t="n">
        <v>0.098</v>
      </c>
      <c r="K323" s="141" t="n">
        <v>0.051</v>
      </c>
      <c r="L323" s="270" t="n">
        <v>9.073915958084889</v>
      </c>
      <c r="M323" s="272" t="n">
        <v>9.365310658716441</v>
      </c>
      <c r="N323" s="270" t="n">
        <v>15.5296767588123</v>
      </c>
      <c r="O323" s="273" t="n">
        <v>0.603058956356069</v>
      </c>
      <c r="P323" s="270" t="n">
        <v>2.50291063331871</v>
      </c>
      <c r="Q323" s="270" t="n">
        <v>2.62533274828141</v>
      </c>
      <c r="R323" s="270" t="n">
        <v>0.839432499634342</v>
      </c>
      <c r="S323" s="270" t="n">
        <v>4.86245429281849</v>
      </c>
      <c r="T323" s="270" t="n">
        <v>1.63337721222758</v>
      </c>
      <c r="U323" s="270" t="n">
        <v>0.513821851689337</v>
      </c>
      <c r="V323" s="270" t="n">
        <v>1.69834722831651</v>
      </c>
      <c r="W323" s="270" t="n">
        <v>0.854000292525962</v>
      </c>
      <c r="X323" s="270" t="n">
        <v>0.000987898246480612</v>
      </c>
      <c r="Y323" s="269" t="n">
        <v>9.366298556962921</v>
      </c>
      <c r="Z323" s="275" t="n">
        <v>391</v>
      </c>
      <c r="AA323" s="275" t="n">
        <v>266</v>
      </c>
      <c r="AB323" s="270" t="n">
        <v>2425.09</v>
      </c>
      <c r="AC323" s="290" t="n"/>
      <c r="AD323" s="276" t="n">
        <v>0.00689764668524856</v>
      </c>
      <c r="AE323" s="142" t="n">
        <v>0.00469251667078291</v>
      </c>
      <c r="AF323" s="270" t="n">
        <v>6.20227621483376</v>
      </c>
      <c r="AG323" s="277" t="n">
        <v>0.0427811099742441</v>
      </c>
      <c r="AH323" s="118" t="n">
        <v>0.426464014304873</v>
      </c>
      <c r="AI323" s="118" t="n">
        <v>0.272175745577623</v>
      </c>
      <c r="AJ323" s="270" t="n">
        <v>0.505274670994602</v>
      </c>
      <c r="AK323" s="64" t="n">
        <v>0.308912253466464</v>
      </c>
      <c r="AL323" s="64" t="n">
        <v>0.0719930847122746</v>
      </c>
      <c r="AM323" s="119" t="n">
        <v>0</v>
      </c>
      <c r="AN323" s="276" t="n">
        <v>4.111</v>
      </c>
    </row>
    <row customHeight="1" ht="13.2" r="324" s="3">
      <c r="A324" s="117" t="n">
        <v>43665</v>
      </c>
      <c r="B324" s="267" t="inlineStr">
        <is>
          <t>安卓</t>
        </is>
      </c>
      <c r="C324" s="268" t="n">
        <v>9925</v>
      </c>
      <c r="D324" s="268" t="n">
        <v>50509</v>
      </c>
      <c r="E324" s="269" t="n">
        <v>5.08906801007557</v>
      </c>
      <c r="F324" s="270" t="n">
        <v>0.359576873131521</v>
      </c>
      <c r="G324" s="271" t="n">
        <v>8.33</v>
      </c>
      <c r="H324" s="271" t="n">
        <v>17.38</v>
      </c>
      <c r="I324" s="141" t="n">
        <v>0.263</v>
      </c>
      <c r="J324" s="141" t="n">
        <v>0.121</v>
      </c>
      <c r="K324" s="141" t="n">
        <v>0.06</v>
      </c>
      <c r="L324" s="270" t="n">
        <v>9.193787245837379</v>
      </c>
      <c r="M324" s="272" t="n">
        <v>9.600962204755589</v>
      </c>
      <c r="N324" s="270" t="n">
        <v>15.2696958246741</v>
      </c>
      <c r="O324" s="273" t="n">
        <v>0.628759231028134</v>
      </c>
      <c r="P324" s="270" t="n">
        <v>2.4310724856729</v>
      </c>
      <c r="Q324" s="270" t="n">
        <v>2.61949744946155</v>
      </c>
      <c r="R324" s="270" t="n">
        <v>0.841236853706153</v>
      </c>
      <c r="S324" s="270" t="n">
        <v>4.74135650859626</v>
      </c>
      <c r="T324" s="270" t="n">
        <v>1.61515208766295</v>
      </c>
      <c r="U324" s="270" t="n">
        <v>0.504030480508848</v>
      </c>
      <c r="V324" s="270" t="n">
        <v>1.67497953271617</v>
      </c>
      <c r="W324" s="270" t="n">
        <v>0.842370426349266</v>
      </c>
      <c r="X324" s="270" t="n">
        <v>0.00126710091270863</v>
      </c>
      <c r="Y324" s="269" t="n">
        <v>9.602229305668301</v>
      </c>
      <c r="Z324" s="275" t="n">
        <v>388</v>
      </c>
      <c r="AA324" s="275" t="n">
        <v>281</v>
      </c>
      <c r="AB324" s="270" t="n">
        <v>2133.12</v>
      </c>
      <c r="AC324" s="290" t="n"/>
      <c r="AD324" s="276" t="n">
        <v>0.00768179928329605</v>
      </c>
      <c r="AE324" s="142" t="n">
        <v>0.00556336494486131</v>
      </c>
      <c r="AF324" s="270" t="n">
        <v>5.49773195876289</v>
      </c>
      <c r="AG324" s="277" t="n">
        <v>0.0422324734205785</v>
      </c>
      <c r="AH324" s="118" t="n">
        <v>0.45360201511335</v>
      </c>
      <c r="AI324" s="118" t="n">
        <v>0.323425692695214</v>
      </c>
      <c r="AJ324" s="270" t="n">
        <v>0.550377160506048</v>
      </c>
      <c r="AK324" s="64" t="n">
        <v>0.340236393514027</v>
      </c>
      <c r="AL324" s="64" t="n">
        <v>0.07830287671504089</v>
      </c>
      <c r="AM324" s="119" t="n">
        <v>0</v>
      </c>
      <c r="AN324" s="276" t="n">
        <v>3.803</v>
      </c>
    </row>
    <row customHeight="1" ht="13.2" r="325" s="3">
      <c r="A325" s="117" t="n">
        <v>43666</v>
      </c>
      <c r="B325" s="289" t="inlineStr">
        <is>
          <t>安卓</t>
        </is>
      </c>
      <c r="C325" s="268" t="n">
        <v>20711</v>
      </c>
      <c r="D325" s="268" t="n">
        <v>60771</v>
      </c>
      <c r="E325" s="269" t="n">
        <v>2.93423784462363</v>
      </c>
      <c r="F325" s="270" t="n">
        <v>0.491911985535864</v>
      </c>
      <c r="G325" s="271" t="n">
        <v>7</v>
      </c>
      <c r="H325" s="271" t="n">
        <v>15.28</v>
      </c>
      <c r="I325" s="141" t="n">
        <v>0.252</v>
      </c>
      <c r="J325" s="141" t="n">
        <v>0.119</v>
      </c>
      <c r="K325" s="141" t="n">
        <v>0.055</v>
      </c>
      <c r="L325" s="270" t="n">
        <v>11.709088216419</v>
      </c>
      <c r="M325" s="272" t="n">
        <v>13.0393937898011</v>
      </c>
      <c r="N325" s="270" t="n">
        <v>21.6176615015277</v>
      </c>
      <c r="O325" s="273" t="n">
        <v>0.603182438992283</v>
      </c>
      <c r="P325" s="270" t="n">
        <v>2.99296158882584</v>
      </c>
      <c r="Q325" s="270" t="n">
        <v>3.41324749017896</v>
      </c>
      <c r="R325" s="270" t="n">
        <v>1.30267896115234</v>
      </c>
      <c r="S325" s="270" t="n">
        <v>8.14616979484941</v>
      </c>
      <c r="T325" s="270" t="n">
        <v>1.99882693147097</v>
      </c>
      <c r="U325" s="270" t="n">
        <v>0.472255565255347</v>
      </c>
      <c r="V325" s="270" t="n">
        <v>2.3438727629856</v>
      </c>
      <c r="W325" s="270" t="n">
        <v>0.947648406809254</v>
      </c>
      <c r="X325" s="270" t="n">
        <v>0.00286320778002666</v>
      </c>
      <c r="Y325" s="269" t="n">
        <v>13.0422569975811</v>
      </c>
      <c r="Z325" s="275" t="n">
        <v>681</v>
      </c>
      <c r="AA325" s="275" t="n">
        <v>447</v>
      </c>
      <c r="AB325" s="270" t="n">
        <v>5096.19</v>
      </c>
      <c r="AC325" s="290" t="n"/>
      <c r="AD325" s="276" t="n">
        <v>0.0112060028632078</v>
      </c>
      <c r="AE325" s="142" t="n">
        <v>0.00735548205558572</v>
      </c>
      <c r="AF325" s="270" t="n">
        <v>7.48339207048458</v>
      </c>
      <c r="AG325" s="277" t="n">
        <v>0.0838589129683566</v>
      </c>
      <c r="AH325" s="118" t="n">
        <v>0.432089227946502</v>
      </c>
      <c r="AI325" s="118" t="n">
        <v>0.253971319588624</v>
      </c>
      <c r="AJ325" s="270" t="n">
        <v>0.402231327442366</v>
      </c>
      <c r="AK325" s="64" t="n">
        <v>0.254677395468233</v>
      </c>
      <c r="AL325" s="64" t="n">
        <v>0.0596172516496355</v>
      </c>
      <c r="AM325" s="119" t="n">
        <v>0</v>
      </c>
      <c r="AN325" s="276" t="n">
        <v>4.214</v>
      </c>
    </row>
    <row customHeight="1" ht="13.2" r="326" s="3">
      <c r="A326" s="117" t="n">
        <v>43667</v>
      </c>
      <c r="B326" s="289" t="inlineStr">
        <is>
          <t>安卓</t>
        </is>
      </c>
      <c r="C326" s="268" t="n">
        <v>17446</v>
      </c>
      <c r="D326" s="268" t="n">
        <v>60153</v>
      </c>
      <c r="E326" s="269" t="n">
        <v>3.4479536856586</v>
      </c>
      <c r="F326" s="270" t="n">
        <v>0.491929950526158</v>
      </c>
      <c r="G326" s="271" t="n">
        <v>7.27</v>
      </c>
      <c r="H326" s="271" t="n">
        <v>15.78</v>
      </c>
      <c r="I326" s="141" t="n">
        <v>0.255</v>
      </c>
      <c r="J326" s="141" t="n">
        <v>0.112</v>
      </c>
      <c r="K326" s="141" t="n">
        <v>0.059</v>
      </c>
      <c r="L326" s="270" t="n">
        <v>11.5555167655811</v>
      </c>
      <c r="M326" s="272" t="n">
        <v>12.938972287334</v>
      </c>
      <c r="N326" s="270" t="n">
        <v>20.6368288479385</v>
      </c>
      <c r="O326" s="273" t="n">
        <v>0.626984522800193</v>
      </c>
      <c r="P326" s="270" t="n">
        <v>2.8648283176455</v>
      </c>
      <c r="Q326" s="270" t="n">
        <v>3.57611030094127</v>
      </c>
      <c r="R326" s="270" t="n">
        <v>1.2422908657033</v>
      </c>
      <c r="S326" s="270" t="n">
        <v>7.30088824075302</v>
      </c>
      <c r="T326" s="270" t="n">
        <v>1.97550046400636</v>
      </c>
      <c r="U326" s="270" t="n">
        <v>0.459578417075434</v>
      </c>
      <c r="V326" s="270" t="n">
        <v>2.24160148482036</v>
      </c>
      <c r="W326" s="270" t="n">
        <v>0.976030756993239</v>
      </c>
      <c r="X326" s="270" t="n">
        <v>0.00279287816069024</v>
      </c>
      <c r="Y326" s="269" t="n">
        <v>12.9417651654947</v>
      </c>
      <c r="Z326" s="275" t="n">
        <v>688</v>
      </c>
      <c r="AA326" s="275" t="n">
        <v>448</v>
      </c>
      <c r="AB326" s="270" t="n">
        <v>4682.12</v>
      </c>
      <c r="AC326" s="290" t="n"/>
      <c r="AD326" s="276" t="n">
        <v>0.0114375010390172</v>
      </c>
      <c r="AE326" s="142" t="n">
        <v>0.00744767509517397</v>
      </c>
      <c r="AF326" s="270" t="n">
        <v>6.80540697674419</v>
      </c>
      <c r="AG326" s="277" t="n">
        <v>0.0778368493674463</v>
      </c>
      <c r="AH326" s="118" t="n">
        <v>0.456093087240628</v>
      </c>
      <c r="AI326" s="118" t="n">
        <v>0.304310443654706</v>
      </c>
      <c r="AJ326" s="270" t="n">
        <v>0.425531561185643</v>
      </c>
      <c r="AK326" s="64" t="n">
        <v>0.255797715824647</v>
      </c>
      <c r="AL326" s="64" t="n">
        <v>0.0588665569464532</v>
      </c>
      <c r="AM326" s="119" t="n">
        <v>0.330972686316559</v>
      </c>
      <c r="AN326" s="276" t="n">
        <v>4.563</v>
      </c>
    </row>
    <row customHeight="1" ht="13.2" r="327" s="3">
      <c r="A327" s="117" t="n">
        <v>43668</v>
      </c>
      <c r="B327" s="289" t="inlineStr">
        <is>
          <t>安卓</t>
        </is>
      </c>
      <c r="C327" s="268" t="n">
        <v>14297</v>
      </c>
      <c r="D327" s="268" t="n">
        <v>59322</v>
      </c>
      <c r="E327" s="269" t="n">
        <v>4.14926208295447</v>
      </c>
      <c r="F327" s="270" t="n">
        <v>0.470932184686963</v>
      </c>
      <c r="G327" s="271" t="n">
        <v>7.59</v>
      </c>
      <c r="H327" s="271" t="n">
        <v>16.47</v>
      </c>
      <c r="I327" s="141" t="n">
        <v>0.244</v>
      </c>
      <c r="J327" s="141" t="n">
        <v>0.117</v>
      </c>
      <c r="K327" s="141" t="n">
        <v>0.063</v>
      </c>
      <c r="L327" s="270" t="n">
        <v>11.9488385421935</v>
      </c>
      <c r="M327" s="272" t="n">
        <v>13.4366339637908</v>
      </c>
      <c r="N327" s="270" t="n">
        <v>20.6478085172521</v>
      </c>
      <c r="O327" s="273" t="n">
        <v>0.6507535147162939</v>
      </c>
      <c r="P327" s="270" t="n">
        <v>2.87584188167029</v>
      </c>
      <c r="Q327" s="270" t="n">
        <v>3.70414982903326</v>
      </c>
      <c r="R327" s="270" t="n">
        <v>1.23469070562636</v>
      </c>
      <c r="S327" s="270" t="n">
        <v>6.52673298103823</v>
      </c>
      <c r="T327" s="270" t="n">
        <v>1.98691845404621</v>
      </c>
      <c r="U327" s="270" t="n">
        <v>0.453269091285877</v>
      </c>
      <c r="V327" s="270" t="n">
        <v>2.27805408765931</v>
      </c>
      <c r="W327" s="270" t="n">
        <v>1.01310745000518</v>
      </c>
      <c r="X327" s="270" t="n">
        <v>0.0035568591753481</v>
      </c>
      <c r="Y327" s="269" t="n">
        <v>13.4401908229662</v>
      </c>
      <c r="Z327" s="275" t="n">
        <v>525</v>
      </c>
      <c r="AA327" s="275" t="n">
        <v>369</v>
      </c>
      <c r="AB327" s="270" t="n">
        <v>3382.75</v>
      </c>
      <c r="AC327" s="290" t="n"/>
      <c r="AD327" s="276" t="n">
        <v>0.008850005057145749</v>
      </c>
      <c r="AE327" s="142" t="n">
        <v>0.00622028926873673</v>
      </c>
      <c r="AF327" s="270" t="n">
        <v>6.44333333333333</v>
      </c>
      <c r="AG327" s="277" t="n">
        <v>0.0570235325848758</v>
      </c>
      <c r="AH327" s="118" t="n">
        <v>0.480030775687207</v>
      </c>
      <c r="AI327" s="118" t="n">
        <v>0.350563055186403</v>
      </c>
      <c r="AJ327" s="270" t="n">
        <v>0.462357978490273</v>
      </c>
      <c r="AK327" s="64" t="n">
        <v>0.277350729914703</v>
      </c>
      <c r="AL327" s="64" t="n">
        <v>0.06346717912410239</v>
      </c>
      <c r="AM327" s="119" t="n">
        <v>0.343902767944439</v>
      </c>
      <c r="AN327" s="276" t="n">
        <v>3.965</v>
      </c>
    </row>
    <row customHeight="1" ht="13.2" r="328" s="3">
      <c r="A328" s="117" t="n">
        <v>43669</v>
      </c>
      <c r="B328" s="289" t="inlineStr">
        <is>
          <t>安卓</t>
        </is>
      </c>
      <c r="C328" s="268" t="n">
        <v>14303</v>
      </c>
      <c r="D328" s="268" t="n">
        <v>58295</v>
      </c>
      <c r="E328" s="269" t="n">
        <v>4.07571838075928</v>
      </c>
      <c r="F328" s="270" t="n">
        <v>0.438772857020328</v>
      </c>
      <c r="G328" s="271" t="n">
        <v>8.199999999999999</v>
      </c>
      <c r="H328" s="271" t="n">
        <v>13.32</v>
      </c>
      <c r="I328" s="141" t="n">
        <v>0.276</v>
      </c>
      <c r="J328" s="141" t="n">
        <v>0.112</v>
      </c>
      <c r="K328" s="141" t="n">
        <v>0.055</v>
      </c>
      <c r="L328" s="270" t="n">
        <v>10.8912085084484</v>
      </c>
      <c r="M328" s="272" t="n">
        <v>11.6163478857535</v>
      </c>
      <c r="N328" s="270" t="n">
        <v>18.1972697713165</v>
      </c>
      <c r="O328" s="273" t="n">
        <v>0.638356634359722</v>
      </c>
      <c r="P328" s="270" t="n">
        <v>2.63203719130411</v>
      </c>
      <c r="Q328" s="270" t="n">
        <v>3.21911697525058</v>
      </c>
      <c r="R328" s="270" t="n">
        <v>1.09012979335179</v>
      </c>
      <c r="S328" s="270" t="n">
        <v>6.01091016580227</v>
      </c>
      <c r="T328" s="270" t="n">
        <v>1.79536721038347</v>
      </c>
      <c r="U328" s="270" t="n">
        <v>0.471018192567114</v>
      </c>
      <c r="V328" s="270" t="n">
        <v>2.03436970951012</v>
      </c>
      <c r="W328" s="270" t="n">
        <v>0.944320533147018</v>
      </c>
      <c r="X328" s="270" t="n">
        <v>0.00118363496011665</v>
      </c>
      <c r="Y328" s="269" t="n">
        <v>11.6175315207136</v>
      </c>
      <c r="Z328" s="275" t="n">
        <v>478</v>
      </c>
      <c r="AA328" s="275" t="n">
        <v>350</v>
      </c>
      <c r="AB328" s="270" t="n">
        <v>3140.22</v>
      </c>
      <c r="AC328" s="290" t="n"/>
      <c r="AD328" s="276" t="n">
        <v>0.00819967407153272</v>
      </c>
      <c r="AE328" s="142" t="n">
        <v>0.00600394544986706</v>
      </c>
      <c r="AF328" s="270" t="n">
        <v>6.56949790794979</v>
      </c>
      <c r="AG328" s="277" t="n">
        <v>0.0538677416588043</v>
      </c>
      <c r="AH328" s="118" t="n">
        <v>0.424875900160805</v>
      </c>
      <c r="AI328" s="118" t="n">
        <v>0.282108648535272</v>
      </c>
      <c r="AJ328" s="270" t="n">
        <v>0.479063384509821</v>
      </c>
      <c r="AK328" s="64" t="n">
        <v>0.290213568916717</v>
      </c>
      <c r="AL328" s="64" t="n">
        <v>0.06654086971438369</v>
      </c>
      <c r="AM328" s="119" t="n">
        <v>0.290556651513852</v>
      </c>
      <c r="AN328" s="276" t="n">
        <v>4.317</v>
      </c>
    </row>
    <row customFormat="1" customHeight="1" ht="15" r="329" s="294">
      <c r="A329" s="121" t="n">
        <v>43670</v>
      </c>
      <c r="B329" s="295" t="inlineStr">
        <is>
          <t>安卓</t>
        </is>
      </c>
      <c r="C329" s="296" t="n">
        <v>17961</v>
      </c>
      <c r="D329" s="296" t="n">
        <v>60349</v>
      </c>
      <c r="E329" s="297" t="n">
        <v>3.36000222704749</v>
      </c>
      <c r="F329" s="294" t="n">
        <v>0.339714553878275</v>
      </c>
      <c r="G329" s="306" t="n">
        <v>8.289999999999999</v>
      </c>
      <c r="H329" s="306" t="n">
        <v>14.41</v>
      </c>
      <c r="I329" s="123" t="n">
        <v>0.235</v>
      </c>
      <c r="J329" s="123" t="n">
        <v>0.106</v>
      </c>
      <c r="K329" s="123" t="n">
        <v>0.049</v>
      </c>
      <c r="L329" s="294" t="n">
        <v>9.43405855937961</v>
      </c>
      <c r="M329" s="299" t="n">
        <v>9.706921407148419</v>
      </c>
      <c r="N329" s="294" t="n">
        <v>15.9172621797136</v>
      </c>
      <c r="O329" s="300" t="n">
        <v>0.609836119902567</v>
      </c>
      <c r="P329" s="294" t="n">
        <v>2.49468793304894</v>
      </c>
      <c r="Q329" s="294" t="n">
        <v>2.75336249762248</v>
      </c>
      <c r="R329" s="294" t="n">
        <v>0.8501209140559191</v>
      </c>
      <c r="S329" s="294" t="n">
        <v>5.00451050186126</v>
      </c>
      <c r="T329" s="294" t="n">
        <v>1.61337390973562</v>
      </c>
      <c r="U329" s="294" t="n">
        <v>0.539901638453387</v>
      </c>
      <c r="V329" s="294" t="n">
        <v>1.77743662201451</v>
      </c>
      <c r="W329" s="294" t="n">
        <v>0.8838681629215011</v>
      </c>
      <c r="X329" s="294" t="n">
        <v>0.00255182355962816</v>
      </c>
      <c r="Y329" s="297" t="n">
        <v>9.709473230708049</v>
      </c>
      <c r="Z329" s="293" t="n">
        <v>325</v>
      </c>
      <c r="AA329" s="293" t="n">
        <v>244</v>
      </c>
      <c r="AB329" s="294" t="n">
        <v>1443.75</v>
      </c>
      <c r="AC329" s="302" t="n"/>
      <c r="AD329" s="303" t="n">
        <v>0.00538534192778671</v>
      </c>
      <c r="AE329" s="124" t="n">
        <v>0.00404314901655371</v>
      </c>
      <c r="AF329" s="294" t="n">
        <v>4.44230769230769</v>
      </c>
      <c r="AG329" s="304" t="n">
        <v>0.023923345871514</v>
      </c>
      <c r="AH329" s="125" t="n">
        <v>0.440287289126441</v>
      </c>
      <c r="AI329" s="125" t="n">
        <v>0.306497411057291</v>
      </c>
      <c r="AJ329" s="294" t="n">
        <v>0.517075676481798</v>
      </c>
      <c r="AK329" s="126" t="n">
        <v>0.299507862599215</v>
      </c>
      <c r="AL329" s="126" t="n">
        <v>0.0628179423022751</v>
      </c>
      <c r="AM329" s="127" t="n">
        <v>0</v>
      </c>
      <c r="AN329" s="276" t="n">
        <v>4.123</v>
      </c>
    </row>
    <row customHeight="1" ht="13.2" r="330" s="3">
      <c r="A330" s="117" t="n">
        <v>43671</v>
      </c>
      <c r="B330" s="267" t="inlineStr">
        <is>
          <t>安卓</t>
        </is>
      </c>
      <c r="C330" s="268" t="n">
        <v>14904</v>
      </c>
      <c r="D330" s="268" t="n">
        <v>57145</v>
      </c>
      <c r="E330" s="269" t="n">
        <v>3.83420558239399</v>
      </c>
      <c r="F330" s="270" t="n">
        <v>0.364542036958614</v>
      </c>
      <c r="G330" s="271" t="n">
        <v>8.880000000000001</v>
      </c>
      <c r="H330" s="271" t="n">
        <v>14.35</v>
      </c>
      <c r="I330" s="141" t="n">
        <v>0.26</v>
      </c>
      <c r="J330" s="141" t="n">
        <v>0.12</v>
      </c>
      <c r="K330" s="141" t="n">
        <v>0.062</v>
      </c>
      <c r="L330" s="270" t="n">
        <v>9.613964476332139</v>
      </c>
      <c r="M330" s="272" t="n">
        <v>9.8391460320238</v>
      </c>
      <c r="N330" s="270" t="n">
        <v>15.6670196165849</v>
      </c>
      <c r="O330" s="273" t="n">
        <v>0.628016449383148</v>
      </c>
      <c r="P330" s="270" t="n">
        <v>2.45931787784218</v>
      </c>
      <c r="Q330" s="270" t="n">
        <v>2.74802162282657</v>
      </c>
      <c r="R330" s="270" t="n">
        <v>0.855968568880963</v>
      </c>
      <c r="S330" s="270" t="n">
        <v>4.84298372715114</v>
      </c>
      <c r="T330" s="270" t="n">
        <v>1.59680115916184</v>
      </c>
      <c r="U330" s="270" t="n">
        <v>0.536390994204191</v>
      </c>
      <c r="V330" s="270" t="n">
        <v>1.7504458314757</v>
      </c>
      <c r="W330" s="270" t="n">
        <v>0.877089835042354</v>
      </c>
      <c r="X330" s="270" t="n">
        <v>0.00194242715898154</v>
      </c>
      <c r="Y330" s="269" t="n">
        <v>9.84108845918278</v>
      </c>
      <c r="Z330" s="275" t="n">
        <v>373</v>
      </c>
      <c r="AA330" s="275" t="n">
        <v>271</v>
      </c>
      <c r="AB330" s="270" t="n">
        <v>1845.27</v>
      </c>
      <c r="AC330" s="290" t="n"/>
      <c r="AD330" s="276" t="n">
        <v>0.00652725522792895</v>
      </c>
      <c r="AE330" s="142" t="n">
        <v>0.00474232216291889</v>
      </c>
      <c r="AF330" s="270" t="n">
        <v>4.94710455764075</v>
      </c>
      <c r="AG330" s="277" t="n">
        <v>0.0322910140869717</v>
      </c>
      <c r="AH330" s="118" t="n">
        <v>0.473362855609232</v>
      </c>
      <c r="AI330" s="118" t="n">
        <v>0.322128287707998</v>
      </c>
      <c r="AJ330" s="270" t="n">
        <v>0.535584915565666</v>
      </c>
      <c r="AK330" s="64" t="n">
        <v>0.317508093446496</v>
      </c>
      <c r="AL330" s="64" t="n">
        <v>0.0665150056872867</v>
      </c>
      <c r="AM330" s="119" t="n">
        <v>0</v>
      </c>
      <c r="AN330" s="276" t="n">
        <v>4.556</v>
      </c>
    </row>
    <row customHeight="1" ht="13.2" r="331" s="3">
      <c r="A331" s="117" t="n">
        <v>43672</v>
      </c>
      <c r="B331" s="267" t="inlineStr">
        <is>
          <t>安卓</t>
        </is>
      </c>
      <c r="C331" s="268" t="n">
        <v>9661</v>
      </c>
      <c r="D331" s="268" t="n">
        <v>51244</v>
      </c>
      <c r="E331" s="269" t="n">
        <v>5.30421281440845</v>
      </c>
      <c r="F331" s="270" t="n">
        <v>0.347234239052377</v>
      </c>
      <c r="G331" s="271" t="n">
        <v>8.1</v>
      </c>
      <c r="H331" s="271" t="n">
        <v>16.31</v>
      </c>
      <c r="I331" s="141" t="n">
        <v>0.263</v>
      </c>
      <c r="J331" s="141" t="n">
        <v>0.123</v>
      </c>
      <c r="K331" s="141" t="n">
        <v>0.067</v>
      </c>
      <c r="L331" s="270" t="n">
        <v>9.77000234173757</v>
      </c>
      <c r="M331" s="272" t="n">
        <v>9.9987120443369</v>
      </c>
      <c r="N331" s="270" t="n">
        <v>15.365381155161</v>
      </c>
      <c r="O331" s="273" t="n">
        <v>0.650729841542426</v>
      </c>
      <c r="P331" s="270" t="n">
        <v>2.42023031248126</v>
      </c>
      <c r="Q331" s="270" t="n">
        <v>2.71879685719427</v>
      </c>
      <c r="R331" s="270" t="n">
        <v>0.859353445690638</v>
      </c>
      <c r="S331" s="270" t="n">
        <v>4.63941702153182</v>
      </c>
      <c r="T331" s="270" t="n">
        <v>1.59746296407365</v>
      </c>
      <c r="U331" s="270" t="n">
        <v>0.525160439033167</v>
      </c>
      <c r="V331" s="270" t="n">
        <v>1.73241168356025</v>
      </c>
      <c r="W331" s="270" t="n">
        <v>0.872548431595993</v>
      </c>
      <c r="X331" s="270" t="n">
        <v>0.00113183982515026</v>
      </c>
      <c r="Y331" s="269" t="n">
        <v>9.999843884162051</v>
      </c>
      <c r="Z331" s="275" t="n">
        <v>397</v>
      </c>
      <c r="AA331" s="275" t="n">
        <v>286</v>
      </c>
      <c r="AB331" s="270" t="n">
        <v>1752.03</v>
      </c>
      <c r="AC331" s="290" t="n"/>
      <c r="AD331" s="276" t="n">
        <v>0.0077472484583561</v>
      </c>
      <c r="AE331" s="142" t="n">
        <v>0.00558114120677543</v>
      </c>
      <c r="AF331" s="270" t="n">
        <v>4.41317380352645</v>
      </c>
      <c r="AG331" s="277" t="n">
        <v>0.0341899539458278</v>
      </c>
      <c r="AH331" s="118" t="n">
        <v>0.515992133319532</v>
      </c>
      <c r="AI331" s="118" t="n">
        <v>0.397370872580478</v>
      </c>
      <c r="AJ331" s="270" t="n">
        <v>0.556377331980329</v>
      </c>
      <c r="AK331" s="64" t="n">
        <v>0.345542892826477</v>
      </c>
      <c r="AL331" s="64" t="n">
        <v>0.07194988681601749</v>
      </c>
      <c r="AM331" s="119" t="n">
        <v>0</v>
      </c>
      <c r="AN331" s="276" t="n">
        <v>4.155</v>
      </c>
    </row>
    <row customHeight="1" ht="13.2" r="332" s="3">
      <c r="A332" s="117" t="n">
        <v>43673</v>
      </c>
      <c r="B332" s="289" t="inlineStr">
        <is>
          <t>安卓</t>
        </is>
      </c>
      <c r="C332" s="268" t="n">
        <v>6940</v>
      </c>
      <c r="D332" s="268" t="n">
        <v>47144</v>
      </c>
      <c r="E332" s="269" t="n">
        <v>6.79308357348703</v>
      </c>
      <c r="F332" s="270" t="n">
        <v>0.587910298829119</v>
      </c>
      <c r="G332" s="271" t="n">
        <v>7.11</v>
      </c>
      <c r="H332" s="271" t="n">
        <v>11.26</v>
      </c>
      <c r="I332" s="141" t="n">
        <v>0.25</v>
      </c>
      <c r="J332" s="141" t="n">
        <v>0.125</v>
      </c>
      <c r="K332" s="141" t="n">
        <v>0.066</v>
      </c>
      <c r="L332" s="270" t="n">
        <v>13.3226709655523</v>
      </c>
      <c r="M332" s="272" t="n">
        <v>15.2624512133039</v>
      </c>
      <c r="N332" s="270" t="n">
        <v>22.5396422641982</v>
      </c>
      <c r="O332" s="273" t="n">
        <v>0.677138129984728</v>
      </c>
      <c r="P332" s="270" t="n">
        <v>3.03583623093068</v>
      </c>
      <c r="Q332" s="270" t="n">
        <v>3.67741127087053</v>
      </c>
      <c r="R332" s="270" t="n">
        <v>1.55687122137644</v>
      </c>
      <c r="S332" s="270" t="n">
        <v>8.28662719669204</v>
      </c>
      <c r="T332" s="270" t="n">
        <v>2.09222190896845</v>
      </c>
      <c r="U332" s="270" t="n">
        <v>0.44143720828243</v>
      </c>
      <c r="V332" s="270" t="n">
        <v>2.47028788021176</v>
      </c>
      <c r="W332" s="270" t="n">
        <v>0.978949346865896</v>
      </c>
      <c r="X332" s="270" t="n">
        <v>0.00193025623621246</v>
      </c>
      <c r="Y332" s="269" t="n">
        <v>15.2643814695401</v>
      </c>
      <c r="Z332" s="275" t="n">
        <v>638</v>
      </c>
      <c r="AA332" s="275" t="n">
        <v>416</v>
      </c>
      <c r="AB332" s="270" t="n">
        <v>4268.62</v>
      </c>
      <c r="AC332" s="290" t="n"/>
      <c r="AD332" s="276" t="n">
        <v>0.0135330052604785</v>
      </c>
      <c r="AE332" s="142" t="n">
        <v>0.008824028508399801</v>
      </c>
      <c r="AF332" s="270" t="n">
        <v>6.69062695924765</v>
      </c>
      <c r="AG332" s="277" t="n">
        <v>0.0905442898353979</v>
      </c>
      <c r="AH332" s="118" t="n">
        <v>0.524207492795389</v>
      </c>
      <c r="AI332" s="118" t="n">
        <v>0.41628242074928</v>
      </c>
      <c r="AJ332" s="270" t="n">
        <v>0.461734260987612</v>
      </c>
      <c r="AK332" s="64" t="n">
        <v>0.321864924486679</v>
      </c>
      <c r="AL332" s="64" t="n">
        <v>0.0695740709316138</v>
      </c>
      <c r="AM332" s="119" t="n">
        <v>0.356906499236382</v>
      </c>
      <c r="AN332" s="276" t="n">
        <v>4.125</v>
      </c>
    </row>
    <row customHeight="1" ht="13.2" r="333" s="3">
      <c r="A333" s="117" t="n">
        <v>43674</v>
      </c>
      <c r="B333" s="289" t="inlineStr">
        <is>
          <t>安卓</t>
        </is>
      </c>
      <c r="C333" s="268" t="n">
        <v>6769</v>
      </c>
      <c r="D333" s="268" t="n">
        <v>46529</v>
      </c>
      <c r="E333" s="269" t="n">
        <v>6.87383660806618</v>
      </c>
      <c r="F333" s="270" t="n">
        <v>0.559016255238668</v>
      </c>
      <c r="G333" s="271" t="n">
        <v>7.16</v>
      </c>
      <c r="H333" s="271" t="n">
        <v>11.42</v>
      </c>
      <c r="I333" s="141" t="n">
        <v>0.259</v>
      </c>
      <c r="J333" s="141" t="n">
        <v>0.117</v>
      </c>
      <c r="K333" s="141" t="n">
        <v>0.064</v>
      </c>
      <c r="L333" s="270" t="n">
        <v>12.9925422854564</v>
      </c>
      <c r="M333" s="272" t="n">
        <v>15.0445958434525</v>
      </c>
      <c r="N333" s="270" t="n">
        <v>22.2394840513407</v>
      </c>
      <c r="O333" s="273" t="n">
        <v>0.676481334221668</v>
      </c>
      <c r="P333" s="270" t="n">
        <v>2.92162282373872</v>
      </c>
      <c r="Q333" s="270" t="n">
        <v>3.80972804676579</v>
      </c>
      <c r="R333" s="270" t="n">
        <v>1.56932265853349</v>
      </c>
      <c r="S333" s="270" t="n">
        <v>8.005083238022619</v>
      </c>
      <c r="T333" s="270" t="n">
        <v>2.08794001779133</v>
      </c>
      <c r="U333" s="270" t="n">
        <v>0.447261405515313</v>
      </c>
      <c r="V333" s="270" t="n">
        <v>2.3905833015631</v>
      </c>
      <c r="W333" s="270" t="n">
        <v>1.00794255941034</v>
      </c>
      <c r="X333" s="270" t="n">
        <v>0.00419093468589482</v>
      </c>
      <c r="Y333" s="269" t="n">
        <v>15.0487867781384</v>
      </c>
      <c r="Z333" s="275" t="n">
        <v>616</v>
      </c>
      <c r="AA333" s="275" t="n">
        <v>409</v>
      </c>
      <c r="AB333" s="270" t="n">
        <v>4079.84</v>
      </c>
      <c r="AC333" s="290" t="n"/>
      <c r="AD333" s="276" t="n">
        <v>0.013239055212878</v>
      </c>
      <c r="AE333" s="142" t="n">
        <v>0.00879021685400503</v>
      </c>
      <c r="AF333" s="270" t="n">
        <v>6.62311688311688</v>
      </c>
      <c r="AG333" s="277" t="n">
        <v>0.0876838100969288</v>
      </c>
      <c r="AH333" s="118" t="n">
        <v>0.520165460186143</v>
      </c>
      <c r="AI333" s="118" t="n">
        <v>0.393263406707047</v>
      </c>
      <c r="AJ333" s="270" t="n">
        <v>0.463861247823938</v>
      </c>
      <c r="AK333" s="64" t="n">
        <v>0.319048335446711</v>
      </c>
      <c r="AL333" s="64" t="n">
        <v>0.0727718197253326</v>
      </c>
      <c r="AM333" s="119" t="n">
        <v>0.383115906209031</v>
      </c>
      <c r="AN333" s="276" t="n">
        <v>4.064</v>
      </c>
    </row>
    <row customHeight="1" ht="13.2" r="334" s="3">
      <c r="A334" s="117" t="n">
        <v>43675</v>
      </c>
      <c r="B334" s="289" t="inlineStr">
        <is>
          <t>安卓</t>
        </is>
      </c>
      <c r="C334" s="268" t="n">
        <v>7845</v>
      </c>
      <c r="D334" s="268" t="n">
        <v>48059</v>
      </c>
      <c r="E334" s="269" t="n">
        <v>6.12606755895475</v>
      </c>
      <c r="F334" s="270" t="n">
        <v>0.534061232547494</v>
      </c>
      <c r="G334" s="271" t="n">
        <v>7.29</v>
      </c>
      <c r="H334" s="271" t="n">
        <v>11.09</v>
      </c>
      <c r="I334" s="141" t="n">
        <v>0.266</v>
      </c>
      <c r="J334" s="141" t="n">
        <v>0.127</v>
      </c>
      <c r="K334" s="141" t="n">
        <v>0.073</v>
      </c>
      <c r="L334" s="270" t="n">
        <v>12.5601656297468</v>
      </c>
      <c r="M334" s="272" t="n">
        <v>14.1418048648536</v>
      </c>
      <c r="N334" s="270" t="n">
        <v>21.0617310731662</v>
      </c>
      <c r="O334" s="273" t="n">
        <v>0.67144551488795</v>
      </c>
      <c r="P334" s="270" t="n">
        <v>2.88409929034057</v>
      </c>
      <c r="Q334" s="270" t="n">
        <v>3.69156156063095</v>
      </c>
      <c r="R334" s="270" t="n">
        <v>1.3842387430661</v>
      </c>
      <c r="S334" s="270" t="n">
        <v>7.36406458210667</v>
      </c>
      <c r="T334" s="270" t="n">
        <v>2.03368558058818</v>
      </c>
      <c r="U334" s="270" t="n">
        <v>0.441166444575289</v>
      </c>
      <c r="V334" s="270" t="n">
        <v>2.27751092379683</v>
      </c>
      <c r="W334" s="270" t="n">
        <v>0.985403948061607</v>
      </c>
      <c r="X334" s="270" t="n">
        <v>0.00222643001310889</v>
      </c>
      <c r="Y334" s="269" t="n">
        <v>14.1440312948667</v>
      </c>
      <c r="Z334" s="275" t="n">
        <v>558</v>
      </c>
      <c r="AA334" s="275" t="n">
        <v>375</v>
      </c>
      <c r="AB334" s="270" t="n">
        <v>3586.42</v>
      </c>
      <c r="AC334" s="290" t="n"/>
      <c r="AD334" s="276" t="n">
        <v>0.0116107284795772</v>
      </c>
      <c r="AE334" s="142" t="n">
        <v>0.00780290892444703</v>
      </c>
      <c r="AF334" s="270" t="n">
        <v>6.42727598566308</v>
      </c>
      <c r="AG334" s="277" t="n">
        <v>0.0746253563328409</v>
      </c>
      <c r="AH334" s="118" t="n">
        <v>0.494327597195666</v>
      </c>
      <c r="AI334" s="118" t="n">
        <v>0.3434034416826</v>
      </c>
      <c r="AJ334" s="270" t="n">
        <v>0.48527851182921</v>
      </c>
      <c r="AK334" s="64" t="n">
        <v>0.311512932021057</v>
      </c>
      <c r="AL334" s="64" t="n">
        <v>0.07193241640483571</v>
      </c>
      <c r="AM334" s="119" t="n">
        <v>0.370190807132899</v>
      </c>
      <c r="AN334" s="276" t="n">
        <v>4.029</v>
      </c>
    </row>
    <row customHeight="1" ht="13.2" r="335" s="3">
      <c r="A335" s="117" t="n">
        <v>43676</v>
      </c>
      <c r="B335" s="289" t="inlineStr">
        <is>
          <t>安卓</t>
        </is>
      </c>
      <c r="C335" s="268" t="n">
        <v>9215</v>
      </c>
      <c r="D335" s="268" t="n">
        <v>48463</v>
      </c>
      <c r="E335" s="269" t="n">
        <v>5.25914270211612</v>
      </c>
      <c r="F335" s="270" t="n">
        <v>0.496024728885954</v>
      </c>
      <c r="G335" s="271" t="n">
        <v>7.97</v>
      </c>
      <c r="H335" s="271" t="n">
        <v>12.31</v>
      </c>
      <c r="I335" s="141" t="n">
        <v>0.252</v>
      </c>
      <c r="J335" s="141" t="n">
        <v>0.114</v>
      </c>
      <c r="K335" s="141" t="n">
        <v>0.058</v>
      </c>
      <c r="L335" s="270" t="n">
        <v>11.4405010007635</v>
      </c>
      <c r="M335" s="272" t="n">
        <v>12.7679054123765</v>
      </c>
      <c r="N335" s="270" t="n">
        <v>19.2152971865102</v>
      </c>
      <c r="O335" s="273" t="n">
        <v>0.664465674844727</v>
      </c>
      <c r="P335" s="270" t="n">
        <v>2.71545245636917</v>
      </c>
      <c r="Q335" s="270" t="n">
        <v>3.36653002919073</v>
      </c>
      <c r="R335" s="270" t="n">
        <v>1.23821501770076</v>
      </c>
      <c r="S335" s="270" t="n">
        <v>6.42255139432333</v>
      </c>
      <c r="T335" s="270" t="n">
        <v>1.9138562822185</v>
      </c>
      <c r="U335" s="270" t="n">
        <v>0.48267188373393</v>
      </c>
      <c r="V335" s="270" t="n">
        <v>2.12309794422707</v>
      </c>
      <c r="W335" s="270" t="n">
        <v>0.952922178746662</v>
      </c>
      <c r="X335" s="270" t="n">
        <v>0.00288880176629594</v>
      </c>
      <c r="Y335" s="269" t="n">
        <v>12.7707942141427</v>
      </c>
      <c r="Z335" s="275" t="n">
        <v>490</v>
      </c>
      <c r="AA335" s="275" t="n">
        <v>332</v>
      </c>
      <c r="AB335" s="270" t="n">
        <v>2875.1</v>
      </c>
      <c r="AC335" s="290" t="n"/>
      <c r="AD335" s="276" t="n">
        <v>0.0101108061820358</v>
      </c>
      <c r="AE335" s="142" t="n">
        <v>0.00685058704578751</v>
      </c>
      <c r="AF335" s="270" t="n">
        <v>5.86755102040816</v>
      </c>
      <c r="AG335" s="277" t="n">
        <v>0.0593256711305532</v>
      </c>
      <c r="AH335" s="118" t="n">
        <v>0.48540423223006</v>
      </c>
      <c r="AI335" s="118" t="n">
        <v>0.33532284319045</v>
      </c>
      <c r="AJ335" s="270" t="n">
        <v>0.52543177269257</v>
      </c>
      <c r="AK335" s="64" t="n">
        <v>0.32280296308524</v>
      </c>
      <c r="AL335" s="64" t="n">
        <v>0.0752532860120092</v>
      </c>
      <c r="AM335" s="119" t="n">
        <v>0.31826341745249</v>
      </c>
      <c r="AN335" s="276" t="n">
        <v>3.701</v>
      </c>
    </row>
    <row customFormat="1" customHeight="1" ht="15" r="336" s="294">
      <c r="A336" s="121" t="n">
        <v>43677</v>
      </c>
      <c r="B336" s="295" t="inlineStr">
        <is>
          <t>安卓</t>
        </is>
      </c>
      <c r="C336" s="296" t="n">
        <v>11500</v>
      </c>
      <c r="D336" s="296" t="n">
        <v>48736</v>
      </c>
      <c r="E336" s="297" t="n">
        <v>4.23791304347826</v>
      </c>
      <c r="F336" s="294" t="n">
        <v>0.397572958921536</v>
      </c>
      <c r="G336" s="306" t="n">
        <v>8.859999999999999</v>
      </c>
      <c r="H336" s="306" t="n">
        <v>13.07</v>
      </c>
      <c r="I336" s="123" t="n">
        <v>0.273</v>
      </c>
      <c r="J336" s="123" t="n">
        <v>0.12</v>
      </c>
      <c r="K336" s="123" t="n">
        <v>0.061</v>
      </c>
      <c r="L336" s="294" t="n">
        <v>9.344345042678921</v>
      </c>
      <c r="M336" s="299" t="n">
        <v>9.949380334865401</v>
      </c>
      <c r="N336" s="294" t="n">
        <v>15.9357499671355</v>
      </c>
      <c r="O336" s="300" t="n">
        <v>0.624343401181878</v>
      </c>
      <c r="P336" s="294" t="n">
        <v>2.46197581175233</v>
      </c>
      <c r="Q336" s="294" t="n">
        <v>2.70599447876955</v>
      </c>
      <c r="R336" s="294" t="n">
        <v>0.927303799132378</v>
      </c>
      <c r="S336" s="294" t="n">
        <v>4.99707506244249</v>
      </c>
      <c r="T336" s="294" t="n">
        <v>1.64223741290916</v>
      </c>
      <c r="U336" s="294" t="n">
        <v>0.517746812146707</v>
      </c>
      <c r="V336" s="294" t="n">
        <v>1.7980807151308</v>
      </c>
      <c r="W336" s="294" t="n">
        <v>0.88533587485211</v>
      </c>
      <c r="X336" s="294" t="n">
        <v>0.0014978660538411</v>
      </c>
      <c r="Y336" s="297" t="n">
        <v>9.95087820091924</v>
      </c>
      <c r="Z336" s="293" t="n">
        <v>347</v>
      </c>
      <c r="AA336" s="293" t="n">
        <v>256</v>
      </c>
      <c r="AB336" s="294" t="n">
        <v>1779.53</v>
      </c>
      <c r="AC336" s="302" t="n"/>
      <c r="AD336" s="303" t="n">
        <v>0.00711999343401182</v>
      </c>
      <c r="AE336" s="124" t="n">
        <v>0.00525279054497702</v>
      </c>
      <c r="AF336" s="294" t="n">
        <v>5.12832853025937</v>
      </c>
      <c r="AG336" s="304" t="n">
        <v>0.0365136654629022</v>
      </c>
      <c r="AH336" s="125" t="n">
        <v>0.446521739130435</v>
      </c>
      <c r="AI336" s="125" t="n">
        <v>0.28695652173913</v>
      </c>
      <c r="AJ336" s="294" t="n">
        <v>0.576411687458963</v>
      </c>
      <c r="AK336" s="126" t="n">
        <v>0.328525114904793</v>
      </c>
      <c r="AL336" s="126" t="n">
        <v>0.07255416940249509</v>
      </c>
      <c r="AM336" s="127" t="n">
        <v>0</v>
      </c>
      <c r="AN336" s="276" t="n">
        <v>4.376</v>
      </c>
    </row>
    <row customHeight="1" ht="13.2" r="337" s="3">
      <c r="A337" s="117" t="n">
        <v>43678</v>
      </c>
      <c r="B337" s="267" t="inlineStr">
        <is>
          <t>安卓</t>
        </is>
      </c>
      <c r="C337" s="268" t="n">
        <v>11366</v>
      </c>
      <c r="D337" s="268" t="n">
        <v>48875</v>
      </c>
      <c r="E337" s="269" t="n">
        <v>4.30010557803977</v>
      </c>
      <c r="F337" s="270" t="n">
        <v>0.406469080695652</v>
      </c>
      <c r="G337" s="271" t="n">
        <v>8.67</v>
      </c>
      <c r="H337" s="271" t="n">
        <v>12.97</v>
      </c>
      <c r="I337" s="141" t="n">
        <v>0.267</v>
      </c>
      <c r="J337" s="141" t="n">
        <v>0.121</v>
      </c>
      <c r="K337" s="141" t="n">
        <v>0.066</v>
      </c>
      <c r="L337" s="270" t="n">
        <v>9.536204603580559</v>
      </c>
      <c r="M337" s="272" t="n">
        <v>10.0719590792839</v>
      </c>
      <c r="N337" s="270" t="n">
        <v>16.0834776358349</v>
      </c>
      <c r="O337" s="273" t="n">
        <v>0.626230179028133</v>
      </c>
      <c r="P337" s="270" t="n">
        <v>2.51798608161532</v>
      </c>
      <c r="Q337" s="270" t="n">
        <v>2.77678308883589</v>
      </c>
      <c r="R337" s="270" t="n">
        <v>0.893325056359656</v>
      </c>
      <c r="S337" s="270" t="n">
        <v>4.98412127944588</v>
      </c>
      <c r="T337" s="270" t="n">
        <v>1.67984448002091</v>
      </c>
      <c r="U337" s="270" t="n">
        <v>0.538242885614402</v>
      </c>
      <c r="V337" s="270" t="n">
        <v>1.80360701800242</v>
      </c>
      <c r="W337" s="270" t="n">
        <v>0.8895677459404711</v>
      </c>
      <c r="X337" s="270" t="n">
        <v>0.00253708439897698</v>
      </c>
      <c r="Y337" s="269" t="n">
        <v>10.0744961636829</v>
      </c>
      <c r="Z337" s="275" t="n">
        <v>401</v>
      </c>
      <c r="AA337" s="275" t="n">
        <v>291</v>
      </c>
      <c r="AB337" s="270" t="n">
        <v>2066.99</v>
      </c>
      <c r="AC337" s="290" t="n"/>
      <c r="AD337" s="276" t="n">
        <v>0.00820460358056266</v>
      </c>
      <c r="AE337" s="142" t="n">
        <v>0.0059539641943734</v>
      </c>
      <c r="AF337" s="270" t="n">
        <v>5.1545885286783</v>
      </c>
      <c r="AG337" s="277" t="n">
        <v>0.0422913554987212</v>
      </c>
      <c r="AH337" s="118" t="n">
        <v>0.480995952841809</v>
      </c>
      <c r="AI337" s="118" t="n">
        <v>0.327291923279958</v>
      </c>
      <c r="AJ337" s="270" t="n">
        <v>0.568429667519182</v>
      </c>
      <c r="AK337" s="64" t="n">
        <v>0.333524296675192</v>
      </c>
      <c r="AL337" s="64" t="n">
        <v>0.0727979539641944</v>
      </c>
      <c r="AM337" s="119" t="n">
        <v>0</v>
      </c>
      <c r="AN337" s="276" t="n">
        <v>3.99</v>
      </c>
    </row>
    <row customHeight="1" ht="13.2" r="338" s="3">
      <c r="A338" s="117" t="n">
        <v>43679</v>
      </c>
      <c r="B338" s="267" t="inlineStr">
        <is>
          <t>安卓</t>
        </is>
      </c>
      <c r="C338" s="268" t="n">
        <v>9225</v>
      </c>
      <c r="D338" s="268" t="n">
        <v>46405</v>
      </c>
      <c r="E338" s="269" t="n">
        <v>5.03035230352303</v>
      </c>
      <c r="F338" s="270" t="n">
        <v>0.401034820773623</v>
      </c>
      <c r="G338" s="271" t="n">
        <v>8.26</v>
      </c>
      <c r="H338" s="271" t="n">
        <v>12.46</v>
      </c>
      <c r="I338" s="141" t="n">
        <v>0.262</v>
      </c>
      <c r="J338" s="141" t="n">
        <v>0.129</v>
      </c>
      <c r="K338" s="141" t="n">
        <v>0.065</v>
      </c>
      <c r="L338" s="270" t="n">
        <v>9.502984592177571</v>
      </c>
      <c r="M338" s="272" t="n">
        <v>10.279021657149</v>
      </c>
      <c r="N338" s="270" t="n">
        <v>16.0281586021505</v>
      </c>
      <c r="O338" s="273" t="n">
        <v>0.64131020364185</v>
      </c>
      <c r="P338" s="270" t="n">
        <v>2.48931451612903</v>
      </c>
      <c r="Q338" s="270" t="n">
        <v>2.79086021505376</v>
      </c>
      <c r="R338" s="270" t="n">
        <v>0.910282258064516</v>
      </c>
      <c r="S338" s="270" t="n">
        <v>4.97345430107527</v>
      </c>
      <c r="T338" s="270" t="n">
        <v>1.66565860215054</v>
      </c>
      <c r="U338" s="270" t="n">
        <v>0.527755376344086</v>
      </c>
      <c r="V338" s="270" t="n">
        <v>1.78440860215054</v>
      </c>
      <c r="W338" s="270" t="n">
        <v>0.886424731182796</v>
      </c>
      <c r="X338" s="270" t="n">
        <v>0.00232733541644219</v>
      </c>
      <c r="Y338" s="269" t="n">
        <v>10.2813489925654</v>
      </c>
      <c r="Z338" s="275" t="n">
        <v>396</v>
      </c>
      <c r="AA338" s="275" t="n">
        <v>293</v>
      </c>
      <c r="AB338" s="270" t="n">
        <v>2012.04</v>
      </c>
      <c r="AC338" s="290" t="n"/>
      <c r="AD338" s="276" t="n">
        <v>0.00853356319362138</v>
      </c>
      <c r="AE338" s="142" t="n">
        <v>0.00631397478719966</v>
      </c>
      <c r="AF338" s="270" t="n">
        <v>5.08090909090909</v>
      </c>
      <c r="AG338" s="277" t="n">
        <v>0.0433582588083181</v>
      </c>
      <c r="AH338" s="118" t="n">
        <v>0.494308943089431</v>
      </c>
      <c r="AI338" s="118" t="n">
        <v>0.355772357723577</v>
      </c>
      <c r="AJ338" s="270" t="n">
        <v>0.575024243077255</v>
      </c>
      <c r="AK338" s="64" t="n">
        <v>0.341148583126818</v>
      </c>
      <c r="AL338" s="64" t="n">
        <v>0.0724059907337571</v>
      </c>
      <c r="AM338" s="119" t="n">
        <v>0</v>
      </c>
      <c r="AN338" s="276" t="n">
        <v>4.635</v>
      </c>
    </row>
    <row customHeight="1" ht="13.2" r="339" s="3">
      <c r="A339" s="117" t="n">
        <v>43680</v>
      </c>
      <c r="B339" s="289" t="inlineStr">
        <is>
          <t>安卓</t>
        </is>
      </c>
      <c r="C339" s="268" t="n">
        <v>7896</v>
      </c>
      <c r="D339" s="268" t="n">
        <v>44907</v>
      </c>
      <c r="E339" s="269" t="n">
        <v>5.68731003039514</v>
      </c>
      <c r="F339" s="270" t="n">
        <v>0.720476793372971</v>
      </c>
      <c r="G339" s="271" t="n">
        <v>7.3</v>
      </c>
      <c r="H339" s="271" t="n">
        <v>11.25</v>
      </c>
      <c r="I339" s="141" t="n">
        <v>0.256</v>
      </c>
      <c r="J339" s="141" t="n">
        <v>0.125</v>
      </c>
      <c r="K339" s="141" t="n">
        <v>0.066</v>
      </c>
      <c r="L339" s="270" t="n">
        <v>13.3337786981985</v>
      </c>
      <c r="M339" s="272" t="n">
        <v>15.9645266884895</v>
      </c>
      <c r="N339" s="270" t="n">
        <v>23.648985650668</v>
      </c>
      <c r="O339" s="273" t="n">
        <v>0.675061794375042</v>
      </c>
      <c r="P339" s="270" t="n">
        <v>3.14131618010886</v>
      </c>
      <c r="Q339" s="270" t="n">
        <v>3.78894936500082</v>
      </c>
      <c r="R339" s="270" t="n">
        <v>1.51934685799109</v>
      </c>
      <c r="S339" s="270" t="n">
        <v>8.97238990598713</v>
      </c>
      <c r="T339" s="270" t="n">
        <v>2.18924624773215</v>
      </c>
      <c r="U339" s="270" t="n">
        <v>0.462444334487877</v>
      </c>
      <c r="V339" s="270" t="n">
        <v>2.55962394854033</v>
      </c>
      <c r="W339" s="270" t="n">
        <v>1.01566881081973</v>
      </c>
      <c r="X339" s="270" t="n">
        <v>0.00233816554212038</v>
      </c>
      <c r="Y339" s="269" t="n">
        <v>15.9668648540317</v>
      </c>
      <c r="Z339" s="275" t="n">
        <v>727</v>
      </c>
      <c r="AA339" s="275" t="n">
        <v>448</v>
      </c>
      <c r="AB339" s="270" t="n">
        <v>6017.73</v>
      </c>
      <c r="AC339" s="290" t="n"/>
      <c r="AD339" s="276" t="n">
        <v>0.0161890128487764</v>
      </c>
      <c r="AE339" s="142" t="n">
        <v>0.00997617297971363</v>
      </c>
      <c r="AF339" s="270" t="n">
        <v>8.277482806052269</v>
      </c>
      <c r="AG339" s="277" t="n">
        <v>0.134004275502706</v>
      </c>
      <c r="AH339" s="118" t="n">
        <v>0.505952380952381</v>
      </c>
      <c r="AI339" s="118" t="n">
        <v>0.365501519756839</v>
      </c>
      <c r="AJ339" s="270" t="n">
        <v>0.477854232079631</v>
      </c>
      <c r="AK339" s="64" t="n">
        <v>0.315696884672768</v>
      </c>
      <c r="AL339" s="64" t="n">
        <v>0.07056806288551901</v>
      </c>
      <c r="AM339" s="119" t="n">
        <v>0.362081635379785</v>
      </c>
      <c r="AN339" s="276" t="n">
        <v>5.785</v>
      </c>
    </row>
    <row customHeight="1" ht="13.2" r="340" s="3">
      <c r="A340" s="117" t="n">
        <v>43681</v>
      </c>
      <c r="B340" s="289" t="inlineStr">
        <is>
          <t>安卓</t>
        </is>
      </c>
      <c r="C340" s="268" t="n">
        <v>7272</v>
      </c>
      <c r="D340" s="268" t="n">
        <v>44022</v>
      </c>
      <c r="E340" s="269" t="n">
        <v>6.0536303630363</v>
      </c>
      <c r="F340" s="270" t="n">
        <v>0.617202736131934</v>
      </c>
      <c r="G340" s="271" t="n">
        <v>7.41</v>
      </c>
      <c r="H340" s="271" t="n">
        <v>11.46</v>
      </c>
      <c r="I340" s="141" t="n">
        <v>0.266</v>
      </c>
      <c r="J340" s="141" t="n">
        <v>0.132</v>
      </c>
      <c r="K340" s="141" t="n">
        <v>0.077</v>
      </c>
      <c r="L340" s="270" t="n">
        <v>12.7894689019127</v>
      </c>
      <c r="M340" s="272" t="n">
        <v>15.2482622325201</v>
      </c>
      <c r="N340" s="270" t="n">
        <v>22.5300060414849</v>
      </c>
      <c r="O340" s="273" t="n">
        <v>0.676797964654037</v>
      </c>
      <c r="P340" s="270" t="n">
        <v>3.0014432436061</v>
      </c>
      <c r="Q340" s="270" t="n">
        <v>3.86050882728066</v>
      </c>
      <c r="R340" s="270" t="n">
        <v>1.43817547157146</v>
      </c>
      <c r="S340" s="270" t="n">
        <v>8.1349264952675</v>
      </c>
      <c r="T340" s="270" t="n">
        <v>2.16221386856414</v>
      </c>
      <c r="U340" s="270" t="n">
        <v>0.451131100221521</v>
      </c>
      <c r="V340" s="270" t="n">
        <v>2.44354568033832</v>
      </c>
      <c r="W340" s="270" t="n">
        <v>1.03806135463516</v>
      </c>
      <c r="X340" s="270" t="n">
        <v>0.00306664849393485</v>
      </c>
      <c r="Y340" s="269" t="n">
        <v>15.251328881014</v>
      </c>
      <c r="Z340" s="275" t="n">
        <v>594</v>
      </c>
      <c r="AA340" s="275" t="n">
        <v>416</v>
      </c>
      <c r="AB340" s="270" t="n">
        <v>4570.06</v>
      </c>
      <c r="AC340" s="290" t="n"/>
      <c r="AD340" s="276" t="n">
        <v>0.0134932533733133</v>
      </c>
      <c r="AE340" s="142" t="n">
        <v>0.00944982054427332</v>
      </c>
      <c r="AF340" s="270" t="n">
        <v>7.6937037037037</v>
      </c>
      <c r="AG340" s="277" t="n">
        <v>0.103813093453273</v>
      </c>
      <c r="AH340" s="118" t="n">
        <v>0.516639163916392</v>
      </c>
      <c r="AI340" s="118" t="n">
        <v>0.374862486248625</v>
      </c>
      <c r="AJ340" s="270" t="n">
        <v>0.469787833356049</v>
      </c>
      <c r="AK340" s="64" t="n">
        <v>0.306233247012857</v>
      </c>
      <c r="AL340" s="64" t="n">
        <v>0.06867021034937081</v>
      </c>
      <c r="AM340" s="119" t="n">
        <v>0.379969106355913</v>
      </c>
      <c r="AN340" s="276" t="n">
        <v>5.451</v>
      </c>
    </row>
    <row customHeight="1" ht="13.2" r="341" s="3">
      <c r="A341" s="117" t="n">
        <v>43682</v>
      </c>
      <c r="B341" s="289" t="inlineStr">
        <is>
          <t>安卓</t>
        </is>
      </c>
      <c r="C341" s="268" t="n">
        <v>7540</v>
      </c>
      <c r="D341" s="268" t="n">
        <v>45205</v>
      </c>
      <c r="E341" s="269" t="n">
        <v>5.99535809018568</v>
      </c>
      <c r="F341" s="270" t="n">
        <v>0.548502055746046</v>
      </c>
      <c r="G341" s="271" t="n">
        <v>7.59</v>
      </c>
      <c r="H341" s="271" t="n">
        <v>11.42</v>
      </c>
      <c r="I341" s="141" t="n">
        <v>0.286</v>
      </c>
      <c r="J341" s="141" t="n">
        <v>0.136</v>
      </c>
      <c r="K341" s="141" t="n">
        <v>0.078</v>
      </c>
      <c r="L341" s="270" t="n">
        <v>12.2207277955978</v>
      </c>
      <c r="M341" s="272" t="n">
        <v>14.398628470302</v>
      </c>
      <c r="N341" s="270" t="n">
        <v>21.2452263602833</v>
      </c>
      <c r="O341" s="273" t="n">
        <v>0.677734763853556</v>
      </c>
      <c r="P341" s="270" t="n">
        <v>2.9251884975683</v>
      </c>
      <c r="Q341" s="270" t="n">
        <v>3.73199073016287</v>
      </c>
      <c r="R341" s="270" t="n">
        <v>1.30903809119692</v>
      </c>
      <c r="S341" s="270" t="n">
        <v>7.36997747821262</v>
      </c>
      <c r="T341" s="270" t="n">
        <v>2.12514280118811</v>
      </c>
      <c r="U341" s="270" t="n">
        <v>0.441818715931717</v>
      </c>
      <c r="V341" s="270" t="n">
        <v>2.33417110030355</v>
      </c>
      <c r="W341" s="270" t="n">
        <v>1.00789894571923</v>
      </c>
      <c r="X341" s="270" t="n">
        <v>0.00194668731335029</v>
      </c>
      <c r="Y341" s="269" t="n">
        <v>14.4005751576153</v>
      </c>
      <c r="Z341" s="275" t="n">
        <v>571</v>
      </c>
      <c r="AA341" s="275" t="n">
        <v>375</v>
      </c>
      <c r="AB341" s="270" t="n">
        <v>3583.29</v>
      </c>
      <c r="AC341" s="290" t="n"/>
      <c r="AD341" s="276" t="n">
        <v>0.0126313460900343</v>
      </c>
      <c r="AE341" s="142" t="n">
        <v>0.008295542528481361</v>
      </c>
      <c r="AF341" s="270" t="n">
        <v>6.27546409807355</v>
      </c>
      <c r="AG341" s="277" t="n">
        <v>0.07926755889835189</v>
      </c>
      <c r="AH341" s="118" t="n">
        <v>0.513527851458886</v>
      </c>
      <c r="AI341" s="118" t="n">
        <v>0.353315649867374</v>
      </c>
      <c r="AJ341" s="270" t="n">
        <v>0.462625815728349</v>
      </c>
      <c r="AK341" s="64" t="n">
        <v>0.308063267337684</v>
      </c>
      <c r="AL341" s="64" t="n">
        <v>0.07003650038712531</v>
      </c>
      <c r="AM341" s="119" t="n">
        <v>0.370644840172547</v>
      </c>
      <c r="AN341" s="276" t="n">
        <v>4.827</v>
      </c>
    </row>
    <row customHeight="1" ht="13.2" r="342" s="3">
      <c r="A342" s="117" t="n">
        <v>43683</v>
      </c>
      <c r="B342" s="289" t="inlineStr">
        <is>
          <t>安卓</t>
        </is>
      </c>
      <c r="C342" s="268" t="n">
        <v>8769</v>
      </c>
      <c r="D342" s="268" t="n">
        <v>45574</v>
      </c>
      <c r="E342" s="269" t="n">
        <v>5.1971718553997</v>
      </c>
      <c r="F342" s="270" t="n">
        <v>0.5326202968797999</v>
      </c>
      <c r="G342" s="271" t="n">
        <v>8.43</v>
      </c>
      <c r="H342" s="271" t="n">
        <v>12.17</v>
      </c>
      <c r="I342" s="141" t="n">
        <v>0.285</v>
      </c>
      <c r="J342" s="141" t="n">
        <v>0.136</v>
      </c>
      <c r="K342" s="141" t="n">
        <v>0.074</v>
      </c>
      <c r="L342" s="270" t="n">
        <v>11.2265546144732</v>
      </c>
      <c r="M342" s="272" t="n">
        <v>12.8765085355685</v>
      </c>
      <c r="N342" s="270" t="n">
        <v>19.3534067673636</v>
      </c>
      <c r="O342" s="273" t="n">
        <v>0.66533549831044</v>
      </c>
      <c r="P342" s="270" t="n">
        <v>2.74751005870325</v>
      </c>
      <c r="Q342" s="270" t="n">
        <v>3.38523184486511</v>
      </c>
      <c r="R342" s="270" t="n">
        <v>1.19929424180463</v>
      </c>
      <c r="S342" s="270" t="n">
        <v>6.48199327221159</v>
      </c>
      <c r="T342" s="270" t="n">
        <v>1.93648176241673</v>
      </c>
      <c r="U342" s="270" t="n">
        <v>0.485324187058901</v>
      </c>
      <c r="V342" s="270" t="n">
        <v>2.14840709715718</v>
      </c>
      <c r="W342" s="270" t="n">
        <v>0.96916430314623</v>
      </c>
      <c r="X342" s="270" t="n">
        <v>0.0013384824680739</v>
      </c>
      <c r="Y342" s="269" t="n">
        <v>12.8778470180366</v>
      </c>
      <c r="Z342" s="275" t="n">
        <v>569</v>
      </c>
      <c r="AA342" s="275" t="n">
        <v>375</v>
      </c>
      <c r="AB342" s="270" t="n">
        <v>3340.31</v>
      </c>
      <c r="AC342" s="290" t="n"/>
      <c r="AD342" s="276" t="n">
        <v>0.012485188923509</v>
      </c>
      <c r="AE342" s="142" t="n">
        <v>0.00822837582832317</v>
      </c>
      <c r="AF342" s="270" t="n">
        <v>5.8704920913884</v>
      </c>
      <c r="AG342" s="277" t="n">
        <v>0.0732942028349497</v>
      </c>
      <c r="AH342" s="118" t="n">
        <v>0.481696886760178</v>
      </c>
      <c r="AI342" s="118" t="n">
        <v>0.332763142889725</v>
      </c>
      <c r="AJ342" s="270" t="n">
        <v>0.530039057357265</v>
      </c>
      <c r="AK342" s="64" t="n">
        <v>0.317746960986527</v>
      </c>
      <c r="AL342" s="64" t="n">
        <v>0.07197086057840001</v>
      </c>
      <c r="AM342" s="119" t="n">
        <v>0.313117128187124</v>
      </c>
      <c r="AN342" s="276" t="n">
        <v>4.779</v>
      </c>
    </row>
    <row customFormat="1" customHeight="1" ht="15" r="343" s="294">
      <c r="A343" s="121" t="n">
        <v>43684</v>
      </c>
      <c r="B343" s="295" t="inlineStr">
        <is>
          <t>安卓</t>
        </is>
      </c>
      <c r="C343" s="296" t="n">
        <v>11199</v>
      </c>
      <c r="D343" s="296" t="n">
        <v>46930</v>
      </c>
      <c r="E343" s="297" t="n">
        <v>4.19055272792214</v>
      </c>
      <c r="F343" s="294" t="n">
        <v>0.441539791860217</v>
      </c>
      <c r="G343" s="306" t="n">
        <v>8.83</v>
      </c>
      <c r="H343" s="306" t="n">
        <v>13.42</v>
      </c>
      <c r="I343" s="123" t="n">
        <v>0.274</v>
      </c>
      <c r="J343" s="123" t="n">
        <v>0.121</v>
      </c>
      <c r="K343" s="123" t="n">
        <v>0.07099999999999999</v>
      </c>
      <c r="L343" s="294" t="n">
        <v>9.64504581291285</v>
      </c>
      <c r="M343" s="299" t="n">
        <v>10.4037289580226</v>
      </c>
      <c r="N343" s="294" t="n">
        <v>16.5720928653859</v>
      </c>
      <c r="O343" s="300" t="n">
        <v>0.627786064351161</v>
      </c>
      <c r="P343" s="294" t="n">
        <v>2.49626637702804</v>
      </c>
      <c r="Q343" s="294" t="n">
        <v>2.82418030004752</v>
      </c>
      <c r="R343" s="294" t="n">
        <v>0.957165161903469</v>
      </c>
      <c r="S343" s="294" t="n">
        <v>5.33378589369357</v>
      </c>
      <c r="T343" s="294" t="n">
        <v>1.67144117846718</v>
      </c>
      <c r="U343" s="294" t="n">
        <v>0.531192722829407</v>
      </c>
      <c r="V343" s="294" t="n">
        <v>1.85482995044464</v>
      </c>
      <c r="W343" s="294" t="n">
        <v>0.9032312809721</v>
      </c>
      <c r="X343" s="294" t="n">
        <v>0.000873641593863201</v>
      </c>
      <c r="Y343" s="297" t="n">
        <v>10.4046025996164</v>
      </c>
      <c r="Z343" s="293" t="n">
        <v>433</v>
      </c>
      <c r="AA343" s="293" t="n">
        <v>302</v>
      </c>
      <c r="AB343" s="294" t="n">
        <v>2469.67</v>
      </c>
      <c r="AC343" s="302" t="n"/>
      <c r="AD343" s="303" t="n">
        <v>0.009226507564457699</v>
      </c>
      <c r="AE343" s="124" t="n">
        <v>0.00643511613040699</v>
      </c>
      <c r="AF343" s="294" t="n">
        <v>5.70362586605081</v>
      </c>
      <c r="AG343" s="304" t="n">
        <v>0.0526245471979544</v>
      </c>
      <c r="AH343" s="125" t="n">
        <v>0.47807839985713</v>
      </c>
      <c r="AI343" s="125" t="n">
        <v>0.313510134833467</v>
      </c>
      <c r="AJ343" s="294" t="n">
        <v>0.586533134455572</v>
      </c>
      <c r="AK343" s="126" t="n">
        <v>0.325974856168762</v>
      </c>
      <c r="AL343" s="126" t="n">
        <v>0.07134029405497549</v>
      </c>
      <c r="AM343" s="127" t="n">
        <v>0</v>
      </c>
      <c r="AN343" s="276" t="n">
        <v>4.762</v>
      </c>
    </row>
    <row customHeight="1" ht="13.2" r="344" s="3">
      <c r="A344" s="117" t="n">
        <v>43685</v>
      </c>
      <c r="B344" s="267" t="inlineStr">
        <is>
          <t>安卓</t>
        </is>
      </c>
      <c r="C344" s="268" t="n">
        <v>11547</v>
      </c>
      <c r="D344" s="268" t="n">
        <v>47384</v>
      </c>
      <c r="E344" s="269" t="n">
        <v>4.10357668658526</v>
      </c>
      <c r="F344" s="270" t="n">
        <v>0.432492571268783</v>
      </c>
      <c r="G344" s="271" t="n">
        <v>9.800000000000001</v>
      </c>
      <c r="H344" s="271" t="n">
        <v>14.97</v>
      </c>
      <c r="I344" s="141" t="n">
        <v>0.266</v>
      </c>
      <c r="J344" s="141" t="n">
        <v>0.124</v>
      </c>
      <c r="K344" s="141" t="n">
        <v>0.063</v>
      </c>
      <c r="L344" s="270" t="n">
        <v>9.69474928245821</v>
      </c>
      <c r="M344" s="272" t="n">
        <v>10.0416385277731</v>
      </c>
      <c r="N344" s="270" t="n">
        <v>16.0395415472779</v>
      </c>
      <c r="O344" s="273" t="n">
        <v>0.626055208509201</v>
      </c>
      <c r="P344" s="270" t="n">
        <v>2.48016180684308</v>
      </c>
      <c r="Q344" s="270" t="n">
        <v>2.74454744648576</v>
      </c>
      <c r="R344" s="270" t="n">
        <v>0.9263104668801621</v>
      </c>
      <c r="S344" s="270" t="n">
        <v>5.05740771953481</v>
      </c>
      <c r="T344" s="270" t="n">
        <v>1.63445137367268</v>
      </c>
      <c r="U344" s="270" t="n">
        <v>0.539322433844598</v>
      </c>
      <c r="V344" s="270" t="n">
        <v>1.78365076689702</v>
      </c>
      <c r="W344" s="270" t="n">
        <v>0.873689533119838</v>
      </c>
      <c r="X344" s="270" t="n">
        <v>0.000717541786256964</v>
      </c>
      <c r="Y344" s="269" t="n">
        <v>10.0423560695593</v>
      </c>
      <c r="Z344" s="275" t="n">
        <v>422</v>
      </c>
      <c r="AA344" s="275" t="n">
        <v>308</v>
      </c>
      <c r="AB344" s="270" t="n">
        <v>2121.78</v>
      </c>
      <c r="AC344" s="290" t="n"/>
      <c r="AD344" s="276" t="n">
        <v>0.008905959817659971</v>
      </c>
      <c r="AE344" s="142" t="n">
        <v>0.00650008441668074</v>
      </c>
      <c r="AF344" s="270" t="n">
        <v>5.02791469194313</v>
      </c>
      <c r="AG344" s="277" t="n">
        <v>0.0447784062130677</v>
      </c>
      <c r="AH344" s="118" t="n">
        <v>0.475448168355417</v>
      </c>
      <c r="AI344" s="118" t="n">
        <v>0.321122369446609</v>
      </c>
      <c r="AJ344" s="270" t="n">
        <v>0.5690317406719571</v>
      </c>
      <c r="AK344" s="64" t="n">
        <v>0.325426304237717</v>
      </c>
      <c r="AL344" s="64" t="n">
        <v>0.07095222015870339</v>
      </c>
      <c r="AM344" s="119" t="n">
        <v>0</v>
      </c>
      <c r="AN344" s="276" t="n">
        <v>4.742</v>
      </c>
    </row>
    <row customHeight="1" ht="13.2" r="345" s="3">
      <c r="A345" s="117" t="n">
        <v>43686</v>
      </c>
      <c r="B345" s="267" t="inlineStr">
        <is>
          <t>安卓</t>
        </is>
      </c>
      <c r="C345" s="268" t="n">
        <v>9479</v>
      </c>
      <c r="D345" s="268" t="n">
        <v>45171</v>
      </c>
      <c r="E345" s="269" t="n">
        <v>4.76537609452474</v>
      </c>
      <c r="F345" s="270" t="n">
        <v>0.428372837085742</v>
      </c>
      <c r="G345" s="271" t="n">
        <v>8.67</v>
      </c>
      <c r="H345" s="271" t="n">
        <v>13.38</v>
      </c>
      <c r="I345" s="141" t="n">
        <v>0.254</v>
      </c>
      <c r="J345" s="141" t="n">
        <v>0.125</v>
      </c>
      <c r="K345" s="141" t="n">
        <v>0.064</v>
      </c>
      <c r="L345" s="270" t="n">
        <v>9.66912399548383</v>
      </c>
      <c r="M345" s="272" t="n">
        <v>10.1982688007793</v>
      </c>
      <c r="N345" s="270" t="n">
        <v>16.0807763465633</v>
      </c>
      <c r="O345" s="273" t="n">
        <v>0.634190077704726</v>
      </c>
      <c r="P345" s="270" t="n">
        <v>2.45645268265438</v>
      </c>
      <c r="Q345" s="270" t="n">
        <v>2.77976751492303</v>
      </c>
      <c r="R345" s="270" t="n">
        <v>0.912521380947394</v>
      </c>
      <c r="S345" s="270" t="n">
        <v>5.0729570286592</v>
      </c>
      <c r="T345" s="270" t="n">
        <v>1.64446538904597</v>
      </c>
      <c r="U345" s="270" t="n">
        <v>0.537962090271233</v>
      </c>
      <c r="V345" s="270" t="n">
        <v>1.80326037630467</v>
      </c>
      <c r="W345" s="270" t="n">
        <v>0.873389883757462</v>
      </c>
      <c r="X345" s="270" t="n">
        <v>0.00112904297004715</v>
      </c>
      <c r="Y345" s="269" t="n">
        <v>10.1993978437493</v>
      </c>
      <c r="Z345" s="275" t="n">
        <v>486</v>
      </c>
      <c r="AA345" s="275" t="n">
        <v>329</v>
      </c>
      <c r="AB345" s="270" t="n">
        <v>2401.14</v>
      </c>
      <c r="AC345" s="290" t="n"/>
      <c r="AD345" s="276" t="n">
        <v>0.0107591153616258</v>
      </c>
      <c r="AE345" s="142" t="n">
        <v>0.00728343406167674</v>
      </c>
      <c r="AF345" s="270" t="n">
        <v>4.94061728395062</v>
      </c>
      <c r="AG345" s="277" t="n">
        <v>0.0531566713156671</v>
      </c>
      <c r="AH345" s="118" t="n">
        <v>0.49214052115202</v>
      </c>
      <c r="AI345" s="118" t="n">
        <v>0.34792699651862</v>
      </c>
      <c r="AJ345" s="270" t="n">
        <v>0.574572181266742</v>
      </c>
      <c r="AK345" s="64" t="n">
        <v>0.333355471430785</v>
      </c>
      <c r="AL345" s="64" t="n">
        <v>0.07309999778619029</v>
      </c>
      <c r="AM345" s="119" t="n">
        <v>0</v>
      </c>
      <c r="AN345" s="276" t="n">
        <v>4.406</v>
      </c>
    </row>
    <row customHeight="1" ht="13.2" r="346" s="3">
      <c r="A346" s="117" t="n">
        <v>43687</v>
      </c>
      <c r="B346" s="289" t="inlineStr">
        <is>
          <t>安卓</t>
        </is>
      </c>
      <c r="C346" s="268" t="n">
        <v>6432</v>
      </c>
      <c r="D346" s="268" t="n">
        <v>41460</v>
      </c>
      <c r="E346" s="269" t="n">
        <v>6.44589552238806</v>
      </c>
      <c r="F346" s="270" t="n">
        <v>0.716415644283647</v>
      </c>
      <c r="G346" s="271" t="n">
        <v>7.8</v>
      </c>
      <c r="H346" s="271" t="n">
        <v>12.45</v>
      </c>
      <c r="I346" s="141" t="n">
        <v>0.267</v>
      </c>
      <c r="J346" s="141" t="n">
        <v>0.126</v>
      </c>
      <c r="K346" s="141" t="n">
        <v>0.07000000000000001</v>
      </c>
      <c r="L346" s="270" t="n">
        <v>13.4864206464062</v>
      </c>
      <c r="M346" s="272" t="n">
        <v>16.1023637240714</v>
      </c>
      <c r="N346" s="270" t="n">
        <v>23.4708198565603</v>
      </c>
      <c r="O346" s="273" t="n">
        <v>0.686058851905451</v>
      </c>
      <c r="P346" s="270" t="n">
        <v>3.08072001125018</v>
      </c>
      <c r="Q346" s="270" t="n">
        <v>3.65036563071298</v>
      </c>
      <c r="R346" s="270" t="n">
        <v>1.54756714948671</v>
      </c>
      <c r="S346" s="270" t="n">
        <v>9.03621150330474</v>
      </c>
      <c r="T346" s="270" t="n">
        <v>2.15810012656448</v>
      </c>
      <c r="U346" s="270" t="n">
        <v>0.459323583180987</v>
      </c>
      <c r="V346" s="270" t="n">
        <v>2.54535227112924</v>
      </c>
      <c r="W346" s="270" t="n">
        <v>0.993179580930952</v>
      </c>
      <c r="X346" s="270" t="n">
        <v>0.00207428847081524</v>
      </c>
      <c r="Y346" s="269" t="n">
        <v>16.1044380125422</v>
      </c>
      <c r="Z346" s="275" t="n">
        <v>709</v>
      </c>
      <c r="AA346" s="275" t="n">
        <v>446</v>
      </c>
      <c r="AB346" s="270" t="n">
        <v>5075.91</v>
      </c>
      <c r="AC346" s="290" t="n"/>
      <c r="AD346" s="276" t="n">
        <v>0.017100820067535</v>
      </c>
      <c r="AE346" s="142" t="n">
        <v>0.0107573564881814</v>
      </c>
      <c r="AF346" s="270" t="n">
        <v>7.15925246826516</v>
      </c>
      <c r="AG346" s="277" t="n">
        <v>0.122429088277858</v>
      </c>
      <c r="AH346" s="118" t="n">
        <v>0.550839552238806</v>
      </c>
      <c r="AI346" s="118" t="n">
        <v>0.420708955223881</v>
      </c>
      <c r="AJ346" s="270" t="n">
        <v>0.478437047756874</v>
      </c>
      <c r="AK346" s="64" t="n">
        <v>0.31671490593343</v>
      </c>
      <c r="AL346" s="64" t="n">
        <v>0.07226242161119149</v>
      </c>
      <c r="AM346" s="119" t="n">
        <v>0.378461167390256</v>
      </c>
      <c r="AN346" s="276" t="n">
        <v>4.377</v>
      </c>
    </row>
    <row customHeight="1" ht="13.2" r="347" s="3">
      <c r="A347" s="117" t="n">
        <v>43688</v>
      </c>
      <c r="B347" s="289" t="inlineStr">
        <is>
          <t>安卓</t>
        </is>
      </c>
      <c r="C347" s="268" t="n">
        <v>7280</v>
      </c>
      <c r="D347" s="268" t="n">
        <v>42574</v>
      </c>
      <c r="E347" s="269" t="n">
        <v>5.84807692307692</v>
      </c>
      <c r="F347" s="270" t="n">
        <v>0.614752561657349</v>
      </c>
      <c r="G347" s="271" t="n">
        <v>8.23</v>
      </c>
      <c r="H347" s="271" t="n">
        <v>13.24</v>
      </c>
      <c r="I347" s="141" t="n">
        <v>0.274</v>
      </c>
      <c r="J347" s="141" t="n">
        <v>0.139</v>
      </c>
      <c r="K347" s="141" t="n">
        <v>0.075</v>
      </c>
      <c r="L347" s="270" t="n">
        <v>12.6779489829473</v>
      </c>
      <c r="M347" s="272" t="n">
        <v>14.9372856673087</v>
      </c>
      <c r="N347" s="270" t="n">
        <v>22.0881525476711</v>
      </c>
      <c r="O347" s="273" t="n">
        <v>0.676257809930944</v>
      </c>
      <c r="P347" s="270" t="n">
        <v>2.92615747976798</v>
      </c>
      <c r="Q347" s="270" t="n">
        <v>3.73311104164496</v>
      </c>
      <c r="R347" s="270" t="n">
        <v>1.43312146156785</v>
      </c>
      <c r="S347" s="270" t="n">
        <v>8.052134347539161</v>
      </c>
      <c r="T347" s="270" t="n">
        <v>2.09541176061964</v>
      </c>
      <c r="U347" s="270" t="n">
        <v>0.446285297488799</v>
      </c>
      <c r="V347" s="270" t="n">
        <v>2.4041540759265</v>
      </c>
      <c r="W347" s="270" t="n">
        <v>0.997777083116252</v>
      </c>
      <c r="X347" s="270" t="n">
        <v>0.00169117301639498</v>
      </c>
      <c r="Y347" s="269" t="n">
        <v>14.9389768403251</v>
      </c>
      <c r="Z347" s="275" t="n">
        <v>561</v>
      </c>
      <c r="AA347" s="275" t="n">
        <v>389</v>
      </c>
      <c r="AB347" s="270" t="n">
        <v>3762.39</v>
      </c>
      <c r="AC347" s="290" t="n"/>
      <c r="AD347" s="276" t="n">
        <v>0.0131770564194109</v>
      </c>
      <c r="AE347" s="142" t="n">
        <v>0.00913703199135623</v>
      </c>
      <c r="AF347" s="270" t="n">
        <v>6.70657754010695</v>
      </c>
      <c r="AG347" s="277" t="n">
        <v>0.0883729506271433</v>
      </c>
      <c r="AH347" s="118" t="n">
        <v>0.510851648351648</v>
      </c>
      <c r="AI347" s="118" t="n">
        <v>0.364835164835165</v>
      </c>
      <c r="AJ347" s="270" t="n">
        <v>0.478367078498614</v>
      </c>
      <c r="AK347" s="64" t="n">
        <v>0.303589044957016</v>
      </c>
      <c r="AL347" s="64" t="n">
        <v>0.06734156997228349</v>
      </c>
      <c r="AM347" s="119" t="n">
        <v>0.386714896415653</v>
      </c>
      <c r="AN347" s="276" t="n">
        <v>5.126</v>
      </c>
    </row>
    <row customHeight="1" ht="13.2" r="348" s="3">
      <c r="A348" s="117" t="n">
        <v>43689</v>
      </c>
      <c r="B348" s="289" t="inlineStr">
        <is>
          <t>安卓</t>
        </is>
      </c>
      <c r="C348" s="268" t="n">
        <v>9923</v>
      </c>
      <c r="D348" s="268" t="n">
        <v>46162</v>
      </c>
      <c r="E348" s="269" t="n">
        <v>4.6520205582989</v>
      </c>
      <c r="F348" s="270" t="n">
        <v>0.5670197084181789</v>
      </c>
      <c r="G348" s="271" t="n">
        <v>8.51</v>
      </c>
      <c r="H348" s="271" t="n">
        <v>14.44</v>
      </c>
      <c r="I348" s="141" t="n">
        <v>0.258</v>
      </c>
      <c r="J348" s="141" t="n">
        <v>0.119</v>
      </c>
      <c r="K348" s="141" t="n">
        <v>0.066</v>
      </c>
      <c r="L348" s="270" t="n">
        <v>11.731272475196</v>
      </c>
      <c r="M348" s="272" t="n">
        <v>13.5827303842988</v>
      </c>
      <c r="N348" s="270" t="n">
        <v>20.719251867028</v>
      </c>
      <c r="O348" s="273" t="n">
        <v>0.655560850916338</v>
      </c>
      <c r="P348" s="270" t="n">
        <v>2.89154715484766</v>
      </c>
      <c r="Q348" s="270" t="n">
        <v>3.57368977595665</v>
      </c>
      <c r="R348" s="270" t="n">
        <v>1.28699358931994</v>
      </c>
      <c r="S348" s="270" t="n">
        <v>7.21558390060142</v>
      </c>
      <c r="T348" s="270" t="n">
        <v>2.04903839799088</v>
      </c>
      <c r="U348" s="270" t="n">
        <v>0.452944286564008</v>
      </c>
      <c r="V348" s="270" t="n">
        <v>2.27506443724803</v>
      </c>
      <c r="W348" s="270" t="n">
        <v>0.974390324499372</v>
      </c>
      <c r="X348" s="270" t="n">
        <v>0.000953164940860448</v>
      </c>
      <c r="Y348" s="269" t="n">
        <v>13.5836835492396</v>
      </c>
      <c r="Z348" s="275" t="n">
        <v>515</v>
      </c>
      <c r="AA348" s="275" t="n">
        <v>357</v>
      </c>
      <c r="AB348" s="270" t="n">
        <v>3627.85</v>
      </c>
      <c r="AC348" s="290" t="n"/>
      <c r="AD348" s="276" t="n">
        <v>0.0111563623759802</v>
      </c>
      <c r="AE348" s="142" t="n">
        <v>0.00773363372470863</v>
      </c>
      <c r="AF348" s="270" t="n">
        <v>7.04436893203883</v>
      </c>
      <c r="AG348" s="277" t="n">
        <v>0.0785895325159222</v>
      </c>
      <c r="AH348" s="118" t="n">
        <v>0.457220598609292</v>
      </c>
      <c r="AI348" s="118" t="n">
        <v>0.298599213947395</v>
      </c>
      <c r="AJ348" s="270" t="n">
        <v>0.465534422252069</v>
      </c>
      <c r="AK348" s="64" t="n">
        <v>0.286902647198995</v>
      </c>
      <c r="AL348" s="64" t="n">
        <v>0.0644469477059053</v>
      </c>
      <c r="AM348" s="119" t="n">
        <v>0.36276591135566</v>
      </c>
      <c r="AN348" s="276" t="n">
        <v>5.114</v>
      </c>
    </row>
    <row customHeight="1" ht="13.2" r="349" s="3">
      <c r="A349" s="117" t="n">
        <v>43690</v>
      </c>
      <c r="B349" s="289" t="inlineStr">
        <is>
          <t>安卓</t>
        </is>
      </c>
      <c r="C349" s="268" t="n">
        <v>14940</v>
      </c>
      <c r="D349" s="268" t="n">
        <v>51114</v>
      </c>
      <c r="E349" s="269" t="n">
        <v>3.42128514056225</v>
      </c>
      <c r="F349" s="270" t="n">
        <v>0.471861838948233</v>
      </c>
      <c r="G349" s="271" t="n">
        <v>8.800000000000001</v>
      </c>
      <c r="H349" s="271" t="n">
        <v>15.35</v>
      </c>
      <c r="I349" s="141" t="n">
        <v>0.26</v>
      </c>
      <c r="J349" s="141" t="n">
        <v>0.124</v>
      </c>
      <c r="K349" s="141" t="n">
        <v>0.068</v>
      </c>
      <c r="L349" s="270" t="n">
        <v>10.2745040497711</v>
      </c>
      <c r="M349" s="272" t="n">
        <v>11.5927534530657</v>
      </c>
      <c r="N349" s="270" t="n">
        <v>18.7131533238591</v>
      </c>
      <c r="O349" s="273" t="n">
        <v>0.619497593614274</v>
      </c>
      <c r="P349" s="270" t="n">
        <v>2.693162798042</v>
      </c>
      <c r="Q349" s="270" t="n">
        <v>3.2416548239381</v>
      </c>
      <c r="R349" s="270" t="n">
        <v>1.12215379756829</v>
      </c>
      <c r="S349" s="270" t="n">
        <v>6.23903363334912</v>
      </c>
      <c r="T349" s="270" t="n">
        <v>1.84778146218222</v>
      </c>
      <c r="U349" s="270" t="n">
        <v>0.509868940470551</v>
      </c>
      <c r="V349" s="270" t="n">
        <v>2.11391125848729</v>
      </c>
      <c r="W349" s="270" t="n">
        <v>0.9455866098215689</v>
      </c>
      <c r="X349" s="270" t="n">
        <v>0.000528231013029698</v>
      </c>
      <c r="Y349" s="269" t="n">
        <v>11.5932816840787</v>
      </c>
      <c r="Z349" s="275" t="n">
        <v>465</v>
      </c>
      <c r="AA349" s="275" t="n">
        <v>340</v>
      </c>
      <c r="AB349" s="270" t="n">
        <v>2856.35</v>
      </c>
      <c r="AC349" s="290" t="n"/>
      <c r="AD349" s="276" t="n">
        <v>0.009097311891067029</v>
      </c>
      <c r="AE349" s="142" t="n">
        <v>0.00665179794185546</v>
      </c>
      <c r="AF349" s="270" t="n">
        <v>6.14268817204301</v>
      </c>
      <c r="AG349" s="277" t="n">
        <v>0.0558819501506436</v>
      </c>
      <c r="AH349" s="118" t="n">
        <v>0.425635876840696</v>
      </c>
      <c r="AI349" s="118" t="n">
        <v>0.25528781793842</v>
      </c>
      <c r="AJ349" s="270" t="n">
        <v>0.477599092225222</v>
      </c>
      <c r="AK349" s="64" t="n">
        <v>0.2745040497711</v>
      </c>
      <c r="AL349" s="64" t="n">
        <v>0.0615486950737567</v>
      </c>
      <c r="AM349" s="119" t="n">
        <v>0.284423054349102</v>
      </c>
      <c r="AN349" s="276" t="n">
        <v>5.335</v>
      </c>
    </row>
    <row customFormat="1" customHeight="1" ht="15" r="350" s="294">
      <c r="A350" s="121" t="n">
        <v>43691</v>
      </c>
      <c r="B350" s="295" t="inlineStr">
        <is>
          <t>安卓</t>
        </is>
      </c>
      <c r="C350" s="296" t="n">
        <v>19870</v>
      </c>
      <c r="D350" s="296" t="n">
        <v>56055</v>
      </c>
      <c r="E350" s="297" t="n">
        <v>2.82108706592854</v>
      </c>
      <c r="F350" s="294" t="n">
        <v>0.392278294086165</v>
      </c>
      <c r="G350" s="306" t="n">
        <v>8.130000000000001</v>
      </c>
      <c r="H350" s="306" t="n">
        <v>15.08</v>
      </c>
      <c r="I350" s="123" t="n">
        <v>0.388</v>
      </c>
      <c r="J350" s="123" t="n">
        <v>0.203</v>
      </c>
      <c r="K350" s="123" t="n">
        <v>0.106</v>
      </c>
      <c r="L350" s="294" t="n">
        <v>10.445669431808</v>
      </c>
      <c r="M350" s="299" t="n">
        <v>11.2761930247079</v>
      </c>
      <c r="N350" s="294" t="n">
        <v>17.440250531137</v>
      </c>
      <c r="O350" s="300" t="n">
        <v>0.646561412898047</v>
      </c>
      <c r="P350" s="294" t="n">
        <v>2.52652926082278</v>
      </c>
      <c r="Q350" s="294" t="n">
        <v>2.89523494191982</v>
      </c>
      <c r="R350" s="294" t="n">
        <v>0.997599536462213</v>
      </c>
      <c r="S350" s="294" t="n">
        <v>5.87666583892062</v>
      </c>
      <c r="T350" s="294" t="n">
        <v>1.62378942140551</v>
      </c>
      <c r="U350" s="294" t="n">
        <v>0.6315426427172141</v>
      </c>
      <c r="V350" s="294" t="n">
        <v>1.97963744723119</v>
      </c>
      <c r="W350" s="294" t="n">
        <v>0.909251441657699</v>
      </c>
      <c r="X350" s="294" t="n">
        <v>0.00137365087860137</v>
      </c>
      <c r="Y350" s="297" t="n">
        <v>11.2775666755865</v>
      </c>
      <c r="Z350" s="293" t="n">
        <v>448</v>
      </c>
      <c r="AA350" s="293" t="n">
        <v>312</v>
      </c>
      <c r="AB350" s="294" t="n">
        <v>2069.52</v>
      </c>
      <c r="AC350" s="302" t="n"/>
      <c r="AD350" s="303" t="n">
        <v>0.00799215056640799</v>
      </c>
      <c r="AE350" s="124" t="n">
        <v>0.00556596200160557</v>
      </c>
      <c r="AF350" s="294" t="n">
        <v>4.61946428571428</v>
      </c>
      <c r="AG350" s="304" t="n">
        <v>0.0369194541075729</v>
      </c>
      <c r="AH350" s="125" t="n">
        <v>0.606592853548062</v>
      </c>
      <c r="AI350" s="125" t="n">
        <v>0.420533467539004</v>
      </c>
      <c r="AJ350" s="294" t="n">
        <v>0.634483988939434</v>
      </c>
      <c r="AK350" s="126" t="n">
        <v>0.298117919900098</v>
      </c>
      <c r="AL350" s="126" t="n">
        <v>0.0571224690036571</v>
      </c>
      <c r="AM350" s="127" t="n">
        <v>0</v>
      </c>
      <c r="AN350" s="276" t="n">
        <v>4.853</v>
      </c>
    </row>
    <row customHeight="1" ht="13.2" r="351" s="3">
      <c r="A351" s="117" t="n">
        <v>43692</v>
      </c>
      <c r="B351" s="267" t="inlineStr">
        <is>
          <t>安卓</t>
        </is>
      </c>
      <c r="C351" s="268" t="n">
        <v>11178</v>
      </c>
      <c r="D351" s="268" t="n">
        <v>51043</v>
      </c>
      <c r="E351" s="269" t="n">
        <v>4.56638039005189</v>
      </c>
      <c r="F351" s="270" t="n">
        <v>0.398491307015653</v>
      </c>
      <c r="G351" s="271" t="n">
        <v>8.32</v>
      </c>
      <c r="H351" s="271" t="n">
        <v>14.36</v>
      </c>
      <c r="I351" s="141" t="n">
        <v>0.321</v>
      </c>
      <c r="J351" s="141" t="n">
        <v>0.159</v>
      </c>
      <c r="K351" s="141" t="n">
        <v>0.08799999999999999</v>
      </c>
      <c r="L351" s="270" t="n">
        <v>10.2539819367984</v>
      </c>
      <c r="M351" s="272" t="n">
        <v>11.2206962756891</v>
      </c>
      <c r="N351" s="270" t="n">
        <v>16.9967059382141</v>
      </c>
      <c r="O351" s="273" t="n">
        <v>0.660168877221166</v>
      </c>
      <c r="P351" s="270" t="n">
        <v>2.45024779653975</v>
      </c>
      <c r="Q351" s="270" t="n">
        <v>2.96127251684126</v>
      </c>
      <c r="R351" s="270" t="n">
        <v>0.98807015461317</v>
      </c>
      <c r="S351" s="270" t="n">
        <v>5.62468469003175</v>
      </c>
      <c r="T351" s="270" t="n">
        <v>1.61201293883729</v>
      </c>
      <c r="U351" s="270" t="n">
        <v>0.552126302044692</v>
      </c>
      <c r="V351" s="270" t="n">
        <v>1.89984271596878</v>
      </c>
      <c r="W351" s="270" t="n">
        <v>0.908448823337389</v>
      </c>
      <c r="X351" s="270" t="n">
        <v>0.000646513723723135</v>
      </c>
      <c r="Y351" s="269" t="n">
        <v>11.2213427894128</v>
      </c>
      <c r="Z351" s="275" t="n">
        <v>367</v>
      </c>
      <c r="AA351" s="275" t="n">
        <v>279</v>
      </c>
      <c r="AB351" s="270" t="n">
        <v>1883.33</v>
      </c>
      <c r="AC351" s="290" t="n"/>
      <c r="AD351" s="276" t="n">
        <v>0.00719001626079972</v>
      </c>
      <c r="AE351" s="142" t="n">
        <v>0.00546597966420469</v>
      </c>
      <c r="AF351" s="270" t="n">
        <v>5.131689373297</v>
      </c>
      <c r="AG351" s="277" t="n">
        <v>0.0368969300393786</v>
      </c>
      <c r="AH351" s="118" t="n">
        <v>0.575952764358561</v>
      </c>
      <c r="AI351" s="118" t="n">
        <v>0.449543746645196</v>
      </c>
      <c r="AJ351" s="270" t="n">
        <v>0.62500244891562</v>
      </c>
      <c r="AK351" s="64" t="n">
        <v>0.333659855416022</v>
      </c>
      <c r="AL351" s="64" t="n">
        <v>0.0607526987050134</v>
      </c>
      <c r="AM351" s="119" t="n">
        <v>0</v>
      </c>
      <c r="AN351" s="276" t="n">
        <v>5.209</v>
      </c>
    </row>
    <row customHeight="1" ht="13.2" r="352" s="3">
      <c r="A352" s="117" t="n">
        <v>43693</v>
      </c>
      <c r="B352" s="267" t="inlineStr">
        <is>
          <t>安卓</t>
        </is>
      </c>
      <c r="C352" s="268" t="n">
        <v>9396</v>
      </c>
      <c r="D352" s="268" t="n">
        <v>48149</v>
      </c>
      <c r="E352" s="269" t="n">
        <v>5.12441464452959</v>
      </c>
      <c r="F352" s="270" t="n">
        <v>0.426357440133753</v>
      </c>
      <c r="G352" s="271" t="n">
        <v>7.85</v>
      </c>
      <c r="H352" s="271" t="n">
        <v>13.2</v>
      </c>
      <c r="I352" s="141" t="n">
        <v>0.312</v>
      </c>
      <c r="J352" s="141" t="n">
        <v>0.161</v>
      </c>
      <c r="K352" s="141" t="n">
        <v>0.082</v>
      </c>
      <c r="L352" s="270" t="n">
        <v>10.1786537622796</v>
      </c>
      <c r="M352" s="272" t="n">
        <v>11.1567218426136</v>
      </c>
      <c r="N352" s="270" t="n">
        <v>16.7943787907209</v>
      </c>
      <c r="O352" s="273" t="n">
        <v>0.664312862157059</v>
      </c>
      <c r="P352" s="270" t="n">
        <v>2.48924529481648</v>
      </c>
      <c r="Q352" s="270" t="n">
        <v>2.92903145125993</v>
      </c>
      <c r="R352" s="270" t="n">
        <v>0.993497155005315</v>
      </c>
      <c r="S352" s="270" t="n">
        <v>5.42005877571438</v>
      </c>
      <c r="T352" s="270" t="n">
        <v>1.63896704808354</v>
      </c>
      <c r="U352" s="270" t="n">
        <v>0.547864690802226</v>
      </c>
      <c r="V352" s="270" t="n">
        <v>1.87469517914087</v>
      </c>
      <c r="W352" s="270" t="n">
        <v>0.901019195898205</v>
      </c>
      <c r="X352" s="270" t="n">
        <v>0.00238841928181271</v>
      </c>
      <c r="Y352" s="269" t="n">
        <v>11.1591102618954</v>
      </c>
      <c r="Z352" s="275" t="n">
        <v>484</v>
      </c>
      <c r="AA352" s="275" t="n">
        <v>337</v>
      </c>
      <c r="AB352" s="270" t="n">
        <v>2617.16</v>
      </c>
      <c r="AC352" s="290" t="n"/>
      <c r="AD352" s="276" t="n">
        <v>0.0100521298469335</v>
      </c>
      <c r="AE352" s="142" t="n">
        <v>0.00699910693887724</v>
      </c>
      <c r="AF352" s="270" t="n">
        <v>5.40735537190083</v>
      </c>
      <c r="AG352" s="277" t="n">
        <v>0.0543554383268604</v>
      </c>
      <c r="AH352" s="118" t="n">
        <v>0.555023414218817</v>
      </c>
      <c r="AI352" s="118" t="n">
        <v>0.432418050234142</v>
      </c>
      <c r="AJ352" s="270" t="n">
        <v>0.6378117925605929</v>
      </c>
      <c r="AK352" s="64" t="n">
        <v>0.349062285821097</v>
      </c>
      <c r="AL352" s="64" t="n">
        <v>0.0618289061039689</v>
      </c>
      <c r="AM352" s="119" t="n">
        <v>0</v>
      </c>
      <c r="AN352" s="276" t="n">
        <v>4.561</v>
      </c>
    </row>
    <row customHeight="1" ht="13.2" r="353" s="3">
      <c r="A353" s="117" t="n">
        <v>43694</v>
      </c>
      <c r="B353" s="289" t="inlineStr">
        <is>
          <t>安卓</t>
        </is>
      </c>
      <c r="C353" s="268" t="n">
        <v>7480</v>
      </c>
      <c r="D353" s="268" t="n">
        <v>45584</v>
      </c>
      <c r="E353" s="269" t="n">
        <v>6.09411764705882</v>
      </c>
      <c r="F353" s="270" t="n">
        <v>0.61365916722973</v>
      </c>
      <c r="G353" s="271" t="n">
        <v>6.85</v>
      </c>
      <c r="H353" s="271" t="n">
        <v>11.9</v>
      </c>
      <c r="I353" s="141" t="n">
        <v>0.298</v>
      </c>
      <c r="J353" s="141" t="n">
        <v>0.149</v>
      </c>
      <c r="K353" s="141" t="n">
        <v>0.077</v>
      </c>
      <c r="L353" s="270" t="n">
        <v>13.522836960337</v>
      </c>
      <c r="M353" s="272" t="n">
        <v>16.6190110565111</v>
      </c>
      <c r="N353" s="270" t="n">
        <v>23.1655862026787</v>
      </c>
      <c r="O353" s="273" t="n">
        <v>0.717400842400842</v>
      </c>
      <c r="P353" s="270" t="n">
        <v>2.94575255336065</v>
      </c>
      <c r="Q353" s="270" t="n">
        <v>3.6418567671702</v>
      </c>
      <c r="R353" s="270" t="n">
        <v>1.42333802213932</v>
      </c>
      <c r="S353" s="270" t="n">
        <v>8.6095040058712</v>
      </c>
      <c r="T353" s="270" t="n">
        <v>2.04430921656168</v>
      </c>
      <c r="U353" s="270" t="n">
        <v>0.45462051250688</v>
      </c>
      <c r="V353" s="270" t="n">
        <v>2.49911320408538</v>
      </c>
      <c r="W353" s="270" t="n">
        <v>0.985719527857624</v>
      </c>
      <c r="X353" s="270" t="n">
        <v>0.0117804492804493</v>
      </c>
      <c r="Y353" s="269" t="n">
        <v>16.6307915057915</v>
      </c>
      <c r="Z353" s="275" t="n">
        <v>609</v>
      </c>
      <c r="AA353" s="275" t="n">
        <v>408</v>
      </c>
      <c r="AB353" s="270" t="n">
        <v>4717.91</v>
      </c>
      <c r="AC353" s="290" t="n"/>
      <c r="AD353" s="276" t="n">
        <v>0.0133599508599509</v>
      </c>
      <c r="AE353" s="142" t="n">
        <v>0.00895050895050895</v>
      </c>
      <c r="AF353" s="270" t="n">
        <v>7.74697865353038</v>
      </c>
      <c r="AG353" s="277" t="n">
        <v>0.103499254124254</v>
      </c>
      <c r="AH353" s="118" t="n">
        <v>0.56644385026738</v>
      </c>
      <c r="AI353" s="118" t="n">
        <v>0.457085561497326</v>
      </c>
      <c r="AJ353" s="270" t="n">
        <v>0.513491575991576</v>
      </c>
      <c r="AK353" s="64" t="n">
        <v>0.323249385749386</v>
      </c>
      <c r="AL353" s="64" t="n">
        <v>0.0620612495612496</v>
      </c>
      <c r="AM353" s="119" t="n">
        <v>0.390027202527203</v>
      </c>
      <c r="AN353" s="276" t="n">
        <v>5.688</v>
      </c>
    </row>
    <row customHeight="1" ht="13.2" r="354" s="3">
      <c r="A354" s="117" t="n">
        <v>43695</v>
      </c>
      <c r="B354" s="289" t="inlineStr">
        <is>
          <t>安卓</t>
        </is>
      </c>
      <c r="C354" s="268" t="n">
        <v>8785</v>
      </c>
      <c r="D354" s="268" t="n">
        <v>46304</v>
      </c>
      <c r="E354" s="269" t="n">
        <v>5.27080250426864</v>
      </c>
      <c r="F354" s="270" t="n">
        <v>0.559050923246372</v>
      </c>
      <c r="G354" s="271" t="n">
        <v>7.18</v>
      </c>
      <c r="H354" s="271" t="n">
        <v>12.44</v>
      </c>
      <c r="I354" s="141" t="n">
        <v>0.311</v>
      </c>
      <c r="J354" s="141" t="n">
        <v>0.142</v>
      </c>
      <c r="K354" s="141" t="n">
        <v>0.08699999999999999</v>
      </c>
      <c r="L354" s="270" t="n">
        <v>12.6124740843124</v>
      </c>
      <c r="M354" s="272" t="n">
        <v>14.9770646164478</v>
      </c>
      <c r="N354" s="270" t="n">
        <v>21.9697776088196</v>
      </c>
      <c r="O354" s="273" t="n">
        <v>0.681712163096061</v>
      </c>
      <c r="P354" s="270" t="n">
        <v>2.89843502502693</v>
      </c>
      <c r="Q354" s="270" t="n">
        <v>3.75730216055249</v>
      </c>
      <c r="R354" s="270" t="n">
        <v>1.44959766837737</v>
      </c>
      <c r="S354" s="270" t="n">
        <v>7.89948045365266</v>
      </c>
      <c r="T354" s="270" t="n">
        <v>2.06104669581195</v>
      </c>
      <c r="U354" s="270" t="n">
        <v>0.462016093264905</v>
      </c>
      <c r="V354" s="270" t="n">
        <v>2.43055819552683</v>
      </c>
      <c r="W354" s="270" t="n">
        <v>1.01134131660648</v>
      </c>
      <c r="X354" s="270" t="n">
        <v>0.00155494125777471</v>
      </c>
      <c r="Y354" s="269" t="n">
        <v>14.9786195577056</v>
      </c>
      <c r="Z354" s="275" t="n">
        <v>547</v>
      </c>
      <c r="AA354" s="275" t="n">
        <v>381</v>
      </c>
      <c r="AB354" s="270" t="n">
        <v>4023.53</v>
      </c>
      <c r="AC354" s="290" t="n"/>
      <c r="AD354" s="276" t="n">
        <v>0.0118132342778162</v>
      </c>
      <c r="AE354" s="142" t="n">
        <v>0.00822823082239115</v>
      </c>
      <c r="AF354" s="270" t="n">
        <v>7.35563071297989</v>
      </c>
      <c r="AG354" s="277" t="n">
        <v>0.0868937888735314</v>
      </c>
      <c r="AH354" s="118" t="n">
        <v>0.521115537848606</v>
      </c>
      <c r="AI354" s="118" t="n">
        <v>0.379510529311326</v>
      </c>
      <c r="AJ354" s="270" t="n">
        <v>0.500669488597097</v>
      </c>
      <c r="AK354" s="64" t="n">
        <v>0.300578783690394</v>
      </c>
      <c r="AL354" s="64" t="n">
        <v>0.0561506565307533</v>
      </c>
      <c r="AM354" s="119" t="n">
        <v>0.387029198341396</v>
      </c>
      <c r="AN354" s="276" t="n">
        <v>5.671</v>
      </c>
    </row>
    <row customHeight="1" ht="13.2" r="355" s="3">
      <c r="A355" s="117" t="n">
        <v>43696</v>
      </c>
      <c r="B355" s="289" t="inlineStr">
        <is>
          <t>安卓</t>
        </is>
      </c>
      <c r="C355" s="268" t="n">
        <v>10600</v>
      </c>
      <c r="D355" s="268" t="n">
        <v>48987</v>
      </c>
      <c r="E355" s="269" t="n">
        <v>4.62141509433962</v>
      </c>
      <c r="F355" s="270" t="n">
        <v>0.524176757302958</v>
      </c>
      <c r="G355" s="271" t="n">
        <v>7.38</v>
      </c>
      <c r="H355" s="271" t="n">
        <v>12.43</v>
      </c>
      <c r="I355" s="141" t="n">
        <v>0.29</v>
      </c>
      <c r="J355" s="141" t="n">
        <v>0.145</v>
      </c>
      <c r="K355" s="141" t="n">
        <v>0.083</v>
      </c>
      <c r="L355" s="270" t="n">
        <v>12.1077224569784</v>
      </c>
      <c r="M355" s="272" t="n">
        <v>14.0087165982812</v>
      </c>
      <c r="N355" s="270" t="n">
        <v>20.9221036585366</v>
      </c>
      <c r="O355" s="273" t="n">
        <v>0.669565394900688</v>
      </c>
      <c r="P355" s="270" t="n">
        <v>2.87631097560976</v>
      </c>
      <c r="Q355" s="270" t="n">
        <v>3.72457317073171</v>
      </c>
      <c r="R355" s="270" t="n">
        <v>1.34731707317073</v>
      </c>
      <c r="S355" s="270" t="n">
        <v>7.12475609756098</v>
      </c>
      <c r="T355" s="270" t="n">
        <v>2.02100609756098</v>
      </c>
      <c r="U355" s="270" t="n">
        <v>0.472012195121951</v>
      </c>
      <c r="V355" s="270" t="n">
        <v>2.3469512195122</v>
      </c>
      <c r="W355" s="270" t="n">
        <v>1.00917682926829</v>
      </c>
      <c r="X355" s="270" t="n">
        <v>0.00161267274991324</v>
      </c>
      <c r="Y355" s="269" t="n">
        <v>14.0103292710311</v>
      </c>
      <c r="Z355" s="275" t="n">
        <v>546</v>
      </c>
      <c r="AA355" s="275" t="n">
        <v>355</v>
      </c>
      <c r="AB355" s="270" t="n">
        <v>3802.54</v>
      </c>
      <c r="AC355" s="290" t="n"/>
      <c r="AD355" s="276" t="n">
        <v>0.0111458141956029</v>
      </c>
      <c r="AE355" s="142" t="n">
        <v>0.00724682058505318</v>
      </c>
      <c r="AF355" s="270" t="n">
        <v>6.96435897435897</v>
      </c>
      <c r="AG355" s="277" t="n">
        <v>0.0776234511196848</v>
      </c>
      <c r="AH355" s="118" t="n">
        <v>0.486981132075472</v>
      </c>
      <c r="AI355" s="118" t="n">
        <v>0.338962264150943</v>
      </c>
      <c r="AJ355" s="270" t="n">
        <v>0.510257823504195</v>
      </c>
      <c r="AK355" s="64" t="n">
        <v>0.294751668810092</v>
      </c>
      <c r="AL355" s="64" t="n">
        <v>0.0575867066772817</v>
      </c>
      <c r="AM355" s="119" t="n">
        <v>0.368301794353604</v>
      </c>
      <c r="AN355" s="276" t="n">
        <v>4.974</v>
      </c>
    </row>
    <row customHeight="1" ht="13.2" r="356" s="3">
      <c r="A356" s="117" t="n">
        <v>43697</v>
      </c>
      <c r="B356" s="289" t="inlineStr">
        <is>
          <t>安卓</t>
        </is>
      </c>
      <c r="C356" s="268" t="n">
        <v>10823</v>
      </c>
      <c r="D356" s="268" t="n">
        <v>49026</v>
      </c>
      <c r="E356" s="269" t="n">
        <v>4.52979765314608</v>
      </c>
      <c r="F356" s="270" t="n">
        <v>0.536383354301799</v>
      </c>
      <c r="G356" s="271" t="n">
        <v>8.33</v>
      </c>
      <c r="H356" s="271" t="n">
        <v>13.83</v>
      </c>
      <c r="I356" s="141" t="n">
        <v>0.281</v>
      </c>
      <c r="J356" s="141" t="n">
        <v>0.139</v>
      </c>
      <c r="K356" s="141" t="n">
        <v>0.079</v>
      </c>
      <c r="L356" s="270" t="n">
        <v>11.342471341737</v>
      </c>
      <c r="M356" s="272" t="n">
        <v>12.707094194917</v>
      </c>
      <c r="N356" s="270" t="n">
        <v>19.2247492670884</v>
      </c>
      <c r="O356" s="273" t="n">
        <v>0.660975808754538</v>
      </c>
      <c r="P356" s="270" t="n">
        <v>2.66773646042277</v>
      </c>
      <c r="Q356" s="270" t="n">
        <v>3.39145193642956</v>
      </c>
      <c r="R356" s="270" t="n">
        <v>1.21089338065113</v>
      </c>
      <c r="S356" s="270" t="n">
        <v>6.49449159080389</v>
      </c>
      <c r="T356" s="270" t="n">
        <v>1.85974386668724</v>
      </c>
      <c r="U356" s="270" t="n">
        <v>0.498071285295479</v>
      </c>
      <c r="V356" s="270" t="n">
        <v>2.14908193180065</v>
      </c>
      <c r="W356" s="270" t="n">
        <v>0.953278814997686</v>
      </c>
      <c r="X356" s="270" t="n">
        <v>0.000836290947660425</v>
      </c>
      <c r="Y356" s="269" t="n">
        <v>12.7079304858646</v>
      </c>
      <c r="Z356" s="275" t="n">
        <v>566</v>
      </c>
      <c r="AA356" s="275" t="n">
        <v>357</v>
      </c>
      <c r="AB356" s="270" t="n">
        <v>3623.34</v>
      </c>
      <c r="AC356" s="290" t="n"/>
      <c r="AD356" s="276" t="n">
        <v>0.0115448945457512</v>
      </c>
      <c r="AE356" s="142" t="n">
        <v>0.00728185044670175</v>
      </c>
      <c r="AF356" s="270" t="n">
        <v>6.40166077738516</v>
      </c>
      <c r="AG356" s="277" t="n">
        <v>0.0739064985925835</v>
      </c>
      <c r="AH356" s="118" t="n">
        <v>0.469185992793126</v>
      </c>
      <c r="AI356" s="118" t="n">
        <v>0.322369028919893</v>
      </c>
      <c r="AJ356" s="270" t="n">
        <v>0.533472035246604</v>
      </c>
      <c r="AK356" s="64" t="n">
        <v>0.306898380451189</v>
      </c>
      <c r="AL356" s="64" t="n">
        <v>0.0611920205605189</v>
      </c>
      <c r="AM356" s="119" t="n">
        <v>0.309529637335291</v>
      </c>
      <c r="AN356" s="276" t="n">
        <v>4.019</v>
      </c>
    </row>
    <row customFormat="1" customHeight="1" ht="15" r="357" s="294">
      <c r="A357" s="121" t="n">
        <v>43698</v>
      </c>
      <c r="B357" s="295" t="inlineStr">
        <is>
          <t>安卓</t>
        </is>
      </c>
      <c r="C357" s="296" t="n">
        <v>11160</v>
      </c>
      <c r="D357" s="296" t="n">
        <v>47842</v>
      </c>
      <c r="E357" s="297" t="n">
        <v>4.28691756272401</v>
      </c>
      <c r="F357" s="294" t="n">
        <v>0.407247604615192</v>
      </c>
      <c r="G357" s="306" t="n">
        <v>8.880000000000001</v>
      </c>
      <c r="H357" s="306" t="n">
        <v>14.16</v>
      </c>
      <c r="I357" s="123" t="n">
        <v>0.269</v>
      </c>
      <c r="J357" s="123" t="n">
        <v>0.128</v>
      </c>
      <c r="K357" s="123" t="n">
        <v>0.07000000000000001</v>
      </c>
      <c r="L357" s="294" t="n">
        <v>9.58143472262865</v>
      </c>
      <c r="M357" s="299" t="n">
        <v>10.3560469880022</v>
      </c>
      <c r="N357" s="294" t="n">
        <v>16.2209926663174</v>
      </c>
      <c r="O357" s="300" t="n">
        <v>0.63843484804147</v>
      </c>
      <c r="P357" s="294" t="n">
        <v>2.4302645364065</v>
      </c>
      <c r="Q357" s="294" t="n">
        <v>2.75946176008381</v>
      </c>
      <c r="R357" s="294" t="n">
        <v>0.958649816657936</v>
      </c>
      <c r="S357" s="294" t="n">
        <v>5.26934913567313</v>
      </c>
      <c r="T357" s="294" t="n">
        <v>1.60316265060241</v>
      </c>
      <c r="U357" s="294" t="n">
        <v>0.53015322158198</v>
      </c>
      <c r="V357" s="294" t="n">
        <v>1.80539549502357</v>
      </c>
      <c r="W357" s="294" t="n">
        <v>0.864556050288109</v>
      </c>
      <c r="X357" s="294" t="n">
        <v>0.00181848584925379</v>
      </c>
      <c r="Y357" s="297" t="n">
        <v>10.3578654738514</v>
      </c>
      <c r="Z357" s="293" t="n">
        <v>369</v>
      </c>
      <c r="AA357" s="293" t="n">
        <v>252</v>
      </c>
      <c r="AB357" s="294" t="n">
        <v>2064.31</v>
      </c>
      <c r="AC357" s="302" t="n"/>
      <c r="AD357" s="303" t="n">
        <v>0.00771288825717988</v>
      </c>
      <c r="AE357" s="124" t="n">
        <v>0.00526733832197651</v>
      </c>
      <c r="AF357" s="294" t="n">
        <v>5.59433604336043</v>
      </c>
      <c r="AG357" s="304" t="n">
        <v>0.0431484887755529</v>
      </c>
      <c r="AH357" s="125" t="n">
        <v>0.452598566308244</v>
      </c>
      <c r="AI357" s="125" t="n">
        <v>0.298028673835125</v>
      </c>
      <c r="AJ357" s="294" t="n">
        <v>0.592805484720538</v>
      </c>
      <c r="AK357" s="126" t="n">
        <v>0.322060114543706</v>
      </c>
      <c r="AL357" s="126" t="n">
        <v>0.0619539316918189</v>
      </c>
      <c r="AM357" s="127" t="n">
        <v>0</v>
      </c>
      <c r="AN357" s="276" t="n">
        <v>4.55</v>
      </c>
    </row>
    <row customHeight="1" ht="13.2" r="358" s="3">
      <c r="A358" s="117" t="n">
        <v>43699</v>
      </c>
      <c r="B358" s="267" t="inlineStr">
        <is>
          <t>安卓</t>
        </is>
      </c>
      <c r="C358" s="268" t="n">
        <v>12703</v>
      </c>
      <c r="D358" s="268" t="n">
        <v>48972</v>
      </c>
      <c r="E358" s="269" t="n">
        <v>3.85515232622215</v>
      </c>
      <c r="F358" s="270" t="n">
        <v>0.438798733153639</v>
      </c>
      <c r="G358" s="271" t="n">
        <v>9.369999999999999</v>
      </c>
      <c r="H358" s="271" t="n">
        <v>15.23</v>
      </c>
      <c r="I358" s="141" t="n">
        <v>0.26</v>
      </c>
      <c r="J358" s="141" t="n">
        <v>0.127</v>
      </c>
      <c r="K358" s="141" t="n">
        <v>0.065</v>
      </c>
      <c r="L358" s="270" t="n">
        <v>9.437637833864249</v>
      </c>
      <c r="M358" s="272" t="n">
        <v>9.991770807808541</v>
      </c>
      <c r="N358" s="270" t="n">
        <v>16.097012961379</v>
      </c>
      <c r="O358" s="273" t="n">
        <v>0.620722045250347</v>
      </c>
      <c r="P358" s="270" t="n">
        <v>2.47647871570498</v>
      </c>
      <c r="Q358" s="270" t="n">
        <v>2.74639778932825</v>
      </c>
      <c r="R358" s="270" t="n">
        <v>0.9403908151852099</v>
      </c>
      <c r="S358" s="270" t="n">
        <v>5.09178235410224</v>
      </c>
      <c r="T358" s="270" t="n">
        <v>1.61408645305612</v>
      </c>
      <c r="U358" s="270" t="n">
        <v>0.539114415422067</v>
      </c>
      <c r="V358" s="270" t="n">
        <v>1.80900059214422</v>
      </c>
      <c r="W358" s="270" t="n">
        <v>0.87976182643595</v>
      </c>
      <c r="X358" s="270" t="n">
        <v>0.000918892428326391</v>
      </c>
      <c r="Y358" s="269" t="n">
        <v>9.99268970023687</v>
      </c>
      <c r="Z358" s="275" t="n">
        <v>410</v>
      </c>
      <c r="AA358" s="275" t="n">
        <v>278</v>
      </c>
      <c r="AB358" s="270" t="n">
        <v>2591.9</v>
      </c>
      <c r="AC358" s="290" t="n"/>
      <c r="AD358" s="276" t="n">
        <v>0.00837213101364045</v>
      </c>
      <c r="AE358" s="142" t="n">
        <v>0.00567671322388304</v>
      </c>
      <c r="AF358" s="270" t="n">
        <v>6.32170731707317</v>
      </c>
      <c r="AG358" s="277" t="n">
        <v>0.052926161888426</v>
      </c>
      <c r="AH358" s="118" t="n">
        <v>0.452806423679446</v>
      </c>
      <c r="AI358" s="118" t="n">
        <v>0.287648586947965</v>
      </c>
      <c r="AJ358" s="270" t="n">
        <v>0.5730008984725971</v>
      </c>
      <c r="AK358" s="64" t="n">
        <v>0.314669607122437</v>
      </c>
      <c r="AL358" s="64" t="n">
        <v>0.0590337335620355</v>
      </c>
      <c r="AM358" s="119" t="n">
        <v>0</v>
      </c>
      <c r="AN358" s="276" t="n">
        <v>5.189</v>
      </c>
    </row>
    <row customHeight="1" ht="13.2" r="359" s="3">
      <c r="A359" s="117" t="n">
        <v>43700</v>
      </c>
      <c r="B359" s="267" t="inlineStr">
        <is>
          <t>安卓</t>
        </is>
      </c>
      <c r="C359" s="268" t="n">
        <v>10337</v>
      </c>
      <c r="D359" s="268" t="n">
        <v>46407</v>
      </c>
      <c r="E359" s="269" t="n">
        <v>4.48940698461836</v>
      </c>
      <c r="F359" s="270" t="n">
        <v>0.411772477535717</v>
      </c>
      <c r="G359" s="271" t="n">
        <v>8.56</v>
      </c>
      <c r="H359" s="271" t="n">
        <v>13.7</v>
      </c>
      <c r="I359" s="141" t="n">
        <v>0.246</v>
      </c>
      <c r="J359" s="141" t="n">
        <v>0.122</v>
      </c>
      <c r="K359" s="141" t="n">
        <v>0.065</v>
      </c>
      <c r="L359" s="270" t="n">
        <v>9.50464369599414</v>
      </c>
      <c r="M359" s="272" t="n">
        <v>10.2265821966514</v>
      </c>
      <c r="N359" s="270" t="n">
        <v>16.1913616048582</v>
      </c>
      <c r="O359" s="273" t="n">
        <v>0.6316073006227509</v>
      </c>
      <c r="P359" s="270" t="n">
        <v>2.45822387499574</v>
      </c>
      <c r="Q359" s="270" t="n">
        <v>2.80570434307939</v>
      </c>
      <c r="R359" s="270" t="n">
        <v>0.947732933028556</v>
      </c>
      <c r="S359" s="270" t="n">
        <v>5.11695267988127</v>
      </c>
      <c r="T359" s="270" t="n">
        <v>1.64006686909351</v>
      </c>
      <c r="U359" s="270" t="n">
        <v>0.541332605506465</v>
      </c>
      <c r="V359" s="270" t="n">
        <v>1.79884684930572</v>
      </c>
      <c r="W359" s="270" t="n">
        <v>0.8825014499675889</v>
      </c>
      <c r="X359" s="270" t="n">
        <v>0.000668002672010688</v>
      </c>
      <c r="Y359" s="269" t="n">
        <v>10.2272501993234</v>
      </c>
      <c r="Z359" s="275" t="n">
        <v>400</v>
      </c>
      <c r="AA359" s="275" t="n">
        <v>272</v>
      </c>
      <c r="AB359" s="270" t="n">
        <v>2218</v>
      </c>
      <c r="AC359" s="290" t="n"/>
      <c r="AD359" s="276" t="n">
        <v>0.00861938931626694</v>
      </c>
      <c r="AE359" s="142" t="n">
        <v>0.00586118473506152</v>
      </c>
      <c r="AF359" s="270" t="n">
        <v>5.545</v>
      </c>
      <c r="AG359" s="277" t="n">
        <v>0.0477945137587002</v>
      </c>
      <c r="AH359" s="118" t="n">
        <v>0.45999806520267</v>
      </c>
      <c r="AI359" s="118" t="n">
        <v>0.32001547837864</v>
      </c>
      <c r="AJ359" s="270" t="n">
        <v>0.5802357402978</v>
      </c>
      <c r="AK359" s="64" t="n">
        <v>0.326093046307669</v>
      </c>
      <c r="AL359" s="64" t="n">
        <v>0.0608313400995539</v>
      </c>
      <c r="AM359" s="119" t="n">
        <v>0</v>
      </c>
      <c r="AN359" s="276" t="n">
        <v>4.498</v>
      </c>
    </row>
    <row customHeight="1" ht="13.2" r="360" s="3">
      <c r="A360" s="117" t="n">
        <v>43701</v>
      </c>
      <c r="B360" s="289" t="inlineStr">
        <is>
          <t>安卓</t>
        </is>
      </c>
      <c r="C360" s="268" t="n">
        <v>7207</v>
      </c>
      <c r="D360" s="268" t="n">
        <v>42761</v>
      </c>
      <c r="E360" s="269" t="n">
        <v>5.93325933120577</v>
      </c>
      <c r="F360" s="270" t="n">
        <v>0.647334852973504</v>
      </c>
      <c r="G360" s="271" t="n">
        <v>7.36</v>
      </c>
      <c r="H360" s="271" t="n">
        <v>12.15</v>
      </c>
      <c r="I360" s="141" t="n">
        <v>0.245</v>
      </c>
      <c r="J360" s="141" t="n">
        <v>0.122</v>
      </c>
      <c r="K360" s="141" t="n">
        <v>0.068</v>
      </c>
      <c r="L360" s="270" t="n">
        <v>13.016744229555</v>
      </c>
      <c r="M360" s="272" t="n">
        <v>15.8137555248942</v>
      </c>
      <c r="N360" s="270" t="n">
        <v>23.503249800146</v>
      </c>
      <c r="O360" s="273" t="n">
        <v>0.672832721405019</v>
      </c>
      <c r="P360" s="270" t="n">
        <v>3.13774286608043</v>
      </c>
      <c r="Q360" s="270" t="n">
        <v>3.7659796322686</v>
      </c>
      <c r="R360" s="270" t="n">
        <v>1.64380800111223</v>
      </c>
      <c r="S360" s="270" t="n">
        <v>8.787633380834871</v>
      </c>
      <c r="T360" s="270" t="n">
        <v>2.17079698307323</v>
      </c>
      <c r="U360" s="270" t="n">
        <v>0.471134128115116</v>
      </c>
      <c r="V360" s="270" t="n">
        <v>2.53036043237983</v>
      </c>
      <c r="W360" s="270" t="n">
        <v>0.995794376281672</v>
      </c>
      <c r="X360" s="270" t="n">
        <v>0.00109913238698814</v>
      </c>
      <c r="Y360" s="269" t="n">
        <v>15.8148546572812</v>
      </c>
      <c r="Z360" s="275" t="n">
        <v>673</v>
      </c>
      <c r="AA360" s="275" t="n">
        <v>411</v>
      </c>
      <c r="AB360" s="270" t="n">
        <v>4612.27</v>
      </c>
      <c r="AC360" s="290" t="n"/>
      <c r="AD360" s="276" t="n">
        <v>0.0157386403498515</v>
      </c>
      <c r="AE360" s="142" t="n">
        <v>0.0096115619372793</v>
      </c>
      <c r="AF360" s="270" t="n">
        <v>6.85329866270431</v>
      </c>
      <c r="AG360" s="277" t="n">
        <v>0.107861602862421</v>
      </c>
      <c r="AH360" s="118">
        <f>3594/C360</f>
        <v/>
      </c>
      <c r="AI360" s="118">
        <f>2790/C360</f>
        <v/>
      </c>
      <c r="AJ360" s="270" t="n">
        <v>0.489932415051098</v>
      </c>
      <c r="AK360" s="64" t="n">
        <v>0.310727064381095</v>
      </c>
      <c r="AL360" s="64" t="n">
        <v>0.062673931853792</v>
      </c>
      <c r="AM360" s="119" t="n">
        <v>0.361427468955356</v>
      </c>
      <c r="AN360" s="276" t="n">
        <v>5</v>
      </c>
    </row>
    <row customHeight="1" ht="13.2" r="361" s="3">
      <c r="A361" s="117" t="n">
        <v>43702</v>
      </c>
      <c r="B361" s="289" t="inlineStr">
        <is>
          <t>安卓</t>
        </is>
      </c>
      <c r="C361" s="268" t="n">
        <v>8990</v>
      </c>
      <c r="D361" s="268" t="n">
        <v>44336</v>
      </c>
      <c r="E361" s="269" t="n">
        <v>4.93170189098999</v>
      </c>
      <c r="F361" s="270" t="n">
        <v>0.560670916997474</v>
      </c>
      <c r="G361" s="271" t="n">
        <v>7.64</v>
      </c>
      <c r="H361" s="271" t="n">
        <v>12.2</v>
      </c>
      <c r="I361" s="141" t="n">
        <v>0.252</v>
      </c>
      <c r="J361" s="141" t="n">
        <v>0.114</v>
      </c>
      <c r="K361" s="141" t="n">
        <v>0.068</v>
      </c>
      <c r="L361" s="270" t="n">
        <v>12.2102354745579</v>
      </c>
      <c r="M361" s="272" t="n">
        <v>14.7820732587514</v>
      </c>
      <c r="N361" s="270" t="n">
        <v>22.6023589460615</v>
      </c>
      <c r="O361" s="273" t="n">
        <v>0.654005774088777</v>
      </c>
      <c r="P361" s="270" t="n">
        <v>2.98248034211615</v>
      </c>
      <c r="Q361" s="270" t="n">
        <v>3.77200303490137</v>
      </c>
      <c r="R361" s="270" t="n">
        <v>1.63557042350669</v>
      </c>
      <c r="S361" s="270" t="n">
        <v>8.245171747827291</v>
      </c>
      <c r="T361" s="270" t="n">
        <v>2.12412056835426</v>
      </c>
      <c r="U361" s="270" t="n">
        <v>0.453993654297144</v>
      </c>
      <c r="V361" s="270" t="n">
        <v>2.38346668506001</v>
      </c>
      <c r="W361" s="270" t="n">
        <v>1.00555248999862</v>
      </c>
      <c r="X361" s="270" t="n">
        <v>0.00144352219415374</v>
      </c>
      <c r="Y361" s="269" t="n">
        <v>14.7835167809455</v>
      </c>
      <c r="Z361" s="275" t="n">
        <v>561</v>
      </c>
      <c r="AA361" s="275" t="n">
        <v>370</v>
      </c>
      <c r="AB361" s="270" t="n">
        <v>3514.39</v>
      </c>
      <c r="AC361" s="290" t="n"/>
      <c r="AD361" s="276" t="n">
        <v>0.0126533742331288</v>
      </c>
      <c r="AE361" s="142" t="n">
        <v>0.00834536268495128</v>
      </c>
      <c r="AF361" s="270" t="n">
        <v>6.26450980392157</v>
      </c>
      <c r="AG361" s="277" t="n">
        <v>0.0792671869361241</v>
      </c>
      <c r="AH361" s="118" t="n">
        <v>0.467296996662959</v>
      </c>
      <c r="AI361" s="118" t="n">
        <v>0.312791991101224</v>
      </c>
      <c r="AJ361" s="270" t="n">
        <v>0.473024178996752</v>
      </c>
      <c r="AK361" s="64" t="n">
        <v>0.287215806568026</v>
      </c>
      <c r="AL361" s="64" t="n">
        <v>0.0558913749548899</v>
      </c>
      <c r="AM361" s="119" t="n">
        <v>0.359955792132804</v>
      </c>
      <c r="AN361" s="276" t="n">
        <v>4.773</v>
      </c>
    </row>
    <row customHeight="1" ht="13.2" r="362" s="3">
      <c r="A362" s="117" t="n">
        <v>43703</v>
      </c>
      <c r="B362" s="289" t="inlineStr">
        <is>
          <t>安卓</t>
        </is>
      </c>
      <c r="C362" s="268" t="n">
        <v>7716</v>
      </c>
      <c r="D362" s="268" t="n">
        <v>43905</v>
      </c>
      <c r="E362" s="269" t="n">
        <v>5.69012441679627</v>
      </c>
      <c r="F362" s="270" t="n">
        <v>0.541727228834985</v>
      </c>
      <c r="G362" s="271" t="n">
        <v>7.57</v>
      </c>
      <c r="H362" s="271" t="n">
        <v>12.49</v>
      </c>
      <c r="I362" s="141" t="n">
        <v>0.259</v>
      </c>
      <c r="J362" s="141" t="n">
        <v>0.131</v>
      </c>
      <c r="K362" s="141" t="n">
        <v>0.08</v>
      </c>
      <c r="L362" s="270" t="n">
        <v>12.1184830884865</v>
      </c>
      <c r="M362" s="272" t="n">
        <v>14.4753217173443</v>
      </c>
      <c r="N362" s="270" t="n">
        <v>21.595670936831</v>
      </c>
      <c r="O362" s="273" t="n">
        <v>0.670288122081767</v>
      </c>
      <c r="P362" s="270" t="n">
        <v>2.91008868802881</v>
      </c>
      <c r="Q362" s="270" t="n">
        <v>3.66967956777328</v>
      </c>
      <c r="R362" s="270" t="n">
        <v>1.47765809235788</v>
      </c>
      <c r="S362" s="270" t="n">
        <v>7.66682524040912</v>
      </c>
      <c r="T362" s="270" t="n">
        <v>2.08834822793843</v>
      </c>
      <c r="U362" s="270" t="n">
        <v>0.457813721159401</v>
      </c>
      <c r="V362" s="270" t="n">
        <v>2.34054843861497</v>
      </c>
      <c r="W362" s="270" t="n">
        <v>0.9847089605491181</v>
      </c>
      <c r="X362" s="270" t="n">
        <v>0.00175378658467145</v>
      </c>
      <c r="Y362" s="269" t="n">
        <v>14.4770755039289</v>
      </c>
      <c r="Z362" s="275" t="n">
        <v>486</v>
      </c>
      <c r="AA362" s="275" t="n">
        <v>328</v>
      </c>
      <c r="AB362" s="270" t="n">
        <v>3160.14</v>
      </c>
      <c r="AC362" s="290" t="n"/>
      <c r="AD362" s="276" t="n">
        <v>0.0110693542876666</v>
      </c>
      <c r="AE362" s="142" t="n">
        <v>0.00747067532171734</v>
      </c>
      <c r="AF362" s="270" t="n">
        <v>6.50234567901235</v>
      </c>
      <c r="AG362" s="277" t="n">
        <v>0.07197676802186539</v>
      </c>
      <c r="AH362" s="118" t="n">
        <v>0.490668740279938</v>
      </c>
      <c r="AI362" s="118" t="n">
        <v>0.357439087610161</v>
      </c>
      <c r="AJ362" s="270" t="n">
        <v>0.491538549140189</v>
      </c>
      <c r="AK362" s="64" t="n">
        <v>0.298439813233117</v>
      </c>
      <c r="AL362" s="64" t="n">
        <v>0.0603120373533766</v>
      </c>
      <c r="AM362" s="119" t="n">
        <v>0.360232319781346</v>
      </c>
      <c r="AN362" s="276" t="n">
        <v>4.789</v>
      </c>
    </row>
    <row customHeight="1" ht="13.2" r="363" s="3">
      <c r="A363" s="117" t="n">
        <v>43704</v>
      </c>
      <c r="B363" s="289" t="inlineStr">
        <is>
          <t>安卓</t>
        </is>
      </c>
      <c r="C363" s="268" t="n">
        <v>10577</v>
      </c>
      <c r="D363" s="268" t="n">
        <v>45917</v>
      </c>
      <c r="E363" s="269" t="n">
        <v>4.34121206391226</v>
      </c>
      <c r="F363" s="270" t="n">
        <v>0.485771774985299</v>
      </c>
      <c r="G363" s="271" t="n">
        <v>8.19</v>
      </c>
      <c r="H363" s="271" t="n">
        <v>14.58</v>
      </c>
      <c r="I363" s="141" t="n">
        <v>0.272</v>
      </c>
      <c r="J363" s="141" t="n">
        <v>0.124</v>
      </c>
      <c r="K363" s="141" t="n">
        <v>0.066</v>
      </c>
      <c r="L363" s="270" t="n">
        <v>10.7244157937147</v>
      </c>
      <c r="M363" s="272" t="n">
        <v>12.1920857198859</v>
      </c>
      <c r="N363" s="270" t="n">
        <v>19.1275112751128</v>
      </c>
      <c r="O363" s="273" t="n">
        <v>0.637410980682536</v>
      </c>
      <c r="P363" s="270" t="n">
        <v>2.67254339210059</v>
      </c>
      <c r="Q363" s="270" t="n">
        <v>3.21610632772994</v>
      </c>
      <c r="R363" s="270" t="n">
        <v>1.25546672133388</v>
      </c>
      <c r="S363" s="270" t="n">
        <v>6.526684433511</v>
      </c>
      <c r="T363" s="270" t="n">
        <v>1.88680470138035</v>
      </c>
      <c r="U363" s="270" t="n">
        <v>0.488827388273883</v>
      </c>
      <c r="V363" s="270" t="n">
        <v>2.13051797184638</v>
      </c>
      <c r="W363" s="270" t="n">
        <v>0.950560338936723</v>
      </c>
      <c r="X363" s="270" t="n">
        <v>0.00261341115490995</v>
      </c>
      <c r="Y363" s="269" t="n">
        <v>12.1946991310408</v>
      </c>
      <c r="Z363" s="275" t="n">
        <v>500</v>
      </c>
      <c r="AA363" s="275" t="n">
        <v>314</v>
      </c>
      <c r="AB363" s="270" t="n">
        <v>3050</v>
      </c>
      <c r="AC363" s="290" t="n"/>
      <c r="AD363" s="276" t="n">
        <v>0.0108892131454581</v>
      </c>
      <c r="AE363" s="142" t="n">
        <v>0.00683842585534769</v>
      </c>
      <c r="AF363" s="270" t="n">
        <v>6.1</v>
      </c>
      <c r="AG363" s="277" t="n">
        <v>0.0664242001872944</v>
      </c>
      <c r="AH363" s="118" t="n">
        <v>0.437175002363619</v>
      </c>
      <c r="AI363" s="118" t="n">
        <v>0.274085279379786</v>
      </c>
      <c r="AJ363" s="270" t="n">
        <v>0.506152405427184</v>
      </c>
      <c r="AK363" s="64" t="n">
        <v>0.294052311779951</v>
      </c>
      <c r="AL363" s="64" t="n">
        <v>0.0617418385347475</v>
      </c>
      <c r="AM363" s="119" t="n">
        <v>0.291918026003441</v>
      </c>
      <c r="AN363" s="276" t="n">
        <v>4.491</v>
      </c>
    </row>
    <row customFormat="1" customHeight="1" ht="15" r="364" s="294">
      <c r="A364" s="121" t="n">
        <v>43705</v>
      </c>
      <c r="B364" s="295" t="inlineStr">
        <is>
          <t>安卓</t>
        </is>
      </c>
      <c r="C364" s="296" t="n">
        <v>11436</v>
      </c>
      <c r="D364" s="296" t="n">
        <v>45671</v>
      </c>
      <c r="E364" s="297" t="n">
        <v>3.99361664917803</v>
      </c>
      <c r="F364" s="294" t="n">
        <v>0.382609186573537</v>
      </c>
      <c r="G364" s="306" t="n">
        <v>8.68</v>
      </c>
      <c r="H364" s="306" t="n">
        <v>16.31</v>
      </c>
      <c r="I364" s="123" t="n">
        <v>0.248</v>
      </c>
      <c r="J364" s="123" t="n">
        <v>0.116</v>
      </c>
      <c r="K364" s="123" t="n">
        <v>0.06</v>
      </c>
      <c r="L364" s="294" t="n">
        <v>9.30732850167502</v>
      </c>
      <c r="M364" s="299" t="n">
        <v>9.931247399881761</v>
      </c>
      <c r="N364" s="294" t="n">
        <v>16.2151437151437</v>
      </c>
      <c r="O364" s="300" t="n">
        <v>0.612467430097874</v>
      </c>
      <c r="P364" s="294" t="n">
        <v>2.47215072215072</v>
      </c>
      <c r="Q364" s="294" t="n">
        <v>2.66098241098241</v>
      </c>
      <c r="R364" s="294" t="n">
        <v>0.956206206206206</v>
      </c>
      <c r="S364" s="294" t="n">
        <v>5.24288574288574</v>
      </c>
      <c r="T364" s="294" t="n">
        <v>1.63963963963964</v>
      </c>
      <c r="U364" s="294" t="n">
        <v>0.533748033748034</v>
      </c>
      <c r="V364" s="294" t="n">
        <v>1.82879307879308</v>
      </c>
      <c r="W364" s="294" t="n">
        <v>0.880737880737881</v>
      </c>
      <c r="X364" s="294" t="n">
        <v>0.00229905191478181</v>
      </c>
      <c r="Y364" s="297" t="n">
        <v>9.93354645179654</v>
      </c>
      <c r="Z364" s="293" t="n">
        <v>354</v>
      </c>
      <c r="AA364" s="293" t="n">
        <v>246</v>
      </c>
      <c r="AB364" s="294" t="n">
        <v>1888.46</v>
      </c>
      <c r="AC364" s="302" t="n"/>
      <c r="AD364" s="303" t="n">
        <v>0.00775108931269296</v>
      </c>
      <c r="AE364" s="124" t="n">
        <v>0.00538635020034595</v>
      </c>
      <c r="AF364" s="294" t="n">
        <v>5.33463276836158</v>
      </c>
      <c r="AG364" s="304" t="n">
        <v>0.0413492150379891</v>
      </c>
      <c r="AH364" s="125" t="n">
        <v>0.431969220006995</v>
      </c>
      <c r="AI364" s="125" t="n">
        <v>0.289174536551242</v>
      </c>
      <c r="AJ364" s="294" t="n">
        <v>0.572682884105888</v>
      </c>
      <c r="AK364" s="126" t="n">
        <v>0.310021676775197</v>
      </c>
      <c r="AL364" s="126" t="n">
        <v>0.0611109894681527</v>
      </c>
      <c r="AM364" s="127" t="n">
        <v>0</v>
      </c>
      <c r="AN364" s="276" t="n">
        <v>5.259</v>
      </c>
    </row>
    <row customHeight="1" ht="13.2" r="365" s="3">
      <c r="A365" s="117" t="n">
        <v>43706</v>
      </c>
      <c r="B365" s="267" t="inlineStr">
        <is>
          <t>安卓</t>
        </is>
      </c>
      <c r="C365" s="268" t="n">
        <v>9256</v>
      </c>
      <c r="D365" s="268" t="n">
        <v>43261</v>
      </c>
      <c r="E365" s="269" t="n">
        <v>4.67383318928263</v>
      </c>
      <c r="F365" s="270" t="n">
        <v>0.414481199140103</v>
      </c>
      <c r="G365" s="271" t="n">
        <v>9.140000000000001</v>
      </c>
      <c r="H365" s="271" t="n">
        <v>17.65</v>
      </c>
      <c r="I365" s="141" t="n">
        <v>0.262</v>
      </c>
      <c r="J365" s="141" t="n">
        <v>0.124</v>
      </c>
      <c r="K365" s="141" t="n">
        <v>0.07000000000000001</v>
      </c>
      <c r="L365" s="270" t="n">
        <v>9.5316335729641</v>
      </c>
      <c r="M365" s="272" t="n">
        <v>9.9912623379025</v>
      </c>
      <c r="N365" s="270" t="n">
        <v>16.0228351126928</v>
      </c>
      <c r="O365" s="273" t="n">
        <v>0.6235639490534201</v>
      </c>
      <c r="P365" s="270" t="n">
        <v>2.44354240806643</v>
      </c>
      <c r="Q365" s="270" t="n">
        <v>2.62926304863582</v>
      </c>
      <c r="R365" s="270" t="n">
        <v>0.949547746144721</v>
      </c>
      <c r="S365" s="270" t="n">
        <v>5.18742586002372</v>
      </c>
      <c r="T365" s="270" t="n">
        <v>1.63834519572954</v>
      </c>
      <c r="U365" s="270" t="n">
        <v>0.529804270462633</v>
      </c>
      <c r="V365" s="270" t="n">
        <v>1.78199139976275</v>
      </c>
      <c r="W365" s="270" t="n">
        <v>0.8629151838671409</v>
      </c>
      <c r="X365" s="270" t="n">
        <v>0.00127135295069462</v>
      </c>
      <c r="Y365" s="269" t="n">
        <v>9.99253369085319</v>
      </c>
      <c r="Z365" s="275" t="n">
        <v>353</v>
      </c>
      <c r="AA365" s="275" t="n">
        <v>252</v>
      </c>
      <c r="AB365" s="270" t="n">
        <v>2044.47</v>
      </c>
      <c r="AC365" s="290" t="n"/>
      <c r="AD365" s="276" t="n">
        <v>0.008159774392640019</v>
      </c>
      <c r="AE365" s="142" t="n">
        <v>0.00582510806500081</v>
      </c>
      <c r="AF365" s="270" t="n">
        <v>5.79169971671388</v>
      </c>
      <c r="AG365" s="277" t="n">
        <v>0.0472589630383024</v>
      </c>
      <c r="AH365" s="118" t="n">
        <v>0.486819360414866</v>
      </c>
      <c r="AI365" s="118" t="n">
        <v>0.339995678478825</v>
      </c>
      <c r="AJ365" s="270" t="n">
        <v>0.580291717713414</v>
      </c>
      <c r="AK365" s="64" t="n">
        <v>0.323755807771434</v>
      </c>
      <c r="AL365" s="64" t="n">
        <v>0.0642611127805645</v>
      </c>
      <c r="AM365" s="119" t="n">
        <v>0</v>
      </c>
      <c r="AN365" s="276" t="n">
        <v>4.631</v>
      </c>
    </row>
    <row customHeight="1" ht="13.2" r="366" s="3">
      <c r="A366" s="117" t="n">
        <v>43707</v>
      </c>
      <c r="B366" s="267" t="inlineStr">
        <is>
          <t>安卓</t>
        </is>
      </c>
      <c r="C366" s="268" t="n">
        <v>8005</v>
      </c>
      <c r="D366" s="268" t="n">
        <v>41140</v>
      </c>
      <c r="E366" s="269" t="n">
        <v>5.13928794503435</v>
      </c>
      <c r="F366" s="270" t="n">
        <v>0.420462621657755</v>
      </c>
      <c r="G366" s="271" t="n">
        <v>8.720000000000001</v>
      </c>
      <c r="H366" s="271" t="n">
        <v>16.58</v>
      </c>
      <c r="I366" s="141" t="n">
        <v>0.254</v>
      </c>
      <c r="J366" s="141" t="n">
        <v>0.129</v>
      </c>
      <c r="K366" s="141" t="n">
        <v>0.07099999999999999</v>
      </c>
      <c r="L366" s="270" t="n">
        <v>9.53308215848323</v>
      </c>
      <c r="M366" s="272" t="n">
        <v>10.0391589693729</v>
      </c>
      <c r="N366" s="270" t="n">
        <v>15.9827793042065</v>
      </c>
      <c r="O366" s="273" t="n">
        <v>0.628123480797279</v>
      </c>
      <c r="P366" s="270" t="n">
        <v>2.46906079486088</v>
      </c>
      <c r="Q366" s="270" t="n">
        <v>2.67284547811617</v>
      </c>
      <c r="R366" s="270" t="n">
        <v>0.919778646337216</v>
      </c>
      <c r="S366" s="270" t="n">
        <v>5.07890561510777</v>
      </c>
      <c r="T366" s="270" t="n">
        <v>1.66108122750668</v>
      </c>
      <c r="U366" s="270" t="n">
        <v>0.524979683448783</v>
      </c>
      <c r="V366" s="270" t="n">
        <v>1.79377733059866</v>
      </c>
      <c r="W366" s="270" t="n">
        <v>0.862350528230331</v>
      </c>
      <c r="X366" s="270" t="n">
        <v>0.00175012153621779</v>
      </c>
      <c r="Y366" s="269" t="n">
        <v>10.0409090909091</v>
      </c>
      <c r="Z366" s="275" t="n">
        <v>440</v>
      </c>
      <c r="AA366" s="275" t="n">
        <v>309</v>
      </c>
      <c r="AB366" s="270" t="n">
        <v>2266.6</v>
      </c>
      <c r="AC366" s="290" t="n"/>
      <c r="AD366" s="276" t="n">
        <v>0.0106951871657754</v>
      </c>
      <c r="AE366" s="142" t="n">
        <v>0.00751093825960136</v>
      </c>
      <c r="AF366" s="270" t="n">
        <v>5.15136363636364</v>
      </c>
      <c r="AG366" s="277" t="n">
        <v>0.0550947982498785</v>
      </c>
      <c r="AH366" s="118" t="n">
        <v>0.448719550281074</v>
      </c>
      <c r="AI366" s="118" t="n">
        <v>0.345034353529044</v>
      </c>
      <c r="AJ366" s="270" t="n">
        <v>0.584540593096743</v>
      </c>
      <c r="AK366" s="64" t="n">
        <v>0.336193485658726</v>
      </c>
      <c r="AL366" s="64" t="n">
        <v>0.0681575109382596</v>
      </c>
      <c r="AM366" s="119" t="n">
        <v>0</v>
      </c>
      <c r="AN366" s="276" t="n">
        <v>4.474</v>
      </c>
    </row>
    <row customHeight="1" ht="13.2" r="367" s="3">
      <c r="A367" s="117" t="n">
        <v>43708</v>
      </c>
      <c r="B367" s="289" t="inlineStr">
        <is>
          <t>安卓</t>
        </is>
      </c>
      <c r="C367" s="268" t="n">
        <v>9624</v>
      </c>
      <c r="D367" s="268" t="n">
        <v>42456</v>
      </c>
      <c r="E367" s="269" t="n">
        <v>4.41147132169576</v>
      </c>
      <c r="F367" s="270" t="n">
        <v>0.668413656868287</v>
      </c>
      <c r="G367" s="271" t="n">
        <v>8.34</v>
      </c>
      <c r="H367" s="271" t="n">
        <v>15.49</v>
      </c>
      <c r="I367" s="141" t="n">
        <v>0.256</v>
      </c>
      <c r="J367" s="141" t="n">
        <v>0.126</v>
      </c>
      <c r="K367" s="141" t="n">
        <v>0.068</v>
      </c>
      <c r="L367" s="270" t="n">
        <v>12.5280996796684</v>
      </c>
      <c r="M367" s="272" t="n">
        <v>14.427831166384</v>
      </c>
      <c r="N367" s="270" t="n">
        <v>22.6391691614</v>
      </c>
      <c r="O367" s="273" t="n">
        <v>0.637295081967213</v>
      </c>
      <c r="P367" s="270" t="n">
        <v>3.0434637986473</v>
      </c>
      <c r="Q367" s="270" t="n">
        <v>3.43822301068115</v>
      </c>
      <c r="R367" s="270" t="n">
        <v>1.48848726762021</v>
      </c>
      <c r="S367" s="270" t="n">
        <v>8.67198876446021</v>
      </c>
      <c r="T367" s="270" t="n">
        <v>2.12854344531914</v>
      </c>
      <c r="U367" s="270" t="n">
        <v>0.457404738145397</v>
      </c>
      <c r="V367" s="270" t="n">
        <v>2.44395165761171</v>
      </c>
      <c r="W367" s="270" t="n">
        <v>0.967106478914884</v>
      </c>
      <c r="X367" s="270" t="n">
        <v>0.00440456001507443</v>
      </c>
      <c r="Y367" s="269" t="n">
        <v>14.4322357263991</v>
      </c>
      <c r="Z367" s="275" t="n">
        <v>641</v>
      </c>
      <c r="AA367" s="275" t="n">
        <v>397</v>
      </c>
      <c r="AB367" s="270" t="n">
        <v>4855.59</v>
      </c>
      <c r="AC367" s="290" t="n"/>
      <c r="AD367" s="276" t="n">
        <v>0.0150979837949878</v>
      </c>
      <c r="AE367" s="142" t="n">
        <v>0.009350857358206141</v>
      </c>
      <c r="AF367" s="270" t="n">
        <v>7.57502340093604</v>
      </c>
      <c r="AG367" s="277" t="n">
        <v>0.114367580553985</v>
      </c>
      <c r="AH367" s="118" t="n">
        <v>0.463632585203658</v>
      </c>
      <c r="AI367" s="118" t="n">
        <v>0.31359102244389</v>
      </c>
      <c r="AJ367" s="270" t="n">
        <v>0.463350292067081</v>
      </c>
      <c r="AK367" s="64" t="n">
        <v>0.288863764838892</v>
      </c>
      <c r="AL367" s="64" t="n">
        <v>0.0608394573205201</v>
      </c>
      <c r="AM367" s="119" t="n">
        <v>0.343367250800829</v>
      </c>
      <c r="AN367" s="276" t="n">
        <v>5.195</v>
      </c>
    </row>
    <row customHeight="1" ht="13.2" r="368" s="3">
      <c r="A368" s="117" t="n">
        <v>43709</v>
      </c>
      <c r="B368" s="289" t="inlineStr">
        <is>
          <t>安卓</t>
        </is>
      </c>
      <c r="C368" s="268" t="n">
        <v>9503</v>
      </c>
      <c r="D368" s="268" t="n">
        <v>43498</v>
      </c>
      <c r="E368" s="269" t="n">
        <v>4.57729138166895</v>
      </c>
      <c r="F368" s="270" t="n">
        <v>0.576880026667893</v>
      </c>
      <c r="G368" s="271" t="n">
        <v>7.95</v>
      </c>
      <c r="H368" s="271" t="n">
        <v>14.45</v>
      </c>
      <c r="I368" s="141" t="n">
        <v>0.257</v>
      </c>
      <c r="J368" s="141" t="n">
        <v>0.123</v>
      </c>
      <c r="K368" s="141" t="n">
        <v>0.07000000000000001</v>
      </c>
      <c r="L368" s="270" t="n">
        <v>12.2295967630696</v>
      </c>
      <c r="M368" s="272" t="n">
        <v>14.0975447146995</v>
      </c>
      <c r="N368" s="270" t="n">
        <v>21.8872470285898</v>
      </c>
      <c r="O368" s="273" t="n">
        <v>0.644098579245023</v>
      </c>
      <c r="P368" s="270" t="n">
        <v>2.91644358782168</v>
      </c>
      <c r="Q368" s="270" t="n">
        <v>3.69579184066816</v>
      </c>
      <c r="R368" s="270" t="n">
        <v>1.39183352964272</v>
      </c>
      <c r="S368" s="270" t="n">
        <v>7.95345682978192</v>
      </c>
      <c r="T368" s="270" t="n">
        <v>2.08416318663668</v>
      </c>
      <c r="U368" s="270" t="n">
        <v>0.467359103401506</v>
      </c>
      <c r="V368" s="270" t="n">
        <v>2.3732019845094</v>
      </c>
      <c r="W368" s="270" t="n">
        <v>1.00499696612771</v>
      </c>
      <c r="X368" s="270" t="n">
        <v>0.00245988321302129</v>
      </c>
      <c r="Y368" s="269" t="n">
        <v>14.1000045979125</v>
      </c>
      <c r="Z368" s="275" t="n">
        <v>555</v>
      </c>
      <c r="AA368" s="275" t="n">
        <v>357</v>
      </c>
      <c r="AB368" s="270" t="n">
        <v>3679.45</v>
      </c>
      <c r="AC368" s="290" t="n"/>
      <c r="AD368" s="276" t="n">
        <v>0.0127592073198768</v>
      </c>
      <c r="AE368" s="142" t="n">
        <v>0.008207273897650471</v>
      </c>
      <c r="AF368" s="270" t="n">
        <v>6.62963963963964</v>
      </c>
      <c r="AG368" s="277" t="n">
        <v>0.08458894661823529</v>
      </c>
      <c r="AH368" s="118" t="n">
        <v>0.499421235399348</v>
      </c>
      <c r="AI368" s="118" t="n">
        <v>0.353256866252762</v>
      </c>
      <c r="AJ368" s="270" t="n">
        <v>0.475654053059911</v>
      </c>
      <c r="AK368" s="64" t="n">
        <v>0.278403604763437</v>
      </c>
      <c r="AL368" s="64" t="n">
        <v>0.0571980320934296</v>
      </c>
      <c r="AM368" s="119" t="n">
        <v>0.360384385488988</v>
      </c>
      <c r="AN368" s="276" t="n">
        <v>4.705</v>
      </c>
    </row>
    <row customHeight="1" ht="13.2" r="369" s="3">
      <c r="A369" s="117" t="n">
        <v>43710</v>
      </c>
      <c r="B369" s="289" t="inlineStr">
        <is>
          <t>安卓</t>
        </is>
      </c>
      <c r="C369" s="268" t="n">
        <v>11136</v>
      </c>
      <c r="D369" s="268" t="n">
        <v>45975</v>
      </c>
      <c r="E369" s="269" t="n">
        <v>4.12850215517241</v>
      </c>
      <c r="F369" s="270" t="n">
        <v>0.51618610766721</v>
      </c>
      <c r="G369" s="271" t="n">
        <v>8.17</v>
      </c>
      <c r="H369" s="271" t="n">
        <v>14.66</v>
      </c>
      <c r="I369" s="141" t="n">
        <v>0.267</v>
      </c>
      <c r="J369" s="141" t="n">
        <v>0.118</v>
      </c>
      <c r="K369" s="141" t="n">
        <v>0.068</v>
      </c>
      <c r="L369" s="270" t="n">
        <v>11.6038064165307</v>
      </c>
      <c r="M369" s="272" t="n">
        <v>12.8439369222403</v>
      </c>
      <c r="N369" s="270" t="n">
        <v>20.2941884043028</v>
      </c>
      <c r="O369" s="273" t="n">
        <v>0.632887438825449</v>
      </c>
      <c r="P369" s="270" t="n">
        <v>2.83115097776403</v>
      </c>
      <c r="Q369" s="270" t="n">
        <v>3.46231570264976</v>
      </c>
      <c r="R369" s="270" t="n">
        <v>1.23820325119428</v>
      </c>
      <c r="S369" s="270" t="n">
        <v>7.0461215932914</v>
      </c>
      <c r="T369" s="270" t="n">
        <v>2.02340447468811</v>
      </c>
      <c r="U369" s="270" t="n">
        <v>0.452795820875004</v>
      </c>
      <c r="V369" s="270" t="n">
        <v>2.27068082620201</v>
      </c>
      <c r="W369" s="270" t="n">
        <v>0.969515757638244</v>
      </c>
      <c r="X369" s="270" t="n">
        <v>0.00308863512778684</v>
      </c>
      <c r="Y369" s="269" t="n">
        <v>12.8470255573681</v>
      </c>
      <c r="Z369" s="275" t="n">
        <v>502</v>
      </c>
      <c r="AA369" s="275" t="n">
        <v>343</v>
      </c>
      <c r="AB369" s="270" t="n">
        <v>3313.98</v>
      </c>
      <c r="AC369" s="290" t="n"/>
      <c r="AD369" s="276" t="n">
        <v>0.0109189777052746</v>
      </c>
      <c r="AE369" s="142" t="n">
        <v>0.00746057640021751</v>
      </c>
      <c r="AF369" s="270" t="n">
        <v>6.60155378486056</v>
      </c>
      <c r="AG369" s="277" t="n">
        <v>0.0720822185970636</v>
      </c>
      <c r="AH369" s="118" t="n">
        <v>0.466774425287356</v>
      </c>
      <c r="AI369" s="118" t="n">
        <v>0.317169540229885</v>
      </c>
      <c r="AJ369" s="270" t="n">
        <v>0.458096791734638</v>
      </c>
      <c r="AK369" s="64" t="n">
        <v>0.273213703099511</v>
      </c>
      <c r="AL369" s="64" t="n">
        <v>0.0575747688961392</v>
      </c>
      <c r="AM369" s="119" t="n">
        <v>0.340424143556281</v>
      </c>
      <c r="AN369" s="276" t="n">
        <v>5.049</v>
      </c>
    </row>
    <row customHeight="1" ht="13.2" r="370" s="3">
      <c r="A370" s="117" t="n">
        <v>43711</v>
      </c>
      <c r="B370" s="289" t="inlineStr">
        <is>
          <t>安卓</t>
        </is>
      </c>
      <c r="C370" s="268" t="n">
        <v>10072</v>
      </c>
      <c r="D370" s="268" t="n">
        <v>45358</v>
      </c>
      <c r="E370" s="269" t="n">
        <v>4.50337569499603</v>
      </c>
      <c r="F370" s="270" t="n">
        <v>0.521223905661625</v>
      </c>
      <c r="G370" s="271" t="n">
        <v>9.039999999999999</v>
      </c>
      <c r="H370" s="271" t="n">
        <v>16.76</v>
      </c>
      <c r="I370" s="141" t="n">
        <v>0.248</v>
      </c>
      <c r="J370" s="141" t="n">
        <v>0.119</v>
      </c>
      <c r="K370" s="141" t="n">
        <v>0.062</v>
      </c>
      <c r="L370" s="270" t="n">
        <v>10.8855328718197</v>
      </c>
      <c r="M370" s="272" t="n">
        <v>12.0931919396799</v>
      </c>
      <c r="N370" s="270" t="n">
        <v>18.9367879582959</v>
      </c>
      <c r="O370" s="273" t="n">
        <v>0.638608404250628</v>
      </c>
      <c r="P370" s="270" t="n">
        <v>2.67727680729131</v>
      </c>
      <c r="Q370" s="270" t="n">
        <v>3.25063867983153</v>
      </c>
      <c r="R370" s="270" t="n">
        <v>1.14313332873024</v>
      </c>
      <c r="S370" s="270" t="n">
        <v>6.41383000759511</v>
      </c>
      <c r="T370" s="270" t="n">
        <v>1.89394462473245</v>
      </c>
      <c r="U370" s="270" t="n">
        <v>0.489504936822482</v>
      </c>
      <c r="V370" s="270" t="n">
        <v>2.12273009735552</v>
      </c>
      <c r="W370" s="270" t="n">
        <v>0.9457294759373061</v>
      </c>
      <c r="X370" s="270" t="n">
        <v>0.00178579302438379</v>
      </c>
      <c r="Y370" s="269" t="n">
        <v>12.0949777327043</v>
      </c>
      <c r="Z370" s="275" t="n">
        <v>480</v>
      </c>
      <c r="AA370" s="275" t="n">
        <v>324</v>
      </c>
      <c r="AB370" s="270" t="n">
        <v>3127.2</v>
      </c>
      <c r="AC370" s="290" t="n"/>
      <c r="AD370" s="276" t="n">
        <v>0.0105824771815336</v>
      </c>
      <c r="AE370" s="142" t="n">
        <v>0.00714317209753516</v>
      </c>
      <c r="AF370" s="270" t="n">
        <v>6.515</v>
      </c>
      <c r="AG370" s="277" t="n">
        <v>0.0689448388376912</v>
      </c>
      <c r="AH370" s="118" t="n">
        <v>0.488880063542494</v>
      </c>
      <c r="AI370" s="118" t="n">
        <v>0.351767275615568</v>
      </c>
      <c r="AJ370" s="270" t="n">
        <v>0.491247409497773</v>
      </c>
      <c r="AK370" s="64" t="n">
        <v>0.297103046871555</v>
      </c>
      <c r="AL370" s="64" t="n">
        <v>0.0618633978570484</v>
      </c>
      <c r="AM370" s="119" t="n">
        <v>0.301247850434323</v>
      </c>
      <c r="AN370" s="276" t="n">
        <v>5.238</v>
      </c>
    </row>
    <row customFormat="1" customHeight="1" ht="15" r="371" s="294">
      <c r="A371" s="121" t="n">
        <v>43712</v>
      </c>
      <c r="B371" s="295" t="inlineStr">
        <is>
          <t>安卓</t>
        </is>
      </c>
      <c r="C371" s="296" t="n">
        <v>7461</v>
      </c>
      <c r="D371" s="296" t="n">
        <v>40346</v>
      </c>
      <c r="E371" s="297" t="n">
        <v>5.40758611446187</v>
      </c>
      <c r="F371" s="294" t="n">
        <v>0.43554711869826</v>
      </c>
      <c r="G371" s="306" t="n">
        <v>9.779999999999999</v>
      </c>
      <c r="H371" s="306" t="n">
        <v>17.86</v>
      </c>
      <c r="I371" s="123" t="n">
        <v>0.255</v>
      </c>
      <c r="J371" s="123" t="n">
        <v>0.131</v>
      </c>
      <c r="K371" s="123" t="n">
        <v>0.066</v>
      </c>
      <c r="L371" s="294" t="n">
        <v>9.774128786001089</v>
      </c>
      <c r="M371" s="299" t="n">
        <v>10.29720418381</v>
      </c>
      <c r="N371" s="294" t="n">
        <v>16.0220208252989</v>
      </c>
      <c r="O371" s="300" t="n">
        <v>0.6426907252267881</v>
      </c>
      <c r="P371" s="294" t="n">
        <v>2.41831854994215</v>
      </c>
      <c r="Q371" s="294" t="n">
        <v>2.64863092942538</v>
      </c>
      <c r="R371" s="294" t="n">
        <v>0.937794060933282</v>
      </c>
      <c r="S371" s="294" t="n">
        <v>5.21854994215195</v>
      </c>
      <c r="T371" s="294" t="n">
        <v>1.63100655611261</v>
      </c>
      <c r="U371" s="294" t="n">
        <v>0.522946394138064</v>
      </c>
      <c r="V371" s="294" t="n">
        <v>1.79032009255688</v>
      </c>
      <c r="W371" s="294" t="n">
        <v>0.854454300038565</v>
      </c>
      <c r="X371" s="294" t="n">
        <v>0.00111535220344024</v>
      </c>
      <c r="Y371" s="297" t="n">
        <v>10.2983195360135</v>
      </c>
      <c r="Z371" s="293" t="n">
        <v>303</v>
      </c>
      <c r="AA371" s="293" t="n">
        <v>227</v>
      </c>
      <c r="AB371" s="294" t="n">
        <v>1689.97</v>
      </c>
      <c r="AC371" s="302" t="n"/>
      <c r="AD371" s="303" t="n">
        <v>0.00751003816983096</v>
      </c>
      <c r="AE371" s="124" t="n">
        <v>0.005626332226243</v>
      </c>
      <c r="AF371" s="294" t="n">
        <v>5.57745874587459</v>
      </c>
      <c r="AG371" s="304" t="n">
        <v>0.0418869280721757</v>
      </c>
      <c r="AH371" s="125" t="n">
        <v>0.507840772014475</v>
      </c>
      <c r="AI371" s="125" t="n">
        <v>0.376223026403967</v>
      </c>
      <c r="AJ371" s="294" t="n">
        <v>0.596341644772716</v>
      </c>
      <c r="AK371" s="126" t="n">
        <v>0.33646458137114</v>
      </c>
      <c r="AL371" s="126" t="n">
        <v>0.0669707034154563</v>
      </c>
      <c r="AM371" s="127" t="n">
        <v>0</v>
      </c>
      <c r="AN371" s="276" t="n">
        <v>5.226</v>
      </c>
    </row>
    <row customHeight="1" ht="13.2" r="372" s="3">
      <c r="A372" s="117" t="n">
        <v>43713</v>
      </c>
      <c r="B372" s="267" t="inlineStr">
        <is>
          <t>安卓</t>
        </is>
      </c>
      <c r="C372" s="268" t="n">
        <v>5921</v>
      </c>
      <c r="D372" s="268" t="n">
        <v>37393</v>
      </c>
      <c r="E372" s="269" t="n">
        <v>6.31531835838541</v>
      </c>
      <c r="F372" s="270" t="n">
        <v>0.446360825823015</v>
      </c>
      <c r="G372" s="271" t="n">
        <v>9.619999999999999</v>
      </c>
      <c r="H372" s="271" t="n">
        <v>17.31</v>
      </c>
      <c r="I372" s="141" t="n">
        <v>0.273</v>
      </c>
      <c r="J372" s="141" t="n">
        <v>0.127</v>
      </c>
      <c r="K372" s="141" t="n">
        <v>0.07000000000000001</v>
      </c>
      <c r="L372" s="270" t="n">
        <v>9.776910116866789</v>
      </c>
      <c r="M372" s="272" t="n">
        <v>10.6556039900516</v>
      </c>
      <c r="N372" s="270" t="n">
        <v>16.3471321900386</v>
      </c>
      <c r="O372" s="273" t="n">
        <v>0.651833230818602</v>
      </c>
      <c r="P372" s="270" t="n">
        <v>2.50143595634693</v>
      </c>
      <c r="Q372" s="270" t="n">
        <v>2.7677443177156</v>
      </c>
      <c r="R372" s="270" t="n">
        <v>0.95138262082547</v>
      </c>
      <c r="S372" s="270" t="n">
        <v>5.20932140805777</v>
      </c>
      <c r="T372" s="270" t="n">
        <v>1.70242881759252</v>
      </c>
      <c r="U372" s="270" t="n">
        <v>0.527078033970624</v>
      </c>
      <c r="V372" s="270" t="n">
        <v>1.82177730368425</v>
      </c>
      <c r="W372" s="270" t="n">
        <v>0.865963731845409</v>
      </c>
      <c r="X372" s="270" t="n">
        <v>0.00200572299628273</v>
      </c>
      <c r="Y372" s="269" t="n">
        <v>10.6576097130479</v>
      </c>
      <c r="Z372" s="275" t="n">
        <v>302</v>
      </c>
      <c r="AA372" s="275" t="n">
        <v>206</v>
      </c>
      <c r="AB372" s="270" t="n">
        <v>1669.98</v>
      </c>
      <c r="AC372" s="290" t="n"/>
      <c r="AD372" s="276" t="n">
        <v>0.00807637793169845</v>
      </c>
      <c r="AE372" s="142" t="n">
        <v>0.00550905249645656</v>
      </c>
      <c r="AF372" s="270" t="n">
        <v>5.52973509933775</v>
      </c>
      <c r="AG372" s="277" t="n">
        <v>0.0446602305244297</v>
      </c>
      <c r="AH372" s="118" t="n">
        <v>0.513257895625739</v>
      </c>
      <c r="AI372" s="118" t="n">
        <v>0.39385238979902</v>
      </c>
      <c r="AJ372" s="270" t="n">
        <v>0.609713047896665</v>
      </c>
      <c r="AK372" s="64" t="n">
        <v>0.353114219238895</v>
      </c>
      <c r="AL372" s="64" t="n">
        <v>0.0708956221752734</v>
      </c>
      <c r="AM372" s="119" t="n">
        <v>0</v>
      </c>
      <c r="AN372" s="276" t="n">
        <v>5.999</v>
      </c>
    </row>
    <row customHeight="1" ht="13.2" r="373" s="3">
      <c r="A373" s="117" t="n">
        <v>43714</v>
      </c>
      <c r="B373" s="267" t="inlineStr">
        <is>
          <t>安卓</t>
        </is>
      </c>
      <c r="C373" s="268" t="n">
        <v>4713</v>
      </c>
      <c r="D373" s="268" t="n">
        <v>35301</v>
      </c>
      <c r="E373" s="269" t="n">
        <v>7.49013367281986</v>
      </c>
      <c r="F373" s="270" t="n">
        <v>0.439002042831649</v>
      </c>
      <c r="G373" s="271" t="n">
        <v>8.93</v>
      </c>
      <c r="H373" s="271" t="n">
        <v>16.85</v>
      </c>
      <c r="I373" s="141" t="n">
        <v>0.273</v>
      </c>
      <c r="J373" s="141" t="n">
        <v>0.142</v>
      </c>
      <c r="K373" s="141" t="n">
        <v>0.083</v>
      </c>
      <c r="L373" s="270" t="n">
        <v>9.94430752669896</v>
      </c>
      <c r="M373" s="272" t="n">
        <v>10.7219908784454</v>
      </c>
      <c r="N373" s="270" t="n">
        <v>16.3321251348436</v>
      </c>
      <c r="O373" s="273" t="n">
        <v>0.656496983088299</v>
      </c>
      <c r="P373" s="270" t="n">
        <v>2.49596548004315</v>
      </c>
      <c r="Q373" s="270" t="n">
        <v>2.7333764832794</v>
      </c>
      <c r="R373" s="270" t="n">
        <v>0.975663430420712</v>
      </c>
      <c r="S373" s="270" t="n">
        <v>5.21790722761597</v>
      </c>
      <c r="T373" s="270" t="n">
        <v>1.7277238403452</v>
      </c>
      <c r="U373" s="270" t="n">
        <v>0.517540453074434</v>
      </c>
      <c r="V373" s="270" t="n">
        <v>1.79421790722762</v>
      </c>
      <c r="W373" s="270" t="n">
        <v>0.869730312837109</v>
      </c>
      <c r="X373" s="270" t="n">
        <v>0.009234865867822441</v>
      </c>
      <c r="Y373" s="269" t="n">
        <v>10.7312257443132</v>
      </c>
      <c r="Z373" s="275" t="n">
        <v>334</v>
      </c>
      <c r="AA373" s="275" t="n">
        <v>233</v>
      </c>
      <c r="AB373" s="270" t="n">
        <v>1766.66</v>
      </c>
      <c r="AC373" s="290" t="n"/>
      <c r="AD373" s="276" t="n">
        <v>0.009461488343106429</v>
      </c>
      <c r="AE373" s="142" t="n">
        <v>0.0066003795926461</v>
      </c>
      <c r="AF373" s="270" t="n">
        <v>5.28940119760479</v>
      </c>
      <c r="AG373" s="277" t="n">
        <v>0.0500456077731509</v>
      </c>
      <c r="AH373" s="118" t="n">
        <v>0.553999575641842</v>
      </c>
      <c r="AI373" s="118" t="n">
        <v>0.431147888818163</v>
      </c>
      <c r="AJ373" s="270" t="n">
        <v>0.617461261720631</v>
      </c>
      <c r="AK373" s="64" t="n">
        <v>0.369309651284666</v>
      </c>
      <c r="AL373" s="64" t="n">
        <v>0.0750120393189995</v>
      </c>
      <c r="AM373" s="119" t="n">
        <v>0</v>
      </c>
      <c r="AN373" s="276" t="n">
        <v>5.212</v>
      </c>
    </row>
    <row customHeight="1" ht="13.2" r="374" s="3">
      <c r="A374" s="117" t="n">
        <v>43715</v>
      </c>
      <c r="B374" s="289" t="inlineStr">
        <is>
          <t>安卓</t>
        </is>
      </c>
      <c r="C374" s="268" t="n">
        <v>5630</v>
      </c>
      <c r="D374" s="268" t="n">
        <v>35876</v>
      </c>
      <c r="E374" s="269" t="n">
        <v>6.37229129662522</v>
      </c>
      <c r="F374" s="270" t="n">
        <v>0.711942548221652</v>
      </c>
      <c r="G374" s="271" t="n">
        <v>8.57</v>
      </c>
      <c r="H374" s="271" t="n">
        <v>16.67</v>
      </c>
      <c r="I374" s="141" t="n">
        <v>0.294</v>
      </c>
      <c r="J374" s="141" t="n">
        <v>0.128</v>
      </c>
      <c r="K374" s="141" t="n">
        <v>0.073</v>
      </c>
      <c r="L374" s="270" t="n">
        <v>13.4596387557141</v>
      </c>
      <c r="M374" s="272" t="n">
        <v>15.6949492697068</v>
      </c>
      <c r="N374" s="270" t="n">
        <v>23.4203477248149</v>
      </c>
      <c r="O374" s="273" t="n">
        <v>0.67014159884045</v>
      </c>
      <c r="P374" s="270" t="n">
        <v>3.10876798935197</v>
      </c>
      <c r="Q374" s="270" t="n">
        <v>3.54246734880626</v>
      </c>
      <c r="R374" s="270" t="n">
        <v>1.5838532568006</v>
      </c>
      <c r="S374" s="270" t="n">
        <v>9.038973463106229</v>
      </c>
      <c r="T374" s="270" t="n">
        <v>2.21612178687297</v>
      </c>
      <c r="U374" s="270" t="n">
        <v>0.448257216537726</v>
      </c>
      <c r="V374" s="270" t="n">
        <v>2.52200316113468</v>
      </c>
      <c r="W374" s="270" t="n">
        <v>0.959903502204476</v>
      </c>
      <c r="X374" s="270" t="n">
        <v>0.00136581558702196</v>
      </c>
      <c r="Y374" s="269" t="n">
        <v>15.6963150852938</v>
      </c>
      <c r="Z374" s="275" t="n">
        <v>575</v>
      </c>
      <c r="AA374" s="275" t="n">
        <v>361</v>
      </c>
      <c r="AB374" s="270" t="n">
        <v>4139.25</v>
      </c>
      <c r="AC374" s="290" t="n"/>
      <c r="AD374" s="276" t="n">
        <v>0.0160274278068904</v>
      </c>
      <c r="AE374" s="142" t="n">
        <v>0.0100624372839781</v>
      </c>
      <c r="AF374" s="270" t="n">
        <v>7.19869565217391</v>
      </c>
      <c r="AG374" s="277" t="n">
        <v>0.115376574868993</v>
      </c>
      <c r="AH374" s="118" t="n">
        <v>0.478685612788632</v>
      </c>
      <c r="AI374" s="118" t="n">
        <v>0.331971580817052</v>
      </c>
      <c r="AJ374" s="270" t="n">
        <v>0.489296465603746</v>
      </c>
      <c r="AK374" s="64" t="n">
        <v>0.31962872115063</v>
      </c>
      <c r="AL374" s="64" t="n">
        <v>0.0687646337384324</v>
      </c>
      <c r="AM374" s="119" t="n">
        <v>0.37674211171814</v>
      </c>
      <c r="AN374" s="276" t="n">
        <v>5.96</v>
      </c>
    </row>
    <row customHeight="1" ht="13.2" r="375" s="3">
      <c r="A375" s="117" t="n">
        <v>43716</v>
      </c>
      <c r="B375" s="289" t="inlineStr">
        <is>
          <t>安卓</t>
        </is>
      </c>
      <c r="C375" s="268" t="n">
        <v>13533</v>
      </c>
      <c r="D375" s="268" t="n">
        <v>45195</v>
      </c>
      <c r="E375" s="269" t="n">
        <v>3.3396142762137</v>
      </c>
      <c r="F375" s="270" t="n">
        <v>0.657243584732824</v>
      </c>
      <c r="G375" s="271" t="n">
        <v>10.12</v>
      </c>
      <c r="H375" s="271" t="n">
        <v>19.62</v>
      </c>
      <c r="I375" s="141" t="n">
        <v>0.264</v>
      </c>
      <c r="J375" s="141" t="n">
        <v>0.13</v>
      </c>
      <c r="K375" s="141" t="n">
        <v>0.07099999999999999</v>
      </c>
      <c r="L375" s="270" t="n">
        <v>11.6548290740126</v>
      </c>
      <c r="M375" s="272" t="n">
        <v>13.0422391857506</v>
      </c>
      <c r="N375" s="270" t="n">
        <v>20.8748804759712</v>
      </c>
      <c r="O375" s="273" t="n">
        <v>0.624781502378582</v>
      </c>
      <c r="P375" s="270" t="n">
        <v>2.88454864185289</v>
      </c>
      <c r="Q375" s="270" t="n">
        <v>3.44338987852817</v>
      </c>
      <c r="R375" s="270" t="n">
        <v>1.33463186599143</v>
      </c>
      <c r="S375" s="270" t="n">
        <v>7.51088996706449</v>
      </c>
      <c r="T375" s="270" t="n">
        <v>2.01703438750575</v>
      </c>
      <c r="U375" s="270" t="n">
        <v>0.476679533944824</v>
      </c>
      <c r="V375" s="270" t="n">
        <v>2.26780465346885</v>
      </c>
      <c r="W375" s="270" t="n">
        <v>0.939901547614831</v>
      </c>
      <c r="X375" s="270" t="n">
        <v>0.00132758048456688</v>
      </c>
      <c r="Y375" s="269" t="n">
        <v>13.0435667662352</v>
      </c>
      <c r="Z375" s="275" t="n">
        <v>574</v>
      </c>
      <c r="AA375" s="275" t="n">
        <v>372</v>
      </c>
      <c r="AB375" s="270" t="n">
        <v>4177.26</v>
      </c>
      <c r="AC375" s="290" t="n"/>
      <c r="AD375" s="276" t="n">
        <v>0.0127005199690231</v>
      </c>
      <c r="AE375" s="142" t="n">
        <v>0.00823099900431464</v>
      </c>
      <c r="AF375" s="270" t="n">
        <v>7.27745644599303</v>
      </c>
      <c r="AG375" s="277" t="n">
        <v>0.09242748091603049</v>
      </c>
      <c r="AH375" s="118" t="n">
        <v>0.497820143353285</v>
      </c>
      <c r="AI375" s="118" t="n">
        <v>0.271853986551393</v>
      </c>
      <c r="AJ375" s="270" t="n">
        <v>0.42566655603496</v>
      </c>
      <c r="AK375" s="64" t="n">
        <v>0.25412103108751</v>
      </c>
      <c r="AL375" s="64" t="n">
        <v>0.0544750525500608</v>
      </c>
      <c r="AM375" s="119" t="n">
        <v>0.341055426485231</v>
      </c>
      <c r="AN375" s="276" t="n">
        <v>7.291</v>
      </c>
    </row>
    <row customHeight="1" ht="13.2" r="376" s="3">
      <c r="A376" s="117" t="n">
        <v>43717</v>
      </c>
      <c r="B376" s="289" t="inlineStr">
        <is>
          <t>安卓</t>
        </is>
      </c>
      <c r="C376" s="268" t="n">
        <v>13139</v>
      </c>
      <c r="D376" s="268" t="n">
        <v>47248</v>
      </c>
      <c r="E376" s="269" t="n">
        <v>3.5960118730497</v>
      </c>
      <c r="F376" s="270" t="n">
        <v>0.6262410104766341</v>
      </c>
      <c r="G376" s="271" t="n">
        <v>10.41</v>
      </c>
      <c r="H376" s="271" t="n">
        <v>18.67</v>
      </c>
      <c r="I376" s="141" t="n">
        <v>0.288</v>
      </c>
      <c r="J376" s="141" t="n">
        <v>0.141</v>
      </c>
      <c r="K376" s="141" t="n">
        <v>0.08</v>
      </c>
      <c r="L376" s="270" t="n">
        <v>11.3957204537758</v>
      </c>
      <c r="M376" s="272" t="n">
        <v>12.4407170673891</v>
      </c>
      <c r="N376" s="270" t="n">
        <v>19.5991797539262</v>
      </c>
      <c r="O376" s="273" t="n">
        <v>0.634757026752455</v>
      </c>
      <c r="P376" s="270" t="n">
        <v>2.79647227501584</v>
      </c>
      <c r="Q376" s="270" t="n">
        <v>3.39091727518255</v>
      </c>
      <c r="R376" s="270" t="n">
        <v>1.19232436397586</v>
      </c>
      <c r="S376" s="270" t="n">
        <v>6.68177119802607</v>
      </c>
      <c r="T376" s="270" t="n">
        <v>1.94641725851089</v>
      </c>
      <c r="U376" s="270" t="n">
        <v>0.465472975225901</v>
      </c>
      <c r="V376" s="270" t="n">
        <v>2.1926577973392</v>
      </c>
      <c r="W376" s="270" t="n">
        <v>0.933146610649862</v>
      </c>
      <c r="X376" s="270" t="n">
        <v>0.000529122925838131</v>
      </c>
      <c r="Y376" s="269" t="n">
        <v>12.4412461903149</v>
      </c>
      <c r="Z376" s="275" t="n">
        <v>554</v>
      </c>
      <c r="AA376" s="275" t="n">
        <v>380</v>
      </c>
      <c r="AB376" s="270" t="n">
        <v>3664.46</v>
      </c>
      <c r="AC376" s="290" t="n"/>
      <c r="AD376" s="276" t="n">
        <v>0.011725364036573</v>
      </c>
      <c r="AE376" s="142" t="n">
        <v>0.00804266847273959</v>
      </c>
      <c r="AF376" s="270" t="n">
        <v>6.61454873646209</v>
      </c>
      <c r="AG376" s="277" t="n">
        <v>0.0775579918726718</v>
      </c>
      <c r="AH376" s="118" t="n">
        <v>0.513661618083568</v>
      </c>
      <c r="AI376" s="118" t="n">
        <v>0.317832407336936</v>
      </c>
      <c r="AJ376" s="270" t="n">
        <v>0.446389265154081</v>
      </c>
      <c r="AK376" s="64" t="n">
        <v>0.256285980358957</v>
      </c>
      <c r="AL376" s="64" t="n">
        <v>0.0531662715882154</v>
      </c>
      <c r="AM376" s="119" t="n">
        <v>0.338215374195733</v>
      </c>
      <c r="AN376" s="276" t="n">
        <v>7.052</v>
      </c>
    </row>
    <row customHeight="1" ht="13.2" r="377" s="3">
      <c r="A377" s="117" t="n">
        <v>43718</v>
      </c>
      <c r="B377" s="289" t="inlineStr">
        <is>
          <t>安卓</t>
        </is>
      </c>
      <c r="C377" s="268" t="n">
        <v>13028</v>
      </c>
      <c r="D377" s="268" t="n">
        <v>47920</v>
      </c>
      <c r="E377" s="269" t="n">
        <v>3.67823150138164</v>
      </c>
      <c r="F377" s="270" t="n">
        <v>0.613654075542571</v>
      </c>
      <c r="G377" s="271" t="n">
        <v>12.69</v>
      </c>
      <c r="H377" s="271" t="n">
        <v>21</v>
      </c>
      <c r="I377" s="141" t="n">
        <v>0.295</v>
      </c>
      <c r="J377" s="141" t="n">
        <v>0.141</v>
      </c>
      <c r="K377" s="141" t="n">
        <v>0.077</v>
      </c>
      <c r="L377" s="270" t="n">
        <v>10.3933848080134</v>
      </c>
      <c r="M377" s="272" t="n">
        <v>11.2090984974958</v>
      </c>
      <c r="N377" s="270" t="n">
        <v>17.8250481184045</v>
      </c>
      <c r="O377" s="273" t="n">
        <v>0.628839732888147</v>
      </c>
      <c r="P377" s="270" t="n">
        <v>2.56271985133072</v>
      </c>
      <c r="Q377" s="270" t="n">
        <v>3.0934160748656</v>
      </c>
      <c r="R377" s="270" t="n">
        <v>1.08664631313467</v>
      </c>
      <c r="S377" s="270" t="n">
        <v>5.88229242715869</v>
      </c>
      <c r="T377" s="270" t="n">
        <v>1.78525917568195</v>
      </c>
      <c r="U377" s="270" t="n">
        <v>0.5032521404393711</v>
      </c>
      <c r="V377" s="270" t="n">
        <v>2.01997743412756</v>
      </c>
      <c r="W377" s="270" t="n">
        <v>0.891484701665892</v>
      </c>
      <c r="X377" s="270" t="n">
        <v>0.00250417362270451</v>
      </c>
      <c r="Y377" s="269" t="n">
        <v>11.2116026711185</v>
      </c>
      <c r="Z377" s="275" t="n">
        <v>462</v>
      </c>
      <c r="AA377" s="275" t="n">
        <v>338</v>
      </c>
      <c r="AB377" s="270" t="n">
        <v>2946.38</v>
      </c>
      <c r="AC377" s="290" t="n"/>
      <c r="AD377" s="276" t="n">
        <v>0.009641068447412349</v>
      </c>
      <c r="AE377" s="142" t="n">
        <v>0.0070534223706177</v>
      </c>
      <c r="AF377" s="270" t="n">
        <v>6.37744588744589</v>
      </c>
      <c r="AG377" s="277" t="n">
        <v>0.0614853923205342</v>
      </c>
      <c r="AH377" s="118" t="n">
        <v>0.527556033159349</v>
      </c>
      <c r="AI377" s="118" t="n">
        <v>0.331286459932453</v>
      </c>
      <c r="AJ377" s="270" t="n">
        <v>0.494720367278798</v>
      </c>
      <c r="AK377" s="64" t="n">
        <v>0.26809265442404</v>
      </c>
      <c r="AL377" s="64" t="n">
        <v>0.0551335559265442</v>
      </c>
      <c r="AM377" s="119" t="n">
        <v>0.28355592654424</v>
      </c>
      <c r="AN377" s="276" t="n">
        <v>6.722</v>
      </c>
    </row>
    <row customFormat="1" customHeight="1" ht="15" r="378" s="294">
      <c r="A378" s="121" t="n">
        <v>43719</v>
      </c>
      <c r="B378" s="295" t="inlineStr">
        <is>
          <t>安卓</t>
        </is>
      </c>
      <c r="C378" s="296" t="n">
        <v>12095</v>
      </c>
      <c r="D378" s="296" t="n">
        <v>46484</v>
      </c>
      <c r="E378" s="297" t="n">
        <v>3.84324100868127</v>
      </c>
      <c r="F378" s="294" t="n">
        <v>0.565093138714396</v>
      </c>
      <c r="G378" s="306" t="n">
        <v>13.35</v>
      </c>
      <c r="H378" s="306" t="n">
        <v>21.8</v>
      </c>
      <c r="I378" s="123" t="n">
        <v>0.294</v>
      </c>
      <c r="J378" s="123" t="n">
        <v>0.133</v>
      </c>
      <c r="K378" s="123" t="n">
        <v>0.076</v>
      </c>
      <c r="L378" s="294" t="n">
        <v>9.15286980466397</v>
      </c>
      <c r="M378" s="299" t="n">
        <v>9.42963170123053</v>
      </c>
      <c r="N378" s="294" t="n">
        <v>15.1434444636379</v>
      </c>
      <c r="O378" s="300" t="n">
        <v>0.622687376301523</v>
      </c>
      <c r="P378" s="294" t="n">
        <v>2.34178614613923</v>
      </c>
      <c r="Q378" s="294" t="n">
        <v>2.52261185006046</v>
      </c>
      <c r="R378" s="294" t="n">
        <v>0.910934531007082</v>
      </c>
      <c r="S378" s="294" t="n">
        <v>4.75802383831404</v>
      </c>
      <c r="T378" s="294" t="n">
        <v>1.53473829676974</v>
      </c>
      <c r="U378" s="294" t="n">
        <v>0.549041285196062</v>
      </c>
      <c r="V378" s="294" t="n">
        <v>1.70920711694593</v>
      </c>
      <c r="W378" s="294" t="n">
        <v>0.81710139920539</v>
      </c>
      <c r="X378" s="294" t="n">
        <v>0.000925049479390758</v>
      </c>
      <c r="Y378" s="297" t="n">
        <v>9.43055675070992</v>
      </c>
      <c r="Z378" s="293" t="n">
        <v>473</v>
      </c>
      <c r="AA378" s="293" t="n">
        <v>342</v>
      </c>
      <c r="AB378" s="294" t="n">
        <v>2855.27</v>
      </c>
      <c r="AC378" s="302" t="n"/>
      <c r="AD378" s="303" t="n">
        <v>0.0101755442732983</v>
      </c>
      <c r="AE378" s="124" t="n">
        <v>0.0073573702779451</v>
      </c>
      <c r="AF378" s="294" t="n">
        <v>6.03651162790698</v>
      </c>
      <c r="AG378" s="304" t="n">
        <v>0.0614247913260477</v>
      </c>
      <c r="AH378" s="125" t="n">
        <v>0.542703596527491</v>
      </c>
      <c r="AI378" s="125" t="n">
        <v>0.357916494419181</v>
      </c>
      <c r="AJ378" s="294" t="n">
        <v>0.563634799070648</v>
      </c>
      <c r="AK378" s="126" t="n">
        <v>0.293563376645728</v>
      </c>
      <c r="AL378" s="126" t="n">
        <v>0.0562344032355219</v>
      </c>
      <c r="AM378" s="127" t="n">
        <v>0</v>
      </c>
      <c r="AN378" s="276" t="n">
        <v>5.591</v>
      </c>
    </row>
    <row customHeight="1" ht="13.2" r="379" s="3">
      <c r="A379" s="117" t="n">
        <v>43720</v>
      </c>
      <c r="B379" s="267" t="inlineStr">
        <is>
          <t>安卓</t>
        </is>
      </c>
      <c r="C379" s="268" t="n">
        <v>12951</v>
      </c>
      <c r="D379" s="268" t="n">
        <v>47571</v>
      </c>
      <c r="E379" s="269" t="n">
        <v>3.67315265230484</v>
      </c>
      <c r="F379" s="270" t="n">
        <v>0.482527033612915</v>
      </c>
      <c r="G379" s="271" t="n">
        <v>13.71</v>
      </c>
      <c r="H379" s="271" t="n">
        <v>21.79</v>
      </c>
      <c r="I379" s="141" t="n">
        <v>0.286</v>
      </c>
      <c r="J379" s="141" t="n">
        <v>0.132</v>
      </c>
      <c r="K379" s="141" t="n">
        <v>0.067</v>
      </c>
      <c r="L379" s="270" t="n">
        <v>8.889533539341199</v>
      </c>
      <c r="M379" s="272" t="n">
        <v>8.978432238128271</v>
      </c>
      <c r="N379" s="270" t="n">
        <v>14.7994802494802</v>
      </c>
      <c r="O379" s="273" t="n">
        <v>0.6066721321813729</v>
      </c>
      <c r="P379" s="270" t="n">
        <v>2.31185031185031</v>
      </c>
      <c r="Q379" s="270" t="n">
        <v>2.5037422037422</v>
      </c>
      <c r="R379" s="270" t="n">
        <v>0.883229383229383</v>
      </c>
      <c r="S379" s="270" t="n">
        <v>4.57806652806653</v>
      </c>
      <c r="T379" s="270" t="n">
        <v>1.51638946638947</v>
      </c>
      <c r="U379" s="270" t="n">
        <v>0.54005544005544</v>
      </c>
      <c r="V379" s="270" t="n">
        <v>1.66212751212751</v>
      </c>
      <c r="W379" s="270" t="n">
        <v>0.804019404019404</v>
      </c>
      <c r="X379" s="270" t="n">
        <v>0.000609615101637552</v>
      </c>
      <c r="Y379" s="269" t="n">
        <v>8.97904185322991</v>
      </c>
      <c r="Z379" s="275" t="n">
        <v>442</v>
      </c>
      <c r="AA379" s="275" t="n">
        <v>312</v>
      </c>
      <c r="AB379" s="270" t="n">
        <v>2590.58</v>
      </c>
      <c r="AC379" s="290" t="n"/>
      <c r="AD379" s="276" t="n">
        <v>0.009291374997372349</v>
      </c>
      <c r="AE379" s="142" t="n">
        <v>0.00655861764520401</v>
      </c>
      <c r="AF379" s="270" t="n">
        <v>5.8610407239819</v>
      </c>
      <c r="AG379" s="277" t="n">
        <v>0.0544571272413866</v>
      </c>
      <c r="AH379" s="118" t="n">
        <v>0.525210408462667</v>
      </c>
      <c r="AI379" s="118" t="n">
        <v>0.312871592927187</v>
      </c>
      <c r="AJ379" s="270" t="n">
        <v>0.54951546110025</v>
      </c>
      <c r="AK379" s="64" t="n">
        <v>0.290723339849909</v>
      </c>
      <c r="AL379" s="64" t="n">
        <v>0.0527211956864476</v>
      </c>
      <c r="AM379" s="119" t="n">
        <v>0</v>
      </c>
      <c r="AN379" s="276" t="n">
        <v>5.476</v>
      </c>
    </row>
    <row customHeight="1" ht="13.2" r="380" s="3">
      <c r="A380" s="117" t="n">
        <v>43721</v>
      </c>
      <c r="B380" s="267" t="inlineStr">
        <is>
          <t>安卓</t>
        </is>
      </c>
      <c r="C380" s="268" t="n">
        <v>11000</v>
      </c>
      <c r="D380" s="268" t="n">
        <v>45535</v>
      </c>
      <c r="E380" s="269" t="n">
        <v>4.13954545454545</v>
      </c>
      <c r="F380" s="270" t="n">
        <v>0.486439982628747</v>
      </c>
      <c r="G380" s="271" t="n">
        <v>11.85</v>
      </c>
      <c r="H380" s="271" t="n">
        <v>20.24</v>
      </c>
      <c r="I380" s="141" t="n">
        <v>0.275</v>
      </c>
      <c r="J380" s="141" t="n">
        <v>0.141</v>
      </c>
      <c r="K380" s="141" t="n">
        <v>0.06900000000000001</v>
      </c>
      <c r="L380" s="270" t="n">
        <v>8.857340507302069</v>
      </c>
      <c r="M380" s="272" t="n">
        <v>9.056571867794011</v>
      </c>
      <c r="N380" s="270" t="n">
        <v>14.6393681221157</v>
      </c>
      <c r="O380" s="273" t="n">
        <v>0.618644998352917</v>
      </c>
      <c r="P380" s="270" t="n">
        <v>2.31416400425985</v>
      </c>
      <c r="Q380" s="270" t="n">
        <v>2.47163649272275</v>
      </c>
      <c r="R380" s="270" t="n">
        <v>0.858927937522187</v>
      </c>
      <c r="S380" s="270" t="n">
        <v>4.48899538516152</v>
      </c>
      <c r="T380" s="270" t="n">
        <v>1.5207312744054</v>
      </c>
      <c r="U380" s="270" t="n">
        <v>0.540610578629748</v>
      </c>
      <c r="V380" s="270" t="n">
        <v>1.65473908413206</v>
      </c>
      <c r="W380" s="270" t="n">
        <v>0.789563365282215</v>
      </c>
      <c r="X380" s="270" t="n">
        <v>0.000373339189634347</v>
      </c>
      <c r="Y380" s="269" t="n">
        <v>9.05694520698365</v>
      </c>
      <c r="Z380" s="275" t="n">
        <v>447</v>
      </c>
      <c r="AA380" s="275" t="n">
        <v>309</v>
      </c>
      <c r="AB380" s="270" t="n">
        <v>2501.53</v>
      </c>
      <c r="AC380" s="290" t="n"/>
      <c r="AD380" s="276" t="n">
        <v>0.00981662457450313</v>
      </c>
      <c r="AE380" s="142" t="n">
        <v>0.00678598879982431</v>
      </c>
      <c r="AF380" s="270" t="n">
        <v>5.59626398210291</v>
      </c>
      <c r="AG380" s="277" t="n">
        <v>0.0549364225321182</v>
      </c>
      <c r="AH380" s="118" t="n">
        <v>0.530272727272727</v>
      </c>
      <c r="AI380" s="118" t="n">
        <v>0.356454545454545</v>
      </c>
      <c r="AJ380" s="270" t="n">
        <v>0.543186559789173</v>
      </c>
      <c r="AK380" s="64" t="n">
        <v>0.30086746458768</v>
      </c>
      <c r="AL380" s="64" t="n">
        <v>0.0553420445810915</v>
      </c>
      <c r="AM380" s="119" t="n">
        <v>0</v>
      </c>
      <c r="AN380" s="276" t="n">
        <v>5.413</v>
      </c>
    </row>
    <row customHeight="1" ht="13.2" r="381" s="3">
      <c r="A381" s="117" t="n">
        <v>43722</v>
      </c>
      <c r="B381" s="289" t="inlineStr">
        <is>
          <t>安卓</t>
        </is>
      </c>
      <c r="C381" s="268" t="n">
        <v>10149</v>
      </c>
      <c r="D381" s="268" t="n">
        <v>44316</v>
      </c>
      <c r="E381" s="269" t="n">
        <v>4.36653857522909</v>
      </c>
      <c r="F381" s="270" t="n">
        <v>0.719443958299485</v>
      </c>
      <c r="G381" s="271" t="n">
        <v>10.13</v>
      </c>
      <c r="H381" s="271" t="n">
        <v>18.41</v>
      </c>
      <c r="I381" s="141" t="n">
        <v>0.275</v>
      </c>
      <c r="J381" s="141" t="n">
        <v>0.127</v>
      </c>
      <c r="K381" s="141" t="n">
        <v>0.064</v>
      </c>
      <c r="L381" s="270" t="n">
        <v>12.0933071576857</v>
      </c>
      <c r="M381" s="272" t="n">
        <v>13.8644958931311</v>
      </c>
      <c r="N381" s="270" t="n">
        <v>21.6787453249594</v>
      </c>
      <c r="O381" s="273" t="n">
        <v>0.63954328007943</v>
      </c>
      <c r="P381" s="270" t="n">
        <v>2.92826900007057</v>
      </c>
      <c r="Q381" s="270" t="n">
        <v>3.35844329969656</v>
      </c>
      <c r="R381" s="270" t="n">
        <v>1.40004233999012</v>
      </c>
      <c r="S381" s="270" t="n">
        <v>8.1707007268365</v>
      </c>
      <c r="T381" s="270" t="n">
        <v>2.04664455578294</v>
      </c>
      <c r="U381" s="270" t="n">
        <v>0.472090889845459</v>
      </c>
      <c r="V381" s="270" t="n">
        <v>2.37576741232094</v>
      </c>
      <c r="W381" s="270" t="n">
        <v>0.926787100416343</v>
      </c>
      <c r="X381" s="270" t="n">
        <v>0.000857478111742937</v>
      </c>
      <c r="Y381" s="269" t="n">
        <v>13.8653533712429</v>
      </c>
      <c r="Z381" s="275" t="n">
        <v>707</v>
      </c>
      <c r="AA381" s="275" t="n">
        <v>446</v>
      </c>
      <c r="AB381" s="270" t="n">
        <v>4778.93</v>
      </c>
      <c r="AC381" s="290" t="n"/>
      <c r="AD381" s="276" t="n">
        <v>0.015953605921112</v>
      </c>
      <c r="AE381" s="142" t="n">
        <v>0.0100640852062461</v>
      </c>
      <c r="AF381" s="270" t="n">
        <v>6.75944837340877</v>
      </c>
      <c r="AG381" s="277" t="n">
        <v>0.107837575593465</v>
      </c>
      <c r="AH381" s="118" t="n">
        <v>0.525470489703419</v>
      </c>
      <c r="AI381" s="118" t="n">
        <v>0.347226327717016</v>
      </c>
      <c r="AJ381" s="270" t="n">
        <v>0.440946836357072</v>
      </c>
      <c r="AK381" s="64" t="n">
        <v>0.274212474050005</v>
      </c>
      <c r="AL381" s="64" t="n">
        <v>0.0541339471071396</v>
      </c>
      <c r="AM381" s="119" t="n">
        <v>0.342020940518097</v>
      </c>
      <c r="AN381" s="276" t="n">
        <v>5.603</v>
      </c>
    </row>
    <row customHeight="1" ht="13.2" r="382" s="3">
      <c r="A382" s="117" t="n">
        <v>43723</v>
      </c>
      <c r="B382" s="289" t="inlineStr">
        <is>
          <t>安卓</t>
        </is>
      </c>
      <c r="C382" s="268" t="n">
        <v>13286</v>
      </c>
      <c r="D382" s="268" t="n">
        <v>48594</v>
      </c>
      <c r="E382" s="269" t="n">
        <v>3.65753424657534</v>
      </c>
      <c r="F382" s="270" t="n">
        <v>0.667825183232498</v>
      </c>
      <c r="G382" s="271" t="n">
        <v>10.52</v>
      </c>
      <c r="H382" s="271" t="n">
        <v>18.5</v>
      </c>
      <c r="I382" s="141" t="n">
        <v>0.264</v>
      </c>
      <c r="J382" s="141" t="n">
        <v>0.122</v>
      </c>
      <c r="K382" s="141" t="n">
        <v>0.065</v>
      </c>
      <c r="L382" s="270" t="n">
        <v>11.2895624974277</v>
      </c>
      <c r="M382" s="272" t="n">
        <v>12.6619129933737</v>
      </c>
      <c r="N382" s="270" t="n">
        <v>20.3046893046893</v>
      </c>
      <c r="O382" s="273" t="n">
        <v>0.6235955056179771</v>
      </c>
      <c r="P382" s="270" t="n">
        <v>2.72411972411972</v>
      </c>
      <c r="Q382" s="270" t="n">
        <v>3.38537438537439</v>
      </c>
      <c r="R382" s="270" t="n">
        <v>1.32105732105732</v>
      </c>
      <c r="S382" s="270" t="n">
        <v>7.31125631125631</v>
      </c>
      <c r="T382" s="270" t="n">
        <v>1.93832293832294</v>
      </c>
      <c r="U382" s="270" t="n">
        <v>0.465003465003465</v>
      </c>
      <c r="V382" s="270" t="n">
        <v>2.23713823713824</v>
      </c>
      <c r="W382" s="270" t="n">
        <v>0.922416922416922</v>
      </c>
      <c r="X382" s="270" t="n">
        <v>0.00107009095773141</v>
      </c>
      <c r="Y382" s="269" t="n">
        <v>12.6629830843314</v>
      </c>
      <c r="Z382" s="275" t="n">
        <v>642</v>
      </c>
      <c r="AA382" s="275" t="n">
        <v>420</v>
      </c>
      <c r="AB382" s="270" t="n">
        <v>4678.58</v>
      </c>
      <c r="AC382" s="290" t="n"/>
      <c r="AD382" s="276" t="n">
        <v>0.0132115075935301</v>
      </c>
      <c r="AE382" s="142" t="n">
        <v>0.00864304235090752</v>
      </c>
      <c r="AF382" s="270" t="n">
        <v>7.28750778816199</v>
      </c>
      <c r="AG382" s="277" t="n">
        <v>0.0962789644812117</v>
      </c>
      <c r="AH382" s="118" t="n">
        <v>0.5</v>
      </c>
      <c r="AI382" s="118" t="n">
        <v>0.29181092879723</v>
      </c>
      <c r="AJ382" s="270" t="n">
        <v>0.421307157262213</v>
      </c>
      <c r="AK382" s="64" t="n">
        <v>0.248446310244063</v>
      </c>
      <c r="AL382" s="64" t="n">
        <v>0.0473515248796148</v>
      </c>
      <c r="AM382" s="119" t="n">
        <v>0.335802774005021</v>
      </c>
      <c r="AN382" s="276" t="n">
        <v>5.284</v>
      </c>
    </row>
    <row customHeight="1" ht="13.2" r="383" s="3">
      <c r="A383" s="117" t="n">
        <v>43724</v>
      </c>
      <c r="B383" s="289" t="inlineStr">
        <is>
          <t>安卓</t>
        </is>
      </c>
      <c r="C383" s="268" t="n">
        <v>13632</v>
      </c>
      <c r="D383" s="268" t="n">
        <v>50656</v>
      </c>
      <c r="E383" s="269" t="n">
        <v>3.71596244131455</v>
      </c>
      <c r="F383" s="270" t="n">
        <v>0.641166104706254</v>
      </c>
      <c r="G383" s="271" t="n">
        <v>11.54</v>
      </c>
      <c r="H383" s="271" t="n">
        <v>19.24</v>
      </c>
      <c r="I383" s="141" t="n">
        <v>0.287</v>
      </c>
      <c r="J383" s="141" t="n">
        <v>0.142</v>
      </c>
      <c r="K383" s="141" t="n">
        <v>0.077</v>
      </c>
      <c r="L383" s="270" t="n">
        <v>10.9240761212887</v>
      </c>
      <c r="M383" s="272" t="n">
        <v>11.9001500315856</v>
      </c>
      <c r="N383" s="270" t="n">
        <v>19.0228154880242</v>
      </c>
      <c r="O383" s="273" t="n">
        <v>0.625572488945041</v>
      </c>
      <c r="P383" s="270" t="n">
        <v>2.69879137871186</v>
      </c>
      <c r="Q383" s="270" t="n">
        <v>3.26084761273628</v>
      </c>
      <c r="R383" s="270" t="n">
        <v>1.1841332954653</v>
      </c>
      <c r="S383" s="270" t="n">
        <v>6.5257975953801</v>
      </c>
      <c r="T383" s="270" t="n">
        <v>1.87576130518476</v>
      </c>
      <c r="U383" s="270" t="n">
        <v>0.464009593234245</v>
      </c>
      <c r="V383" s="270" t="n">
        <v>2.11089021426994</v>
      </c>
      <c r="W383" s="270" t="n">
        <v>0.902584493041749</v>
      </c>
      <c r="X383" s="270" t="n">
        <v>0.00108575489576753</v>
      </c>
      <c r="Y383" s="269" t="n">
        <v>11.9012357864814</v>
      </c>
      <c r="Z383" s="275" t="n">
        <v>582</v>
      </c>
      <c r="AA383" s="275" t="n">
        <v>422</v>
      </c>
      <c r="AB383" s="270" t="n">
        <v>3726.18</v>
      </c>
      <c r="AC383" s="290" t="n"/>
      <c r="AD383" s="276" t="n">
        <v>0.011489260897031</v>
      </c>
      <c r="AE383" s="142" t="n">
        <v>0.008330701200252691</v>
      </c>
      <c r="AF383" s="270" t="n">
        <v>6.40237113402062</v>
      </c>
      <c r="AG383" s="277" t="n">
        <v>0.0735585123183828</v>
      </c>
      <c r="AH383" s="118" t="n">
        <v>0.518412558685446</v>
      </c>
      <c r="AI383" s="118" t="n">
        <v>0.318075117370892</v>
      </c>
      <c r="AJ383" s="270" t="n">
        <v>0.429070593809223</v>
      </c>
      <c r="AK383" s="64" t="n">
        <v>0.249585439039798</v>
      </c>
      <c r="AL383" s="64" t="n">
        <v>0.0490366392924826</v>
      </c>
      <c r="AM383" s="119" t="n">
        <v>0.327404453569172</v>
      </c>
      <c r="AN383" s="276" t="n">
        <v>7.026</v>
      </c>
    </row>
    <row customHeight="1" ht="13.2" r="384" s="3">
      <c r="A384" s="117" t="n">
        <v>43725</v>
      </c>
      <c r="B384" s="289" t="inlineStr">
        <is>
          <t>安卓</t>
        </is>
      </c>
      <c r="C384" s="268" t="n">
        <v>14492</v>
      </c>
      <c r="D384" s="268" t="n">
        <v>51699</v>
      </c>
      <c r="E384" s="269" t="n">
        <v>3.56741650565829</v>
      </c>
      <c r="F384" s="270" t="n">
        <v>0.605394772529449</v>
      </c>
      <c r="G384" s="271" t="n">
        <v>12.92</v>
      </c>
      <c r="H384" s="271" t="n">
        <v>21.41</v>
      </c>
      <c r="I384" s="141" t="n">
        <v>0.278</v>
      </c>
      <c r="J384" s="141" t="n">
        <v>0.134</v>
      </c>
      <c r="K384" s="141" t="n">
        <v>0.073</v>
      </c>
      <c r="L384" s="270" t="n">
        <v>10.1759028221049</v>
      </c>
      <c r="M384" s="272" t="n">
        <v>10.7215806882145</v>
      </c>
      <c r="N384" s="270" t="n">
        <v>17.3798325651397</v>
      </c>
      <c r="O384" s="273" t="n">
        <v>0.616897812336796</v>
      </c>
      <c r="P384" s="270" t="n">
        <v>2.52977142319631</v>
      </c>
      <c r="Q384" s="270" t="n">
        <v>2.97946257799517</v>
      </c>
      <c r="R384" s="270" t="n">
        <v>1.08744865644499</v>
      </c>
      <c r="S384" s="270" t="n">
        <v>5.71012447872574</v>
      </c>
      <c r="T384" s="270" t="n">
        <v>1.74539867682564</v>
      </c>
      <c r="U384" s="270" t="n">
        <v>0.506474775029003</v>
      </c>
      <c r="V384" s="270" t="n">
        <v>1.96115134982598</v>
      </c>
      <c r="W384" s="270" t="n">
        <v>0.860000627096855</v>
      </c>
      <c r="X384" s="270" t="n">
        <v>0.000193427339020097</v>
      </c>
      <c r="Y384" s="269" t="n">
        <v>10.7217741155535</v>
      </c>
      <c r="Z384" s="275" t="n">
        <v>543</v>
      </c>
      <c r="AA384" s="275" t="n">
        <v>390</v>
      </c>
      <c r="AB384" s="270" t="n">
        <v>3199.57</v>
      </c>
      <c r="AC384" s="290" t="n"/>
      <c r="AD384" s="276" t="n">
        <v>0.0105031045087913</v>
      </c>
      <c r="AE384" s="142" t="n">
        <v>0.00754366622178379</v>
      </c>
      <c r="AF384" s="270" t="n">
        <v>5.892394106814</v>
      </c>
      <c r="AG384" s="277" t="n">
        <v>0.0618884311108532</v>
      </c>
      <c r="AH384" s="118" t="n">
        <v>0.513731714049131</v>
      </c>
      <c r="AI384" s="118" t="n">
        <v>0.328043058239028</v>
      </c>
      <c r="AJ384" s="270" t="n">
        <v>0.466179229772336</v>
      </c>
      <c r="AK384" s="64" t="n">
        <v>0.255691599450666</v>
      </c>
      <c r="AL384" s="64" t="n">
        <v>0.0483761774889263</v>
      </c>
      <c r="AM384" s="119" t="n">
        <v>0.27497630515097</v>
      </c>
      <c r="AN384" s="276" t="n">
        <v>7.098</v>
      </c>
    </row>
    <row customFormat="1" customHeight="1" ht="15" r="385" s="294">
      <c r="A385" s="121" t="n">
        <v>43726</v>
      </c>
      <c r="B385" s="295" t="inlineStr">
        <is>
          <t>安卓</t>
        </is>
      </c>
      <c r="C385" s="296" t="n">
        <v>13837</v>
      </c>
      <c r="D385" s="296" t="n">
        <v>50213</v>
      </c>
      <c r="E385" s="297" t="n">
        <v>3.62889354628894</v>
      </c>
      <c r="F385" s="294" t="n">
        <v>0.530303428653934</v>
      </c>
      <c r="G385" s="306" t="n">
        <v>13.33</v>
      </c>
      <c r="H385" s="306" t="n">
        <v>21.25</v>
      </c>
      <c r="I385" s="123" t="n">
        <v>0.279</v>
      </c>
      <c r="J385" s="123" t="n">
        <v>0.13</v>
      </c>
      <c r="K385" s="123" t="n">
        <v>0.066</v>
      </c>
      <c r="L385" s="294" t="n">
        <v>9.007727082628</v>
      </c>
      <c r="M385" s="299" t="n">
        <v>9.147690837034229</v>
      </c>
      <c r="N385" s="294" t="n">
        <v>15.119087587637</v>
      </c>
      <c r="O385" s="300" t="n">
        <v>0.605042518869615</v>
      </c>
      <c r="P385" s="294" t="n">
        <v>2.33320167209769</v>
      </c>
      <c r="Q385" s="294" t="n">
        <v>2.50399921003259</v>
      </c>
      <c r="R385" s="294" t="n">
        <v>0.909976630130674</v>
      </c>
      <c r="S385" s="294" t="n">
        <v>4.80484513347158</v>
      </c>
      <c r="T385" s="294" t="n">
        <v>1.51598038247589</v>
      </c>
      <c r="U385" s="294" t="n">
        <v>0.546756196306902</v>
      </c>
      <c r="V385" s="294" t="n">
        <v>1.69612586814127</v>
      </c>
      <c r="W385" s="294" t="n">
        <v>0.808202494980415</v>
      </c>
      <c r="X385" s="294" t="n">
        <v>0.00115507936191823</v>
      </c>
      <c r="Y385" s="297" t="n">
        <v>9.14884591639615</v>
      </c>
      <c r="Z385" s="293" t="n">
        <v>479</v>
      </c>
      <c r="AA385" s="293" t="n">
        <v>338</v>
      </c>
      <c r="AB385" s="294" t="n">
        <v>2557.21</v>
      </c>
      <c r="AC385" s="302" t="n"/>
      <c r="AD385" s="303" t="n">
        <v>0.00953936231653158</v>
      </c>
      <c r="AE385" s="124" t="n">
        <v>0.00673132455738554</v>
      </c>
      <c r="AF385" s="294" t="n">
        <v>5.33864300626305</v>
      </c>
      <c r="AG385" s="304" t="n">
        <v>0.0509272499153606</v>
      </c>
      <c r="AH385" s="125" t="n">
        <v>0.513044735130447</v>
      </c>
      <c r="AI385" s="125" t="n">
        <v>0.331936113319361</v>
      </c>
      <c r="AJ385" s="294" t="n">
        <v>0.541752135901062</v>
      </c>
      <c r="AK385" s="126" t="n">
        <v>0.279369884292912</v>
      </c>
      <c r="AL385" s="126" t="n">
        <v>0.0507239161173401</v>
      </c>
      <c r="AM385" s="127" t="n">
        <v>0</v>
      </c>
      <c r="AN385" s="276" t="n">
        <v>6.653</v>
      </c>
    </row>
    <row customHeight="1" ht="13.2" r="386" s="3">
      <c r="A386" s="117" t="n">
        <v>43727</v>
      </c>
      <c r="B386" s="267" t="inlineStr">
        <is>
          <t>安卓</t>
        </is>
      </c>
      <c r="C386" s="268" t="n">
        <v>13553</v>
      </c>
      <c r="D386" s="268" t="n">
        <v>49408</v>
      </c>
      <c r="E386" s="269" t="n">
        <v>3.64553973290046</v>
      </c>
      <c r="F386" s="270" t="n">
        <v>0.550622980084197</v>
      </c>
      <c r="G386" s="271" t="n">
        <v>13.71</v>
      </c>
      <c r="H386" s="271" t="n">
        <v>22.11</v>
      </c>
      <c r="I386" s="141" t="n">
        <v>0.283</v>
      </c>
      <c r="J386" s="141" t="n">
        <v>0.137</v>
      </c>
      <c r="K386" s="141" t="n">
        <v>0.067</v>
      </c>
      <c r="L386" s="270" t="n">
        <v>8.953246437823831</v>
      </c>
      <c r="M386" s="272" t="n">
        <v>9.183735427461141</v>
      </c>
      <c r="N386" s="270" t="n">
        <v>15.2193600321996</v>
      </c>
      <c r="O386" s="273" t="n">
        <v>0.603424546632124</v>
      </c>
      <c r="P386" s="270" t="n">
        <v>2.38498691889716</v>
      </c>
      <c r="Q386" s="270" t="n">
        <v>2.54601864895687</v>
      </c>
      <c r="R386" s="270" t="n">
        <v>0.908901858187429</v>
      </c>
      <c r="S386" s="270" t="n">
        <v>4.77399879251358</v>
      </c>
      <c r="T386" s="270" t="n">
        <v>1.55316294358355</v>
      </c>
      <c r="U386" s="270" t="n">
        <v>0.544375125779835</v>
      </c>
      <c r="V386" s="270" t="n">
        <v>1.69775944187295</v>
      </c>
      <c r="W386" s="270" t="n">
        <v>0.810156302408265</v>
      </c>
      <c r="X386" s="270" t="n">
        <v>0.000728626943005181</v>
      </c>
      <c r="Y386" s="269" t="n">
        <v>9.184464054404151</v>
      </c>
      <c r="Z386" s="275" t="n">
        <v>508</v>
      </c>
      <c r="AA386" s="275" t="n">
        <v>352</v>
      </c>
      <c r="AB386" s="270" t="n">
        <v>2779.92</v>
      </c>
      <c r="AC386" s="290" t="n"/>
      <c r="AD386" s="276" t="n">
        <v>0.0102817357512953</v>
      </c>
      <c r="AE386" s="142" t="n">
        <v>0.00712435233160622</v>
      </c>
      <c r="AF386" s="270" t="n">
        <v>5.47228346456693</v>
      </c>
      <c r="AG386" s="277" t="n">
        <v>0.0562645725388601</v>
      </c>
      <c r="AH386" s="118" t="n">
        <v>0.510514277281783</v>
      </c>
      <c r="AI386" s="118" t="n">
        <v>0.328783295211392</v>
      </c>
      <c r="AJ386" s="270" t="n">
        <v>0.5258662564766839</v>
      </c>
      <c r="AK386" s="64" t="n">
        <v>0.288981541450777</v>
      </c>
      <c r="AL386" s="64" t="n">
        <v>0.0492430375647668</v>
      </c>
      <c r="AM386" s="119" t="n">
        <v>0</v>
      </c>
      <c r="AN386" s="276" t="n">
        <v>5.797</v>
      </c>
    </row>
    <row customHeight="1" ht="13.2" r="387" s="3">
      <c r="A387" s="117" t="n">
        <v>43728</v>
      </c>
      <c r="B387" s="267" t="inlineStr">
        <is>
          <t>安卓</t>
        </is>
      </c>
      <c r="C387" s="268" t="n">
        <v>16208</v>
      </c>
      <c r="D387" s="268" t="n">
        <v>52317</v>
      </c>
      <c r="E387" s="269" t="n">
        <v>3.22785044422507</v>
      </c>
      <c r="F387" s="270" t="n">
        <v>0.470765024428006</v>
      </c>
      <c r="G387" s="271" t="n">
        <v>12.68</v>
      </c>
      <c r="H387" s="271" t="n">
        <v>19.99</v>
      </c>
      <c r="I387" s="141" t="n">
        <v>0.268</v>
      </c>
      <c r="J387" s="141" t="n">
        <v>0.129</v>
      </c>
      <c r="K387" s="141" t="n">
        <v>0.066</v>
      </c>
      <c r="L387" s="270" t="n">
        <v>8.41254276812508</v>
      </c>
      <c r="M387" s="272" t="n">
        <v>8.421870520098629</v>
      </c>
      <c r="N387" s="270" t="n">
        <v>14.5539737068111</v>
      </c>
      <c r="O387" s="273" t="n">
        <v>0.578664678785099</v>
      </c>
      <c r="P387" s="270" t="n">
        <v>2.30138072273238</v>
      </c>
      <c r="Q387" s="270" t="n">
        <v>2.45121226134637</v>
      </c>
      <c r="R387" s="270" t="n">
        <v>0.85495804981172</v>
      </c>
      <c r="S387" s="270" t="n">
        <v>4.5038977340292</v>
      </c>
      <c r="T387" s="270" t="n">
        <v>1.49276606989496</v>
      </c>
      <c r="U387" s="270" t="n">
        <v>0.540397700997556</v>
      </c>
      <c r="V387" s="270" t="n">
        <v>1.62588359648543</v>
      </c>
      <c r="W387" s="270" t="n">
        <v>0.7834775715135101</v>
      </c>
      <c r="X387" s="270" t="n">
        <v>0.00108951201330351</v>
      </c>
      <c r="Y387" s="269" t="n">
        <v>8.422960032111931</v>
      </c>
      <c r="Z387" s="275" t="n">
        <v>473</v>
      </c>
      <c r="AA387" s="275" t="n">
        <v>331</v>
      </c>
      <c r="AB387" s="270" t="n">
        <v>2523.27</v>
      </c>
      <c r="AC387" s="290" t="n"/>
      <c r="AD387" s="276" t="n">
        <v>0.00904103828583443</v>
      </c>
      <c r="AE387" s="142" t="n">
        <v>0.00632681537549936</v>
      </c>
      <c r="AF387" s="270" t="n">
        <v>5.3346088794926</v>
      </c>
      <c r="AG387" s="277" t="n">
        <v>0.0482304031194449</v>
      </c>
      <c r="AH387" s="118" t="n">
        <v>0.47680157946693</v>
      </c>
      <c r="AI387" s="118" t="n">
        <v>0.286463474827246</v>
      </c>
      <c r="AJ387" s="270" t="n">
        <v>0.492287401800562</v>
      </c>
      <c r="AK387" s="64" t="n">
        <v>0.271575205000287</v>
      </c>
      <c r="AL387" s="64" t="n">
        <v>0.0465431886384923</v>
      </c>
      <c r="AM387" s="119" t="n">
        <v>0</v>
      </c>
      <c r="AN387" s="276" t="n">
        <v>5.882</v>
      </c>
    </row>
    <row customHeight="1" ht="13.2" r="388" s="3">
      <c r="A388" s="117" t="n">
        <v>43729</v>
      </c>
      <c r="B388" s="289" t="inlineStr">
        <is>
          <t>安卓</t>
        </is>
      </c>
      <c r="C388" s="268" t="n">
        <v>18510</v>
      </c>
      <c r="D388" s="268" t="n">
        <v>55794</v>
      </c>
      <c r="E388" s="269" t="n">
        <v>3.01426256077796</v>
      </c>
      <c r="F388" s="270" t="n">
        <v>0.68035804565007</v>
      </c>
      <c r="G388" s="271" t="n">
        <v>11.25</v>
      </c>
      <c r="H388" s="271" t="n">
        <v>18.79</v>
      </c>
      <c r="I388" s="141" t="n">
        <v>0.255</v>
      </c>
      <c r="J388" s="141" t="n">
        <v>0.111</v>
      </c>
      <c r="K388" s="141" t="n">
        <v>0.063</v>
      </c>
      <c r="L388" s="270" t="n">
        <v>10.8769401727784</v>
      </c>
      <c r="M388" s="272" t="n">
        <v>11.8169874896942</v>
      </c>
      <c r="N388" s="270" t="n">
        <v>20.1084848115164</v>
      </c>
      <c r="O388" s="273" t="n">
        <v>0.587661755744345</v>
      </c>
      <c r="P388" s="270" t="n">
        <v>2.82176406002196</v>
      </c>
      <c r="Q388" s="270" t="n">
        <v>3.20236061973893</v>
      </c>
      <c r="R388" s="270" t="n">
        <v>1.38059655971697</v>
      </c>
      <c r="S388" s="270" t="n">
        <v>7.27388068805661</v>
      </c>
      <c r="T388" s="270" t="n">
        <v>1.87596071733561</v>
      </c>
      <c r="U388" s="270" t="n">
        <v>0.492375259241186</v>
      </c>
      <c r="V388" s="270" t="n">
        <v>2.18747712577772</v>
      </c>
      <c r="W388" s="270" t="n">
        <v>0.874069781627425</v>
      </c>
      <c r="X388" s="270" t="n">
        <v>0.00191776893572786</v>
      </c>
      <c r="Y388" s="269" t="n">
        <v>11.81890525863</v>
      </c>
      <c r="Z388" s="275" t="n">
        <v>755</v>
      </c>
      <c r="AA388" s="275" t="n">
        <v>475</v>
      </c>
      <c r="AB388" s="270" t="n">
        <v>5516.45</v>
      </c>
      <c r="AC388" s="290" t="n"/>
      <c r="AD388" s="276" t="n">
        <v>0.0135319209950891</v>
      </c>
      <c r="AE388" s="142" t="n">
        <v>0.00851346022869843</v>
      </c>
      <c r="AF388" s="270" t="n">
        <v>7.30655629139073</v>
      </c>
      <c r="AG388" s="277" t="n">
        <v>0.0988717424812704</v>
      </c>
      <c r="AH388" s="118" t="n">
        <v>0.481253376553214</v>
      </c>
      <c r="AI388" s="118" t="n">
        <v>0.27947055645597</v>
      </c>
      <c r="AJ388" s="270" t="n">
        <v>0.398931784779725</v>
      </c>
      <c r="AK388" s="64" t="n">
        <v>0.230526579918988</v>
      </c>
      <c r="AL388" s="64" t="n">
        <v>0.0411513782844033</v>
      </c>
      <c r="AM388" s="119" t="n">
        <v>0.29114241674732</v>
      </c>
      <c r="AN388" s="276" t="n">
        <v>6.507</v>
      </c>
    </row>
    <row customHeight="1" ht="13.2" r="389" s="3">
      <c r="A389" s="117" t="n">
        <v>43730</v>
      </c>
      <c r="B389" s="289" t="inlineStr">
        <is>
          <t>安卓</t>
        </is>
      </c>
      <c r="C389" s="268" t="n">
        <v>21762</v>
      </c>
      <c r="D389" s="268" t="n">
        <v>61508</v>
      </c>
      <c r="E389" s="269" t="n">
        <v>2.82639463284625</v>
      </c>
      <c r="F389" s="270" t="n">
        <v>0.559419995431489</v>
      </c>
      <c r="G389" s="271" t="n">
        <v>10.92</v>
      </c>
      <c r="H389" s="271" t="n">
        <v>18.61</v>
      </c>
      <c r="I389" s="141" t="n">
        <v>0.261</v>
      </c>
      <c r="J389" s="141" t="n">
        <v>0.118</v>
      </c>
      <c r="K389" s="141" t="n">
        <v>0.067</v>
      </c>
      <c r="L389" s="270" t="n">
        <v>10.3271281784483</v>
      </c>
      <c r="M389" s="272" t="n">
        <v>11.0148761136763</v>
      </c>
      <c r="N389" s="270" t="n">
        <v>18.9109306090549</v>
      </c>
      <c r="O389" s="273" t="n">
        <v>0.582460818104962</v>
      </c>
      <c r="P389" s="270" t="n">
        <v>2.6242672919109</v>
      </c>
      <c r="Q389" s="270" t="n">
        <v>3.19418857812762</v>
      </c>
      <c r="R389" s="270" t="n">
        <v>1.27033439401552</v>
      </c>
      <c r="S389" s="270" t="n">
        <v>6.66970914977949</v>
      </c>
      <c r="T389" s="270" t="n">
        <v>1.75746664433652</v>
      </c>
      <c r="U389" s="270" t="n">
        <v>0.494249986043655</v>
      </c>
      <c r="V389" s="270" t="n">
        <v>2.03553285323508</v>
      </c>
      <c r="W389" s="270" t="n">
        <v>0.865181711606096</v>
      </c>
      <c r="X389" s="270" t="n">
        <v>0.000634063861611498</v>
      </c>
      <c r="Y389" s="269" t="n">
        <v>11.0155101775379</v>
      </c>
      <c r="Z389" s="275" t="n">
        <v>614</v>
      </c>
      <c r="AA389" s="275" t="n">
        <v>436</v>
      </c>
      <c r="AB389" s="270" t="n">
        <v>4045.86</v>
      </c>
      <c r="AC389" s="290" t="n"/>
      <c r="AD389" s="276" t="n">
        <v>0.00998244130844768</v>
      </c>
      <c r="AE389" s="142" t="n">
        <v>0.00708850881186187</v>
      </c>
      <c r="AF389" s="270" t="n">
        <v>6.58934853420195</v>
      </c>
      <c r="AG389" s="277" t="n">
        <v>0.0657777850035768</v>
      </c>
      <c r="AH389" s="118" t="n">
        <v>0.481986949728885</v>
      </c>
      <c r="AI389" s="118" t="n">
        <v>0.278650859296021</v>
      </c>
      <c r="AJ389" s="270" t="n">
        <v>0.382112895883462</v>
      </c>
      <c r="AK389" s="64" t="n">
        <v>0.209875138193406</v>
      </c>
      <c r="AL389" s="64" t="n">
        <v>0.0359790596345191</v>
      </c>
      <c r="AM389" s="119" t="n">
        <v>0.293360213305586</v>
      </c>
      <c r="AN389" s="276" t="n">
        <v>7.096</v>
      </c>
    </row>
    <row customHeight="1" ht="13.2" r="390" s="3">
      <c r="A390" s="117" t="n">
        <v>43731</v>
      </c>
      <c r="B390" s="289" t="inlineStr">
        <is>
          <t>安卓</t>
        </is>
      </c>
      <c r="C390" s="268" t="n">
        <v>23101</v>
      </c>
      <c r="D390" s="268" t="n">
        <v>65237</v>
      </c>
      <c r="E390" s="269" t="n">
        <v>2.82399030345007</v>
      </c>
      <c r="F390" s="270" t="n">
        <v>0.499363879087021</v>
      </c>
      <c r="G390" s="271" t="n">
        <v>11.03</v>
      </c>
      <c r="H390" s="271" t="n">
        <v>19.39</v>
      </c>
      <c r="I390" s="141" t="n">
        <v>0.261</v>
      </c>
      <c r="J390" s="141" t="n">
        <v>0.119</v>
      </c>
      <c r="K390" s="141" t="n">
        <v>0.066</v>
      </c>
      <c r="L390" s="270" t="n">
        <v>9.944479359872471</v>
      </c>
      <c r="M390" s="272" t="n">
        <v>10.3910817480877</v>
      </c>
      <c r="N390" s="270" t="n">
        <v>17.9338871398714</v>
      </c>
      <c r="O390" s="273" t="n">
        <v>0.5794104572558521</v>
      </c>
      <c r="P390" s="270" t="n">
        <v>2.55141670414561</v>
      </c>
      <c r="Q390" s="270" t="n">
        <v>3.14876054922088</v>
      </c>
      <c r="R390" s="270" t="n">
        <v>1.15939575121035</v>
      </c>
      <c r="S390" s="270" t="n">
        <v>6.08079578824837</v>
      </c>
      <c r="T390" s="270" t="n">
        <v>1.69181724384243</v>
      </c>
      <c r="U390" s="270" t="n">
        <v>0.480727003359877</v>
      </c>
      <c r="V390" s="270" t="n">
        <v>1.97092515675018</v>
      </c>
      <c r="W390" s="270" t="n">
        <v>0.850048943093733</v>
      </c>
      <c r="X390" s="270" t="n">
        <v>0.0003985468369177</v>
      </c>
      <c r="Y390" s="269" t="n">
        <v>10.3914802949247</v>
      </c>
      <c r="Z390" s="275" t="n">
        <v>553</v>
      </c>
      <c r="AA390" s="275" t="n">
        <v>393</v>
      </c>
      <c r="AB390" s="270" t="n">
        <v>3256.47</v>
      </c>
      <c r="AC390" s="290" t="n"/>
      <c r="AD390" s="276" t="n">
        <v>0.00847678464674954</v>
      </c>
      <c r="AE390" s="142" t="n">
        <v>0.00602418872725601</v>
      </c>
      <c r="AF390" s="270" t="n">
        <v>5.88873417721519</v>
      </c>
      <c r="AG390" s="277" t="n">
        <v>0.049917531462207</v>
      </c>
      <c r="AH390" s="118" t="n">
        <v>0.479892645340029</v>
      </c>
      <c r="AI390" s="118" t="n">
        <v>0.285961646681962</v>
      </c>
      <c r="AJ390" s="270" t="n">
        <v>0.39307448227233</v>
      </c>
      <c r="AK390" s="64" t="n">
        <v>0.208409338258963</v>
      </c>
      <c r="AL390" s="64" t="n">
        <v>0.0350874503732544</v>
      </c>
      <c r="AM390" s="119" t="n">
        <v>0.283259499977007</v>
      </c>
      <c r="AN390" s="276" t="n">
        <v>6.93</v>
      </c>
    </row>
    <row customHeight="1" ht="13.2" r="391" s="3">
      <c r="A391" s="128" t="n">
        <v>43732</v>
      </c>
      <c r="B391" s="289" t="inlineStr">
        <is>
          <t>安卓</t>
        </is>
      </c>
      <c r="C391" s="268">
        <f>源!$M$20</f>
        <v/>
      </c>
      <c r="D391" s="268">
        <f>源!$M$21</f>
        <v/>
      </c>
      <c r="E391" s="269">
        <f>D391/C391</f>
        <v/>
      </c>
      <c r="F391" s="270">
        <f>3.3*M391*G391/1000+3.3*AB391/D391*0.7</f>
        <v/>
      </c>
      <c r="G391" s="271" t="n">
        <v>12.7</v>
      </c>
      <c r="H391" s="271" t="n">
        <v>21.2</v>
      </c>
      <c r="I391" s="141" t="n">
        <v>0.264</v>
      </c>
      <c r="J391" s="141" t="n">
        <v>0.123</v>
      </c>
      <c r="K391" s="141" t="n">
        <v>0.061</v>
      </c>
      <c r="L391" s="270">
        <f>源!$M$22/D391</f>
        <v/>
      </c>
      <c r="M391" s="272">
        <f>源!$M$24/D391</f>
        <v/>
      </c>
      <c r="N391" s="270">
        <f>源!$M$24/源!$M$25</f>
        <v/>
      </c>
      <c r="O391" s="273">
        <f>M391/N391</f>
        <v/>
      </c>
      <c r="P391" s="270">
        <f>SUMIFS(源!B:B,源!A:A,"double_cash")/D391*N391/M391</f>
        <v/>
      </c>
      <c r="Q391" s="270">
        <f>SUMIFS(源!B:B,源!A:A,"Offline")/D391*N391/M391</f>
        <v/>
      </c>
      <c r="R391" s="270">
        <f>SUMIFS(源!B:B,源!A:A,"AdClaim")/D391*N391/M391</f>
        <v/>
      </c>
      <c r="S391" s="270">
        <f>SUMIFS(源!B:B,源!A:A,"FreeBonus_money")/D391*N391/M391+SUMIFS(源!B:B,源!A:A,"FreeBonus_gold")/D391*N391/M391</f>
        <v/>
      </c>
      <c r="T391" s="270">
        <f>SUMIFS(源!B:B,源!A:A,"speedUp")/D391*N391/M391</f>
        <v/>
      </c>
      <c r="U391" s="270">
        <f>SUMIFS(源!B:B,源!A:A,"Slot")/D391*N391/M391</f>
        <v/>
      </c>
      <c r="V391" s="270">
        <f>SUMIFS(源!B:B,源!A:A,"skip_30_minutes")/D391*N391/M391</f>
        <v/>
      </c>
      <c r="W391" s="270">
        <f>SUMIFS(源!B:B,源!A:A,"cost_50%_off")/D391*N391/M391</f>
        <v/>
      </c>
      <c r="X391" s="270">
        <f>源!$M$23/D391</f>
        <v/>
      </c>
      <c r="Y391" s="269">
        <f>M391+X391</f>
        <v/>
      </c>
      <c r="Z391" s="275">
        <f>源!$M$30</f>
        <v/>
      </c>
      <c r="AA391" s="275">
        <f>源!$M$26</f>
        <v/>
      </c>
      <c r="AB391" s="270">
        <f>源!$M$31</f>
        <v/>
      </c>
      <c r="AC391" s="290" t="n"/>
      <c r="AD391" s="276">
        <f>Z391/D391</f>
        <v/>
      </c>
      <c r="AE391" s="142">
        <f>AA391/D391</f>
        <v/>
      </c>
      <c r="AF391" s="270">
        <f>AB391/Z391</f>
        <v/>
      </c>
      <c r="AG391" s="277">
        <f>AD391*AF391</f>
        <v/>
      </c>
      <c r="AH391" s="118">
        <f>源!$M$33/C391</f>
        <v/>
      </c>
      <c r="AI391" s="118">
        <f>源!$M$34/C391</f>
        <v/>
      </c>
      <c r="AJ391" s="270">
        <f>源!$M$32/D391</f>
        <v/>
      </c>
      <c r="AK391" s="64">
        <f>源!$M$27/D391</f>
        <v/>
      </c>
      <c r="AL391" s="64">
        <f>源!$M$28/D391</f>
        <v/>
      </c>
      <c r="AM391" s="119">
        <f>源!$M$29/D391</f>
        <v/>
      </c>
      <c r="AN391" s="276" t="n">
        <v>7.06</v>
      </c>
    </row>
    <row customFormat="1" customHeight="1" ht="15" r="392" s="294">
      <c r="A392" s="121" t="n">
        <v>43733</v>
      </c>
      <c r="B392" s="295" t="inlineStr">
        <is>
          <t>安卓</t>
        </is>
      </c>
      <c r="C392" s="296" t="n">
        <v>23180</v>
      </c>
      <c r="D392" s="296" t="n">
        <v>65364</v>
      </c>
      <c r="E392" s="297" t="n">
        <v>2.82</v>
      </c>
      <c r="F392" s="294" t="n">
        <v>0.462891432669359</v>
      </c>
      <c r="G392" s="306" t="n">
        <v>13.55</v>
      </c>
      <c r="H392" s="306" t="n">
        <v>22.34</v>
      </c>
      <c r="I392" s="123" t="n">
        <v>0.266</v>
      </c>
      <c r="J392" s="123" t="n">
        <v>0.122</v>
      </c>
      <c r="K392" s="123" t="n">
        <v>0.059</v>
      </c>
      <c r="L392" s="294" t="n">
        <v>8.32</v>
      </c>
      <c r="M392" s="299" t="n">
        <v>7.99</v>
      </c>
      <c r="N392" s="294" t="n">
        <v>14.1</v>
      </c>
      <c r="O392" s="300" t="n">
        <v>0.5649999999999999</v>
      </c>
      <c r="P392" s="294" t="n">
        <v>2.17</v>
      </c>
      <c r="Q392" s="294" t="n">
        <v>2.4</v>
      </c>
      <c r="R392" s="294" t="n">
        <v>0.84</v>
      </c>
      <c r="S392" s="294" t="n">
        <v>4.47</v>
      </c>
      <c r="T392" s="294" t="n">
        <v>1.36</v>
      </c>
      <c r="U392" s="294" t="n">
        <v>0.538</v>
      </c>
      <c r="V392" s="294" t="n">
        <v>1.59</v>
      </c>
      <c r="W392" s="294" t="n">
        <v>0.765</v>
      </c>
      <c r="X392" s="294" t="n">
        <v>0.000505</v>
      </c>
      <c r="Y392" s="297" t="n">
        <v>7.99</v>
      </c>
      <c r="Z392" s="293" t="n">
        <v>540</v>
      </c>
      <c r="AA392" s="293" t="n">
        <v>374</v>
      </c>
      <c r="AB392" s="294" t="n">
        <v>2850</v>
      </c>
      <c r="AC392" s="302" t="n"/>
      <c r="AD392" s="303" t="n">
        <v>0.00826</v>
      </c>
      <c r="AE392" s="124" t="n">
        <v>0.0057</v>
      </c>
      <c r="AF392" s="294" t="n">
        <v>5.28</v>
      </c>
      <c r="AG392" s="304" t="n">
        <v>0.0436</v>
      </c>
      <c r="AH392" s="125" t="n">
        <v>0.4628</v>
      </c>
      <c r="AI392" s="125" t="n">
        <v>0.2824</v>
      </c>
      <c r="AJ392" s="294" t="n">
        <v>0.48</v>
      </c>
      <c r="AK392" s="126" t="n">
        <v>0.239</v>
      </c>
      <c r="AL392" s="126" t="n">
        <v>0.0382</v>
      </c>
      <c r="AM392" s="127" t="n">
        <v>0.0406</v>
      </c>
      <c r="AN392" s="276" t="n">
        <v>6.98</v>
      </c>
    </row>
    <row customHeight="1" ht="13.2" r="393" s="3">
      <c r="A393" s="117" t="n">
        <v>43734</v>
      </c>
      <c r="B393" s="267" t="inlineStr">
        <is>
          <t>安卓</t>
        </is>
      </c>
      <c r="C393" s="268" t="n">
        <v>19683</v>
      </c>
      <c r="D393" s="268" t="n">
        <v>62095</v>
      </c>
      <c r="E393" s="269" t="n">
        <v>3.15</v>
      </c>
      <c r="F393" s="270" t="n">
        <v>0.496220075287865</v>
      </c>
      <c r="G393" s="271" t="n">
        <v>14.04</v>
      </c>
      <c r="H393" s="271" t="n">
        <v>22.9</v>
      </c>
      <c r="I393" s="141" t="n">
        <v>0.253</v>
      </c>
      <c r="J393" s="141" t="n">
        <v>0.122</v>
      </c>
      <c r="K393" s="141" t="n">
        <v>0.055</v>
      </c>
      <c r="L393" s="270" t="n">
        <v>8.48</v>
      </c>
      <c r="M393" s="272" t="n">
        <v>8.25</v>
      </c>
      <c r="N393" s="270" t="n">
        <v>14.3</v>
      </c>
      <c r="O393" s="273" t="n">
        <v>0.575</v>
      </c>
      <c r="P393" s="270" t="n">
        <v>2.2</v>
      </c>
      <c r="Q393" s="270" t="n">
        <v>2.45</v>
      </c>
      <c r="R393" s="270" t="n">
        <v>0.855</v>
      </c>
      <c r="S393" s="270" t="n">
        <v>4.5</v>
      </c>
      <c r="T393" s="270" t="n">
        <v>1.39</v>
      </c>
      <c r="U393" s="270" t="n">
        <v>0.539</v>
      </c>
      <c r="V393" s="270" t="n">
        <v>1.64</v>
      </c>
      <c r="W393" s="270" t="n">
        <v>0.779</v>
      </c>
      <c r="X393" s="270" t="n">
        <v>0.00113</v>
      </c>
      <c r="Y393" s="269" t="n">
        <v>8.25</v>
      </c>
      <c r="Z393" s="275" t="n">
        <v>561</v>
      </c>
      <c r="AA393" s="275" t="n">
        <v>381</v>
      </c>
      <c r="AB393" s="270" t="n">
        <v>2960</v>
      </c>
      <c r="AC393" s="290" t="n"/>
      <c r="AD393" s="276" t="n">
        <v>0.00903</v>
      </c>
      <c r="AE393" s="142" t="n">
        <v>0.0061</v>
      </c>
      <c r="AF393" s="270" t="n">
        <v>5.28</v>
      </c>
      <c r="AG393" s="277" t="n">
        <v>0.0477</v>
      </c>
      <c r="AH393" s="118" t="n">
        <v>0.4808</v>
      </c>
      <c r="AI393" s="118" t="n">
        <v>0.3107</v>
      </c>
      <c r="AJ393" s="270" t="n">
        <v>0.498</v>
      </c>
      <c r="AK393" s="64" t="n">
        <v>0.2562</v>
      </c>
      <c r="AL393" s="64" t="n">
        <v>0.0392</v>
      </c>
      <c r="AM393" s="119" t="n">
        <v>0.0157</v>
      </c>
      <c r="AN393" s="276" t="n">
        <v>6.54</v>
      </c>
    </row>
    <row customHeight="1" ht="13.2" r="394" s="3">
      <c r="A394" s="117" t="n">
        <v>43735</v>
      </c>
      <c r="B394" s="267" t="inlineStr">
        <is>
          <t>安卓</t>
        </is>
      </c>
      <c r="C394" s="268" t="n">
        <v>22566</v>
      </c>
      <c r="D394" s="268" t="n">
        <v>64500</v>
      </c>
      <c r="E394" s="269" t="n">
        <v>2.86</v>
      </c>
      <c r="F394" s="270" t="n">
        <v>0.468</v>
      </c>
      <c r="G394" s="271" t="n">
        <v>13.32</v>
      </c>
      <c r="H394" s="271" t="n">
        <v>20.88</v>
      </c>
      <c r="I394" s="141" t="n">
        <v>0.254</v>
      </c>
      <c r="J394" s="141" t="n">
        <v>0.116</v>
      </c>
      <c r="K394" s="141" t="n">
        <v>0.052</v>
      </c>
      <c r="L394" s="270" t="n">
        <v>7.94</v>
      </c>
      <c r="M394" s="272" t="n">
        <v>7.66</v>
      </c>
      <c r="N394" s="270" t="n">
        <v>13.9</v>
      </c>
      <c r="O394" s="273" t="n">
        <v>0.552</v>
      </c>
      <c r="P394" s="270" t="n">
        <v>2.17</v>
      </c>
      <c r="Q394" s="270" t="n">
        <v>2.37</v>
      </c>
      <c r="R394" s="270" t="n">
        <v>0.824</v>
      </c>
      <c r="S394" s="270" t="n">
        <v>4.3</v>
      </c>
      <c r="T394" s="270" t="n">
        <v>1.37</v>
      </c>
      <c r="U394" s="270" t="n">
        <v>0.531</v>
      </c>
      <c r="V394" s="270" t="n">
        <v>1.57</v>
      </c>
      <c r="W394" s="270" t="n">
        <v>0.765</v>
      </c>
      <c r="X394" s="270" t="n">
        <v>0.000806</v>
      </c>
      <c r="Y394" s="269" t="n">
        <v>7.67</v>
      </c>
      <c r="Z394" s="275" t="n">
        <v>582</v>
      </c>
      <c r="AA394" s="275" t="n">
        <v>416</v>
      </c>
      <c r="AB394" s="270" t="n">
        <v>3490</v>
      </c>
      <c r="AC394" s="290" t="n"/>
      <c r="AD394" s="276" t="n">
        <v>0.00902</v>
      </c>
      <c r="AE394" s="142" t="n">
        <v>0.0065</v>
      </c>
      <c r="AF394" s="270" t="n">
        <v>6</v>
      </c>
      <c r="AG394" s="277" t="n">
        <v>0.0541</v>
      </c>
      <c r="AH394" s="118" t="n">
        <v>0.4301</v>
      </c>
      <c r="AI394" s="118" t="n">
        <v>0.253</v>
      </c>
      <c r="AJ394" s="270" t="n">
        <v>0.46</v>
      </c>
      <c r="AK394" s="64" t="n">
        <v>0.2462</v>
      </c>
      <c r="AL394" s="64" t="n">
        <v>0.036</v>
      </c>
      <c r="AM394" s="119" t="n">
        <v>0.009599999999999999</v>
      </c>
      <c r="AN394" s="276" t="n">
        <v>5.95</v>
      </c>
    </row>
    <row customHeight="1" ht="13.2" r="395" s="3">
      <c r="A395" s="117" t="n">
        <v>43736</v>
      </c>
      <c r="B395" s="289" t="inlineStr">
        <is>
          <t>安卓</t>
        </is>
      </c>
      <c r="C395" s="268" t="n">
        <v>24225</v>
      </c>
      <c r="D395" s="268" t="n">
        <v>67470</v>
      </c>
      <c r="E395" s="269" t="n">
        <v>2.79</v>
      </c>
      <c r="F395" s="270" t="n">
        <v>0.631</v>
      </c>
      <c r="G395" s="271" t="n">
        <v>12.11</v>
      </c>
      <c r="H395" s="271" t="n">
        <v>19.74</v>
      </c>
      <c r="I395" s="141" t="n">
        <v>0.229</v>
      </c>
      <c r="J395" s="141" t="n">
        <v>0.09</v>
      </c>
      <c r="K395" s="141" t="n">
        <v>0.049</v>
      </c>
      <c r="L395" s="270" t="n">
        <v>9.970000000000001</v>
      </c>
      <c r="M395" s="272" t="n">
        <v>10.5</v>
      </c>
      <c r="N395" s="270" t="n">
        <v>18.8</v>
      </c>
      <c r="O395" s="273" t="n">
        <v>0.5570000000000001</v>
      </c>
      <c r="P395" s="270" t="n">
        <v>2.63</v>
      </c>
      <c r="Q395" s="270" t="n">
        <v>2.99</v>
      </c>
      <c r="R395" s="270" t="n">
        <v>1.19</v>
      </c>
      <c r="S395" s="270" t="n">
        <v>6.88</v>
      </c>
      <c r="T395" s="270" t="n">
        <v>1.72</v>
      </c>
      <c r="U395" s="270" t="n">
        <v>0.466</v>
      </c>
      <c r="V395" s="270" t="n">
        <v>2.08</v>
      </c>
      <c r="W395" s="270" t="n">
        <v>0.838</v>
      </c>
      <c r="X395" s="270" t="n">
        <v>0.00124</v>
      </c>
      <c r="Y395" s="269" t="n">
        <v>10.5</v>
      </c>
      <c r="Z395" s="275" t="n">
        <v>843</v>
      </c>
      <c r="AA395" s="275" t="n">
        <v>526</v>
      </c>
      <c r="AB395" s="270" t="n">
        <v>6080</v>
      </c>
      <c r="AC395" s="290" t="n"/>
      <c r="AD395" s="276" t="n">
        <v>0.0125</v>
      </c>
      <c r="AE395" s="142" t="n">
        <v>0.0078</v>
      </c>
      <c r="AF395" s="270" t="n">
        <v>7.21</v>
      </c>
      <c r="AG395" s="277" t="n">
        <v>0.0901</v>
      </c>
      <c r="AH395" s="118" t="n">
        <v>0.4233</v>
      </c>
      <c r="AI395" s="118" t="n">
        <v>0.2412</v>
      </c>
      <c r="AJ395" s="270" t="n">
        <v>0.358</v>
      </c>
      <c r="AK395" s="64" t="n">
        <v>0.2102</v>
      </c>
      <c r="AL395" s="64" t="n">
        <v>0.0343</v>
      </c>
      <c r="AM395" s="119" t="n">
        <v>0.2708</v>
      </c>
      <c r="AN395" s="276" t="n">
        <v>5.51</v>
      </c>
    </row>
    <row customHeight="1" ht="13.2" r="396" s="3">
      <c r="A396" s="117" t="n">
        <v>43737</v>
      </c>
      <c r="B396" s="289" t="inlineStr">
        <is>
          <t>安卓</t>
        </is>
      </c>
      <c r="C396" s="268" t="n">
        <v>29539</v>
      </c>
      <c r="D396" s="268" t="n">
        <v>74373</v>
      </c>
      <c r="E396" s="269" t="n">
        <v>2.52</v>
      </c>
      <c r="F396" s="270" t="n">
        <v>0.545</v>
      </c>
      <c r="G396" s="271" t="n">
        <v>12.18</v>
      </c>
      <c r="H396" s="271" t="n">
        <v>20.13</v>
      </c>
      <c r="I396" s="141" t="n">
        <v>0.223</v>
      </c>
      <c r="J396" s="141" t="n">
        <v>0.097</v>
      </c>
      <c r="K396" s="141" t="n">
        <v>0.053</v>
      </c>
      <c r="L396" s="270" t="n">
        <v>9.31</v>
      </c>
      <c r="M396" s="272" t="n">
        <v>9.51</v>
      </c>
      <c r="N396" s="270" t="n">
        <v>17.6</v>
      </c>
      <c r="O396" s="273" t="n">
        <v>0.54</v>
      </c>
      <c r="P396" s="270" t="n">
        <v>2.49</v>
      </c>
      <c r="Q396" s="270" t="n">
        <v>3</v>
      </c>
      <c r="R396" s="270" t="n">
        <v>1.11</v>
      </c>
      <c r="S396" s="270" t="n">
        <v>6.12</v>
      </c>
      <c r="T396" s="270" t="n">
        <v>1.65</v>
      </c>
      <c r="U396" s="270" t="n">
        <v>0.471</v>
      </c>
      <c r="V396" s="270" t="n">
        <v>1.95</v>
      </c>
      <c r="W396" s="270" t="n">
        <v>0.841</v>
      </c>
      <c r="X396" s="270" t="n">
        <v>0.000982</v>
      </c>
      <c r="Y396" s="269" t="n">
        <v>9.51</v>
      </c>
      <c r="Z396" s="275" t="n">
        <v>788</v>
      </c>
      <c r="AA396" s="275" t="n">
        <v>492</v>
      </c>
      <c r="AB396" s="270" t="n">
        <v>5080</v>
      </c>
      <c r="AC396" s="290" t="n"/>
      <c r="AD396" s="276" t="n">
        <v>0.0106</v>
      </c>
      <c r="AE396" s="142" t="n">
        <v>0.0066</v>
      </c>
      <c r="AF396" s="270" t="n">
        <v>6.45</v>
      </c>
      <c r="AG396" s="277" t="n">
        <v>0.0683</v>
      </c>
      <c r="AH396" s="118" t="n">
        <v>0.4098</v>
      </c>
      <c r="AI396" s="118" t="n">
        <v>0.2234</v>
      </c>
      <c r="AJ396" s="270" t="n">
        <v>0.346</v>
      </c>
      <c r="AK396" s="64" t="n">
        <v>0.1881</v>
      </c>
      <c r="AL396" s="64" t="n">
        <v>0.0298</v>
      </c>
      <c r="AM396" s="119" t="n">
        <v>0.2653</v>
      </c>
      <c r="AN396" s="276" t="n">
        <v>5.61</v>
      </c>
    </row>
    <row customHeight="1" ht="13.2" r="397" s="3">
      <c r="A397" s="117" t="n">
        <v>43738</v>
      </c>
      <c r="B397" s="289" t="inlineStr">
        <is>
          <t>安卓</t>
        </is>
      </c>
      <c r="C397" s="268" t="n">
        <v>34908</v>
      </c>
      <c r="D397" s="268" t="n">
        <v>81900</v>
      </c>
      <c r="E397" s="269" t="n">
        <v>2.35</v>
      </c>
      <c r="F397" s="270" t="n">
        <v>0.487</v>
      </c>
      <c r="G397" s="271" t="n">
        <v>12.83</v>
      </c>
      <c r="H397" s="271" t="n">
        <v>20.91</v>
      </c>
      <c r="I397" s="141" t="n">
        <v>0.227</v>
      </c>
      <c r="J397" s="141" t="n">
        <v>0.097</v>
      </c>
      <c r="K397" s="141" t="n">
        <v>0.049</v>
      </c>
      <c r="L397" s="270" t="n">
        <v>8.69</v>
      </c>
      <c r="M397" s="272" t="n">
        <v>8.52</v>
      </c>
      <c r="N397" s="270" t="n">
        <v>16.4</v>
      </c>
      <c r="O397" s="273" t="n">
        <v>0.52</v>
      </c>
      <c r="P397" s="270" t="n">
        <v>2.37</v>
      </c>
      <c r="Q397" s="270" t="n">
        <v>2.88</v>
      </c>
      <c r="R397" s="270" t="n">
        <v>0.993</v>
      </c>
      <c r="S397" s="270" t="n">
        <v>5.51</v>
      </c>
      <c r="T397" s="270" t="n">
        <v>1.56</v>
      </c>
      <c r="U397" s="270" t="n">
        <v>0.459</v>
      </c>
      <c r="V397" s="270" t="n">
        <v>1.84</v>
      </c>
      <c r="W397" s="270" t="n">
        <v>0.801</v>
      </c>
      <c r="X397" s="270" t="n">
        <v>0.00164</v>
      </c>
      <c r="Y397" s="269" t="n">
        <v>8.529999999999999</v>
      </c>
      <c r="Z397" s="275" t="n">
        <v>724</v>
      </c>
      <c r="AA397" s="275" t="n">
        <v>474</v>
      </c>
      <c r="AB397" s="270" t="n">
        <v>4250</v>
      </c>
      <c r="AC397" s="290" t="n"/>
      <c r="AD397" s="276" t="n">
        <v>0.008840000000000001</v>
      </c>
      <c r="AE397" s="142" t="n">
        <v>0.00579</v>
      </c>
      <c r="AF397" s="270" t="n">
        <v>5.87</v>
      </c>
      <c r="AG397" s="277" t="n">
        <v>0.0519</v>
      </c>
      <c r="AH397" s="118" t="n">
        <v>0.38375157557007</v>
      </c>
      <c r="AI397" s="118" t="n">
        <v>0.20344906611665</v>
      </c>
      <c r="AJ397" s="270" t="n">
        <v>0.333</v>
      </c>
      <c r="AK397" s="64" t="n">
        <v>0.177008547008547</v>
      </c>
      <c r="AL397" s="64" t="n">
        <v>0.0276190476190476</v>
      </c>
      <c r="AM397" s="119" t="n">
        <v>0.245311355311355</v>
      </c>
      <c r="AN397" s="276" t="n">
        <v>6.14</v>
      </c>
    </row>
    <row customHeight="1" ht="13.2" r="398" s="3">
      <c r="A398" s="117" t="n">
        <v>43739</v>
      </c>
      <c r="B398" s="289" t="inlineStr">
        <is>
          <t>安卓</t>
        </is>
      </c>
      <c r="C398" s="268" t="n">
        <v>38245</v>
      </c>
      <c r="D398" s="268" t="n">
        <v>85938</v>
      </c>
      <c r="E398" s="269" t="n">
        <v>2.25</v>
      </c>
      <c r="F398" s="270" t="n">
        <v>0.448</v>
      </c>
      <c r="G398" s="271" t="n">
        <v>14.46</v>
      </c>
      <c r="H398" s="271" t="n">
        <v>23.63</v>
      </c>
      <c r="I398" s="141" t="n">
        <v>0.216</v>
      </c>
      <c r="J398" s="141" t="n">
        <v>0.092</v>
      </c>
      <c r="K398" s="141" t="n">
        <v>0.043</v>
      </c>
      <c r="L398" s="270" t="n">
        <v>7.71</v>
      </c>
      <c r="M398" s="272" t="n">
        <v>7.15</v>
      </c>
      <c r="N398" s="270" t="n">
        <v>14.3</v>
      </c>
      <c r="O398" s="273" t="n">
        <v>0.501</v>
      </c>
      <c r="P398" s="270" t="n">
        <v>2.18</v>
      </c>
      <c r="Q398" s="270" t="n">
        <v>2.45</v>
      </c>
      <c r="R398" s="270" t="n">
        <v>0.86</v>
      </c>
      <c r="S398" s="270" t="n">
        <v>4.55</v>
      </c>
      <c r="T398" s="270" t="n">
        <v>1.38</v>
      </c>
      <c r="U398" s="270" t="n">
        <v>0.485</v>
      </c>
      <c r="V398" s="270" t="n">
        <v>1.63</v>
      </c>
      <c r="W398" s="270" t="n">
        <v>0.742</v>
      </c>
      <c r="X398" s="270" t="n">
        <v>0.000454</v>
      </c>
      <c r="Y398" s="269" t="n">
        <v>7.15</v>
      </c>
      <c r="Z398" s="275" t="n">
        <v>665</v>
      </c>
      <c r="AA398" s="275" t="n">
        <v>458</v>
      </c>
      <c r="AB398" s="270" t="n">
        <v>3840</v>
      </c>
      <c r="AC398" s="290" t="n"/>
      <c r="AD398" s="276" t="n">
        <v>0.00774</v>
      </c>
      <c r="AE398" s="142" t="n">
        <v>0.00533</v>
      </c>
      <c r="AF398" s="270" t="n">
        <v>5.78</v>
      </c>
      <c r="AG398" s="277" t="n">
        <v>0.0447</v>
      </c>
      <c r="AH398" s="118" t="n">
        <v>0.376310628840371</v>
      </c>
      <c r="AI398" s="118" t="n">
        <v>0.209517583997908</v>
      </c>
      <c r="AJ398" s="270" t="n">
        <v>0.336</v>
      </c>
      <c r="AK398" s="64" t="n">
        <v>0.172356815378529</v>
      </c>
      <c r="AL398" s="64" t="n">
        <v>0.026810025832577</v>
      </c>
      <c r="AM398" s="119" t="n">
        <v>0.193837417673206</v>
      </c>
      <c r="AN398" s="276" t="n">
        <v>5.75</v>
      </c>
    </row>
    <row customFormat="1" customHeight="1" ht="15" r="399" s="294">
      <c r="A399" s="121" t="n">
        <v>43740</v>
      </c>
      <c r="B399" s="295" t="inlineStr">
        <is>
          <t>安卓</t>
        </is>
      </c>
      <c r="C399" s="296" t="n">
        <v>47818</v>
      </c>
      <c r="D399" s="296" t="n">
        <v>94239</v>
      </c>
      <c r="E399" s="297" t="n">
        <v>1.97</v>
      </c>
      <c r="F399" s="294" t="n">
        <v>0.352</v>
      </c>
      <c r="G399" s="306" t="n">
        <v>15.34</v>
      </c>
      <c r="H399" s="306" t="n">
        <v>24.62</v>
      </c>
      <c r="I399" s="123" t="n">
        <v>0.201</v>
      </c>
      <c r="J399" s="123" t="n">
        <v>0.08699999999999999</v>
      </c>
      <c r="K399" s="123" t="n">
        <v>0.038</v>
      </c>
      <c r="L399" s="294" t="n">
        <v>6.4</v>
      </c>
      <c r="M399" s="299" t="n">
        <v>5.47</v>
      </c>
      <c r="N399" s="294" t="n">
        <v>12.1</v>
      </c>
      <c r="O399" s="300" t="n">
        <v>0.453</v>
      </c>
      <c r="P399" s="294" t="n">
        <v>1.95</v>
      </c>
      <c r="Q399" s="294" t="n">
        <v>1.99</v>
      </c>
      <c r="R399" s="294" t="n">
        <v>0.716</v>
      </c>
      <c r="S399" s="294" t="n">
        <v>3.73</v>
      </c>
      <c r="T399" s="294" t="n">
        <v>1.16</v>
      </c>
      <c r="U399" s="294" t="n">
        <v>0.511</v>
      </c>
      <c r="V399" s="294" t="n">
        <v>1.35</v>
      </c>
      <c r="W399" s="294" t="n">
        <v>0.662</v>
      </c>
      <c r="X399" s="294" t="n">
        <v>0.000488</v>
      </c>
      <c r="Y399" s="297" t="n">
        <v>5.48</v>
      </c>
      <c r="Z399" s="293" t="n">
        <v>466</v>
      </c>
      <c r="AA399" s="293" t="n">
        <v>365</v>
      </c>
      <c r="AB399" s="294" t="n">
        <v>2860</v>
      </c>
      <c r="AC399" s="302" t="n"/>
      <c r="AD399" s="303" t="n">
        <v>0.00494</v>
      </c>
      <c r="AE399" s="124" t="n">
        <v>0.00387</v>
      </c>
      <c r="AF399" s="294" t="n">
        <v>6.14</v>
      </c>
      <c r="AG399" s="304" t="n">
        <v>0.0304</v>
      </c>
      <c r="AH399" s="125" t="n">
        <v>0.33932828641934</v>
      </c>
      <c r="AI399" s="125" t="n">
        <v>0.178886611736166</v>
      </c>
      <c r="AJ399" s="294" t="n">
        <v>0.342</v>
      </c>
      <c r="AK399" s="126" t="n">
        <v>0.158798374346077</v>
      </c>
      <c r="AL399" s="126" t="n">
        <v>0.0223686584110612</v>
      </c>
      <c r="AM399" s="127" t="n">
        <v>0.026973970436868</v>
      </c>
      <c r="AN399" s="276" t="n">
        <v>5.234</v>
      </c>
    </row>
    <row customHeight="1" ht="13.2" r="400" s="3">
      <c r="A400" s="117" t="n">
        <v>43741</v>
      </c>
      <c r="B400" s="267" t="inlineStr">
        <is>
          <t>安卓</t>
        </is>
      </c>
      <c r="C400" s="268" t="n">
        <v>47504</v>
      </c>
      <c r="D400" s="268" t="n">
        <v>95492</v>
      </c>
      <c r="E400" s="269" t="n">
        <v>2.01</v>
      </c>
      <c r="F400" s="270" t="n">
        <v>0.333</v>
      </c>
      <c r="G400" s="271" t="n">
        <v>15.36</v>
      </c>
      <c r="H400" s="271" t="n">
        <v>24.28</v>
      </c>
      <c r="I400" s="141" t="n">
        <v>0.186</v>
      </c>
      <c r="J400" s="141" t="n">
        <v>0.082</v>
      </c>
      <c r="K400" s="141" t="n">
        <v>0.035</v>
      </c>
      <c r="L400" s="270" t="n">
        <v>6.22</v>
      </c>
      <c r="M400" s="272" t="n">
        <v>5.22</v>
      </c>
      <c r="N400" s="270" t="n">
        <v>11.5</v>
      </c>
      <c r="O400" s="273" t="n">
        <v>0.453</v>
      </c>
      <c r="P400" s="270" t="n">
        <v>1.9</v>
      </c>
      <c r="Q400" s="270" t="n">
        <v>1.9</v>
      </c>
      <c r="R400" s="270" t="n">
        <v>0.676</v>
      </c>
      <c r="S400" s="270" t="n">
        <v>3.52</v>
      </c>
      <c r="T400" s="270" t="n">
        <v>1.11</v>
      </c>
      <c r="U400" s="270" t="n">
        <v>0.504</v>
      </c>
      <c r="V400" s="270" t="n">
        <v>1.28</v>
      </c>
      <c r="W400" s="270" t="n">
        <v>0.638</v>
      </c>
      <c r="X400" s="270" t="n">
        <v>0.000482</v>
      </c>
      <c r="Y400" s="269" t="n">
        <v>5.22</v>
      </c>
      <c r="Z400" s="275" t="n">
        <v>492</v>
      </c>
      <c r="AA400" s="275" t="n">
        <v>340</v>
      </c>
      <c r="AB400" s="270" t="n">
        <v>2840</v>
      </c>
      <c r="AC400" s="290" t="n"/>
      <c r="AD400" s="276" t="n">
        <v>0.00515</v>
      </c>
      <c r="AE400" s="142" t="n">
        <v>0.00356</v>
      </c>
      <c r="AF400" s="270" t="n">
        <v>5.78</v>
      </c>
      <c r="AG400" s="277" t="n">
        <v>0.0298</v>
      </c>
      <c r="AH400" s="118" t="n">
        <v>0.340855506904682</v>
      </c>
      <c r="AI400" s="118" t="n">
        <v>0.183795048837993</v>
      </c>
      <c r="AJ400" s="270" t="n">
        <v>0.326</v>
      </c>
      <c r="AK400" s="64" t="n">
        <v>0.157971348385205</v>
      </c>
      <c r="AL400" s="64" t="n">
        <v>0.0218133456205756</v>
      </c>
      <c r="AM400" s="119" t="n">
        <v>0.0104092489423198</v>
      </c>
      <c r="AN400" s="276" t="n">
        <v>4.28</v>
      </c>
    </row>
    <row customHeight="1" ht="13.2" r="401" s="3">
      <c r="A401" s="117" t="n">
        <v>43742</v>
      </c>
      <c r="B401" s="267" t="inlineStr">
        <is>
          <t>安卓</t>
        </is>
      </c>
      <c r="C401" s="268" t="n">
        <v>35113</v>
      </c>
      <c r="D401" s="268" t="n">
        <v>83651</v>
      </c>
      <c r="E401" s="269" t="n">
        <v>2.38</v>
      </c>
      <c r="F401" s="270" t="n">
        <v>0.347</v>
      </c>
      <c r="G401" s="271" t="n">
        <v>14.33</v>
      </c>
      <c r="H401" s="271" t="n">
        <v>23.44</v>
      </c>
      <c r="I401" s="141" t="n">
        <v>0.216</v>
      </c>
      <c r="J401" s="141" t="n">
        <v>0.091</v>
      </c>
      <c r="K401" s="141" t="n">
        <v>0.041</v>
      </c>
      <c r="L401" s="270" t="n">
        <v>6.55</v>
      </c>
      <c r="M401" s="272" t="n">
        <v>5.63</v>
      </c>
      <c r="N401" s="270" t="n">
        <v>11.6</v>
      </c>
      <c r="O401" s="273" t="n">
        <v>0.486</v>
      </c>
      <c r="P401" s="270" t="n">
        <v>1.88</v>
      </c>
      <c r="Q401" s="270" t="n">
        <v>1.94</v>
      </c>
      <c r="R401" s="270" t="n">
        <v>0.699</v>
      </c>
      <c r="S401" s="270" t="n">
        <v>3.52</v>
      </c>
      <c r="T401" s="270" t="n">
        <v>1.13</v>
      </c>
      <c r="U401" s="270" t="n">
        <v>0.509</v>
      </c>
      <c r="V401" s="270" t="n">
        <v>1.28</v>
      </c>
      <c r="W401" s="270" t="n">
        <v>0.64</v>
      </c>
      <c r="X401" s="270" t="n">
        <v>0.000311</v>
      </c>
      <c r="Y401" s="269" t="n">
        <v>5.64</v>
      </c>
      <c r="Z401" s="275" t="n">
        <v>542</v>
      </c>
      <c r="AA401" s="275" t="n">
        <v>351</v>
      </c>
      <c r="AB401" s="270" t="n">
        <v>2810</v>
      </c>
      <c r="AC401" s="290" t="n"/>
      <c r="AD401" s="276" t="n">
        <v>0.00648</v>
      </c>
      <c r="AE401" s="142" t="n">
        <v>0.0042</v>
      </c>
      <c r="AF401" s="270" t="n">
        <v>5.18</v>
      </c>
      <c r="AG401" s="277" t="n">
        <v>0.0336</v>
      </c>
      <c r="AH401" s="118" t="n">
        <v>0.39424144903597</v>
      </c>
      <c r="AI401" s="118" t="n">
        <v>0.228120639079543</v>
      </c>
      <c r="AJ401" s="270" t="n">
        <v>0.356</v>
      </c>
      <c r="AK401" s="64" t="n">
        <v>0.177427645814156</v>
      </c>
      <c r="AL401" s="64" t="n">
        <v>0.0242316290301371</v>
      </c>
      <c r="AM401" s="119" t="n">
        <v>0.00713679453921651</v>
      </c>
      <c r="AN401" s="276" t="n">
        <v>4.34</v>
      </c>
    </row>
    <row customHeight="1" ht="13.2" r="402" s="3">
      <c r="A402" s="117" t="n">
        <v>43743</v>
      </c>
      <c r="B402" s="289" t="inlineStr">
        <is>
          <t>安卓</t>
        </is>
      </c>
      <c r="C402" s="268" t="n">
        <v>36120</v>
      </c>
      <c r="D402" s="268" t="n">
        <v>85299</v>
      </c>
      <c r="E402" s="269" t="n">
        <v>2.36</v>
      </c>
      <c r="F402" s="270" t="n">
        <v>0.478</v>
      </c>
      <c r="G402" s="271" t="n">
        <v>12.92</v>
      </c>
      <c r="H402" s="271" t="n">
        <v>21.92</v>
      </c>
      <c r="I402" s="141" t="n">
        <v>0.209</v>
      </c>
      <c r="J402" s="141" t="n">
        <v>0.078</v>
      </c>
      <c r="K402" s="141" t="n">
        <v>0.044</v>
      </c>
      <c r="L402" s="270" t="n">
        <v>8.16</v>
      </c>
      <c r="M402" s="272" t="n">
        <v>7.65</v>
      </c>
      <c r="N402" s="270" t="n">
        <v>15.4</v>
      </c>
      <c r="O402" s="273" t="n">
        <v>0.495</v>
      </c>
      <c r="P402" s="270" t="n">
        <v>2.21</v>
      </c>
      <c r="Q402" s="270" t="n">
        <v>2.45</v>
      </c>
      <c r="R402" s="270" t="n">
        <v>0.962</v>
      </c>
      <c r="S402" s="270" t="n">
        <v>5.57</v>
      </c>
      <c r="T402" s="270" t="n">
        <v>1.39</v>
      </c>
      <c r="U402" s="270" t="n">
        <v>0.452</v>
      </c>
      <c r="V402" s="270" t="n">
        <v>1.7</v>
      </c>
      <c r="W402" s="270" t="n">
        <v>0.71</v>
      </c>
      <c r="X402" s="270" t="n">
        <v>0.00116</v>
      </c>
      <c r="Y402" s="269" t="n">
        <v>7.65</v>
      </c>
      <c r="Z402" s="275" t="n">
        <v>740</v>
      </c>
      <c r="AA402" s="275" t="n">
        <v>471</v>
      </c>
      <c r="AB402" s="270" t="n">
        <v>5380</v>
      </c>
      <c r="AC402" s="290" t="n"/>
      <c r="AD402" s="276" t="n">
        <v>0.00868</v>
      </c>
      <c r="AE402" s="142" t="n">
        <v>0.00552</v>
      </c>
      <c r="AF402" s="270" t="n">
        <v>7.27</v>
      </c>
      <c r="AG402" s="277" t="n">
        <v>0.0631</v>
      </c>
      <c r="AH402" s="118" t="n">
        <v>0.396317829457364</v>
      </c>
      <c r="AI402" s="118" t="n">
        <v>0.22577519379845</v>
      </c>
      <c r="AJ402" s="270" t="n">
        <v>0.28</v>
      </c>
      <c r="AK402" s="64" t="n">
        <v>0.154292547392115</v>
      </c>
      <c r="AL402" s="64" t="n">
        <v>0.0221573523722435</v>
      </c>
      <c r="AM402" s="119" t="n">
        <v>0.220588752505891</v>
      </c>
      <c r="AN402" s="276" t="n">
        <v>4.64</v>
      </c>
    </row>
    <row customHeight="1" ht="13.2" r="403" s="3">
      <c r="A403" s="117" t="n">
        <v>43744</v>
      </c>
      <c r="B403" s="289" t="inlineStr">
        <is>
          <t>安卓</t>
        </is>
      </c>
      <c r="C403" s="268" t="n">
        <v>41160</v>
      </c>
      <c r="D403" s="268" t="n">
        <v>91232</v>
      </c>
      <c r="E403" s="269" t="n">
        <v>2.22</v>
      </c>
      <c r="F403" s="270" t="n">
        <v>0.381</v>
      </c>
      <c r="G403" s="271" t="n">
        <v>11.87</v>
      </c>
      <c r="H403" s="271" t="n">
        <v>20.6</v>
      </c>
      <c r="I403" s="141" t="n">
        <v>0.202</v>
      </c>
      <c r="J403" s="141" t="n">
        <v>0.082</v>
      </c>
      <c r="K403" s="141" t="n">
        <v>0.048</v>
      </c>
      <c r="L403" s="270" t="n">
        <v>7.65</v>
      </c>
      <c r="M403" s="272" t="n">
        <v>7.08</v>
      </c>
      <c r="N403" s="270" t="n">
        <v>14.8</v>
      </c>
      <c r="O403" s="273" t="n">
        <v>0.48</v>
      </c>
      <c r="P403" s="270" t="n">
        <v>2.14</v>
      </c>
      <c r="Q403" s="270" t="n">
        <v>2.51</v>
      </c>
      <c r="R403" s="270" t="n">
        <v>0.92</v>
      </c>
      <c r="S403" s="270" t="n">
        <v>5.08</v>
      </c>
      <c r="T403" s="270" t="n">
        <v>1.35</v>
      </c>
      <c r="U403" s="270" t="n">
        <v>0.449</v>
      </c>
      <c r="V403" s="270" t="n">
        <v>1.6</v>
      </c>
      <c r="W403" s="270" t="n">
        <v>0.707</v>
      </c>
      <c r="X403" s="270" t="n">
        <v>0.000384</v>
      </c>
      <c r="Y403" s="269" t="n">
        <v>7.09</v>
      </c>
      <c r="Z403" s="275" t="n">
        <v>644</v>
      </c>
      <c r="AA403" s="275" t="n">
        <v>434</v>
      </c>
      <c r="AB403" s="270" t="n">
        <v>3940</v>
      </c>
      <c r="AC403" s="290" t="n"/>
      <c r="AD403" s="276" t="n">
        <v>0.00706</v>
      </c>
      <c r="AE403" s="142" t="n">
        <v>0.00476</v>
      </c>
      <c r="AF403" s="270" t="n">
        <v>6.12</v>
      </c>
      <c r="AG403" s="277" t="n">
        <v>0.0432</v>
      </c>
      <c r="AH403" s="118" t="n">
        <v>0.371477162293489</v>
      </c>
      <c r="AI403" s="118" t="n">
        <v>0.202502429543246</v>
      </c>
      <c r="AJ403" s="270" t="n">
        <v>0.275</v>
      </c>
      <c r="AK403" s="64" t="n">
        <v>0.141704665029814</v>
      </c>
      <c r="AL403" s="64" t="n">
        <v>0.0210452472816556</v>
      </c>
      <c r="AM403" s="119" t="n">
        <v>0.221830059628201</v>
      </c>
      <c r="AN403" s="276" t="n">
        <v>4.51</v>
      </c>
    </row>
    <row customHeight="1" ht="13.2" r="404" s="3">
      <c r="A404" s="117" t="n">
        <v>43745</v>
      </c>
      <c r="B404" s="289" t="inlineStr">
        <is>
          <t>安卓</t>
        </is>
      </c>
      <c r="C404" s="268" t="n">
        <v>43623</v>
      </c>
      <c r="D404" s="268" t="n">
        <v>94099</v>
      </c>
      <c r="E404" s="269" t="n">
        <v>2.16</v>
      </c>
      <c r="F404" s="270" t="n">
        <v>0.343</v>
      </c>
      <c r="G404" s="271" t="n">
        <v>11.74</v>
      </c>
      <c r="H404" s="271" t="n">
        <v>20.2</v>
      </c>
      <c r="I404" s="141" t="n">
        <v>0.187</v>
      </c>
      <c r="J404" s="141" t="n">
        <v>0.081</v>
      </c>
      <c r="K404" s="141" t="n">
        <v>0.041</v>
      </c>
      <c r="L404" s="270" t="n">
        <v>7.36</v>
      </c>
      <c r="M404" s="272" t="n">
        <v>6.7</v>
      </c>
      <c r="N404" s="270" t="n">
        <v>14.1</v>
      </c>
      <c r="O404" s="273" t="n">
        <v>0.474</v>
      </c>
      <c r="P404" s="270" t="n">
        <v>2.15</v>
      </c>
      <c r="Q404" s="270" t="n">
        <v>2.45</v>
      </c>
      <c r="R404" s="270" t="n">
        <v>0.837</v>
      </c>
      <c r="S404" s="270" t="n">
        <v>4.64</v>
      </c>
      <c r="T404" s="270" t="n">
        <v>1.35</v>
      </c>
      <c r="U404" s="270" t="n">
        <v>0.451</v>
      </c>
      <c r="V404" s="270" t="n">
        <v>1.55</v>
      </c>
      <c r="W404" s="270" t="n">
        <v>0.707</v>
      </c>
      <c r="X404" s="270" t="n">
        <v>0.000287</v>
      </c>
      <c r="Y404" s="269" t="n">
        <v>6.7</v>
      </c>
      <c r="Z404" s="275" t="n">
        <v>565</v>
      </c>
      <c r="AA404" s="275" t="n">
        <v>398</v>
      </c>
      <c r="AB404" s="270" t="n">
        <v>3310</v>
      </c>
      <c r="AC404" s="290" t="n"/>
      <c r="AD404" s="276" t="n">
        <v>0.006</v>
      </c>
      <c r="AE404" s="142" t="n">
        <v>0.0042</v>
      </c>
      <c r="AF404" s="270" t="n">
        <v>5.85</v>
      </c>
      <c r="AG404" s="277" t="n">
        <v>0.0351</v>
      </c>
      <c r="AH404" s="118" t="n">
        <v>0.3648</v>
      </c>
      <c r="AI404" s="118" t="n">
        <v>0.1977</v>
      </c>
      <c r="AJ404" s="270" t="n">
        <v>0.276</v>
      </c>
      <c r="AK404" s="64" t="n">
        <v>0.1408</v>
      </c>
      <c r="AL404" s="64" t="n">
        <v>0.0202</v>
      </c>
      <c r="AM404" s="119" t="n">
        <v>0.2115</v>
      </c>
      <c r="AN404" s="276" t="n">
        <v>5.62</v>
      </c>
    </row>
    <row customHeight="1" ht="13.2" r="405" s="3">
      <c r="A405" s="117" t="n">
        <v>43746</v>
      </c>
      <c r="B405" s="289" t="inlineStr">
        <is>
          <t>安卓</t>
        </is>
      </c>
      <c r="C405" s="268" t="n">
        <v>37389</v>
      </c>
      <c r="D405" s="268" t="n">
        <v>86961</v>
      </c>
      <c r="E405" s="269" t="n">
        <v>2.33</v>
      </c>
      <c r="F405" s="270" t="n">
        <v>0.356</v>
      </c>
      <c r="G405" s="271" t="n">
        <v>12.66</v>
      </c>
      <c r="H405" s="271" t="n">
        <v>21.51</v>
      </c>
      <c r="I405" s="141" t="n">
        <v>0.194</v>
      </c>
      <c r="J405" s="141" t="n">
        <v>0.083</v>
      </c>
      <c r="K405" s="141" t="n">
        <v>0.04</v>
      </c>
      <c r="L405" s="270" t="n">
        <v>7.24</v>
      </c>
      <c r="M405" s="272" t="n">
        <v>6.56</v>
      </c>
      <c r="N405" s="270" t="n">
        <v>13.6</v>
      </c>
      <c r="O405" s="273" t="n">
        <v>0.484</v>
      </c>
      <c r="P405" s="270" t="n">
        <v>2.07</v>
      </c>
      <c r="Q405" s="270" t="n">
        <v>2.29</v>
      </c>
      <c r="R405" s="270" t="n">
        <v>0.823</v>
      </c>
      <c r="S405" s="270" t="n">
        <v>4.38</v>
      </c>
      <c r="T405" s="270" t="n">
        <v>1.3</v>
      </c>
      <c r="U405" s="270" t="n">
        <v>0.477</v>
      </c>
      <c r="V405" s="270" t="n">
        <v>1.52</v>
      </c>
      <c r="W405" s="270" t="n">
        <v>0.699</v>
      </c>
      <c r="X405" s="270" t="n">
        <v>0.000264</v>
      </c>
      <c r="Y405" s="269" t="n">
        <v>6.56</v>
      </c>
      <c r="Z405" s="275" t="n">
        <v>497</v>
      </c>
      <c r="AA405" s="275" t="n">
        <v>348</v>
      </c>
      <c r="AB405" s="270" t="n">
        <v>2860</v>
      </c>
      <c r="AC405" s="290" t="n"/>
      <c r="AD405" s="276" t="n">
        <v>0.00572</v>
      </c>
      <c r="AE405" s="142" t="n">
        <v>0.004</v>
      </c>
      <c r="AF405" s="270" t="n">
        <v>5.74</v>
      </c>
      <c r="AG405" s="277" t="n">
        <v>0.0328</v>
      </c>
      <c r="AH405" s="118" t="n">
        <v>0.3654</v>
      </c>
      <c r="AI405" s="118" t="n">
        <v>0.2163</v>
      </c>
      <c r="AJ405" s="270" t="n">
        <v>0.329</v>
      </c>
      <c r="AK405" s="64" t="n">
        <v>0.1586</v>
      </c>
      <c r="AL405" s="64" t="n">
        <v>0.0241</v>
      </c>
      <c r="AM405" s="119" t="n">
        <v>0.1901</v>
      </c>
      <c r="AN405" s="32" t="n">
        <v>5.36</v>
      </c>
    </row>
    <row customFormat="1" customHeight="1" ht="15" r="406" s="294">
      <c r="A406" s="121" t="n">
        <v>43747</v>
      </c>
      <c r="B406" s="295" t="inlineStr">
        <is>
          <t>安卓</t>
        </is>
      </c>
      <c r="C406" s="296" t="n">
        <v>68486</v>
      </c>
      <c r="D406" s="296" t="n">
        <v>117453</v>
      </c>
      <c r="E406" s="297" t="n">
        <v>1.71</v>
      </c>
      <c r="F406" s="294" t="n">
        <v>0.219</v>
      </c>
      <c r="G406" s="306" t="n">
        <v>12</v>
      </c>
      <c r="H406" s="306" t="n">
        <v>21.79</v>
      </c>
      <c r="I406" s="123" t="n">
        <v>0.166</v>
      </c>
      <c r="J406" s="123" t="n">
        <v>0.063</v>
      </c>
      <c r="K406" s="123" t="n">
        <v>0.027</v>
      </c>
      <c r="L406" s="294" t="n">
        <v>5.36</v>
      </c>
      <c r="M406" s="299" t="n">
        <v>4.33</v>
      </c>
      <c r="N406" s="294" t="n">
        <v>11</v>
      </c>
      <c r="O406" s="300" t="n">
        <v>0.394</v>
      </c>
      <c r="P406" s="294" t="n">
        <v>1.98</v>
      </c>
      <c r="Q406" s="294" t="n">
        <v>1.7</v>
      </c>
      <c r="R406" s="294" t="n">
        <v>0.644</v>
      </c>
      <c r="S406" s="294" t="n">
        <v>3.33</v>
      </c>
      <c r="T406" s="294" t="n">
        <v>1.06</v>
      </c>
      <c r="U406" s="294" t="n">
        <v>0.491</v>
      </c>
      <c r="V406" s="294" t="n">
        <v>1.18</v>
      </c>
      <c r="W406" s="294" t="n">
        <v>0.607</v>
      </c>
      <c r="X406" s="294" t="n">
        <v>0.00023</v>
      </c>
      <c r="Y406" s="297" t="n">
        <v>4.33</v>
      </c>
      <c r="Z406" s="293" t="n">
        <v>420</v>
      </c>
      <c r="AA406" s="293" t="n">
        <v>317</v>
      </c>
      <c r="AB406" s="294" t="n">
        <v>2320</v>
      </c>
      <c r="AC406" s="302" t="n"/>
      <c r="AD406" s="303" t="n">
        <v>0.00358</v>
      </c>
      <c r="AE406" s="124" t="n">
        <v>0.0027</v>
      </c>
      <c r="AF406" s="294" t="n">
        <v>5.53</v>
      </c>
      <c r="AG406" s="304" t="n">
        <v>0.0198</v>
      </c>
      <c r="AH406" s="125" t="n">
        <v>0.2872</v>
      </c>
      <c r="AI406" s="125" t="n">
        <v>0.1318</v>
      </c>
      <c r="AJ406" s="294" t="n">
        <v>0.276</v>
      </c>
      <c r="AK406" s="126" t="n">
        <v>0.1267</v>
      </c>
      <c r="AL406" s="126" t="n">
        <v>0.0176</v>
      </c>
      <c r="AM406" s="127" t="n">
        <v>0.0246</v>
      </c>
      <c r="AN406" s="276" t="n">
        <v>5.78</v>
      </c>
    </row>
    <row customHeight="1" ht="15" r="407" s="3">
      <c r="A407" s="117" t="n">
        <v>43748</v>
      </c>
      <c r="B407" s="267" t="inlineStr">
        <is>
          <t>安卓</t>
        </is>
      </c>
      <c r="C407" s="129" t="n">
        <v>68920</v>
      </c>
      <c r="D407" s="129" t="n">
        <v>121872</v>
      </c>
      <c r="E407" s="129" t="n">
        <v>1.77</v>
      </c>
      <c r="F407" s="32" t="n">
        <v>0.222</v>
      </c>
      <c r="G407" s="271" t="n">
        <v>12.21</v>
      </c>
      <c r="H407" s="271" t="n">
        <v>22.62</v>
      </c>
      <c r="I407" s="141" t="n">
        <v>0.165</v>
      </c>
      <c r="J407" s="141" t="n">
        <v>0.064</v>
      </c>
      <c r="K407" s="141" t="n">
        <v>0.026</v>
      </c>
      <c r="L407" s="32" t="n">
        <v>5.35</v>
      </c>
      <c r="M407" s="52" t="n">
        <v>4.26</v>
      </c>
      <c r="N407" s="32" t="n">
        <v>10.6</v>
      </c>
      <c r="O407" s="131" t="n">
        <v>0.401</v>
      </c>
      <c r="P407" s="32" t="n">
        <v>1.94</v>
      </c>
      <c r="Q407" s="32" t="n">
        <v>1.65</v>
      </c>
      <c r="R407" s="32" t="n">
        <v>0.602</v>
      </c>
      <c r="S407" s="32" t="n">
        <v>3.18</v>
      </c>
      <c r="T407" s="32" t="n">
        <v>1.03</v>
      </c>
      <c r="U407" s="32" t="n">
        <v>0.487</v>
      </c>
      <c r="V407" s="32" t="n">
        <v>1.14</v>
      </c>
      <c r="W407" s="32" t="n">
        <v>0.6</v>
      </c>
      <c r="X407" s="32" t="n">
        <v>0.000139</v>
      </c>
      <c r="Y407" s="129" t="n">
        <v>4.26</v>
      </c>
      <c r="Z407" s="32" t="n">
        <v>436</v>
      </c>
      <c r="AA407" s="32" t="n">
        <v>298</v>
      </c>
      <c r="AB407" s="32" t="n">
        <v>2490</v>
      </c>
      <c r="AD407" s="32" t="n">
        <v>0.00358</v>
      </c>
      <c r="AE407" s="142" t="n">
        <v>0.0024</v>
      </c>
      <c r="AF407" s="32" t="n">
        <v>5.72</v>
      </c>
      <c r="AG407" s="129" t="n">
        <v>0.0205</v>
      </c>
      <c r="AH407" s="118" t="n">
        <v>0.3051</v>
      </c>
      <c r="AI407" s="118" t="n">
        <v>0.1444</v>
      </c>
      <c r="AJ407" s="32" t="n">
        <v>0.265</v>
      </c>
      <c r="AK407" s="118" t="n">
        <v>0.1251</v>
      </c>
      <c r="AL407" s="118" t="n">
        <v>0.0172</v>
      </c>
      <c r="AM407" s="132" t="n">
        <v>0.0097</v>
      </c>
      <c r="AN407" s="276" t="n">
        <v>5.49</v>
      </c>
    </row>
    <row customHeight="1" ht="15" r="408" s="3">
      <c r="A408" s="117" t="n">
        <v>43749</v>
      </c>
      <c r="B408" s="267" t="inlineStr">
        <is>
          <t>安卓</t>
        </is>
      </c>
      <c r="C408" s="268" t="n">
        <v>69404</v>
      </c>
      <c r="D408" s="268" t="n">
        <v>125261</v>
      </c>
      <c r="E408" s="269" t="n">
        <v>1.8</v>
      </c>
      <c r="F408" s="270" t="n">
        <v>0.202</v>
      </c>
      <c r="G408" s="271" t="n">
        <v>11.32</v>
      </c>
      <c r="H408" s="271" t="n">
        <v>20.58</v>
      </c>
      <c r="I408" s="141" t="n">
        <v>0.166</v>
      </c>
      <c r="J408" s="141" t="n">
        <v>0.062</v>
      </c>
      <c r="K408" s="141" t="n">
        <v>0.027</v>
      </c>
      <c r="L408" s="270" t="n">
        <v>5.25</v>
      </c>
      <c r="M408" s="272" t="n">
        <v>4.14</v>
      </c>
      <c r="N408" s="270" t="n">
        <v>10.3</v>
      </c>
      <c r="O408" s="310" t="n">
        <v>0.401</v>
      </c>
      <c r="P408" s="270" t="n">
        <v>1.92</v>
      </c>
      <c r="Q408" s="270" t="n">
        <v>1.64</v>
      </c>
      <c r="R408" s="270" t="n">
        <v>0.5629999999999999</v>
      </c>
      <c r="S408" s="270" t="n">
        <v>2.97</v>
      </c>
      <c r="T408" s="270" t="n">
        <v>1.04</v>
      </c>
      <c r="U408" s="270" t="n">
        <v>0.486</v>
      </c>
      <c r="V408" s="270" t="n">
        <v>1.11</v>
      </c>
      <c r="W408" s="270" t="n">
        <v>0.601</v>
      </c>
      <c r="X408" s="270" t="n">
        <v>0.000176</v>
      </c>
      <c r="Y408" s="269" t="n">
        <v>4.14</v>
      </c>
      <c r="Z408" s="275" t="n">
        <v>448</v>
      </c>
      <c r="AA408" s="275" t="n">
        <v>324</v>
      </c>
      <c r="AB408" s="270" t="n">
        <v>2460</v>
      </c>
      <c r="AD408" s="276" t="n">
        <v>0.00358</v>
      </c>
      <c r="AE408" s="142" t="n">
        <v>0.00259</v>
      </c>
      <c r="AF408" s="270" t="n">
        <v>5.5</v>
      </c>
      <c r="AG408" s="277" t="n">
        <v>0.0197</v>
      </c>
      <c r="AH408" s="118" t="n">
        <v>0.315025070601118</v>
      </c>
      <c r="AI408" s="118" t="n">
        <v>0.153334101780877</v>
      </c>
      <c r="AJ408" s="270" t="n">
        <v>0.26</v>
      </c>
      <c r="AK408" s="118" t="n">
        <v>0.127030759773593</v>
      </c>
      <c r="AL408" s="118" t="n">
        <v>0.0176351777488604</v>
      </c>
      <c r="AM408" s="132" t="n">
        <v>0.00591564812671143</v>
      </c>
      <c r="AN408" s="276" t="n">
        <v>5.69</v>
      </c>
    </row>
    <row customHeight="1" ht="15" r="409" s="3">
      <c r="A409" s="117" t="n">
        <v>43750</v>
      </c>
      <c r="B409" s="289" t="inlineStr">
        <is>
          <t>安卓</t>
        </is>
      </c>
      <c r="C409" s="268" t="n">
        <v>76970</v>
      </c>
      <c r="D409" s="268" t="n">
        <v>135933</v>
      </c>
      <c r="E409" s="269" t="n">
        <v>1.77</v>
      </c>
      <c r="F409" s="270" t="n">
        <v>0.266</v>
      </c>
      <c r="G409" s="271" t="n">
        <v>10.27</v>
      </c>
      <c r="H409" s="271" t="n">
        <v>18.79</v>
      </c>
      <c r="I409" s="141" t="n">
        <v>0.168</v>
      </c>
      <c r="J409" s="141" t="n">
        <v>0.058</v>
      </c>
      <c r="K409" s="141" t="n">
        <v>0.028</v>
      </c>
      <c r="L409" s="270" t="n">
        <v>6.25</v>
      </c>
      <c r="M409" s="272" t="n">
        <v>5.45</v>
      </c>
      <c r="N409" s="270" t="n">
        <v>13.7</v>
      </c>
      <c r="O409" s="310" t="n">
        <v>0.399</v>
      </c>
      <c r="P409" s="270" t="n">
        <v>2.17</v>
      </c>
      <c r="Q409" s="270" t="n">
        <v>2.11</v>
      </c>
      <c r="R409" s="270" t="n">
        <v>0.799</v>
      </c>
      <c r="S409" s="270" t="n">
        <v>4.75</v>
      </c>
      <c r="T409" s="270" t="n">
        <v>1.25</v>
      </c>
      <c r="U409" s="270" t="n">
        <v>0.445</v>
      </c>
      <c r="V409" s="270" t="n">
        <v>1.47</v>
      </c>
      <c r="W409" s="270" t="n">
        <v>0.664</v>
      </c>
      <c r="X409" s="270" t="n">
        <v>0.00028</v>
      </c>
      <c r="Y409" s="269" t="n">
        <v>5.45</v>
      </c>
      <c r="Z409" s="275" t="n">
        <v>672</v>
      </c>
      <c r="AA409" s="275" t="n">
        <v>444</v>
      </c>
      <c r="AB409" s="270" t="n">
        <v>4570</v>
      </c>
      <c r="AD409" s="276" t="n">
        <v>0.00494</v>
      </c>
      <c r="AE409" s="142" t="n">
        <v>0.00327</v>
      </c>
      <c r="AF409" s="270" t="n">
        <v>6.8</v>
      </c>
      <c r="AG409" s="277" t="n">
        <v>0.0336</v>
      </c>
      <c r="AH409" s="118" t="n">
        <v>0.315772378848902</v>
      </c>
      <c r="AI409" s="118" t="n">
        <v>0.149967519812914</v>
      </c>
      <c r="AJ409" s="270" t="n">
        <v>0.209</v>
      </c>
      <c r="AK409" s="118" t="n">
        <v>0.107957596757226</v>
      </c>
      <c r="AL409" s="118" t="n">
        <v>0.0152795862667638</v>
      </c>
      <c r="AM409" s="132" t="n">
        <v>0.153605084857981</v>
      </c>
      <c r="AN409" s="276" t="n">
        <v>6.11</v>
      </c>
    </row>
    <row customHeight="1" ht="15" r="410" s="3">
      <c r="A410" s="117" t="n">
        <v>43751</v>
      </c>
      <c r="B410" s="289" t="inlineStr">
        <is>
          <t>安卓</t>
        </is>
      </c>
      <c r="C410" s="268" t="n">
        <v>85445</v>
      </c>
      <c r="D410" s="268" t="n">
        <v>148617</v>
      </c>
      <c r="E410" s="269" t="n">
        <v>1.74</v>
      </c>
      <c r="F410" s="270" t="n">
        <v>0.25</v>
      </c>
      <c r="G410" s="271" t="n">
        <v>10.05</v>
      </c>
      <c r="H410" s="271" t="n">
        <v>18.98</v>
      </c>
      <c r="I410" s="141" t="n">
        <v>0.159</v>
      </c>
      <c r="J410" s="141" t="n">
        <v>0.064</v>
      </c>
      <c r="K410" s="141" t="n">
        <v>0.032</v>
      </c>
      <c r="L410" s="270" t="n">
        <v>6.07</v>
      </c>
      <c r="M410" s="272" t="n">
        <v>5.23</v>
      </c>
      <c r="N410" s="270" t="n">
        <v>13.1</v>
      </c>
      <c r="O410" s="310" t="n">
        <v>0.398</v>
      </c>
      <c r="P410" s="270" t="n">
        <v>2.11</v>
      </c>
      <c r="Q410" s="270" t="n">
        <v>2.15</v>
      </c>
      <c r="R410" s="270" t="n">
        <v>0.765</v>
      </c>
      <c r="S410" s="270" t="n">
        <v>4.36</v>
      </c>
      <c r="T410" s="270" t="n">
        <v>1.21</v>
      </c>
      <c r="U410" s="270" t="n">
        <v>0.448</v>
      </c>
      <c r="V410" s="270" t="n">
        <v>1.41</v>
      </c>
      <c r="W410" s="270" t="n">
        <v>0.669</v>
      </c>
      <c r="X410" s="270" t="n">
        <v>0.000242</v>
      </c>
      <c r="Y410" s="269" t="n">
        <v>5.23</v>
      </c>
      <c r="Z410" s="275" t="n">
        <v>686</v>
      </c>
      <c r="AA410" s="275" t="n">
        <v>446</v>
      </c>
      <c r="AB410" s="270" t="n">
        <v>4910</v>
      </c>
      <c r="AD410" s="276" t="n">
        <v>0.00462</v>
      </c>
      <c r="AE410" s="142" t="n">
        <v>0.003</v>
      </c>
      <c r="AF410" s="270" t="n">
        <v>7.16</v>
      </c>
      <c r="AG410" s="277" t="n">
        <v>0.0331</v>
      </c>
      <c r="AH410" s="118" t="n">
        <v>0.321235882731582</v>
      </c>
      <c r="AI410" s="118" t="n">
        <v>0.149909298379074</v>
      </c>
      <c r="AJ410" s="270" t="n">
        <v>0.208</v>
      </c>
      <c r="AK410" s="118" t="n">
        <v>0.100688346555239</v>
      </c>
      <c r="AL410" s="118" t="n">
        <v>0.0146214766816717</v>
      </c>
      <c r="AM410" s="132" t="n">
        <v>0.15972600711897</v>
      </c>
      <c r="AN410" s="276" t="n">
        <v>6.67</v>
      </c>
    </row>
    <row customHeight="1" ht="15" r="411" s="3">
      <c r="A411" s="117" t="n">
        <v>43752</v>
      </c>
      <c r="B411" s="289" t="inlineStr">
        <is>
          <t>安卓</t>
        </is>
      </c>
      <c r="C411" s="268" t="n">
        <v>69352</v>
      </c>
      <c r="D411" s="268" t="n">
        <v>133273</v>
      </c>
      <c r="E411" s="269" t="n">
        <v>1.92</v>
      </c>
      <c r="F411" s="270" t="n">
        <v>0.254</v>
      </c>
      <c r="G411" s="271" t="n">
        <v>10.18</v>
      </c>
      <c r="H411" s="271" t="n">
        <v>19.66</v>
      </c>
      <c r="I411" s="141" t="n">
        <v>0.181</v>
      </c>
      <c r="J411" s="141" t="n">
        <v>0.06900000000000001</v>
      </c>
      <c r="K411" s="141" t="n">
        <v>0.031</v>
      </c>
      <c r="L411" s="270" t="n">
        <v>6.37</v>
      </c>
      <c r="M411" s="272" t="n">
        <v>5.53</v>
      </c>
      <c r="N411" s="270" t="n">
        <v>13</v>
      </c>
      <c r="O411" s="310" t="n">
        <v>0.424</v>
      </c>
      <c r="P411" s="270" t="n">
        <v>2.08</v>
      </c>
      <c r="Q411" s="270" t="n">
        <v>2.21</v>
      </c>
      <c r="R411" s="270" t="n">
        <v>0.763</v>
      </c>
      <c r="S411" s="270" t="n">
        <v>4.19</v>
      </c>
      <c r="T411" s="270" t="n">
        <v>1.26</v>
      </c>
      <c r="U411" s="270" t="n">
        <v>0.442</v>
      </c>
      <c r="V411" s="270" t="n">
        <v>1.42</v>
      </c>
      <c r="W411" s="270" t="n">
        <v>0.676</v>
      </c>
      <c r="X411" s="270" t="n">
        <v>0.000375</v>
      </c>
      <c r="Y411" s="269" t="n">
        <v>5.53</v>
      </c>
      <c r="Z411" s="275" t="n">
        <v>614</v>
      </c>
      <c r="AA411" s="275" t="n">
        <v>428</v>
      </c>
      <c r="AB411" s="270" t="n">
        <v>3890</v>
      </c>
      <c r="AD411" s="276" t="n">
        <v>0.00461</v>
      </c>
      <c r="AE411" s="142" t="n">
        <v>0.00321</v>
      </c>
      <c r="AF411" s="270" t="n">
        <v>6.34</v>
      </c>
      <c r="AG411" s="277" t="n">
        <v>0.0292</v>
      </c>
      <c r="AH411" s="118" t="n">
        <v>0.345685776906217</v>
      </c>
      <c r="AI411" s="118" t="n">
        <v>0.171040489099089</v>
      </c>
      <c r="AJ411" s="270" t="n">
        <v>0.231</v>
      </c>
      <c r="AK411" s="118" t="n">
        <v>0.114749424114412</v>
      </c>
      <c r="AL411" s="118" t="n">
        <v>0.0163574017242802</v>
      </c>
      <c r="AM411" s="132" t="n">
        <v>0.172608105167588</v>
      </c>
      <c r="AN411" s="276" t="n">
        <v>6.36</v>
      </c>
    </row>
    <row customHeight="1" ht="15" r="412" s="3">
      <c r="A412" s="117" t="n">
        <v>43753</v>
      </c>
      <c r="B412" s="289" t="inlineStr">
        <is>
          <t>安卓</t>
        </is>
      </c>
      <c r="C412" s="268" t="n">
        <v>59732</v>
      </c>
      <c r="D412" s="268" t="n">
        <v>123791</v>
      </c>
      <c r="E412" s="269" t="n">
        <v>2.07</v>
      </c>
      <c r="F412" s="270" t="n">
        <v>0.252</v>
      </c>
      <c r="G412" s="271" t="n">
        <v>10.87</v>
      </c>
      <c r="H412" s="271" t="n">
        <v>19.64</v>
      </c>
      <c r="I412" s="141" t="n">
        <v>0.19</v>
      </c>
      <c r="J412" s="141" t="n">
        <v>0.07099999999999999</v>
      </c>
      <c r="K412" s="141" t="n">
        <v>0.03</v>
      </c>
      <c r="L412" s="270" t="n">
        <v>6.23</v>
      </c>
      <c r="M412" s="272" t="n">
        <v>5.34</v>
      </c>
      <c r="N412" s="270" t="n">
        <v>12.3</v>
      </c>
      <c r="O412" s="310" t="n">
        <v>0.435</v>
      </c>
      <c r="P412" s="270" t="n">
        <v>1.95</v>
      </c>
      <c r="Q412" s="270" t="n">
        <v>2.07</v>
      </c>
      <c r="R412" s="270" t="n">
        <v>0.729</v>
      </c>
      <c r="S412" s="270" t="n">
        <v>3.86</v>
      </c>
      <c r="T412" s="270" t="n">
        <v>1.18</v>
      </c>
      <c r="U412" s="270" t="n">
        <v>0.454</v>
      </c>
      <c r="V412" s="270" t="n">
        <v>1.35</v>
      </c>
      <c r="W412" s="270" t="n">
        <v>0.661</v>
      </c>
      <c r="X412" s="270" t="n">
        <v>9.69e-05</v>
      </c>
      <c r="Y412" s="269" t="n">
        <v>5.34</v>
      </c>
      <c r="Z412" s="275" t="n">
        <v>528</v>
      </c>
      <c r="AA412" s="275" t="n">
        <v>370</v>
      </c>
      <c r="AB412" s="270" t="n">
        <v>3080</v>
      </c>
      <c r="AD412" s="276" t="n">
        <v>0.00427</v>
      </c>
      <c r="AE412" s="142" t="n">
        <v>0.00299</v>
      </c>
      <c r="AF412" s="270" t="n">
        <v>5.83</v>
      </c>
      <c r="AG412" s="277" t="n">
        <v>0.0249</v>
      </c>
      <c r="AH412" s="118" t="n">
        <v>0.347267796156164</v>
      </c>
      <c r="AI412" s="118" t="n">
        <v>0.184055447666242</v>
      </c>
      <c r="AJ412" s="270" t="n">
        <v>0.27</v>
      </c>
      <c r="AK412" s="118" t="n">
        <v>0.129960982623939</v>
      </c>
      <c r="AL412" s="118" t="n">
        <v>0.0192017190264236</v>
      </c>
      <c r="AM412" s="132" t="n">
        <v>0.154066127586012</v>
      </c>
      <c r="AN412" s="276" t="n">
        <v>5.82</v>
      </c>
    </row>
    <row customFormat="1" customHeight="1" ht="15" r="413" s="294">
      <c r="A413" s="121" t="n">
        <v>43754</v>
      </c>
      <c r="B413" s="295" t="inlineStr">
        <is>
          <t>安卓</t>
        </is>
      </c>
      <c r="C413" s="296" t="n">
        <v>21970</v>
      </c>
      <c r="D413" s="296" t="n">
        <v>84439</v>
      </c>
      <c r="E413" s="297" t="n">
        <v>3.84</v>
      </c>
      <c r="F413" s="294" t="n">
        <v>0.299</v>
      </c>
      <c r="G413" s="306" t="n">
        <v>11.91</v>
      </c>
      <c r="H413" s="306" t="n">
        <v>20.8</v>
      </c>
      <c r="I413" s="123" t="n">
        <v>0.243</v>
      </c>
      <c r="J413" s="123" t="n">
        <v>0.105</v>
      </c>
      <c r="K413" s="123" t="n">
        <v>0.051</v>
      </c>
      <c r="L413" s="294" t="n">
        <v>6.88</v>
      </c>
      <c r="M413" s="299" t="n">
        <v>5.9</v>
      </c>
      <c r="N413" s="294" t="n">
        <v>11.3</v>
      </c>
      <c r="O413" s="300" t="n">
        <v>0.524</v>
      </c>
      <c r="P413" s="294" t="n">
        <v>1.72</v>
      </c>
      <c r="Q413" s="294" t="n">
        <v>1.86</v>
      </c>
      <c r="R413" s="294" t="n">
        <v>0.704</v>
      </c>
      <c r="S413" s="294" t="n">
        <v>3.52</v>
      </c>
      <c r="T413" s="294" t="n">
        <v>1.1</v>
      </c>
      <c r="U413" s="294" t="n">
        <v>0.49</v>
      </c>
      <c r="V413" s="294" t="n">
        <v>1.25</v>
      </c>
      <c r="W413" s="294" t="n">
        <v>0.627</v>
      </c>
      <c r="X413" s="294" t="n">
        <v>0.000142</v>
      </c>
      <c r="Y413" s="297" t="n">
        <v>5.9</v>
      </c>
      <c r="Z413" s="293" t="n">
        <v>432</v>
      </c>
      <c r="AA413" s="293" t="n">
        <v>322</v>
      </c>
      <c r="AB413" s="294" t="n">
        <v>2340</v>
      </c>
      <c r="AC413" s="302" t="n"/>
      <c r="AD413" s="303" t="n">
        <v>0.00512</v>
      </c>
      <c r="AE413" s="124" t="n">
        <v>0.00381</v>
      </c>
      <c r="AF413" s="294" t="n">
        <v>5.41</v>
      </c>
      <c r="AG413" s="304" t="n">
        <v>0.0277</v>
      </c>
      <c r="AH413" s="125" t="n">
        <v>0.569731451979973</v>
      </c>
      <c r="AI413" s="125" t="n">
        <v>0.402730996813837</v>
      </c>
      <c r="AJ413" s="294" t="n">
        <v>0.413</v>
      </c>
      <c r="AK413" s="126" t="n">
        <v>0.201695898814529</v>
      </c>
      <c r="AL413" s="126" t="n">
        <v>0.0278899560629567</v>
      </c>
      <c r="AM413" s="127" t="n">
        <v>0.0404433970084913</v>
      </c>
      <c r="AN413" s="276" t="n">
        <v>6.2</v>
      </c>
    </row>
    <row customHeight="1" ht="15" r="414" s="3">
      <c r="A414" s="117" t="n">
        <v>43755</v>
      </c>
      <c r="B414" s="267" t="inlineStr">
        <is>
          <t>安卓</t>
        </is>
      </c>
      <c r="C414" s="268" t="n">
        <v>16602</v>
      </c>
      <c r="D414" s="268" t="n">
        <v>71799</v>
      </c>
      <c r="E414" s="269" t="n">
        <v>4.32</v>
      </c>
      <c r="F414" s="270" t="n">
        <v>0.357</v>
      </c>
      <c r="G414" s="271" t="n">
        <v>12.69</v>
      </c>
      <c r="H414" s="271" t="n">
        <v>21.2</v>
      </c>
      <c r="I414" s="141" t="n">
        <v>0.255</v>
      </c>
      <c r="J414" s="141" t="n">
        <v>0.114</v>
      </c>
      <c r="K414" s="141" t="n">
        <v>0.059</v>
      </c>
      <c r="L414" s="270" t="n">
        <v>7.34</v>
      </c>
      <c r="M414" s="272" t="n">
        <v>6.47</v>
      </c>
      <c r="N414" s="270" t="n">
        <v>12</v>
      </c>
      <c r="O414" s="310" t="n">
        <v>0.541</v>
      </c>
      <c r="P414" s="270" t="n">
        <v>1.81</v>
      </c>
      <c r="Q414" s="270" t="n">
        <v>1.97</v>
      </c>
      <c r="R414" s="270" t="n">
        <v>0.76</v>
      </c>
      <c r="S414" s="270" t="n">
        <v>3.77</v>
      </c>
      <c r="T414" s="270" t="n">
        <v>1.17</v>
      </c>
      <c r="U414" s="270" t="n">
        <v>0.486</v>
      </c>
      <c r="V414" s="270" t="n">
        <v>1.32</v>
      </c>
      <c r="W414" s="270" t="n">
        <v>0.663</v>
      </c>
      <c r="X414" s="270" t="n">
        <v>0.000181</v>
      </c>
      <c r="Y414" s="269" t="n">
        <v>6.47</v>
      </c>
      <c r="Z414" s="275" t="n">
        <v>418</v>
      </c>
      <c r="AA414" s="275" t="n">
        <v>299</v>
      </c>
      <c r="AB414" s="270" t="n">
        <v>2590</v>
      </c>
      <c r="AD414" s="276" t="n">
        <v>0.00582</v>
      </c>
      <c r="AE414" s="142" t="n">
        <v>0.00416</v>
      </c>
      <c r="AF414" s="270" t="n">
        <v>6.19</v>
      </c>
      <c r="AG414" s="277" t="n">
        <v>0.036</v>
      </c>
      <c r="AH414" s="118" t="n">
        <v>0.566558245994458</v>
      </c>
      <c r="AI414" s="118" t="n">
        <v>0.423924828333936</v>
      </c>
      <c r="AJ414" s="270" t="n">
        <v>0.459</v>
      </c>
      <c r="AK414" s="118" t="n">
        <v>0.232649479797769</v>
      </c>
      <c r="AL414" s="118" t="n">
        <v>0.0318388835499102</v>
      </c>
      <c r="AM414" s="132" t="n">
        <v>0.0191924678616694</v>
      </c>
      <c r="AN414" s="276" t="n">
        <v>5.72</v>
      </c>
    </row>
    <row customHeight="1" ht="13.2" r="415" s="3">
      <c r="A415" s="117" t="n">
        <v>43756</v>
      </c>
      <c r="B415" s="267" t="inlineStr">
        <is>
          <t>安卓</t>
        </is>
      </c>
      <c r="C415" s="268" t="n">
        <v>15564</v>
      </c>
      <c r="D415" s="268" t="n">
        <v>67339</v>
      </c>
      <c r="E415" s="269" t="n">
        <v>4.33</v>
      </c>
      <c r="F415" s="270" t="n">
        <v>0.358</v>
      </c>
      <c r="G415" s="271" t="n">
        <v>11.72</v>
      </c>
      <c r="H415" s="271" t="n">
        <v>19.34</v>
      </c>
      <c r="I415" s="141" t="n">
        <v>0.262</v>
      </c>
      <c r="J415" s="141" t="n">
        <v>0.123</v>
      </c>
      <c r="K415" s="141" t="n">
        <v>0.06</v>
      </c>
      <c r="L415" s="270" t="n">
        <v>7.38</v>
      </c>
      <c r="M415" s="272" t="n">
        <v>6.49</v>
      </c>
      <c r="N415" s="270" t="n">
        <v>12</v>
      </c>
      <c r="O415" s="310" t="n">
        <v>0.543</v>
      </c>
      <c r="P415" s="270" t="n">
        <v>1.82</v>
      </c>
      <c r="Q415" s="270" t="n">
        <v>2</v>
      </c>
      <c r="R415" s="270" t="n">
        <v>0.751</v>
      </c>
      <c r="S415" s="270" t="n">
        <v>3.71</v>
      </c>
      <c r="T415" s="270" t="n">
        <v>1.18</v>
      </c>
      <c r="U415" s="270" t="n">
        <v>0.491</v>
      </c>
      <c r="V415" s="270" t="n">
        <v>1.33</v>
      </c>
      <c r="W415" s="270" t="n">
        <v>0.663</v>
      </c>
      <c r="X415" s="270" t="n">
        <v>0.000312</v>
      </c>
      <c r="Y415" s="269" t="n">
        <v>6.49</v>
      </c>
      <c r="Z415" s="275" t="n">
        <v>488</v>
      </c>
      <c r="AA415" s="275" t="n">
        <v>333</v>
      </c>
      <c r="AB415" s="270" t="n">
        <v>3030</v>
      </c>
      <c r="AD415" s="276" t="n">
        <v>0.00725</v>
      </c>
      <c r="AE415" s="142" t="n">
        <v>0.00495</v>
      </c>
      <c r="AF415" s="270" t="n">
        <v>6.2</v>
      </c>
      <c r="AG415" s="277" t="n">
        <v>0.045</v>
      </c>
      <c r="AH415" s="118" t="n">
        <v>0.541056283731688</v>
      </c>
      <c r="AI415" s="118" t="n">
        <v>0.382742225648934</v>
      </c>
      <c r="AJ415" s="270" t="n">
        <v>0.456</v>
      </c>
      <c r="AK415" s="118" t="n">
        <v>0.246439656068549</v>
      </c>
      <c r="AL415" s="118" t="n">
        <v>0.0333536286550142</v>
      </c>
      <c r="AM415" s="132" t="n">
        <v>0.0129197047773207</v>
      </c>
      <c r="AN415" s="276" t="n">
        <v>6.676</v>
      </c>
    </row>
    <row customHeight="1" ht="15" r="416" s="3">
      <c r="A416" s="117" t="n">
        <v>43757</v>
      </c>
      <c r="B416" s="289" t="inlineStr">
        <is>
          <t>安卓</t>
        </is>
      </c>
      <c r="C416" s="268" t="n">
        <v>16784</v>
      </c>
      <c r="D416" s="268" t="n">
        <v>67676</v>
      </c>
      <c r="E416" s="269" t="n">
        <v>4.03</v>
      </c>
      <c r="F416" s="270" t="n">
        <v>0.507</v>
      </c>
      <c r="G416" s="271" t="n">
        <v>11.01</v>
      </c>
      <c r="H416" s="271" t="n">
        <v>19.01</v>
      </c>
      <c r="I416" s="141" t="n">
        <v>0.258</v>
      </c>
      <c r="J416" s="141" t="n">
        <v>0.117</v>
      </c>
      <c r="K416" s="141" t="n">
        <v>0.065</v>
      </c>
      <c r="L416" s="270" t="n">
        <v>9.49</v>
      </c>
      <c r="M416" s="272" t="n">
        <v>9.470000000000001</v>
      </c>
      <c r="N416" s="270" t="n">
        <v>17.2</v>
      </c>
      <c r="O416" s="310" t="n">
        <v>0.55</v>
      </c>
      <c r="P416" s="270" t="n">
        <v>2.33</v>
      </c>
      <c r="Q416" s="270" t="n">
        <v>2.71</v>
      </c>
      <c r="R416" s="270" t="n">
        <v>1.23</v>
      </c>
      <c r="S416" s="270" t="n">
        <v>6.27</v>
      </c>
      <c r="T416" s="270" t="n">
        <v>1.58</v>
      </c>
      <c r="U416" s="270" t="n">
        <v>0.446</v>
      </c>
      <c r="V416" s="270" t="n">
        <v>1.89</v>
      </c>
      <c r="W416" s="270" t="n">
        <v>0.754</v>
      </c>
      <c r="X416" s="270" t="n">
        <v>0.000118</v>
      </c>
      <c r="Y416" s="269" t="n">
        <v>9.470000000000001</v>
      </c>
      <c r="Z416" s="275" t="n">
        <v>713</v>
      </c>
      <c r="AA416" s="275" t="n">
        <v>450</v>
      </c>
      <c r="AB416" s="270" t="n">
        <v>4700</v>
      </c>
      <c r="AD416" s="276" t="n">
        <v>0.0105</v>
      </c>
      <c r="AE416" s="142" t="n">
        <v>0.00665</v>
      </c>
      <c r="AF416" s="270" t="n">
        <v>6.59</v>
      </c>
      <c r="AG416" s="277" t="n">
        <v>0.0694</v>
      </c>
      <c r="AH416" s="118" t="n">
        <v>0.5389061010486177</v>
      </c>
      <c r="AI416" s="118" t="n">
        <v>0.3683269780743565</v>
      </c>
      <c r="AJ416" s="270" t="n">
        <v>0.366</v>
      </c>
      <c r="AK416" s="118" t="n">
        <v>0.2213192269046634</v>
      </c>
      <c r="AL416" s="118" t="n">
        <v>0.03204976653466517</v>
      </c>
      <c r="AM416" s="132" t="n">
        <v>0.2738193746675335</v>
      </c>
      <c r="AN416" s="276" t="n">
        <v>6.937</v>
      </c>
    </row>
    <row customHeight="1" ht="15" r="417" s="3">
      <c r="A417" s="117" t="n">
        <v>43758</v>
      </c>
      <c r="B417" s="289" t="inlineStr">
        <is>
          <t>安卓</t>
        </is>
      </c>
      <c r="C417" s="268" t="n">
        <v>17353</v>
      </c>
      <c r="D417" s="268" t="n">
        <v>68005</v>
      </c>
      <c r="E417" s="269" t="n">
        <v>3.92</v>
      </c>
      <c r="F417" s="270">
        <f>3.3*M417*G417/1000+3.3*AB417/D417*0.7</f>
        <v/>
      </c>
      <c r="G417" s="271" t="n">
        <v>11.02</v>
      </c>
      <c r="H417" s="271" t="n">
        <v>19.44</v>
      </c>
      <c r="I417" s="141" t="n">
        <v>0.248</v>
      </c>
      <c r="J417" s="141" t="n">
        <v>0.116</v>
      </c>
      <c r="K417" s="141" t="n">
        <v>0.065</v>
      </c>
      <c r="L417" s="270" t="n">
        <v>9.4</v>
      </c>
      <c r="M417" s="272" t="n">
        <v>9.34</v>
      </c>
      <c r="N417" s="270" t="n">
        <v>16.9</v>
      </c>
      <c r="O417" s="310" t="n">
        <v>0.554</v>
      </c>
      <c r="P417" s="270" t="n">
        <v>2.21</v>
      </c>
      <c r="Q417" s="270" t="n">
        <v>2.78</v>
      </c>
      <c r="R417" s="270" t="n">
        <v>1.2</v>
      </c>
      <c r="S417" s="270" t="n">
        <v>6.14</v>
      </c>
      <c r="T417" s="270" t="n">
        <v>1.53</v>
      </c>
      <c r="U417" s="270" t="n">
        <v>0.437</v>
      </c>
      <c r="V417" s="270" t="n">
        <v>1.8</v>
      </c>
      <c r="W417" s="270" t="n">
        <v>0.761</v>
      </c>
      <c r="X417" s="270" t="n">
        <v>8.82e-05</v>
      </c>
      <c r="Y417" s="269" t="n">
        <v>9.34</v>
      </c>
      <c r="Z417" s="275" t="n">
        <v>614</v>
      </c>
      <c r="AA417" s="275" t="n">
        <v>395</v>
      </c>
      <c r="AB417" s="270" t="n">
        <v>4140</v>
      </c>
      <c r="AD417" s="276" t="n">
        <v>0.00903</v>
      </c>
      <c r="AE417" s="142" t="n">
        <v>0.00581</v>
      </c>
      <c r="AF417" s="270" t="n">
        <v>6.75</v>
      </c>
      <c r="AG417" s="277" t="n">
        <v>0.0609</v>
      </c>
      <c r="AH417" s="118" t="n">
        <v>0.515703336598859</v>
      </c>
      <c r="AI417" s="118" t="n">
        <v>0.3504869475018729</v>
      </c>
      <c r="AJ417" s="270" t="n">
        <v>0.363</v>
      </c>
      <c r="AK417" s="118" t="n">
        <v>0.2121461657231086</v>
      </c>
      <c r="AL417" s="118" t="n">
        <v>0.02993897507536211</v>
      </c>
      <c r="AM417" s="132" t="n">
        <v>0.2923608558194251</v>
      </c>
      <c r="AN417" s="276" t="n">
        <v>7.655</v>
      </c>
    </row>
    <row customHeight="1" ht="15" r="418" s="3">
      <c r="A418" s="117" t="n">
        <v>43759</v>
      </c>
      <c r="B418" s="289" t="inlineStr">
        <is>
          <t>安卓</t>
        </is>
      </c>
      <c r="C418" s="268" t="n">
        <v>17503</v>
      </c>
      <c r="D418" s="268" t="n">
        <v>66305</v>
      </c>
      <c r="E418" s="269" t="n">
        <v>3.79</v>
      </c>
      <c r="F418" s="270">
        <f>3.3*M418*G418/1000+3.3*AB418/D418*0.7</f>
        <v/>
      </c>
      <c r="G418" s="271" t="n">
        <v>11.26</v>
      </c>
      <c r="H418" s="271" t="n">
        <v>18.79</v>
      </c>
      <c r="I418" s="141" t="n">
        <v>0.272</v>
      </c>
      <c r="J418" s="141" t="n">
        <v>0.129</v>
      </c>
      <c r="K418" s="141" t="n">
        <v>0.06900000000000001</v>
      </c>
      <c r="L418" s="270" t="n">
        <v>9.529999999999999</v>
      </c>
      <c r="M418" s="272" t="n">
        <v>9.369999999999999</v>
      </c>
      <c r="N418" s="270" t="n">
        <v>16.7</v>
      </c>
      <c r="O418" s="310" t="n">
        <v>0.5620000000000001</v>
      </c>
      <c r="P418" s="270" t="n">
        <v>2.25</v>
      </c>
      <c r="Q418" s="270" t="n">
        <v>2.83</v>
      </c>
      <c r="R418" s="270" t="n">
        <v>1.16</v>
      </c>
      <c r="S418" s="270" t="n">
        <v>5.86</v>
      </c>
      <c r="T418" s="270" t="n">
        <v>1.55</v>
      </c>
      <c r="U418" s="270" t="n">
        <v>0.448</v>
      </c>
      <c r="V418" s="270" t="n">
        <v>1.8</v>
      </c>
      <c r="W418" s="270" t="n">
        <v>0.769</v>
      </c>
      <c r="X418" s="270" t="n">
        <v>0.0005730000000000001</v>
      </c>
      <c r="Y418" s="269" t="n">
        <v>9.369999999999999</v>
      </c>
      <c r="Z418" s="275" t="n">
        <v>568</v>
      </c>
      <c r="AA418" s="275" t="n">
        <v>400</v>
      </c>
      <c r="AB418" s="270" t="n">
        <v>3330</v>
      </c>
      <c r="AD418" s="276" t="n">
        <v>0.008569999999999999</v>
      </c>
      <c r="AE418" s="142" t="n">
        <v>0.00603</v>
      </c>
      <c r="AF418" s="270" t="n">
        <v>5.86</v>
      </c>
      <c r="AG418" s="277" t="n">
        <v>0.0502</v>
      </c>
      <c r="AH418" s="118" t="n">
        <v>0.5121979089298977</v>
      </c>
      <c r="AI418" s="118" t="n">
        <v>0.3396560589613209</v>
      </c>
      <c r="AJ418" s="270" t="n">
        <v>0.389</v>
      </c>
      <c r="AK418" s="118" t="n">
        <v>0.2210542191388281</v>
      </c>
      <c r="AL418" s="118" t="n">
        <v>0.03212427418746701</v>
      </c>
      <c r="AM418" s="132" t="n">
        <v>0.2943518588341754</v>
      </c>
      <c r="AN418" s="276" t="n">
        <v>7.194</v>
      </c>
    </row>
    <row customHeight="1" ht="15" r="419" s="3">
      <c r="A419" s="117" t="n">
        <v>43760</v>
      </c>
      <c r="B419" s="289" t="inlineStr">
        <is>
          <t>安卓</t>
        </is>
      </c>
      <c r="C419" s="268" t="n">
        <v>16650</v>
      </c>
      <c r="D419" s="268" t="n">
        <v>63855</v>
      </c>
      <c r="E419" s="269" t="n">
        <v>3.84</v>
      </c>
      <c r="F419" s="270">
        <f>3.3*M419*G419/1000+3.3*AB419/D419*0.7</f>
        <v/>
      </c>
      <c r="G419" s="271" t="n">
        <v>13.37</v>
      </c>
      <c r="H419" s="271" t="n">
        <v>22.04</v>
      </c>
      <c r="I419" s="141" t="n">
        <v>0.264</v>
      </c>
      <c r="J419" s="141" t="n">
        <v>0.13</v>
      </c>
      <c r="K419" s="141" t="n">
        <v>0.065</v>
      </c>
      <c r="L419" s="270" t="n">
        <v>9.18</v>
      </c>
      <c r="M419" s="272" t="n">
        <v>8.789999999999999</v>
      </c>
      <c r="N419" s="270" t="n">
        <v>15.5</v>
      </c>
      <c r="O419" s="310" t="n">
        <v>0.5679999999999999</v>
      </c>
      <c r="P419" s="270" t="n">
        <v>2.13</v>
      </c>
      <c r="Q419" s="270" t="n">
        <v>2.64</v>
      </c>
      <c r="R419" s="270" t="n">
        <v>1.05</v>
      </c>
      <c r="S419" s="270" t="n">
        <v>5.25</v>
      </c>
      <c r="T419" s="270" t="n">
        <v>1.46</v>
      </c>
      <c r="U419" s="270" t="n">
        <v>0.477</v>
      </c>
      <c r="V419" s="270" t="n">
        <v>1.7</v>
      </c>
      <c r="W419" s="270" t="n">
        <v>0.751</v>
      </c>
      <c r="X419" s="270" t="n">
        <v>0.000188</v>
      </c>
      <c r="Y419" s="269" t="n">
        <v>8.789999999999999</v>
      </c>
      <c r="Z419" s="275" t="n">
        <v>555</v>
      </c>
      <c r="AA419" s="275" t="n">
        <v>393</v>
      </c>
      <c r="AB419" s="270" t="n">
        <v>3700</v>
      </c>
      <c r="AD419" s="276" t="n">
        <v>0.00869</v>
      </c>
      <c r="AE419" s="142" t="n">
        <v>0.00615</v>
      </c>
      <c r="AF419" s="270" t="n">
        <v>6.66</v>
      </c>
      <c r="AG419" s="277" t="n">
        <v>0.0579</v>
      </c>
      <c r="AH419" s="118" t="n">
        <v>0.5142342342342342</v>
      </c>
      <c r="AI419" s="118" t="n">
        <v>0.3496696696696697</v>
      </c>
      <c r="AJ419" s="270" t="n">
        <v>0.45</v>
      </c>
      <c r="AK419" s="118" t="n">
        <v>0.2368334507869392</v>
      </c>
      <c r="AL419" s="118" t="n">
        <v>0.0371309999216976</v>
      </c>
      <c r="AM419" s="132" t="n">
        <v>0.2561271631039073</v>
      </c>
      <c r="AN419" s="276" t="n">
        <v>6.284</v>
      </c>
    </row>
    <row customFormat="1" customHeight="1" ht="15" r="420" s="294">
      <c r="A420" s="121" t="n">
        <v>43761</v>
      </c>
      <c r="B420" s="295" t="inlineStr">
        <is>
          <t>安卓</t>
        </is>
      </c>
      <c r="C420" s="296" t="n">
        <v>16797</v>
      </c>
      <c r="D420" s="296" t="n">
        <v>61899</v>
      </c>
      <c r="E420" s="297" t="n">
        <v>3.69</v>
      </c>
      <c r="F420" s="294">
        <f>3.3*M420*G420/1000+3.3*AB420/D420*0.7</f>
        <v/>
      </c>
      <c r="G420" s="306" t="n">
        <v>13.92</v>
      </c>
      <c r="H420" s="306" t="n">
        <v>23.37</v>
      </c>
      <c r="I420" s="123" t="n">
        <v>0.262</v>
      </c>
      <c r="J420" s="123" t="n">
        <v>0.118</v>
      </c>
      <c r="K420" s="123" t="n">
        <v>0.059</v>
      </c>
      <c r="L420" s="294" t="n">
        <v>8.029999999999999</v>
      </c>
      <c r="M420" s="299" t="n">
        <v>7.32</v>
      </c>
      <c r="N420" s="294" t="n">
        <v>13.2</v>
      </c>
      <c r="O420" s="300" t="n">
        <v>0.553</v>
      </c>
      <c r="P420" s="294" t="n">
        <v>1.94</v>
      </c>
      <c r="Q420" s="294" t="n">
        <v>2.18</v>
      </c>
      <c r="R420" s="294" t="n">
        <v>0.854</v>
      </c>
      <c r="S420" s="294" t="n">
        <v>4.32</v>
      </c>
      <c r="T420" s="294" t="n">
        <v>1.26</v>
      </c>
      <c r="U420" s="294" t="n">
        <v>0.502</v>
      </c>
      <c r="V420" s="294" t="n">
        <v>1.47</v>
      </c>
      <c r="W420" s="294" t="n">
        <v>0.716</v>
      </c>
      <c r="X420" s="294" t="n">
        <v>0.000178</v>
      </c>
      <c r="Y420" s="297" t="n">
        <v>7.32</v>
      </c>
      <c r="Z420" s="293" t="n">
        <v>405</v>
      </c>
      <c r="AA420" s="293" t="n">
        <v>277</v>
      </c>
      <c r="AB420" s="294" t="n">
        <v>2230</v>
      </c>
      <c r="AC420" s="302" t="n"/>
      <c r="AD420" s="303" t="n">
        <v>0.00654</v>
      </c>
      <c r="AE420" s="124" t="n">
        <v>0.00448</v>
      </c>
      <c r="AF420" s="294" t="n">
        <v>5.5</v>
      </c>
      <c r="AG420" s="304" t="n">
        <v>0.036</v>
      </c>
      <c r="AH420" s="125" t="n">
        <v>0.4874084657974638</v>
      </c>
      <c r="AI420" s="125" t="n">
        <v>0.3281538369947014</v>
      </c>
      <c r="AJ420" s="294" t="n">
        <v>0.5</v>
      </c>
      <c r="AK420" s="126" t="n">
        <v>0.2556907219825845</v>
      </c>
      <c r="AL420" s="126" t="n">
        <v>0.0369795957931469</v>
      </c>
      <c r="AM420" s="127" t="n">
        <v>0.05037238081390653</v>
      </c>
      <c r="AN420" s="276" t="n">
        <v>6.84</v>
      </c>
    </row>
    <row customHeight="1" ht="15" r="421" s="3">
      <c r="A421" s="117" t="n">
        <v>43762</v>
      </c>
      <c r="B421" s="267" t="inlineStr">
        <is>
          <t>安卓</t>
        </is>
      </c>
      <c r="C421" s="268" t="n">
        <v>18757</v>
      </c>
      <c r="D421" s="268" t="n">
        <v>63042</v>
      </c>
      <c r="E421" s="269" t="n">
        <v>3.36</v>
      </c>
      <c r="F421" s="270">
        <f>3.3*M421*G421/1000+3.3*AB421/D421*0.7</f>
        <v/>
      </c>
      <c r="G421" s="271" t="n">
        <v>13.78</v>
      </c>
      <c r="H421" s="271" t="n">
        <v>23.1</v>
      </c>
      <c r="I421" s="141" t="n">
        <v>0.264</v>
      </c>
      <c r="J421" s="141" t="n">
        <v>0.124</v>
      </c>
      <c r="K421" s="141" t="n">
        <v>0.062</v>
      </c>
      <c r="L421" s="270" t="n">
        <v>8.029999999999999</v>
      </c>
      <c r="M421" s="272" t="n">
        <v>7.32</v>
      </c>
      <c r="N421" s="270" t="n">
        <v>13.4</v>
      </c>
      <c r="O421" s="310" t="n">
        <v>0.547</v>
      </c>
      <c r="P421" s="270" t="n">
        <v>2</v>
      </c>
      <c r="Q421" s="270" t="n">
        <v>2.2</v>
      </c>
      <c r="R421" s="270" t="n">
        <v>0.819</v>
      </c>
      <c r="S421" s="270" t="n">
        <v>4.36</v>
      </c>
      <c r="T421" s="270" t="n">
        <v>1.27</v>
      </c>
      <c r="U421" s="270" t="n">
        <v>0.515</v>
      </c>
      <c r="V421" s="270" t="n">
        <v>1.5</v>
      </c>
      <c r="W421" s="270" t="n">
        <v>0.725</v>
      </c>
      <c r="X421" s="270" t="n">
        <v>0.000111</v>
      </c>
      <c r="Y421" s="269" t="n">
        <v>7.32</v>
      </c>
      <c r="Z421" s="275" t="n">
        <v>434</v>
      </c>
      <c r="AA421" s="275" t="n">
        <v>306</v>
      </c>
      <c r="AB421" s="270" t="n">
        <v>2320</v>
      </c>
      <c r="AD421" s="276" t="n">
        <v>0.00688</v>
      </c>
      <c r="AE421" s="142" t="n">
        <v>0.00485</v>
      </c>
      <c r="AF421" s="270" t="n">
        <v>5.34</v>
      </c>
      <c r="AG421" s="277" t="n">
        <v>0.0368</v>
      </c>
      <c r="AH421" s="118" t="n">
        <v>0.4820067174921362</v>
      </c>
      <c r="AI421" s="118" t="n">
        <v>0.3104974142986618</v>
      </c>
      <c r="AJ421" s="270" t="n">
        <v>0.485</v>
      </c>
      <c r="AK421" s="118" t="n">
        <v>0.2553059864852004</v>
      </c>
      <c r="AL421" s="118" t="n">
        <v>0.03748294787601916</v>
      </c>
      <c r="AM421" s="132" t="n">
        <v>0.02130325814536341</v>
      </c>
      <c r="AN421" s="276" t="n">
        <v>7.07</v>
      </c>
    </row>
    <row customHeight="1" ht="13.8" r="422" s="3">
      <c r="A422" s="117" t="n">
        <v>43763</v>
      </c>
      <c r="B422" s="267" t="inlineStr">
        <is>
          <t>安卓</t>
        </is>
      </c>
      <c r="C422" s="268" t="n">
        <v>15642</v>
      </c>
      <c r="D422" s="268" t="n">
        <v>60390</v>
      </c>
      <c r="E422" s="269" t="n">
        <v>3.86</v>
      </c>
      <c r="F422" s="270" t="n">
        <v>0.442</v>
      </c>
      <c r="G422" s="271" t="n">
        <v>12.33</v>
      </c>
      <c r="H422" s="271" t="n">
        <v>20.59</v>
      </c>
      <c r="I422" s="141" t="n">
        <v>0.256</v>
      </c>
      <c r="J422" s="141" t="n">
        <v>0.123</v>
      </c>
      <c r="K422" s="141" t="n">
        <v>0.061</v>
      </c>
      <c r="L422" s="270" t="n">
        <v>8.029999999999999</v>
      </c>
      <c r="M422" s="272" t="n">
        <v>7.3</v>
      </c>
      <c r="N422" s="270" t="n">
        <v>13.1</v>
      </c>
      <c r="O422" s="310" t="n">
        <v>0.5580000000000001</v>
      </c>
      <c r="P422" s="270" t="n">
        <v>1.95</v>
      </c>
      <c r="Q422" s="270" t="n">
        <v>2.22</v>
      </c>
      <c r="R422" s="270" t="n">
        <v>0.8080000000000001</v>
      </c>
      <c r="S422" s="270" t="n">
        <v>4.12</v>
      </c>
      <c r="T422" s="270" t="n">
        <v>1.27</v>
      </c>
      <c r="U422" s="270" t="n">
        <v>0.517</v>
      </c>
      <c r="V422" s="270" t="n">
        <v>1.48</v>
      </c>
      <c r="W422" s="270" t="n">
        <v>0.712</v>
      </c>
      <c r="X422" s="270" t="n">
        <v>8.279999999999999e-05</v>
      </c>
      <c r="Y422" s="269" t="n">
        <v>7.3</v>
      </c>
      <c r="Z422" s="275" t="n">
        <v>440</v>
      </c>
      <c r="AA422" s="275" t="n">
        <v>299</v>
      </c>
      <c r="AB422" s="270" t="n">
        <v>2670</v>
      </c>
      <c r="AD422" s="276" t="n">
        <v>0.00729</v>
      </c>
      <c r="AE422" s="142" t="n">
        <v>0.00495</v>
      </c>
      <c r="AF422" s="270" t="n">
        <v>6.08</v>
      </c>
      <c r="AG422" s="277" t="n">
        <v>0.0443</v>
      </c>
      <c r="AH422" s="118" t="n">
        <v>0.4939266078506585</v>
      </c>
      <c r="AI422" s="118" t="n">
        <v>0.3409410561309296</v>
      </c>
      <c r="AJ422" s="270" t="n">
        <v>0.493</v>
      </c>
      <c r="AK422" s="118" t="n">
        <v>0.2623116410001656</v>
      </c>
      <c r="AL422" s="118" t="n">
        <v>0.03705911574764034</v>
      </c>
      <c r="AM422" s="132" t="n">
        <v>0.01482033449246564</v>
      </c>
      <c r="AN422" s="276" t="n">
        <v>5.34</v>
      </c>
    </row>
    <row customHeight="1" ht="15" r="423" s="3">
      <c r="A423" s="117" t="n">
        <v>43764</v>
      </c>
      <c r="B423" s="289" t="inlineStr">
        <is>
          <t>安卓</t>
        </is>
      </c>
      <c r="C423" s="268" t="n">
        <v>18684</v>
      </c>
      <c r="D423" s="268" t="n">
        <v>63582</v>
      </c>
      <c r="E423" s="269" t="n">
        <v>3.4</v>
      </c>
      <c r="F423" s="270" t="n">
        <v>0.539</v>
      </c>
      <c r="G423" s="271" t="n">
        <v>11.1</v>
      </c>
      <c r="H423" s="271" t="n">
        <v>19.33</v>
      </c>
      <c r="I423" s="141" t="n">
        <v>0.248</v>
      </c>
      <c r="J423" s="141" t="n">
        <v>0.113</v>
      </c>
      <c r="K423" s="141" t="n">
        <v>0.061</v>
      </c>
      <c r="L423" s="270" t="n">
        <v>10</v>
      </c>
      <c r="M423" s="272" t="n">
        <v>10.2</v>
      </c>
      <c r="N423" s="270" t="n">
        <v>18.2</v>
      </c>
      <c r="O423" s="310" t="n">
        <v>0.5600000000000001</v>
      </c>
      <c r="P423" s="270" t="n">
        <v>2.44</v>
      </c>
      <c r="Q423" s="270" t="n">
        <v>2.84</v>
      </c>
      <c r="R423" s="270" t="n">
        <v>1.2</v>
      </c>
      <c r="S423" s="270" t="n">
        <v>6.88</v>
      </c>
      <c r="T423" s="270" t="n">
        <v>1.63</v>
      </c>
      <c r="U423" s="270" t="n">
        <v>0.453</v>
      </c>
      <c r="V423" s="270" t="n">
        <v>1.99</v>
      </c>
      <c r="W423" s="270" t="n">
        <v>0.798</v>
      </c>
      <c r="X423" s="270" t="n">
        <v>0.000126</v>
      </c>
      <c r="Y423" s="269" t="n">
        <v>10.2</v>
      </c>
      <c r="Z423" s="275" t="n">
        <v>693</v>
      </c>
      <c r="AA423" s="275" t="n">
        <v>448</v>
      </c>
      <c r="AB423" s="270" t="n">
        <v>4760</v>
      </c>
      <c r="AD423" s="276" t="n">
        <v>0.0109</v>
      </c>
      <c r="AE423" s="142" t="n">
        <v>0.00705</v>
      </c>
      <c r="AF423" s="270" t="n">
        <v>6.87</v>
      </c>
      <c r="AG423" s="277" t="n">
        <v>0.07480000000000001</v>
      </c>
      <c r="AH423" s="118" t="n">
        <v>0.4791265253692999</v>
      </c>
      <c r="AI423" s="118" t="n">
        <v>0.295546992078784</v>
      </c>
      <c r="AJ423" s="270" t="n">
        <v>0.387</v>
      </c>
      <c r="AK423" s="118" t="n">
        <v>0.2235695637130005</v>
      </c>
      <c r="AL423" s="118" t="n">
        <v>0.03334276996634267</v>
      </c>
      <c r="AM423" s="132" t="n">
        <v>0.2806297379761568</v>
      </c>
      <c r="AN423" s="276" t="n">
        <v>6.26</v>
      </c>
    </row>
    <row customHeight="1" ht="15" r="424" s="3">
      <c r="A424" s="117" t="n">
        <v>43765</v>
      </c>
      <c r="B424" s="289" t="inlineStr">
        <is>
          <t>安卓</t>
        </is>
      </c>
      <c r="C424" s="268" t="n">
        <v>21289</v>
      </c>
      <c r="D424" s="268" t="n">
        <v>67593</v>
      </c>
      <c r="E424" s="269" t="n">
        <v>3.18</v>
      </c>
      <c r="F424" s="270" t="n">
        <v>0.479</v>
      </c>
      <c r="G424" s="271" t="n">
        <v>11.2</v>
      </c>
      <c r="H424" s="271" t="n">
        <v>18.94</v>
      </c>
      <c r="I424" s="141" t="n">
        <v>0.257</v>
      </c>
      <c r="J424" s="141" t="n">
        <v>0.107</v>
      </c>
      <c r="K424" s="141" t="n">
        <v>0.064</v>
      </c>
      <c r="L424" s="270" t="n">
        <v>9.449999999999999</v>
      </c>
      <c r="M424" s="272" t="n">
        <v>9.34</v>
      </c>
      <c r="N424" s="270" t="n">
        <v>16.8</v>
      </c>
      <c r="O424" s="310" t="n">
        <v>0.556</v>
      </c>
      <c r="P424" s="270" t="n">
        <v>2.31</v>
      </c>
      <c r="Q424" s="270" t="n">
        <v>2.84</v>
      </c>
      <c r="R424" s="270" t="n">
        <v>1.07</v>
      </c>
      <c r="S424" s="270" t="n">
        <v>5.92</v>
      </c>
      <c r="T424" s="270" t="n">
        <v>1.55</v>
      </c>
      <c r="U424" s="270" t="n">
        <v>0.451</v>
      </c>
      <c r="V424" s="270" t="n">
        <v>1.85</v>
      </c>
      <c r="W424" s="270" t="n">
        <v>0.8</v>
      </c>
      <c r="X424" s="270" t="n">
        <v>0.0005330000000000001</v>
      </c>
      <c r="Y424" s="269" t="n">
        <v>9.34</v>
      </c>
      <c r="Z424" s="275" t="n">
        <v>547</v>
      </c>
      <c r="AA424" s="275" t="n">
        <v>391</v>
      </c>
      <c r="AB424" s="270" t="n">
        <v>3750</v>
      </c>
      <c r="AD424" s="276" t="n">
        <v>0.00809</v>
      </c>
      <c r="AE424" s="142" t="n">
        <v>0.00578</v>
      </c>
      <c r="AF424" s="270" t="n">
        <v>6.86</v>
      </c>
      <c r="AG424" s="277" t="n">
        <v>0.0555</v>
      </c>
      <c r="AH424" s="118" t="n">
        <v>0.4732490957771619</v>
      </c>
      <c r="AI424" s="118" t="n">
        <v>0.2864859786744328</v>
      </c>
      <c r="AJ424" s="270" t="n">
        <v>0.364</v>
      </c>
      <c r="AK424" s="118" t="n">
        <v>0.2079505274214785</v>
      </c>
      <c r="AL424" s="118" t="n">
        <v>0.03108310032103916</v>
      </c>
      <c r="AM424" s="132" t="n">
        <v>0.2854881422632521</v>
      </c>
      <c r="AN424" s="276" t="n">
        <v>6.8</v>
      </c>
    </row>
    <row customHeight="1" ht="15" r="425" s="3">
      <c r="A425" s="117" t="n">
        <v>43766</v>
      </c>
      <c r="B425" s="289" t="inlineStr">
        <is>
          <t>安卓</t>
        </is>
      </c>
      <c r="C425" s="268" t="n">
        <v>21185</v>
      </c>
      <c r="D425" s="268" t="n">
        <v>68449</v>
      </c>
      <c r="E425" s="269" t="n">
        <v>3.23</v>
      </c>
      <c r="F425" s="270" t="n">
        <v>0.487</v>
      </c>
      <c r="G425" s="271" t="n">
        <v>11.41</v>
      </c>
      <c r="H425" s="271" t="n">
        <v>19.59</v>
      </c>
      <c r="I425" s="141" t="n">
        <v>0.253</v>
      </c>
      <c r="J425" s="141" t="n">
        <v>0.117</v>
      </c>
      <c r="K425" s="141" t="n">
        <v>0.067</v>
      </c>
      <c r="L425" s="270" t="n">
        <v>9.390000000000001</v>
      </c>
      <c r="M425" s="272" t="n">
        <v>9.279999999999999</v>
      </c>
      <c r="N425" s="270" t="n">
        <v>16.5</v>
      </c>
      <c r="O425" s="310" t="n">
        <v>0.5639999999999999</v>
      </c>
      <c r="P425" s="270" t="n">
        <v>2.31</v>
      </c>
      <c r="Q425" s="270" t="n">
        <v>2.88</v>
      </c>
      <c r="R425" s="270" t="n">
        <v>1.03</v>
      </c>
      <c r="S425" s="270" t="n">
        <v>5.57</v>
      </c>
      <c r="T425" s="270" t="n">
        <v>1.56</v>
      </c>
      <c r="U425" s="270" t="n">
        <v>0.456</v>
      </c>
      <c r="V425" s="270" t="n">
        <v>1.84</v>
      </c>
      <c r="W425" s="270" t="n">
        <v>0.8120000000000001</v>
      </c>
      <c r="X425" s="270" t="n">
        <v>0.00019</v>
      </c>
      <c r="Y425" s="269" t="n">
        <v>9.279999999999999</v>
      </c>
      <c r="Z425" s="275" t="n">
        <v>618</v>
      </c>
      <c r="AA425" s="275" t="n">
        <v>419</v>
      </c>
      <c r="AB425" s="270" t="n">
        <v>3940</v>
      </c>
      <c r="AD425" s="276" t="n">
        <v>0.00903</v>
      </c>
      <c r="AE425" s="142" t="n">
        <v>0.00612</v>
      </c>
      <c r="AF425" s="270" t="n">
        <v>6.38</v>
      </c>
      <c r="AG425" s="277" t="n">
        <v>0.0576</v>
      </c>
      <c r="AH425" s="118" t="n">
        <v>0.4803398631106915</v>
      </c>
      <c r="AI425" s="118" t="n">
        <v>0.3094642435685627</v>
      </c>
      <c r="AJ425" s="270" t="n">
        <v>0.391</v>
      </c>
      <c r="AK425" s="118" t="n">
        <v>0.2134728045698257</v>
      </c>
      <c r="AL425" s="118" t="n">
        <v>0.03189235781384681</v>
      </c>
      <c r="AM425" s="132" t="n">
        <v>0.288579818551038</v>
      </c>
      <c r="AN425" s="276" t="n">
        <v>5.86</v>
      </c>
    </row>
    <row customHeight="1" ht="15" r="426" s="3">
      <c r="A426" s="117" t="n">
        <v>43767</v>
      </c>
      <c r="B426" s="289" t="inlineStr">
        <is>
          <t>安卓</t>
        </is>
      </c>
      <c r="C426" s="268" t="n">
        <v>19525</v>
      </c>
      <c r="D426" s="268" t="n">
        <v>65779</v>
      </c>
      <c r="E426" s="269" t="n">
        <v>3.37</v>
      </c>
      <c r="F426" s="270" t="n">
        <v>0.473</v>
      </c>
      <c r="G426" s="271" t="n">
        <v>13.04</v>
      </c>
      <c r="H426" s="271" t="n">
        <v>22.74</v>
      </c>
      <c r="I426" s="141" t="n">
        <v>0.26</v>
      </c>
      <c r="J426" s="141" t="n">
        <v>0.12</v>
      </c>
      <c r="K426" s="141" t="n">
        <v>0.061</v>
      </c>
      <c r="L426" s="270" t="n">
        <v>8.960000000000001</v>
      </c>
      <c r="M426" s="272" t="n">
        <v>8.619999999999999</v>
      </c>
      <c r="N426" s="270" t="n">
        <v>15.2</v>
      </c>
      <c r="O426" s="310" t="n">
        <v>0.5669999999999999</v>
      </c>
      <c r="P426" s="270" t="n">
        <v>2.16</v>
      </c>
      <c r="Q426" s="270" t="n">
        <v>2.64</v>
      </c>
      <c r="R426" s="270" t="n">
        <v>0.9389999999999999</v>
      </c>
      <c r="S426" s="270" t="n">
        <v>5.05</v>
      </c>
      <c r="T426" s="270" t="n">
        <v>1.45</v>
      </c>
      <c r="U426" s="270" t="n">
        <v>0.478</v>
      </c>
      <c r="V426" s="270" t="n">
        <v>1.72</v>
      </c>
      <c r="W426" s="270" t="n">
        <v>0.778</v>
      </c>
      <c r="X426" s="270" t="n">
        <v>0.000213</v>
      </c>
      <c r="Y426" s="269" t="n">
        <v>8.619999999999999</v>
      </c>
      <c r="Z426" s="275" t="n">
        <v>493</v>
      </c>
      <c r="AA426" s="275" t="n">
        <v>360</v>
      </c>
      <c r="AB426" s="270" t="n">
        <v>2830</v>
      </c>
      <c r="AD426" s="276" t="n">
        <v>0.00749</v>
      </c>
      <c r="AE426" s="142" t="n">
        <v>0.00547</v>
      </c>
      <c r="AF426" s="270" t="n">
        <v>5.74</v>
      </c>
      <c r="AG426" s="277" t="n">
        <v>0.0431</v>
      </c>
      <c r="AH426" s="118" t="n">
        <v>0.4710371318822023</v>
      </c>
      <c r="AI426" s="118" t="n">
        <v>0.3134443021766966</v>
      </c>
      <c r="AJ426" s="270" t="n">
        <v>0.426</v>
      </c>
      <c r="AK426" s="118" t="n">
        <v>0.2304534881953207</v>
      </c>
      <c r="AL426" s="118" t="n">
        <v>0.03522400766201979</v>
      </c>
      <c r="AM426" s="132" t="n">
        <v>0.2451846333936363</v>
      </c>
      <c r="AN426" s="276" t="n">
        <v>5.89</v>
      </c>
    </row>
    <row customFormat="1" customHeight="1" ht="15" r="427" s="294">
      <c r="A427" s="121" t="n">
        <v>43768</v>
      </c>
      <c r="B427" s="295" t="inlineStr">
        <is>
          <t>安卓</t>
        </is>
      </c>
      <c r="C427" s="296" t="n">
        <v>16334</v>
      </c>
      <c r="D427" s="296" t="n">
        <v>60765</v>
      </c>
      <c r="E427" s="297" t="n">
        <v>3.72</v>
      </c>
      <c r="F427" s="294" t="n">
        <v>0.405</v>
      </c>
      <c r="G427" s="306" t="n">
        <v>12.93</v>
      </c>
      <c r="H427" s="306" t="n">
        <v>22.34</v>
      </c>
      <c r="I427" s="123" t="n">
        <v>0.248</v>
      </c>
      <c r="J427" s="123" t="n">
        <v>0.12</v>
      </c>
      <c r="K427" s="123" t="n">
        <v>0.063</v>
      </c>
      <c r="L427" s="294" t="n">
        <v>8.26</v>
      </c>
      <c r="M427" s="299" t="n">
        <v>7.64</v>
      </c>
      <c r="N427" s="294" t="n">
        <v>13.5</v>
      </c>
      <c r="O427" s="300" t="n">
        <v>0.5679999999999999</v>
      </c>
      <c r="P427" s="294" t="n">
        <v>1.96</v>
      </c>
      <c r="Q427" s="294" t="n">
        <v>2.28</v>
      </c>
      <c r="R427" s="294" t="n">
        <v>0.837</v>
      </c>
      <c r="S427" s="294" t="n">
        <v>4.35</v>
      </c>
      <c r="T427" s="294" t="n">
        <v>1.28</v>
      </c>
      <c r="U427" s="294" t="n">
        <v>0.514</v>
      </c>
      <c r="V427" s="294" t="n">
        <v>1.52</v>
      </c>
      <c r="W427" s="294" t="n">
        <v>0.721</v>
      </c>
      <c r="X427" s="294" t="n">
        <v>0.000247</v>
      </c>
      <c r="Y427" s="297" t="n">
        <v>7.64</v>
      </c>
      <c r="Z427" s="293" t="n">
        <v>420</v>
      </c>
      <c r="AA427" s="293" t="n">
        <v>298</v>
      </c>
      <c r="AB427" s="294" t="n">
        <v>2060</v>
      </c>
      <c r="AC427" s="302" t="n"/>
      <c r="AD427" s="303" t="n">
        <v>0.00691</v>
      </c>
      <c r="AE427" s="124" t="n">
        <v>0.0049</v>
      </c>
      <c r="AF427" s="294" t="n">
        <v>4.9</v>
      </c>
      <c r="AG427" s="304" t="n">
        <v>0.0339</v>
      </c>
      <c r="AH427" s="125" t="n">
        <v>0.4882453777396841</v>
      </c>
      <c r="AI427" s="125" t="n">
        <v>0.3399044936941349</v>
      </c>
      <c r="AJ427" s="294" t="n">
        <v>0.503</v>
      </c>
      <c r="AK427" s="126" t="n">
        <v>0.2620422940837653</v>
      </c>
      <c r="AL427" s="126" t="n">
        <v>0.04012178063029705</v>
      </c>
      <c r="AM427" s="127" t="n">
        <v>0.04818563317699334</v>
      </c>
      <c r="AN427" s="276" t="n">
        <v>5.42</v>
      </c>
    </row>
    <row customHeight="1" ht="15" r="428" s="3">
      <c r="A428" s="117" t="n">
        <v>43769</v>
      </c>
      <c r="B428" s="267" t="inlineStr">
        <is>
          <t>安卓</t>
        </is>
      </c>
      <c r="C428" s="268" t="n">
        <v>11244</v>
      </c>
      <c r="D428" s="268" t="n">
        <v>53981</v>
      </c>
      <c r="E428" s="269" t="n">
        <v>4.8</v>
      </c>
      <c r="F428" s="270" t="n">
        <v>0.418</v>
      </c>
      <c r="G428" s="271" t="n">
        <v>12.4</v>
      </c>
      <c r="H428" s="271" t="n">
        <v>21.1</v>
      </c>
      <c r="I428" s="141" t="n">
        <v>0.242</v>
      </c>
      <c r="J428" s="141" t="n">
        <v>0.122</v>
      </c>
      <c r="K428" s="141" t="n">
        <v>0.061</v>
      </c>
      <c r="L428" s="270" t="n">
        <v>8.5</v>
      </c>
      <c r="M428" s="272" t="n">
        <v>7.93</v>
      </c>
      <c r="N428" s="270" t="n">
        <v>13.6</v>
      </c>
      <c r="O428" s="310" t="n">
        <v>0.584</v>
      </c>
      <c r="P428" s="270" t="n">
        <v>1.97</v>
      </c>
      <c r="Q428" s="270" t="n">
        <v>2.31</v>
      </c>
      <c r="R428" s="270" t="n">
        <v>0.851</v>
      </c>
      <c r="S428" s="270" t="n">
        <v>4.39</v>
      </c>
      <c r="T428" s="270" t="n">
        <v>1.3</v>
      </c>
      <c r="U428" s="270" t="n">
        <v>0.499</v>
      </c>
      <c r="V428" s="270" t="n">
        <v>1.53</v>
      </c>
      <c r="W428" s="270" t="n">
        <v>0.726</v>
      </c>
      <c r="X428" s="270" t="n">
        <v>0.0013</v>
      </c>
      <c r="Y428" s="269" t="n">
        <v>7.93</v>
      </c>
      <c r="Z428" s="275" t="n">
        <v>365</v>
      </c>
      <c r="AA428" s="275" t="n">
        <v>271</v>
      </c>
      <c r="AB428" s="270" t="n">
        <v>2140</v>
      </c>
      <c r="AD428" s="276" t="n">
        <v>0.00676</v>
      </c>
      <c r="AE428" s="142" t="n">
        <v>0.00502</v>
      </c>
      <c r="AF428" s="270" t="n">
        <v>5.86</v>
      </c>
      <c r="AG428" s="277" t="n">
        <v>0.0396</v>
      </c>
      <c r="AH428" s="118" t="n">
        <v>0.5195659907506226</v>
      </c>
      <c r="AI428" s="118" t="n">
        <v>0.3960334400569193</v>
      </c>
      <c r="AJ428" s="270" t="n">
        <v>0.519</v>
      </c>
      <c r="AK428" s="118" t="n">
        <v>0.2877493933050518</v>
      </c>
      <c r="AL428" s="118" t="n">
        <v>0.04231118356458754</v>
      </c>
      <c r="AM428" s="132" t="n">
        <v>0.02228561901409755</v>
      </c>
      <c r="AN428" s="276" t="n">
        <v>5.03</v>
      </c>
    </row>
    <row customHeight="1" ht="13.8" r="429" s="3">
      <c r="A429" s="117" t="n">
        <v>43770</v>
      </c>
      <c r="B429" s="267" t="inlineStr">
        <is>
          <t>安卓</t>
        </is>
      </c>
      <c r="C429" s="268" t="n">
        <v>9558</v>
      </c>
      <c r="D429" s="268" t="n">
        <v>49828</v>
      </c>
      <c r="E429" s="269" t="n">
        <v>5.21</v>
      </c>
      <c r="F429" s="270" t="n">
        <v>0.376</v>
      </c>
      <c r="G429" s="271" t="n">
        <v>11.26</v>
      </c>
      <c r="H429" s="271" t="n">
        <v>19.8</v>
      </c>
      <c r="I429" s="141" t="n">
        <v>0.237</v>
      </c>
      <c r="J429" s="141" t="n">
        <v>0.112</v>
      </c>
      <c r="K429" s="141" t="n">
        <v>0.06</v>
      </c>
      <c r="L429" s="270" t="n">
        <v>8.49</v>
      </c>
      <c r="M429" s="272" t="n">
        <v>7.74</v>
      </c>
      <c r="N429" s="270" t="n">
        <v>13.2</v>
      </c>
      <c r="O429" s="310" t="n">
        <v>0.586</v>
      </c>
      <c r="P429" s="270" t="n">
        <v>2</v>
      </c>
      <c r="Q429" s="270" t="n">
        <v>2.23</v>
      </c>
      <c r="R429" s="270" t="n">
        <v>0.831</v>
      </c>
      <c r="S429" s="270" t="n">
        <v>4.12</v>
      </c>
      <c r="T429" s="270" t="n">
        <v>1.31</v>
      </c>
      <c r="U429" s="270" t="n">
        <v>0.5</v>
      </c>
      <c r="V429" s="270" t="n">
        <v>1.48</v>
      </c>
      <c r="W429" s="270" t="n">
        <v>0.741</v>
      </c>
      <c r="X429" s="270" t="n">
        <v>0.000702</v>
      </c>
      <c r="Y429" s="269" t="n">
        <v>7.74</v>
      </c>
      <c r="Z429" s="275" t="n">
        <v>374</v>
      </c>
      <c r="AA429" s="275" t="n">
        <v>262</v>
      </c>
      <c r="AB429" s="270" t="n">
        <v>1900</v>
      </c>
      <c r="AD429" s="276" t="n">
        <v>0.00751</v>
      </c>
      <c r="AE429" s="142" t="n">
        <v>0.00526</v>
      </c>
      <c r="AF429" s="270" t="n">
        <v>5.08</v>
      </c>
      <c r="AG429" s="277" t="n">
        <v>0.0381</v>
      </c>
      <c r="AH429" s="118" t="n">
        <v>0.511508683825068</v>
      </c>
      <c r="AI429" s="118" t="n">
        <v>0.3988282067378113</v>
      </c>
      <c r="AJ429" s="270" t="n">
        <v>0.514</v>
      </c>
      <c r="AK429" s="118" t="n">
        <v>0.2985068636108212</v>
      </c>
      <c r="AL429" s="118" t="n">
        <v>0.04511519627518664</v>
      </c>
      <c r="AM429" s="132" t="n">
        <v>0.01621578229108132</v>
      </c>
      <c r="AN429" s="276" t="n">
        <v>4.63</v>
      </c>
    </row>
    <row customHeight="1" ht="13.8" r="430" s="3">
      <c r="A430" s="117" t="n">
        <v>43771</v>
      </c>
      <c r="B430" s="316" t="inlineStr">
        <is>
          <t>安卓</t>
        </is>
      </c>
      <c r="C430" s="268" t="n">
        <v>11063</v>
      </c>
      <c r="D430" s="268" t="n">
        <v>51956</v>
      </c>
      <c r="E430" s="269" t="n">
        <v>4.7</v>
      </c>
      <c r="F430" s="270" t="n">
        <v>0.569</v>
      </c>
      <c r="G430" s="271" t="n">
        <v>10.27</v>
      </c>
      <c r="H430" s="271" t="n">
        <v>18.42</v>
      </c>
      <c r="I430" s="141" t="n">
        <v>0.276</v>
      </c>
      <c r="J430" s="141" t="n">
        <v>0.115</v>
      </c>
      <c r="K430" s="141" t="n">
        <v>0.063</v>
      </c>
      <c r="L430" s="270" t="n">
        <v>11.2</v>
      </c>
      <c r="M430" s="272" t="n">
        <v>11.5</v>
      </c>
      <c r="N430" s="270" t="n">
        <v>19.2</v>
      </c>
      <c r="O430" s="310" t="n">
        <v>0.597</v>
      </c>
      <c r="P430" s="270" t="n">
        <v>2.49</v>
      </c>
      <c r="Q430" s="270" t="n">
        <v>2.93</v>
      </c>
      <c r="R430" s="270" t="n">
        <v>1.32</v>
      </c>
      <c r="S430" s="270" t="n">
        <v>7.36</v>
      </c>
      <c r="T430" s="270" t="n">
        <v>1.71</v>
      </c>
      <c r="U430" s="270" t="n">
        <v>0.432</v>
      </c>
      <c r="V430" s="270" t="n">
        <v>2.13</v>
      </c>
      <c r="W430" s="270" t="n">
        <v>0.831</v>
      </c>
      <c r="X430" s="270" t="n">
        <v>0.00115</v>
      </c>
      <c r="Y430" s="269" t="n">
        <v>11.5</v>
      </c>
      <c r="Z430" s="275" t="n">
        <v>614</v>
      </c>
      <c r="AA430" s="275" t="n">
        <v>385</v>
      </c>
      <c r="AB430" s="270" t="n">
        <v>3980</v>
      </c>
      <c r="AD430" s="276" t="n">
        <v>0.0118</v>
      </c>
      <c r="AE430" s="142" t="n">
        <v>0.00741</v>
      </c>
      <c r="AF430" s="270" t="n">
        <v>6.48</v>
      </c>
      <c r="AG430" s="277" t="n">
        <v>0.0765</v>
      </c>
      <c r="AH430" s="118" t="n">
        <v>0.483413179065353</v>
      </c>
      <c r="AI430" s="118" t="n">
        <v>0.3153755762451415</v>
      </c>
      <c r="AJ430" s="270" t="n">
        <v>0.413</v>
      </c>
      <c r="AK430" s="118" t="n">
        <v>0.2625105858803603</v>
      </c>
      <c r="AL430" s="118" t="n">
        <v>0.04153514512279621</v>
      </c>
      <c r="AM430" s="132" t="n">
        <v>0.3235622449765186</v>
      </c>
      <c r="AN430" s="276" t="n">
        <v>6.51</v>
      </c>
    </row>
    <row customHeight="1" ht="15" r="431" s="3">
      <c r="A431" s="117" t="n">
        <v>43772</v>
      </c>
      <c r="B431" s="317" t="inlineStr">
        <is>
          <t>安卓</t>
        </is>
      </c>
      <c r="C431" s="268" t="n">
        <v>16550</v>
      </c>
      <c r="D431" s="268" t="n">
        <v>58220</v>
      </c>
      <c r="E431" s="269" t="n">
        <v>3.52</v>
      </c>
      <c r="F431" s="270" t="n">
        <v>0.489</v>
      </c>
      <c r="G431" s="271" t="n">
        <v>10.53</v>
      </c>
      <c r="H431" s="271" t="n">
        <v>18.55</v>
      </c>
      <c r="I431" s="141" t="n">
        <v>0.244</v>
      </c>
      <c r="J431" s="141" t="n">
        <v>0.108</v>
      </c>
      <c r="K431" s="141" t="n">
        <v>0.063</v>
      </c>
      <c r="L431" s="270" t="n">
        <v>10.3</v>
      </c>
      <c r="M431" s="272" t="n">
        <v>10.3</v>
      </c>
      <c r="N431" s="270" t="n">
        <v>17.9</v>
      </c>
      <c r="O431" s="310" t="n">
        <v>0.578</v>
      </c>
      <c r="P431" s="270" t="n">
        <v>2.4</v>
      </c>
      <c r="Q431" s="270" t="n">
        <v>2.99</v>
      </c>
      <c r="R431" s="270" t="n">
        <v>1.18</v>
      </c>
      <c r="S431" s="270" t="n">
        <v>6.43</v>
      </c>
      <c r="T431" s="270" t="n">
        <v>1.65</v>
      </c>
      <c r="U431" s="270" t="n">
        <v>0.446</v>
      </c>
      <c r="V431" s="270" t="n">
        <v>1.97</v>
      </c>
      <c r="W431" s="270" t="n">
        <v>0.824</v>
      </c>
      <c r="X431" s="270" t="n">
        <v>0.000962</v>
      </c>
      <c r="Y431" s="269" t="n">
        <v>10.3</v>
      </c>
      <c r="Z431" s="275" t="n">
        <v>520</v>
      </c>
      <c r="AA431" s="275" t="n">
        <v>344</v>
      </c>
      <c r="AB431" s="270" t="n">
        <v>3240</v>
      </c>
      <c r="AD431" s="276" t="n">
        <v>0.00893</v>
      </c>
      <c r="AE431" s="142" t="n">
        <v>0.00591</v>
      </c>
      <c r="AF431" s="270" t="n">
        <v>6.23</v>
      </c>
      <c r="AG431" s="277" t="n">
        <v>0.0556</v>
      </c>
      <c r="AH431" s="118" t="n">
        <v>0.4764954682779456</v>
      </c>
      <c r="AI431" s="118" t="n">
        <v>0.2984894259818731</v>
      </c>
      <c r="AJ431" s="270" t="n">
        <v>0.389</v>
      </c>
      <c r="AK431" s="118" t="n">
        <v>0.2306767433871522</v>
      </c>
      <c r="AL431" s="118" t="n">
        <v>0.03716935760906905</v>
      </c>
      <c r="AM431" s="132" t="n">
        <v>0.3127962899347304</v>
      </c>
      <c r="AN431" s="276" t="n">
        <v>5.55</v>
      </c>
    </row>
    <row customHeight="1" ht="15" r="432" s="3">
      <c r="A432" s="117" t="n">
        <v>43773</v>
      </c>
      <c r="B432" s="318" t="inlineStr">
        <is>
          <t>安卓</t>
        </is>
      </c>
      <c r="C432" s="268" t="n">
        <v>17203</v>
      </c>
      <c r="D432" s="268" t="n">
        <v>59539</v>
      </c>
      <c r="E432" s="269" t="n">
        <v>3.46</v>
      </c>
      <c r="F432" s="270" t="n">
        <v>0.487</v>
      </c>
      <c r="G432" s="271" t="n">
        <v>10.95</v>
      </c>
      <c r="H432" s="271" t="n">
        <v>18.96</v>
      </c>
      <c r="I432" s="141" t="n">
        <v>0.247</v>
      </c>
      <c r="J432" s="141" t="n">
        <v>0.117</v>
      </c>
      <c r="K432" s="141" t="n">
        <v>0.06</v>
      </c>
      <c r="L432" s="270" t="n">
        <v>10</v>
      </c>
      <c r="M432" s="272" t="n">
        <v>9.82</v>
      </c>
      <c r="N432" s="270" t="n">
        <v>16.9</v>
      </c>
      <c r="O432" s="310" t="n">
        <v>0.58</v>
      </c>
      <c r="P432" s="270" t="n">
        <v>2.33</v>
      </c>
      <c r="Q432" s="270" t="n">
        <v>2.92</v>
      </c>
      <c r="R432" s="270" t="n">
        <v>1.07</v>
      </c>
      <c r="S432" s="270" t="n">
        <v>5.87</v>
      </c>
      <c r="T432" s="270" t="n">
        <v>1.61</v>
      </c>
      <c r="U432" s="270" t="n">
        <v>0.438</v>
      </c>
      <c r="V432" s="270" t="n">
        <v>1.87</v>
      </c>
      <c r="W432" s="270" t="n">
        <v>0.8149999999999999</v>
      </c>
      <c r="X432" s="270" t="n">
        <v>0.000705</v>
      </c>
      <c r="Y432" s="269" t="n">
        <v>9.82</v>
      </c>
      <c r="Z432" s="275" t="n">
        <v>498</v>
      </c>
      <c r="AA432" s="275" t="n">
        <v>348</v>
      </c>
      <c r="AB432" s="270" t="n">
        <v>3330</v>
      </c>
      <c r="AD432" s="276" t="n">
        <v>0.008359999999999999</v>
      </c>
      <c r="AE432" s="142" t="n">
        <v>0.00584</v>
      </c>
      <c r="AF432" s="270" t="n">
        <v>6.69</v>
      </c>
      <c r="AG432" s="277" t="n">
        <v>0.0559</v>
      </c>
      <c r="AH432" s="118" t="n">
        <v>0.4695111317793408</v>
      </c>
      <c r="AI432" s="118" t="n">
        <v>0.2913445329303029</v>
      </c>
      <c r="AJ432" s="270" t="n">
        <v>0.402</v>
      </c>
      <c r="AK432" s="118" t="n">
        <v>0.2270948453954551</v>
      </c>
      <c r="AL432" s="118" t="n">
        <v>0.03708493592435211</v>
      </c>
      <c r="AM432" s="132" t="n">
        <v>0.3059171299484372</v>
      </c>
      <c r="AN432" s="276" t="n">
        <v>5.81</v>
      </c>
    </row>
    <row customHeight="1" ht="15" r="433" s="3">
      <c r="A433" s="117" t="n">
        <v>43774</v>
      </c>
      <c r="B433" s="319" t="inlineStr">
        <is>
          <t>安卓</t>
        </is>
      </c>
      <c r="C433" s="268" t="n">
        <v>12975</v>
      </c>
      <c r="D433" s="268" t="n">
        <v>53839</v>
      </c>
      <c r="E433" s="269" t="n">
        <v>4.15</v>
      </c>
      <c r="F433" s="270" t="n">
        <v>0.466</v>
      </c>
      <c r="G433" s="271" t="n">
        <v>11.85</v>
      </c>
      <c r="H433" s="271" t="n">
        <v>20.62</v>
      </c>
      <c r="I433" s="141" t="n">
        <v>0.24</v>
      </c>
      <c r="J433" s="141" t="n">
        <v>0.115</v>
      </c>
      <c r="K433" s="141" t="n">
        <v>0.064</v>
      </c>
      <c r="L433" s="270" t="n">
        <v>9.74</v>
      </c>
      <c r="M433" s="272" t="n">
        <v>9.48</v>
      </c>
      <c r="N433" s="270" t="n">
        <v>15.9</v>
      </c>
      <c r="O433" s="310" t="n">
        <v>0.597</v>
      </c>
      <c r="P433" s="270" t="n">
        <v>2.21</v>
      </c>
      <c r="Q433" s="270" t="n">
        <v>2.77</v>
      </c>
      <c r="R433" s="270" t="n">
        <v>0.996</v>
      </c>
      <c r="S433" s="270" t="n">
        <v>5.34</v>
      </c>
      <c r="T433" s="270" t="n">
        <v>1.52</v>
      </c>
      <c r="U433" s="270" t="n">
        <v>0.469</v>
      </c>
      <c r="V433" s="270" t="n">
        <v>1.78</v>
      </c>
      <c r="W433" s="270" t="n">
        <v>0.795</v>
      </c>
      <c r="X433" s="270" t="n">
        <v>0.00124</v>
      </c>
      <c r="Y433" s="269" t="n">
        <v>9.48</v>
      </c>
      <c r="Z433" s="275" t="n">
        <v>398</v>
      </c>
      <c r="AA433" s="275" t="n">
        <v>285</v>
      </c>
      <c r="AB433" s="270" t="n">
        <v>2220</v>
      </c>
      <c r="AD433" s="276" t="n">
        <v>0.00739</v>
      </c>
      <c r="AE433" s="142" t="n">
        <v>0.00529</v>
      </c>
      <c r="AF433" s="270" t="n">
        <v>5.59</v>
      </c>
      <c r="AG433" s="277" t="n">
        <v>0.0413</v>
      </c>
      <c r="AH433" s="118" t="n">
        <v>0.4920231213872832</v>
      </c>
      <c r="AI433" s="118" t="n">
        <v>0.3361849710982659</v>
      </c>
      <c r="AJ433" s="270" t="n">
        <v>0.453</v>
      </c>
      <c r="AK433" s="118" t="n">
        <v>0.2570070023588849</v>
      </c>
      <c r="AL433" s="118" t="n">
        <v>0.04288712643251175</v>
      </c>
      <c r="AM433" s="132" t="n">
        <v>0.2825832574899236</v>
      </c>
      <c r="AN433" s="276" t="n">
        <v>4.88</v>
      </c>
    </row>
    <row customFormat="1" customHeight="1" ht="15" r="434" s="294">
      <c r="A434" s="121" t="n">
        <v>43775</v>
      </c>
      <c r="B434" s="295" t="inlineStr">
        <is>
          <t>安卓</t>
        </is>
      </c>
      <c r="C434" s="296" t="n">
        <v>8732</v>
      </c>
      <c r="D434" s="296" t="n">
        <v>47186</v>
      </c>
      <c r="E434" s="297" t="n">
        <v>5.4</v>
      </c>
      <c r="F434" s="294" t="n">
        <v>0.434</v>
      </c>
      <c r="G434" s="306" t="n">
        <v>12.78</v>
      </c>
      <c r="H434" s="306" t="n">
        <v>21.86</v>
      </c>
      <c r="I434" s="123" t="n">
        <v>0.249</v>
      </c>
      <c r="J434" s="123" t="n">
        <v>0.124</v>
      </c>
      <c r="K434" s="123" t="n">
        <v>0.065</v>
      </c>
      <c r="L434" s="294" t="n">
        <v>8.91</v>
      </c>
      <c r="M434" s="299" t="n">
        <v>8.18</v>
      </c>
      <c r="N434" s="294" t="n">
        <v>13.5</v>
      </c>
      <c r="O434" s="300" t="n">
        <v>0.604</v>
      </c>
      <c r="P434" s="294" t="n">
        <v>2.01</v>
      </c>
      <c r="Q434" s="294" t="n">
        <v>2.24</v>
      </c>
      <c r="R434" s="294" t="n">
        <v>0.867</v>
      </c>
      <c r="S434" s="294" t="n">
        <v>4.4</v>
      </c>
      <c r="T434" s="294" t="n">
        <v>1.33</v>
      </c>
      <c r="U434" s="294" t="n">
        <v>0.49</v>
      </c>
      <c r="V434" s="294" t="n">
        <v>1.5</v>
      </c>
      <c r="W434" s="294" t="n">
        <v>0.715</v>
      </c>
      <c r="X434" s="294" t="n">
        <v>0.000127</v>
      </c>
      <c r="Y434" s="297" t="n">
        <v>8.18</v>
      </c>
      <c r="Z434" s="293" t="n">
        <v>344</v>
      </c>
      <c r="AA434" s="293" t="n">
        <v>230</v>
      </c>
      <c r="AB434" s="294" t="n">
        <v>1730</v>
      </c>
      <c r="AC434" s="302" t="n"/>
      <c r="AD434" s="303" t="n">
        <v>0.00729</v>
      </c>
      <c r="AE434" s="124" t="n">
        <v>0.00487</v>
      </c>
      <c r="AF434" s="294" t="n">
        <v>5.03</v>
      </c>
      <c r="AG434" s="304" t="n">
        <v>0.0367</v>
      </c>
      <c r="AH434" s="125" t="n">
        <v>0.5229042601923958</v>
      </c>
      <c r="AI434" s="125" t="n">
        <v>0.4073522675217591</v>
      </c>
      <c r="AJ434" s="294" t="n">
        <v>0.542</v>
      </c>
      <c r="AK434" s="126" t="n">
        <v>0.3029288348238884</v>
      </c>
      <c r="AL434" s="126" t="n">
        <v>0.04984529309540966</v>
      </c>
      <c r="AM434" s="127" t="n">
        <v>0.05730513287839614</v>
      </c>
      <c r="AN434" s="276" t="n">
        <v>5.15</v>
      </c>
    </row>
    <row customHeight="1" ht="15" r="435" s="3">
      <c r="A435" s="117" t="n">
        <v>43776</v>
      </c>
      <c r="B435" s="267" t="inlineStr">
        <is>
          <t>安卓</t>
        </is>
      </c>
      <c r="C435" s="268" t="n">
        <v>8734</v>
      </c>
      <c r="D435" s="268" t="n">
        <v>45387</v>
      </c>
      <c r="E435" s="269" t="n">
        <v>5.2</v>
      </c>
      <c r="F435" s="270" t="n">
        <v>0.444</v>
      </c>
      <c r="G435" s="271" t="n">
        <v>12.76</v>
      </c>
      <c r="H435" s="271" t="n">
        <v>21.98</v>
      </c>
      <c r="I435" s="141" t="n">
        <v>0.256</v>
      </c>
      <c r="J435" s="141" t="n">
        <v>0.124</v>
      </c>
      <c r="K435" s="141" t="n">
        <v>0.064</v>
      </c>
      <c r="L435" s="270" t="n">
        <v>8.75</v>
      </c>
      <c r="M435" s="272" t="n">
        <v>8.15</v>
      </c>
      <c r="N435" s="270" t="n">
        <v>13.7</v>
      </c>
      <c r="O435" s="310" t="n">
        <v>0.594</v>
      </c>
      <c r="P435" s="270" t="n">
        <v>2.06</v>
      </c>
      <c r="Q435" s="270" t="n">
        <v>2.24</v>
      </c>
      <c r="R435" s="270" t="n">
        <v>0.858</v>
      </c>
      <c r="S435" s="270" t="n">
        <v>4.44</v>
      </c>
      <c r="T435" s="270" t="n">
        <v>1.35</v>
      </c>
      <c r="U435" s="270" t="n">
        <v>0.499</v>
      </c>
      <c r="V435" s="270" t="n">
        <v>1.53</v>
      </c>
      <c r="W435" s="270" t="n">
        <v>0.735</v>
      </c>
      <c r="X435" s="270" t="n">
        <v>0.000308</v>
      </c>
      <c r="Y435" s="269" t="n">
        <v>8.15</v>
      </c>
      <c r="Z435" s="275" t="n">
        <v>346</v>
      </c>
      <c r="AA435" s="275" t="n">
        <v>243</v>
      </c>
      <c r="AB435" s="270" t="n">
        <v>1920</v>
      </c>
      <c r="AD435" s="276" t="n">
        <v>0.00762</v>
      </c>
      <c r="AE435" s="142" t="n">
        <v>0.00535</v>
      </c>
      <c r="AF435" s="270" t="n">
        <v>5.55</v>
      </c>
      <c r="AG435" s="277" t="n">
        <v>0.0423</v>
      </c>
      <c r="AH435" s="118" t="n">
        <v>0.4966796427753606</v>
      </c>
      <c r="AI435" s="118" t="n">
        <v>0.3446301809022212</v>
      </c>
      <c r="AJ435" s="270" t="n">
        <v>0.522</v>
      </c>
      <c r="AK435" s="118" t="n">
        <v>0.3110361997928923</v>
      </c>
      <c r="AL435" s="118" t="n">
        <v>0.04997025580011898</v>
      </c>
      <c r="AM435" s="132" t="n">
        <v>0.02527155352854342</v>
      </c>
      <c r="AN435" s="276" t="n">
        <v>4.18</v>
      </c>
    </row>
    <row customHeight="1" ht="15" r="436" s="3">
      <c r="A436" s="117" t="n">
        <v>43777</v>
      </c>
      <c r="B436" s="267" t="inlineStr">
        <is>
          <t>安卓</t>
        </is>
      </c>
      <c r="C436" s="268" t="n">
        <v>6871</v>
      </c>
      <c r="D436" s="268" t="n">
        <v>42426</v>
      </c>
      <c r="E436" s="269" t="n">
        <v>6.17</v>
      </c>
      <c r="F436" s="270" t="n">
        <v>0.407</v>
      </c>
      <c r="G436" s="271" t="n">
        <v>11.77</v>
      </c>
      <c r="H436" s="271" t="n">
        <v>20.38</v>
      </c>
      <c r="I436" s="141" t="n">
        <v>0.248</v>
      </c>
      <c r="J436" s="141" t="n">
        <v>0.121</v>
      </c>
      <c r="K436" s="141" t="n">
        <v>0.064</v>
      </c>
      <c r="L436" s="270" t="n">
        <v>8.68</v>
      </c>
      <c r="M436" s="272" t="n">
        <v>8.09</v>
      </c>
      <c r="N436" s="270" t="n">
        <v>13.5</v>
      </c>
      <c r="O436" s="310" t="n">
        <v>0.599</v>
      </c>
      <c r="P436" s="270" t="n">
        <v>2.03</v>
      </c>
      <c r="Q436" s="270" t="n">
        <v>2.25</v>
      </c>
      <c r="R436" s="270" t="n">
        <v>0.85</v>
      </c>
      <c r="S436" s="270" t="n">
        <v>4.28</v>
      </c>
      <c r="T436" s="270" t="n">
        <v>1.36</v>
      </c>
      <c r="U436" s="270" t="n">
        <v>0.489</v>
      </c>
      <c r="V436" s="270" t="n">
        <v>1.51</v>
      </c>
      <c r="W436" s="270" t="n">
        <v>0.729</v>
      </c>
      <c r="X436" s="270" t="n">
        <v>0.00219</v>
      </c>
      <c r="Y436" s="269" t="n">
        <v>8.09</v>
      </c>
      <c r="Z436" s="275" t="n">
        <v>353</v>
      </c>
      <c r="AA436" s="275" t="n">
        <v>253</v>
      </c>
      <c r="AB436" s="270" t="n">
        <v>1700</v>
      </c>
      <c r="AD436" s="276" t="n">
        <v>0.008319999999999999</v>
      </c>
      <c r="AE436" s="142" t="n">
        <v>0.00596</v>
      </c>
      <c r="AF436" s="270" t="n">
        <v>4.82</v>
      </c>
      <c r="AG436" s="277" t="n">
        <v>0.0401</v>
      </c>
      <c r="AH436" s="118" t="n">
        <v>0.5294716926211614</v>
      </c>
      <c r="AI436" s="118" t="n">
        <v>0.4027070295444622</v>
      </c>
      <c r="AJ436" s="270" t="n">
        <v>0.539</v>
      </c>
      <c r="AK436" s="118" t="n">
        <v>0.3205581483052845</v>
      </c>
      <c r="AL436" s="118" t="n">
        <v>0.05303351718285957</v>
      </c>
      <c r="AM436" s="132" t="n">
        <v>0.01753641634846556</v>
      </c>
      <c r="AN436" s="276" t="n">
        <v>4.37</v>
      </c>
    </row>
    <row customHeight="1" ht="13.8" r="437" s="3">
      <c r="A437" s="117" t="n">
        <v>43778</v>
      </c>
      <c r="B437" s="320" t="inlineStr">
        <is>
          <t>安卓</t>
        </is>
      </c>
      <c r="C437" s="268" t="n">
        <v>10053</v>
      </c>
      <c r="D437" s="268" t="n">
        <v>46017</v>
      </c>
      <c r="E437" s="269" t="n">
        <v>4.58</v>
      </c>
      <c r="F437" s="270" t="n">
        <v>0.599</v>
      </c>
      <c r="G437" s="271" t="n">
        <v>10.14</v>
      </c>
      <c r="H437" s="271" t="n">
        <v>17.32</v>
      </c>
      <c r="I437" s="141" t="n">
        <v>0.242</v>
      </c>
      <c r="J437" s="141" t="n">
        <v>0.11</v>
      </c>
      <c r="K437" s="141" t="n">
        <v>0.063</v>
      </c>
      <c r="L437" s="270" t="n">
        <v>11.4</v>
      </c>
      <c r="M437" s="272" t="n">
        <v>11.9</v>
      </c>
      <c r="N437" s="270" t="n">
        <v>20</v>
      </c>
      <c r="O437" s="310" t="n">
        <v>0.596</v>
      </c>
      <c r="P437" s="270" t="n">
        <v>2.61</v>
      </c>
      <c r="Q437" s="270" t="n">
        <v>2.98</v>
      </c>
      <c r="R437" s="270" t="n">
        <v>1.37</v>
      </c>
      <c r="S437" s="270" t="n">
        <v>7.73</v>
      </c>
      <c r="T437" s="270" t="n">
        <v>1.82</v>
      </c>
      <c r="U437" s="270" t="n">
        <v>0.438</v>
      </c>
      <c r="V437" s="270" t="n">
        <v>2.18</v>
      </c>
      <c r="W437" s="270" t="n">
        <v>0.827</v>
      </c>
      <c r="X437" s="270" t="n">
        <v>0.000761</v>
      </c>
      <c r="Y437" s="269" t="n">
        <v>11.9</v>
      </c>
      <c r="Z437" s="275" t="n">
        <v>588</v>
      </c>
      <c r="AA437" s="275" t="n">
        <v>376</v>
      </c>
      <c r="AB437" s="270" t="n">
        <v>4040</v>
      </c>
      <c r="AD437" s="276" t="n">
        <v>0.0128</v>
      </c>
      <c r="AE437" s="142" t="n">
        <v>0.00817</v>
      </c>
      <c r="AF437" s="270" t="n">
        <v>6.87</v>
      </c>
      <c r="AG437" s="277" t="n">
        <v>0.0878</v>
      </c>
      <c r="AH437" s="118" t="n">
        <v>0.4955734606585099</v>
      </c>
      <c r="AI437" s="118" t="n">
        <v>0.3120461553765045</v>
      </c>
      <c r="AJ437" s="270" t="n">
        <v>0.41</v>
      </c>
      <c r="AK437" s="118" t="n">
        <v>0.2691831279744442</v>
      </c>
      <c r="AL437" s="118" t="n">
        <v>0.04752591433600626</v>
      </c>
      <c r="AM437" s="132" t="n">
        <v>0.32379338070713</v>
      </c>
      <c r="AN437" s="276" t="n">
        <v>4.51</v>
      </c>
    </row>
    <row customHeight="1" ht="15" r="438" s="3">
      <c r="A438" s="117" t="n">
        <v>43779</v>
      </c>
      <c r="B438" s="320" t="inlineStr">
        <is>
          <t>安卓</t>
        </is>
      </c>
      <c r="C438" s="268" t="n">
        <v>13622</v>
      </c>
      <c r="D438" s="268" t="n">
        <v>50322</v>
      </c>
      <c r="E438" s="269" t="n">
        <v>3.69</v>
      </c>
      <c r="F438" s="270" t="n">
        <v>0.523</v>
      </c>
      <c r="G438" s="271" t="n">
        <v>10.28</v>
      </c>
      <c r="H438" s="271" t="n">
        <v>17.66</v>
      </c>
      <c r="I438" s="141" t="n">
        <v>0.228</v>
      </c>
      <c r="J438" s="141" t="n">
        <v>0.101</v>
      </c>
      <c r="L438" s="270" t="n">
        <v>10.7</v>
      </c>
      <c r="M438" s="272" t="n">
        <v>11</v>
      </c>
      <c r="N438" s="270" t="n">
        <v>19</v>
      </c>
      <c r="O438" s="310" t="n">
        <v>0.577</v>
      </c>
      <c r="P438" s="270" t="n">
        <v>2.54</v>
      </c>
      <c r="Q438" s="270" t="n">
        <v>3.12</v>
      </c>
      <c r="R438" s="270" t="n">
        <v>1.3</v>
      </c>
      <c r="S438" s="270" t="n">
        <v>6.91</v>
      </c>
      <c r="T438" s="270" t="n">
        <v>1.78</v>
      </c>
      <c r="U438" s="270" t="n">
        <v>0.431</v>
      </c>
      <c r="V438" s="270" t="n">
        <v>2.07</v>
      </c>
      <c r="W438" s="270" t="n">
        <v>0.841</v>
      </c>
      <c r="X438" s="270" t="n">
        <v>0.000795</v>
      </c>
      <c r="Y438" s="269" t="n">
        <v>11</v>
      </c>
      <c r="Z438" s="275" t="n">
        <v>535</v>
      </c>
      <c r="AA438" s="275" t="n">
        <v>391</v>
      </c>
      <c r="AB438" s="270" t="n">
        <v>3190</v>
      </c>
      <c r="AD438" s="276" t="n">
        <v>0.0106</v>
      </c>
      <c r="AE438" s="142" t="n">
        <v>0.00777</v>
      </c>
      <c r="AF438" s="270" t="n">
        <v>5.96</v>
      </c>
      <c r="AG438" s="277" t="n">
        <v>0.0634</v>
      </c>
      <c r="AH438" s="118" t="n">
        <v>0.4152840992512113</v>
      </c>
      <c r="AI438" s="118" t="n">
        <v>0.2547349875201879</v>
      </c>
      <c r="AJ438" s="270" t="n">
        <v>0.391</v>
      </c>
      <c r="AK438" s="118" t="n">
        <v>0.2447239775843567</v>
      </c>
      <c r="AL438" s="118" t="n">
        <v>0.04149278645522833</v>
      </c>
      <c r="AM438" s="132" t="n">
        <v>0.3204761336989786</v>
      </c>
      <c r="AN438" s="276" t="n">
        <v>2.89</v>
      </c>
    </row>
    <row customHeight="1" ht="15" r="439" s="3">
      <c r="A439" s="117" t="n">
        <v>43780</v>
      </c>
      <c r="B439" s="320" t="inlineStr">
        <is>
          <t>安卓</t>
        </is>
      </c>
      <c r="C439" s="268" t="n">
        <v>11746</v>
      </c>
      <c r="D439" s="268" t="n">
        <v>48671</v>
      </c>
      <c r="E439" s="269" t="n">
        <v>4.14</v>
      </c>
      <c r="F439" s="270" t="n">
        <v>0.514</v>
      </c>
      <c r="G439" s="271" t="n">
        <v>10.2</v>
      </c>
      <c r="H439" s="271" t="n">
        <v>18.3</v>
      </c>
      <c r="I439" s="141" t="n">
        <v>0.234</v>
      </c>
      <c r="J439" s="141" t="n">
        <v>0.11</v>
      </c>
      <c r="L439" s="270" t="n">
        <v>10.6</v>
      </c>
      <c r="M439" s="272" t="n">
        <v>10.9</v>
      </c>
      <c r="N439" s="270" t="n">
        <v>18.4</v>
      </c>
      <c r="O439" s="310" t="n">
        <v>0.594</v>
      </c>
      <c r="P439" s="270" t="n">
        <v>2.48</v>
      </c>
      <c r="Q439" s="270" t="n">
        <v>3.07</v>
      </c>
      <c r="R439" s="270" t="n">
        <v>1.23</v>
      </c>
      <c r="S439" s="270" t="n">
        <v>6.52</v>
      </c>
      <c r="T439" s="270" t="n">
        <v>1.78</v>
      </c>
      <c r="U439" s="270" t="n">
        <v>0.422</v>
      </c>
      <c r="V439" s="270" t="n">
        <v>2.03</v>
      </c>
      <c r="W439" s="270" t="n">
        <v>0.844</v>
      </c>
      <c r="X439" s="270" t="n">
        <v>0.000781</v>
      </c>
      <c r="Y439" s="269" t="n">
        <v>10.9</v>
      </c>
      <c r="Z439" s="275" t="n">
        <v>489</v>
      </c>
      <c r="AA439" s="275" t="n">
        <v>353</v>
      </c>
      <c r="AB439" s="270" t="n">
        <v>3000</v>
      </c>
      <c r="AD439" s="276" t="n">
        <v>0.01</v>
      </c>
      <c r="AE439" s="142" t="n">
        <v>0.00725</v>
      </c>
      <c r="AF439" s="270" t="n">
        <v>6.13</v>
      </c>
      <c r="AG439" s="277" t="n">
        <v>0.0616</v>
      </c>
      <c r="AH439" s="118" t="n">
        <v>0.4494295930529542</v>
      </c>
      <c r="AI439" s="118" t="n">
        <v>0.2828196832964414</v>
      </c>
      <c r="AJ439" s="270" t="n">
        <v>0.419</v>
      </c>
      <c r="AK439" s="118" t="n">
        <v>0.2546691048057365</v>
      </c>
      <c r="AL439" s="118" t="n">
        <v>0.04339339647839576</v>
      </c>
      <c r="AM439" s="132" t="n">
        <v>0.3253066507776705</v>
      </c>
      <c r="AN439" s="276" t="n">
        <v>4.18</v>
      </c>
    </row>
    <row customHeight="1" ht="15" r="440" s="3">
      <c r="A440" s="117" t="n">
        <v>43781</v>
      </c>
      <c r="B440" s="320" t="inlineStr">
        <is>
          <t>安卓</t>
        </is>
      </c>
      <c r="C440" s="268" t="n">
        <v>10918</v>
      </c>
      <c r="D440" s="268" t="n">
        <v>47061</v>
      </c>
      <c r="E440" s="269" t="n">
        <v>4.31</v>
      </c>
      <c r="F440" s="270" t="n">
        <v>0.521</v>
      </c>
      <c r="G440" s="271" t="n">
        <v>11.6</v>
      </c>
      <c r="H440" s="271" t="n">
        <v>20.1</v>
      </c>
      <c r="I440" s="141" t="n">
        <v>0.237</v>
      </c>
      <c r="J440" s="141" t="n">
        <v>0.117</v>
      </c>
      <c r="L440" s="270" t="n">
        <v>9.83</v>
      </c>
      <c r="M440" s="272" t="n">
        <v>9.93</v>
      </c>
      <c r="N440" s="270" t="n">
        <v>16.7</v>
      </c>
      <c r="O440" s="310" t="n">
        <v>0.595</v>
      </c>
      <c r="P440" s="270" t="n">
        <v>2.32</v>
      </c>
      <c r="Q440" s="270" t="n">
        <v>2.77</v>
      </c>
      <c r="R440" s="270" t="n">
        <v>1.12</v>
      </c>
      <c r="S440" s="270" t="n">
        <v>5.73</v>
      </c>
      <c r="T440" s="270" t="n">
        <v>1.6</v>
      </c>
      <c r="U440" s="270" t="n">
        <v>0.45</v>
      </c>
      <c r="V440" s="270" t="n">
        <v>1.89</v>
      </c>
      <c r="W440" s="270" t="n">
        <v>0.8080000000000001</v>
      </c>
      <c r="X440" s="270" t="n">
        <v>0.000489</v>
      </c>
      <c r="Y440" s="269" t="n">
        <v>9.93</v>
      </c>
      <c r="Z440" s="275" t="n">
        <v>480</v>
      </c>
      <c r="AA440" s="275" t="n">
        <v>309</v>
      </c>
      <c r="AB440" s="270" t="n">
        <v>2880</v>
      </c>
      <c r="AD440" s="276" t="n">
        <v>0.0102</v>
      </c>
      <c r="AE440" s="142" t="n">
        <v>0.00657</v>
      </c>
      <c r="AF440" s="270" t="n">
        <v>6</v>
      </c>
      <c r="AG440" s="277" t="n">
        <v>0.0612</v>
      </c>
      <c r="AH440" s="118" t="n">
        <v>0.468217622275142</v>
      </c>
      <c r="AI440" s="118" t="n">
        <v>0.2973987909873603</v>
      </c>
      <c r="AJ440" s="270" t="n">
        <v>0.467</v>
      </c>
      <c r="AK440" s="118" t="n">
        <v>0.2689913091519517</v>
      </c>
      <c r="AL440" s="118" t="n">
        <v>0.04878774356686003</v>
      </c>
      <c r="AM440" s="132" t="n">
        <v>0.2817832175261894</v>
      </c>
      <c r="AN440" s="276" t="n">
        <v>4.46</v>
      </c>
    </row>
    <row customFormat="1" customHeight="1" ht="15" r="441" s="294">
      <c r="A441" s="121" t="n">
        <v>43782</v>
      </c>
      <c r="B441" s="295" t="inlineStr">
        <is>
          <t>安卓</t>
        </is>
      </c>
      <c r="C441" s="296" t="n">
        <v>6907</v>
      </c>
      <c r="D441" s="296" t="n">
        <v>40949</v>
      </c>
      <c r="E441" s="297" t="n">
        <v>5.93</v>
      </c>
      <c r="F441" s="294" t="n">
        <v>0.436</v>
      </c>
      <c r="G441" s="306" t="n">
        <v>11.7</v>
      </c>
      <c r="H441" s="306" t="n">
        <v>19.3</v>
      </c>
      <c r="I441" s="123" t="n">
        <v>0.236</v>
      </c>
      <c r="J441" s="141" t="n">
        <v>0.117</v>
      </c>
      <c r="K441" s="123" t="n"/>
      <c r="L441" s="294" t="n">
        <v>9</v>
      </c>
      <c r="M441" s="299" t="n">
        <v>8.68</v>
      </c>
      <c r="N441" s="294" t="n">
        <v>14.3</v>
      </c>
      <c r="O441" s="300" t="n">
        <v>0.605</v>
      </c>
      <c r="P441" s="294" t="n">
        <v>2.12</v>
      </c>
      <c r="Q441" s="294" t="n">
        <v>2.29</v>
      </c>
      <c r="R441" s="294" t="n">
        <v>0.928</v>
      </c>
      <c r="S441" s="294" t="n">
        <v>4.78</v>
      </c>
      <c r="T441" s="294" t="n">
        <v>1.42</v>
      </c>
      <c r="U441" s="294" t="n">
        <v>0.49</v>
      </c>
      <c r="V441" s="294" t="n">
        <v>1.59</v>
      </c>
      <c r="W441" s="294" t="n">
        <v>0.738</v>
      </c>
      <c r="X441" s="294" t="n">
        <v>0.000464</v>
      </c>
      <c r="Y441" s="297" t="n">
        <v>8.68</v>
      </c>
      <c r="Z441" s="293" t="n">
        <v>312</v>
      </c>
      <c r="AA441" s="293" t="n">
        <v>232</v>
      </c>
      <c r="AB441" s="294" t="n">
        <v>1780</v>
      </c>
      <c r="AC441" s="302" t="n"/>
      <c r="AD441" s="303" t="n">
        <v>0.00762</v>
      </c>
      <c r="AE441" s="124" t="n">
        <v>0.00567</v>
      </c>
      <c r="AF441" s="294" t="n">
        <v>5.72</v>
      </c>
      <c r="AG441" s="304" t="n">
        <v>0.0436</v>
      </c>
      <c r="AH441" s="125" t="n">
        <v>0.5122339655422036</v>
      </c>
      <c r="AI441" s="125" t="n">
        <v>0.3948168524685102</v>
      </c>
      <c r="AJ441" s="294" t="n">
        <v>0.577</v>
      </c>
      <c r="AK441" s="126" t="n">
        <v>0.3169308163813524</v>
      </c>
      <c r="AL441" s="126" t="n">
        <v>0.05577669784365918</v>
      </c>
      <c r="AM441" s="127" t="n">
        <v>0.05902464040635913</v>
      </c>
      <c r="AN441" s="276" t="n">
        <v>3.77</v>
      </c>
    </row>
    <row customHeight="1" ht="15" r="442" s="3">
      <c r="A442" s="117" t="n">
        <v>43783</v>
      </c>
      <c r="B442" s="267" t="inlineStr">
        <is>
          <t>iOS</t>
        </is>
      </c>
      <c r="C442" s="268" t="n">
        <v>10818</v>
      </c>
      <c r="D442" s="268" t="n">
        <v>43759</v>
      </c>
      <c r="E442" s="269" t="n">
        <v>4.05</v>
      </c>
      <c r="F442" s="270" t="n">
        <v>0.463</v>
      </c>
      <c r="G442" s="306" t="n">
        <v>13.5</v>
      </c>
      <c r="H442" s="306" t="n">
        <v>21.2</v>
      </c>
      <c r="I442" s="123" t="n">
        <v>0.277</v>
      </c>
      <c r="L442" s="270" t="n">
        <v>8.289999999999999</v>
      </c>
      <c r="M442" s="272" t="n">
        <v>7.95</v>
      </c>
      <c r="N442" s="270" t="n">
        <v>13.9</v>
      </c>
      <c r="O442" s="310" t="n">
        <v>0.572</v>
      </c>
      <c r="P442" s="270" t="n">
        <v>2.13</v>
      </c>
      <c r="Q442" s="270" t="n">
        <v>2.19</v>
      </c>
      <c r="R442" s="270" t="n">
        <v>0.884</v>
      </c>
      <c r="S442" s="270" t="n">
        <v>4.54</v>
      </c>
      <c r="T442" s="270" t="n">
        <v>1.39</v>
      </c>
      <c r="U442" s="270" t="n">
        <v>0.49</v>
      </c>
      <c r="V442" s="270" t="n">
        <v>1.55</v>
      </c>
      <c r="W442" s="270" t="n">
        <v>0.731</v>
      </c>
      <c r="X442" s="270" t="n">
        <v>0.000183</v>
      </c>
      <c r="Y442" s="269" t="n">
        <v>7.95</v>
      </c>
      <c r="Z442" s="275" t="n">
        <v>400</v>
      </c>
      <c r="AA442" s="275" t="n">
        <v>275</v>
      </c>
      <c r="AB442" s="270" t="n">
        <v>2140</v>
      </c>
      <c r="AD442" s="276" t="n">
        <v>0.009140000000000001</v>
      </c>
      <c r="AE442" s="142" t="n">
        <v>0.00628</v>
      </c>
      <c r="AF442" s="270" t="n">
        <v>5.35</v>
      </c>
      <c r="AG442" s="277" t="n">
        <v>0.0489</v>
      </c>
      <c r="AH442" s="118" t="n">
        <v>0.4764281752634498</v>
      </c>
      <c r="AI442" s="118" t="n">
        <v>0.2758365686818266</v>
      </c>
      <c r="AJ442" s="270" t="n">
        <v>0.517</v>
      </c>
      <c r="AK442" s="118" t="n">
        <v>0.291871386457643</v>
      </c>
      <c r="AL442" s="118" t="n">
        <v>0.05187504284832834</v>
      </c>
      <c r="AM442" s="132" t="n">
        <v>0.02321808085193903</v>
      </c>
      <c r="AN442" s="276" t="n">
        <v>5.21</v>
      </c>
    </row>
    <row customHeight="1" ht="13.8" r="443" s="3">
      <c r="A443" s="117" t="n">
        <v>43784</v>
      </c>
      <c r="B443" s="267" t="inlineStr">
        <is>
          <t>iOS</t>
        </is>
      </c>
      <c r="C443" s="268" t="n">
        <v>13375</v>
      </c>
      <c r="D443" s="268" t="n">
        <v>47198</v>
      </c>
      <c r="E443" s="269" t="n">
        <v>3.53</v>
      </c>
      <c r="F443" s="270" t="n">
        <v>0.393</v>
      </c>
      <c r="G443" s="271" t="n">
        <v>11.7</v>
      </c>
      <c r="H443" s="271" t="n">
        <v>19.5</v>
      </c>
      <c r="I443" s="141" t="n">
        <v>0.239</v>
      </c>
      <c r="L443" s="270" t="n">
        <v>8.07</v>
      </c>
      <c r="M443" s="272" t="n">
        <v>7.52</v>
      </c>
      <c r="N443" s="270" t="n">
        <v>13.5</v>
      </c>
      <c r="O443" s="310" t="n">
        <v>0.5570000000000001</v>
      </c>
      <c r="P443" s="270" t="n">
        <v>2.14</v>
      </c>
      <c r="Q443" s="270" t="n">
        <v>2.19</v>
      </c>
      <c r="R443" s="270" t="n">
        <v>0.827</v>
      </c>
      <c r="S443" s="270" t="n">
        <v>4.23</v>
      </c>
      <c r="T443" s="270" t="n">
        <v>1.37</v>
      </c>
      <c r="U443" s="270" t="n">
        <v>0.512</v>
      </c>
      <c r="V443" s="270" t="n">
        <v>1.51</v>
      </c>
      <c r="W443" s="270" t="n">
        <v>0.725</v>
      </c>
      <c r="X443" s="270" t="n">
        <v>0.000169</v>
      </c>
      <c r="Y443" s="269" t="n">
        <v>7.52</v>
      </c>
      <c r="Z443" s="275" t="n">
        <v>377</v>
      </c>
      <c r="AA443" s="275" t="n">
        <v>291</v>
      </c>
      <c r="AB443" s="270" t="n">
        <v>2070</v>
      </c>
      <c r="AD443" s="276" t="n">
        <v>0.007990000000000001</v>
      </c>
      <c r="AE443" s="142" t="n">
        <v>0.00617</v>
      </c>
      <c r="AF443" s="270" t="n">
        <v>5.5</v>
      </c>
      <c r="AG443" s="277" t="n">
        <v>0.0439</v>
      </c>
      <c r="AH443" s="118" t="n">
        <v>0.4728971962616823</v>
      </c>
      <c r="AI443" s="118" t="n">
        <v>0.2886728971962617</v>
      </c>
      <c r="AJ443" s="270" t="n">
        <v>0.488</v>
      </c>
      <c r="AK443" s="118" t="n">
        <v>0.2705411246239248</v>
      </c>
      <c r="AL443" s="118" t="n">
        <v>0.04707826602822154</v>
      </c>
      <c r="AM443" s="132" t="n">
        <v>0.01334802322132294</v>
      </c>
    </row>
    <row r="444">
      <c r="A444" s="117" t="inlineStr">
        <is>
          <t>2019/11/16</t>
        </is>
      </c>
      <c r="B444" s="267" t="inlineStr">
        <is>
          <t>iOS</t>
        </is>
      </c>
      <c r="C444" s="268" t="n">
        <v>11953</v>
      </c>
      <c r="D444" s="268" t="n">
        <v>46936</v>
      </c>
      <c r="E444" s="269" t="n">
        <v>3.93</v>
      </c>
      <c r="F444" s="270" t="n">
        <v>0.588</v>
      </c>
      <c r="G444" s="271" t="n">
        <v>10.5</v>
      </c>
      <c r="H444" s="271" t="n">
        <v>17.6</v>
      </c>
      <c r="L444" s="270" t="n">
        <v>10.9</v>
      </c>
      <c r="M444" s="272" t="n">
        <v>11.4</v>
      </c>
      <c r="N444" s="270" t="n">
        <v>19.6</v>
      </c>
      <c r="O444" s="310" t="n">
        <v>0.585</v>
      </c>
      <c r="P444" s="270" t="n">
        <v>2.65</v>
      </c>
      <c r="Q444" s="270" t="n">
        <v>2.95</v>
      </c>
      <c r="R444" s="270" t="n">
        <v>1.47</v>
      </c>
      <c r="S444" s="270" t="n">
        <v>7.3</v>
      </c>
      <c r="T444" s="270" t="n">
        <v>1.8</v>
      </c>
      <c r="U444" s="270" t="n">
        <v>0.451</v>
      </c>
      <c r="V444" s="270" t="n">
        <v>2.14</v>
      </c>
      <c r="W444" s="270" t="n">
        <v>0.819</v>
      </c>
      <c r="X444" s="270" t="n">
        <v>0.000831</v>
      </c>
      <c r="Y444" s="269" t="n">
        <v>11.4</v>
      </c>
      <c r="Z444" s="275" t="n">
        <v>597</v>
      </c>
      <c r="AA444" s="275" t="n">
        <v>394</v>
      </c>
      <c r="AB444" s="270" t="n">
        <v>3910</v>
      </c>
      <c r="AD444" s="276" t="n">
        <v>0.0127</v>
      </c>
      <c r="AE444" s="142" t="n">
        <v>0.00839</v>
      </c>
      <c r="AF444" s="270" t="n">
        <v>6.54</v>
      </c>
      <c r="AG444" s="277" t="n">
        <v>0.0832</v>
      </c>
      <c r="AH444" s="118" t="n">
        <v>0.506232744917594</v>
      </c>
      <c r="AI444" s="118" t="n">
        <v>0.3103823307956162</v>
      </c>
      <c r="AJ444" s="270" t="n">
        <v>0.415</v>
      </c>
      <c r="AK444" s="118" t="n">
        <v>0.246378046701892</v>
      </c>
      <c r="AL444" s="118" t="n">
        <v>0.04384694051474348</v>
      </c>
      <c r="AM444" s="132" t="n">
        <v>0.2990455087779104</v>
      </c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bottom="0.75" footer="0.3" header="0.3" left="0.699305555555556" right="0.699305555555556" top="0.7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048576"/>
  <sheetViews>
    <sheetView topLeftCell="A10" workbookViewId="0">
      <selection activeCell="F29" sqref="F29:I37"/>
    </sheetView>
  </sheetViews>
  <sheetFormatPr baseColWidth="8" defaultColWidth="10.81640625" defaultRowHeight="15.6"/>
  <cols>
    <col customWidth="1" max="1" min="1" style="65" width="15.36328125"/>
    <col customWidth="1" max="4" min="2" style="65" width="10.1796875"/>
    <col customWidth="1" max="5" min="5" style="65" width="7.36328125"/>
    <col customWidth="1" max="6" min="6" style="65" width="19.1796875"/>
    <col customWidth="1" max="9" min="7" style="65" width="10.1796875"/>
    <col customWidth="1" max="10" min="10" style="65" width="7.36328125"/>
    <col customWidth="1" max="11" min="11" style="66" width="14.453125"/>
    <col customWidth="1" max="12" min="12" style="65" width="35.1796875"/>
    <col customWidth="1" max="38" min="13" style="65" width="10.81640625"/>
    <col customWidth="1" max="16384" min="39" style="65" width="10.81640625"/>
  </cols>
  <sheetData>
    <row customHeight="1" ht="16.2" r="1" s="3">
      <c r="A1" s="67" t="inlineStr">
        <is>
          <t>安卓</t>
        </is>
      </c>
      <c r="B1" s="67" t="inlineStr">
        <is>
          <t xml:space="preserve">　</t>
        </is>
      </c>
      <c r="C1" s="67" t="inlineStr">
        <is>
          <t xml:space="preserve">　</t>
        </is>
      </c>
      <c r="D1" s="67" t="inlineStr">
        <is>
          <t xml:space="preserve">　</t>
        </is>
      </c>
      <c r="E1" s="75" t="n"/>
      <c r="F1" s="67" t="inlineStr">
        <is>
          <t>iOS</t>
        </is>
      </c>
      <c r="G1" s="67" t="inlineStr">
        <is>
          <t xml:space="preserve">　</t>
        </is>
      </c>
      <c r="H1" s="67" t="inlineStr">
        <is>
          <t xml:space="preserve">　</t>
        </is>
      </c>
      <c r="I1" s="67" t="inlineStr">
        <is>
          <t xml:space="preserve">　</t>
        </is>
      </c>
      <c r="J1" s="81" t="n"/>
      <c r="K1" s="82" t="inlineStr">
        <is>
          <t>选择日期！！</t>
        </is>
      </c>
      <c r="L1" s="83" t="inlineStr">
        <is>
          <t>参数值</t>
        </is>
      </c>
      <c r="M1" s="83" t="inlineStr">
        <is>
          <t>消息数量</t>
        </is>
      </c>
      <c r="N1" s="83" t="inlineStr">
        <is>
          <t>占比</t>
        </is>
      </c>
      <c r="O1" s="83" t="inlineStr">
        <is>
          <t>趋势</t>
        </is>
      </c>
    </row>
    <row customHeight="1" ht="17.55" r="2" s="3">
      <c r="A2" s="68" t="inlineStr">
        <is>
          <t>参数值</t>
        </is>
      </c>
      <c r="B2" s="68" t="inlineStr">
        <is>
          <t>消息数量</t>
        </is>
      </c>
      <c r="C2" s="68" t="inlineStr">
        <is>
          <t>占比</t>
        </is>
      </c>
      <c r="D2" s="68" t="inlineStr">
        <is>
          <t>趋势</t>
        </is>
      </c>
      <c r="E2" s="79" t="n"/>
      <c r="F2" s="68" t="inlineStr">
        <is>
          <t>参数值</t>
        </is>
      </c>
      <c r="G2" s="68" t="inlineStr">
        <is>
          <t>消息数量</t>
        </is>
      </c>
      <c r="H2" s="68" t="inlineStr">
        <is>
          <t>占比</t>
        </is>
      </c>
      <c r="I2" s="68" t="inlineStr">
        <is>
          <t>趋势</t>
        </is>
      </c>
      <c r="J2" s="84" t="n"/>
      <c r="K2" s="85">
        <f>M2*IF(RIGHT(L2,4)="spin",0.99,IF(RIGHT(L2,14)="christmasoffer",19.99,IF(RIGHT(L2,14)="eventdeal19.99",19.99,IFERROR(RIGHT(L2,LEN(L2)-IFERROR(FIND("r",L2,15),FIND("d",L2,15))),0))))</f>
        <v/>
      </c>
      <c r="L2" s="69" t="inlineStr">
        <is>
          <t>com.idlecapatalist.aovalw.goldspin</t>
        </is>
      </c>
      <c r="M2" s="69" t="n">
        <v>265</v>
      </c>
      <c r="N2" s="70" t="n">
        <v>0.307</v>
      </c>
      <c r="O2" s="71" t="inlineStr">
        <is>
          <t>详情</t>
        </is>
      </c>
    </row>
    <row customHeight="1" ht="17.55" r="3" s="3">
      <c r="A3" s="69" t="inlineStr">
        <is>
          <t>FreeBonus_money</t>
        </is>
      </c>
      <c r="B3" s="69" t="n">
        <v>103536</v>
      </c>
      <c r="C3" s="70" t="n">
        <v>0.287</v>
      </c>
      <c r="D3" s="71" t="inlineStr">
        <is>
          <t>详情</t>
        </is>
      </c>
      <c r="E3" s="80" t="n"/>
      <c r="F3" s="69" t="inlineStr">
        <is>
          <t>Offline</t>
        </is>
      </c>
      <c r="G3" s="69" t="n">
        <v>122891</v>
      </c>
      <c r="H3" s="70" t="n">
        <v>0.237</v>
      </c>
      <c r="I3" s="71" t="inlineStr">
        <is>
          <t>详情</t>
        </is>
      </c>
      <c r="J3" s="84" t="n"/>
      <c r="K3" s="85">
        <f>M3*IF(RIGHT(L3,4)="spin",0.99,IF(RIGHT(L3,14)="christmasoffer",19.99,IF(RIGHT(L3,14)="eventdeal19.99",19.99,IFERROR(RIGHT(L3,LEN(L3)-IFERROR(FIND("r",L3,15),FIND("d",L3,15))),0))))</f>
        <v/>
      </c>
      <c r="L3" s="69" t="inlineStr">
        <is>
          <t>com.idlecapatalist.aovalw.offer7.99</t>
        </is>
      </c>
      <c r="M3" s="69" t="n">
        <v>170</v>
      </c>
      <c r="N3" s="70" t="n">
        <v>0.197</v>
      </c>
      <c r="O3" s="71" t="inlineStr">
        <is>
          <t>详情</t>
        </is>
      </c>
    </row>
    <row customHeight="1" ht="17.55" r="4" s="3">
      <c r="A4" s="69" t="inlineStr">
        <is>
          <t>Offline</t>
        </is>
      </c>
      <c r="B4" s="69" t="n">
        <v>63275</v>
      </c>
      <c r="C4" s="70" t="n">
        <v>0.175</v>
      </c>
      <c r="D4" s="71" t="inlineStr">
        <is>
          <t>详情</t>
        </is>
      </c>
      <c r="E4" s="80" t="n"/>
      <c r="F4" s="69" t="inlineStr">
        <is>
          <t>FreeBonus_money</t>
        </is>
      </c>
      <c r="G4" s="69" t="n">
        <v>120342</v>
      </c>
      <c r="H4" s="70" t="n">
        <v>0.232</v>
      </c>
      <c r="I4" s="71" t="inlineStr">
        <is>
          <t>详情</t>
        </is>
      </c>
      <c r="J4" s="84" t="n"/>
      <c r="K4" s="85">
        <f>M4*IF(RIGHT(L4,4)="spin",0.99,IF(RIGHT(L4,14)="christmasoffer",19.99,IF(RIGHT(L4,14)="eventdeal19.99",19.99,IFERROR(RIGHT(L4,LEN(L4)-IFERROR(FIND("r",L4,15),FIND("d",L4,15))),0))))</f>
        <v/>
      </c>
      <c r="L4" s="69" t="inlineStr">
        <is>
          <t>com.idlecapatalist.aovalw.offer2.99</t>
        </is>
      </c>
      <c r="M4" s="69" t="n">
        <v>136</v>
      </c>
      <c r="N4" s="70" t="n">
        <v>0.158</v>
      </c>
      <c r="O4" s="71" t="inlineStr">
        <is>
          <t>详情</t>
        </is>
      </c>
    </row>
    <row customHeight="1" ht="17.55" r="5" s="3">
      <c r="A5" s="69" t="inlineStr">
        <is>
          <t>Double_Cash</t>
        </is>
      </c>
      <c r="B5" s="69" t="n">
        <v>56000</v>
      </c>
      <c r="C5" s="70" t="n">
        <v>0.155</v>
      </c>
      <c r="D5" s="71" t="inlineStr">
        <is>
          <t>详情</t>
        </is>
      </c>
      <c r="E5" s="80" t="n"/>
      <c r="F5" s="69" t="inlineStr">
        <is>
          <t>Double_Cash</t>
        </is>
      </c>
      <c r="G5" s="69" t="n">
        <v>78628</v>
      </c>
      <c r="H5" s="70" t="n">
        <v>0.152</v>
      </c>
      <c r="I5" s="71" t="inlineStr">
        <is>
          <t>详情</t>
        </is>
      </c>
      <c r="J5" s="84" t="n"/>
      <c r="K5" s="85">
        <f>M5*IF(RIGHT(L5,4)="spin",0.99,IF(RIGHT(L5,14)="christmasoffer",19.99,IF(RIGHT(L5,14)="eventdeal19.99",19.99,IFERROR(RIGHT(L5,LEN(L5)-IFERROR(FIND("r",L5,15),FIND("d",L5,15))),0))))</f>
        <v/>
      </c>
      <c r="L5" s="69" t="inlineStr">
        <is>
          <t>com.idlecapatalist.aovalw.gold4.99</t>
        </is>
      </c>
      <c r="M5" s="69" t="n">
        <v>111</v>
      </c>
      <c r="N5" s="70" t="n">
        <v>0.129</v>
      </c>
      <c r="O5" s="71" t="inlineStr">
        <is>
          <t>详情</t>
        </is>
      </c>
    </row>
    <row customHeight="1" ht="17.55" r="6" s="3">
      <c r="A6" s="69" t="inlineStr">
        <is>
          <t>skip_30_minutes</t>
        </is>
      </c>
      <c r="B6" s="69" t="n">
        <v>40044</v>
      </c>
      <c r="C6" s="70" t="n">
        <v>0.111</v>
      </c>
      <c r="D6" s="71" t="inlineStr">
        <is>
          <t>详情</t>
        </is>
      </c>
      <c r="E6" s="80" t="n"/>
      <c r="F6" s="69" t="inlineStr">
        <is>
          <t>skip_30_minutes</t>
        </is>
      </c>
      <c r="G6" s="69" t="n">
        <v>56943</v>
      </c>
      <c r="H6" s="72" t="n">
        <v>0.11</v>
      </c>
      <c r="I6" s="71" t="inlineStr">
        <is>
          <t>详情</t>
        </is>
      </c>
      <c r="J6" s="84" t="n"/>
      <c r="K6" s="85">
        <f>M6*IF(RIGHT(L6,4)="spin",0.99,IF(RIGHT(L6,14)="christmasoffer",19.99,IF(RIGHT(L6,14)="eventdeal19.99",19.99,IFERROR(RIGHT(L6,LEN(L6)-IFERROR(FIND("r",L6,15),FIND("d",L6,15))),0))))</f>
        <v/>
      </c>
      <c r="L6" s="69" t="inlineStr">
        <is>
          <t>com.idlecapatalist.aovalw.offer9.99</t>
        </is>
      </c>
      <c r="M6" s="69" t="n">
        <v>73</v>
      </c>
      <c r="N6" s="70" t="n">
        <v>0.08500000000000001</v>
      </c>
      <c r="O6" s="71" t="inlineStr">
        <is>
          <t>详情</t>
        </is>
      </c>
    </row>
    <row customHeight="1" ht="17.55" r="7" s="3">
      <c r="A7" s="69" t="inlineStr">
        <is>
          <t>speedUp</t>
        </is>
      </c>
      <c r="B7" s="69" t="n">
        <v>34782</v>
      </c>
      <c r="C7" s="70" t="n">
        <v>0.096</v>
      </c>
      <c r="D7" s="71" t="inlineStr">
        <is>
          <t>详情</t>
        </is>
      </c>
      <c r="E7" s="80" t="n"/>
      <c r="F7" s="69" t="inlineStr">
        <is>
          <t>speedUp</t>
        </is>
      </c>
      <c r="G7" s="69" t="n">
        <v>44732</v>
      </c>
      <c r="H7" s="70" t="n">
        <v>0.08599999999999999</v>
      </c>
      <c r="I7" s="71" t="inlineStr">
        <is>
          <t>详情</t>
        </is>
      </c>
      <c r="J7" s="84" t="n"/>
      <c r="K7" s="85">
        <f>M7*IF(RIGHT(L7,4)="spin",0.99,IF(RIGHT(L7,14)="christmasoffer",19.99,IF(RIGHT(L7,14)="eventdeal19.99",19.99,IFERROR(RIGHT(L7,LEN(L7)-IFERROR(FIND("r",L7,15),FIND("d",L7,15))),0))))</f>
        <v/>
      </c>
      <c r="L7" s="69" t="inlineStr">
        <is>
          <t>com.idlecapatalist.aovalw.offer19.99</t>
        </is>
      </c>
      <c r="M7" s="69" t="n">
        <v>47</v>
      </c>
      <c r="N7" s="70" t="n">
        <v>0.054</v>
      </c>
      <c r="O7" s="71" t="inlineStr">
        <is>
          <t>详情</t>
        </is>
      </c>
    </row>
    <row customHeight="1" ht="17.55" r="8" s="3">
      <c r="A8" s="69" t="inlineStr">
        <is>
          <t>cost_50%_off</t>
        </is>
      </c>
      <c r="B8" s="69" t="n">
        <v>19764</v>
      </c>
      <c r="C8" s="70" t="n">
        <v>0.055</v>
      </c>
      <c r="D8" s="71" t="inlineStr">
        <is>
          <t>详情</t>
        </is>
      </c>
      <c r="E8" s="80" t="n"/>
      <c r="F8" s="69" t="inlineStr">
        <is>
          <t>cost_50%_off</t>
        </is>
      </c>
      <c r="G8" s="69" t="n">
        <v>29196</v>
      </c>
      <c r="H8" s="70" t="n">
        <v>0.056</v>
      </c>
      <c r="I8" s="71" t="inlineStr">
        <is>
          <t>详情</t>
        </is>
      </c>
      <c r="J8" s="84" t="n"/>
      <c r="K8" s="85">
        <f>M8*IF(RIGHT(L8,4)="spin",0.99,IF(RIGHT(L8,14)="christmasoffer",19.99,IF(RIGHT(L8,14)="eventdeal19.99",19.99,IFERROR(RIGHT(L8,LEN(L8)-IFERROR(FIND("r",L8,15),FIND("d",L8,15))),0))))</f>
        <v/>
      </c>
      <c r="L8" s="69" t="inlineStr">
        <is>
          <t>com.idlecapatalist.aovalw.gold9.99</t>
        </is>
      </c>
      <c r="M8" s="69" t="n">
        <v>36</v>
      </c>
      <c r="N8" s="70" t="n">
        <v>0.042</v>
      </c>
      <c r="O8" s="71" t="inlineStr">
        <is>
          <t>详情</t>
        </is>
      </c>
    </row>
    <row customHeight="1" ht="17.55" r="9" s="3">
      <c r="A9" s="69" t="inlineStr">
        <is>
          <t>AdClaim</t>
        </is>
      </c>
      <c r="B9" s="69" t="n">
        <v>18975</v>
      </c>
      <c r="C9" s="70" t="n">
        <v>0.053</v>
      </c>
      <c r="D9" s="71" t="inlineStr">
        <is>
          <t>详情</t>
        </is>
      </c>
      <c r="E9" s="80" t="n"/>
      <c r="F9" s="69" t="inlineStr">
        <is>
          <t>Slot</t>
        </is>
      </c>
      <c r="G9" s="69" t="n">
        <v>28256</v>
      </c>
      <c r="H9" s="70" t="n">
        <v>0.054</v>
      </c>
      <c r="I9" s="71" t="inlineStr">
        <is>
          <t>详情</t>
        </is>
      </c>
      <c r="J9" s="84" t="n"/>
      <c r="K9" s="85">
        <f>M9*IF(RIGHT(L9,4)="spin",0.99,IF(RIGHT(L9,14)="christmasoffer",19.99,IF(RIGHT(L9,14)="eventdeal19.99",19.99,IFERROR(RIGHT(L9,LEN(L9)-IFERROR(FIND("r",L9,15),FIND("d",L9,15))),0))))</f>
        <v/>
      </c>
      <c r="L9" s="69" t="inlineStr">
        <is>
          <t>com.idlecapatalist.aovalw.gold19.99</t>
        </is>
      </c>
      <c r="M9" s="69" t="n">
        <v>13</v>
      </c>
      <c r="N9" s="70" t="n">
        <v>0.015</v>
      </c>
      <c r="O9" s="71" t="inlineStr">
        <is>
          <t>详情</t>
        </is>
      </c>
    </row>
    <row customHeight="1" ht="17.55" r="10" s="3">
      <c r="A10" s="69" t="inlineStr">
        <is>
          <t>Slot</t>
        </is>
      </c>
      <c r="B10" s="69" t="n">
        <v>17638</v>
      </c>
      <c r="C10" s="70" t="n">
        <v>0.049</v>
      </c>
      <c r="D10" s="71" t="inlineStr">
        <is>
          <t>详情</t>
        </is>
      </c>
      <c r="E10" s="80" t="n"/>
      <c r="F10" s="69" t="inlineStr">
        <is>
          <t>AdClaim</t>
        </is>
      </c>
      <c r="G10" s="69" t="n">
        <v>27724</v>
      </c>
      <c r="H10" s="70" t="n">
        <v>0.053</v>
      </c>
      <c r="I10" s="71" t="inlineStr">
        <is>
          <t>详情</t>
        </is>
      </c>
      <c r="J10" s="84" t="n"/>
      <c r="K10" s="85">
        <f>M10*IF(RIGHT(L10,4)="spin",0.99,IF(RIGHT(L10,14)="christmasoffer",19.99,IF(RIGHT(L10,14)="eventdeal19.99",19.99,IFERROR(RIGHT(L10,LEN(L10)-IFERROR(FIND("r",L10,15),FIND("d",L10,15))),0))))</f>
        <v/>
      </c>
      <c r="L10" s="69" t="inlineStr">
        <is>
          <t>com.idlecapatalist.aovalw.offer79.99</t>
        </is>
      </c>
      <c r="M10" s="69" t="n">
        <v>6</v>
      </c>
      <c r="N10" s="70" t="n">
        <v>0.007</v>
      </c>
      <c r="O10" s="71" t="inlineStr">
        <is>
          <t>详情</t>
        </is>
      </c>
    </row>
    <row customHeight="1" ht="17.55" r="11" s="3">
      <c r="A11" s="69" t="inlineStr">
        <is>
          <t>FreeBonus_gold</t>
        </is>
      </c>
      <c r="B11" s="69" t="n">
        <v>6701</v>
      </c>
      <c r="C11" s="70" t="n">
        <v>0.019</v>
      </c>
      <c r="D11" s="71" t="inlineStr">
        <is>
          <t>详情</t>
        </is>
      </c>
      <c r="E11" s="80" t="n"/>
      <c r="F11" s="69" t="inlineStr">
        <is>
          <t>FreeBonus_gold</t>
        </is>
      </c>
      <c r="G11" s="69" t="n">
        <v>10119</v>
      </c>
      <c r="H11" s="72" t="n">
        <v>0.02</v>
      </c>
      <c r="I11" s="71" t="inlineStr">
        <is>
          <t>详情</t>
        </is>
      </c>
      <c r="J11" s="84" t="n"/>
      <c r="K11" s="85">
        <f>M11*IF(RIGHT(L11,4)="spin",0.99,IF(RIGHT(L11,14)="christmasoffer",19.99,IF(RIGHT(L11,14)="eventdeal19.99",19.99,IFERROR(RIGHT(L11,LEN(L11)-IFERROR(FIND("r",L11,15),FIND("d",L11,15))),0))))</f>
        <v/>
      </c>
      <c r="L11" s="69" t="inlineStr">
        <is>
          <t>com.idlecapatalist.aovalw.gold99.99</t>
        </is>
      </c>
      <c r="M11" s="69" t="n">
        <v>3</v>
      </c>
      <c r="N11" s="70" t="n">
        <v>0.003</v>
      </c>
      <c r="O11" s="71" t="inlineStr">
        <is>
          <t>详情</t>
        </is>
      </c>
    </row>
    <row customHeight="1" ht="17.55" r="12" s="3">
      <c r="A12" s="69" t="inlineStr">
        <is>
          <t>FreeBonus_money</t>
        </is>
      </c>
      <c r="B12" s="69" t="n">
        <v>68213</v>
      </c>
      <c r="C12" s="70" t="n">
        <v>0.417</v>
      </c>
      <c r="D12" s="71" t="inlineStr">
        <is>
          <t>详情</t>
        </is>
      </c>
      <c r="E12" s="80" t="n"/>
      <c r="F12" s="69" t="inlineStr">
        <is>
          <t>FreeBonus_money</t>
        </is>
      </c>
      <c r="G12" s="69" t="n">
        <v>61501</v>
      </c>
      <c r="H12" s="70" t="n">
        <v>0.375</v>
      </c>
      <c r="I12" s="71" t="inlineStr">
        <is>
          <t>详情</t>
        </is>
      </c>
      <c r="J12" s="84" t="n"/>
      <c r="K12" s="85">
        <f>M12*IF(RIGHT(L12,4)="spin",0.99,IF(RIGHT(L12,14)="christmasoffer",19.99,IF(RIGHT(L12,14)="eventdeal19.99",19.99,IFERROR(RIGHT(L12,LEN(L12)-IFERROR(FIND("r",L12,15),FIND("d",L12,15))),0))))</f>
        <v/>
      </c>
      <c r="L12" s="69" t="inlineStr">
        <is>
          <t>com.idlecapatalist.aovalw.offer49.99</t>
        </is>
      </c>
      <c r="M12" s="69" t="n">
        <v>2</v>
      </c>
      <c r="N12" s="70" t="n">
        <v>0.002</v>
      </c>
      <c r="O12" s="71" t="inlineStr">
        <is>
          <t>详情</t>
        </is>
      </c>
    </row>
    <row customHeight="1" ht="17.55" r="13" s="3">
      <c r="A13" s="69" t="inlineStr">
        <is>
          <t>Offline</t>
        </is>
      </c>
      <c r="B13" s="69" t="n">
        <v>28046</v>
      </c>
      <c r="C13" s="70" t="n">
        <v>0.172</v>
      </c>
      <c r="D13" s="71" t="inlineStr">
        <is>
          <t>详情</t>
        </is>
      </c>
      <c r="E13" s="80" t="n"/>
      <c r="F13" s="69" t="inlineStr">
        <is>
          <t>Offline</t>
        </is>
      </c>
      <c r="G13" s="69" t="n">
        <v>34374</v>
      </c>
      <c r="H13" s="72" t="n">
        <v>0.21</v>
      </c>
      <c r="I13" s="71" t="inlineStr">
        <is>
          <t>详情</t>
        </is>
      </c>
      <c r="J13" s="84" t="n"/>
      <c r="K13" s="85">
        <f>M13*IF(RIGHT(L13,4)="spin",0.99,IF(RIGHT(L13,14)="christmasoffer",19.99,IF(RIGHT(L13,14)="eventdeal19.99",19.99,IFERROR(RIGHT(L13,LEN(L13)-IFERROR(FIND("r",L13,15),FIND("d",L13,15))),0))))</f>
        <v/>
      </c>
      <c r="L13" s="69" t="inlineStr">
        <is>
          <t>com.idlecapatalist.aovalw.gold49.99</t>
        </is>
      </c>
      <c r="M13" s="69" t="n">
        <v>1</v>
      </c>
      <c r="N13" s="70" t="n">
        <v>0.001</v>
      </c>
      <c r="O13" s="71" t="inlineStr">
        <is>
          <t>详情</t>
        </is>
      </c>
    </row>
    <row customHeight="1" ht="17.55" r="14" s="3">
      <c r="A14" s="69" t="inlineStr">
        <is>
          <t>skip_30_minutes</t>
        </is>
      </c>
      <c r="B14" s="69" t="n">
        <v>18032</v>
      </c>
      <c r="C14" s="72" t="n">
        <v>0.11</v>
      </c>
      <c r="D14" s="71" t="inlineStr">
        <is>
          <t>详情</t>
        </is>
      </c>
      <c r="E14" s="80" t="n"/>
      <c r="F14" s="69" t="inlineStr">
        <is>
          <t>skip_30_minutes</t>
        </is>
      </c>
      <c r="G14" s="69" t="n">
        <v>18956</v>
      </c>
      <c r="H14" s="70" t="n">
        <v>0.116</v>
      </c>
      <c r="I14" s="71" t="inlineStr">
        <is>
          <t>详情</t>
        </is>
      </c>
      <c r="J14" s="84" t="n"/>
      <c r="K14" s="85">
        <f>M14*IF(RIGHT(L14,4)="spin",0.99,IF(RIGHT(L14,14)="christmasoffer",19.99,IF(RIGHT(L14,14)="eventdeal19.99",19.99,IFERROR(RIGHT(L14,LEN(L14)-IFERROR(FIND("r",L14,15),FIND("d",L14,15))),0))))</f>
        <v/>
      </c>
      <c r="L14" s="69" t="n"/>
      <c r="M14" s="69" t="n"/>
      <c r="N14" s="70" t="n"/>
      <c r="O14" s="71" t="n"/>
      <c r="P14" s="84" t="n"/>
    </row>
    <row customHeight="1" ht="17.55" r="15" s="3">
      <c r="A15" s="69" t="inlineStr">
        <is>
          <t>Double_Cash</t>
        </is>
      </c>
      <c r="B15" s="69" t="n">
        <v>15749</v>
      </c>
      <c r="C15" s="70" t="n">
        <v>0.096</v>
      </c>
      <c r="D15" s="71" t="inlineStr">
        <is>
          <t>详情</t>
        </is>
      </c>
      <c r="E15" s="80" t="n"/>
      <c r="F15" s="69" t="inlineStr">
        <is>
          <t>Double_Cash</t>
        </is>
      </c>
      <c r="G15" s="69" t="n">
        <v>16620</v>
      </c>
      <c r="H15" s="70" t="n">
        <v>0.101</v>
      </c>
      <c r="I15" s="71" t="inlineStr">
        <is>
          <t>详情</t>
        </is>
      </c>
      <c r="J15" s="84" t="n"/>
    </row>
    <row customHeight="1" ht="17.55" r="16" s="3">
      <c r="A16" s="69" t="inlineStr">
        <is>
          <t>AdClaim</t>
        </is>
      </c>
      <c r="B16" s="69" t="n">
        <v>13445</v>
      </c>
      <c r="C16" s="70" t="n">
        <v>0.082</v>
      </c>
      <c r="D16" s="71" t="inlineStr">
        <is>
          <t>详情</t>
        </is>
      </c>
      <c r="E16" s="80" t="n"/>
      <c r="F16" s="69" t="inlineStr">
        <is>
          <t>AdClaim</t>
        </is>
      </c>
      <c r="G16" s="69" t="n">
        <v>12549</v>
      </c>
      <c r="H16" s="70" t="n">
        <v>0.077</v>
      </c>
      <c r="I16" s="71" t="inlineStr">
        <is>
          <t>详情</t>
        </is>
      </c>
      <c r="J16" s="84" t="n"/>
      <c r="K16" s="65" t="n"/>
    </row>
    <row customHeight="1" ht="18" r="17" s="3">
      <c r="A17" s="69" t="inlineStr">
        <is>
          <t>speedUp</t>
        </is>
      </c>
      <c r="B17" s="69" t="n">
        <v>12999</v>
      </c>
      <c r="C17" s="72" t="n">
        <v>0.08</v>
      </c>
      <c r="D17" s="71" t="inlineStr">
        <is>
          <t>详情</t>
        </is>
      </c>
      <c r="E17" s="80" t="n"/>
      <c r="F17" s="69" t="inlineStr">
        <is>
          <t>speedUp</t>
        </is>
      </c>
      <c r="G17" s="69" t="n">
        <v>11867</v>
      </c>
      <c r="H17" s="70" t="n">
        <v>0.07199999999999999</v>
      </c>
      <c r="I17" s="71" t="inlineStr">
        <is>
          <t>详情</t>
        </is>
      </c>
      <c r="J17" s="84" t="n"/>
      <c r="K17" s="86" t="n"/>
      <c r="L17" s="87" t="n"/>
      <c r="M17" s="87" t="inlineStr">
        <is>
          <t>安卓</t>
        </is>
      </c>
      <c r="N17" s="87" t="inlineStr">
        <is>
          <t>iOS</t>
        </is>
      </c>
      <c r="O17" s="87" t="n"/>
    </row>
    <row customHeight="1" ht="17.55" r="18" s="3">
      <c r="A18" s="69" t="inlineStr">
        <is>
          <t>cost_50%_off</t>
        </is>
      </c>
      <c r="B18" s="69" t="n">
        <v>5858</v>
      </c>
      <c r="C18" s="70" t="n">
        <v>0.036</v>
      </c>
      <c r="D18" s="71" t="inlineStr">
        <is>
          <t>详情</t>
        </is>
      </c>
      <c r="E18" s="80" t="n"/>
      <c r="F18" s="69" t="inlineStr">
        <is>
          <t>cost_50%_off</t>
        </is>
      </c>
      <c r="G18" s="69" t="n">
        <v>6618</v>
      </c>
      <c r="H18" s="72" t="n">
        <v>0.04</v>
      </c>
      <c r="I18" s="71" t="inlineStr">
        <is>
          <t>详情</t>
        </is>
      </c>
      <c r="J18" s="84" t="n"/>
      <c r="K18" s="88" t="n"/>
      <c r="L18" s="88" t="inlineStr">
        <is>
          <t>ecpm（整体）</t>
        </is>
      </c>
      <c r="M18" s="97" t="n">
        <v>12.69</v>
      </c>
      <c r="N18" s="97" t="n">
        <v>24.39</v>
      </c>
      <c r="O18" s="97" t="n">
        <v>24.39</v>
      </c>
      <c r="Q18" s="75" t="n"/>
    </row>
    <row customHeight="1" ht="18" r="19" s="3">
      <c r="A19" s="69" t="inlineStr">
        <is>
          <t>FreeBonus_gold</t>
        </is>
      </c>
      <c r="B19" s="69" t="n">
        <v>1089</v>
      </c>
      <c r="C19" s="70" t="n">
        <v>0.007</v>
      </c>
      <c r="D19" s="71" t="inlineStr">
        <is>
          <t>详情</t>
        </is>
      </c>
      <c r="E19" s="80" t="n"/>
      <c r="F19" s="69" t="inlineStr">
        <is>
          <t>FreeBonus_gold</t>
        </is>
      </c>
      <c r="G19" s="69" t="n">
        <v>1423</v>
      </c>
      <c r="H19" s="70" t="n">
        <v>0.008999999999999999</v>
      </c>
      <c r="I19" s="71" t="inlineStr">
        <is>
          <t>详情</t>
        </is>
      </c>
      <c r="J19" s="84" t="n"/>
      <c r="K19" s="89" t="n"/>
      <c r="L19" s="89" t="inlineStr">
        <is>
          <t>ecpm（美国）</t>
        </is>
      </c>
      <c r="M19" s="98" t="n">
        <v>21.21</v>
      </c>
      <c r="N19" s="98" t="n">
        <v>36.71</v>
      </c>
      <c r="O19" s="98" t="n">
        <v>36.71</v>
      </c>
      <c r="Q19" s="75" t="n"/>
    </row>
    <row customHeight="1" ht="17.55" r="20" s="3">
      <c r="A20" s="69" t="inlineStr">
        <is>
          <t>FreeBonus_money</t>
        </is>
      </c>
      <c r="B20" s="69" t="n">
        <v>23961</v>
      </c>
      <c r="C20" s="70" t="n">
        <v>0.264</v>
      </c>
      <c r="D20" s="71" t="inlineStr">
        <is>
          <t>详情</t>
        </is>
      </c>
      <c r="E20" s="80" t="n"/>
      <c r="F20" s="69" t="inlineStr">
        <is>
          <t>FreeBonus_money</t>
        </is>
      </c>
      <c r="G20" s="69" t="n">
        <v>23573</v>
      </c>
      <c r="H20" s="70" t="n">
        <v>0.239</v>
      </c>
      <c r="I20" s="71" t="inlineStr">
        <is>
          <t>详情</t>
        </is>
      </c>
      <c r="J20" s="84" t="n"/>
      <c r="L20" s="66" t="inlineStr">
        <is>
          <t>新增</t>
        </is>
      </c>
      <c r="M20" s="68" t="n">
        <v>21860</v>
      </c>
      <c r="N20" s="68" t="n">
        <v>35908</v>
      </c>
      <c r="O20" s="75" t="n">
        <v>35908</v>
      </c>
      <c r="Q20" s="75" t="n"/>
    </row>
    <row customHeight="1" ht="17.55" r="21" s="3">
      <c r="A21" s="69" t="inlineStr">
        <is>
          <t>Offline</t>
        </is>
      </c>
      <c r="B21" s="69" t="n">
        <v>16518</v>
      </c>
      <c r="C21" s="70" t="n">
        <v>0.182</v>
      </c>
      <c r="D21" s="71" t="inlineStr">
        <is>
          <t>详情</t>
        </is>
      </c>
      <c r="E21" s="80" t="n"/>
      <c r="F21" s="69" t="inlineStr">
        <is>
          <t>Offline</t>
        </is>
      </c>
      <c r="G21" s="69" t="n">
        <v>20357</v>
      </c>
      <c r="H21" s="70" t="n">
        <v>0.206</v>
      </c>
      <c r="I21" s="71" t="inlineStr">
        <is>
          <t>详情</t>
        </is>
      </c>
      <c r="J21" s="84" t="n"/>
      <c r="L21" s="66" t="inlineStr">
        <is>
          <t>活跃</t>
        </is>
      </c>
      <c r="M21" s="68" t="n">
        <v>64620</v>
      </c>
      <c r="N21" s="68" t="n">
        <v>98714</v>
      </c>
      <c r="O21" s="75" t="n">
        <v>98714</v>
      </c>
      <c r="Q21" s="75" t="n"/>
    </row>
    <row customHeight="1" ht="18" r="22" s="3">
      <c r="A22" s="69" t="inlineStr">
        <is>
          <t>Double_Cash</t>
        </is>
      </c>
      <c r="B22" s="69" t="n">
        <v>15384</v>
      </c>
      <c r="C22" s="72" t="n">
        <v>0.17</v>
      </c>
      <c r="D22" s="71" t="inlineStr">
        <is>
          <t>详情</t>
        </is>
      </c>
      <c r="E22" s="80" t="n"/>
      <c r="F22" s="69" t="inlineStr">
        <is>
          <t>Double_Cash</t>
        </is>
      </c>
      <c r="G22" s="69" t="n">
        <v>15640</v>
      </c>
      <c r="H22" s="70" t="n">
        <v>0.158</v>
      </c>
      <c r="I22" s="71" t="inlineStr">
        <is>
          <t>详情</t>
        </is>
      </c>
      <c r="J22" s="84" t="n"/>
      <c r="K22" s="86" t="n"/>
      <c r="L22" s="86" t="inlineStr">
        <is>
          <t>启动次数</t>
        </is>
      </c>
      <c r="M22" s="68" t="n">
        <v>610245</v>
      </c>
      <c r="N22" s="68" t="n">
        <v>846417</v>
      </c>
      <c r="O22" s="75" t="n">
        <v>846417</v>
      </c>
      <c r="Q22" s="75" t="n"/>
    </row>
    <row customHeight="1" ht="17.55" r="23" s="3">
      <c r="A23" s="69" t="inlineStr">
        <is>
          <t>skip_30_minutes</t>
        </is>
      </c>
      <c r="B23" s="69" t="n">
        <v>10743</v>
      </c>
      <c r="C23" s="70" t="n">
        <v>0.118</v>
      </c>
      <c r="D23" s="71" t="inlineStr">
        <is>
          <t>详情</t>
        </is>
      </c>
      <c r="E23" s="80" t="n"/>
      <c r="F23" s="69" t="inlineStr">
        <is>
          <t>skip_30_minutes</t>
        </is>
      </c>
      <c r="G23" s="69" t="n">
        <v>12850</v>
      </c>
      <c r="H23" s="72" t="n">
        <v>0.13</v>
      </c>
      <c r="I23" s="71" t="inlineStr">
        <is>
          <t>详情</t>
        </is>
      </c>
      <c r="J23" s="84" t="n"/>
      <c r="K23" s="90" t="n"/>
      <c r="L23" s="90" t="inlineStr">
        <is>
          <t>插屏（消息数）</t>
        </is>
      </c>
      <c r="M23" s="99" t="n">
        <v>17</v>
      </c>
      <c r="N23" s="99" t="n">
        <v>425</v>
      </c>
      <c r="O23" s="99" t="n">
        <v>425</v>
      </c>
      <c r="Q23" s="75" t="n"/>
      <c r="R23" s="81" t="n"/>
      <c r="S23" s="81" t="n"/>
      <c r="T23" s="81" t="n"/>
      <c r="U23" s="81" t="n"/>
    </row>
    <row customHeight="1" ht="17.55" r="24" s="3">
      <c r="A24" s="69" t="inlineStr">
        <is>
          <t>speedUp</t>
        </is>
      </c>
      <c r="B24" s="69" t="n">
        <v>10346</v>
      </c>
      <c r="C24" s="70" t="n">
        <v>0.114</v>
      </c>
      <c r="D24" s="71" t="inlineStr">
        <is>
          <t>详情</t>
        </is>
      </c>
      <c r="E24" s="80" t="n"/>
      <c r="F24" s="69" t="inlineStr">
        <is>
          <t>speedUp</t>
        </is>
      </c>
      <c r="G24" s="69" t="n">
        <v>9392</v>
      </c>
      <c r="H24" s="70" t="n">
        <v>0.095</v>
      </c>
      <c r="I24" s="71" t="inlineStr">
        <is>
          <t>详情</t>
        </is>
      </c>
      <c r="J24" s="84" t="n"/>
      <c r="L24" s="66" t="inlineStr">
        <is>
          <t>视频（消息数）</t>
        </is>
      </c>
      <c r="M24" s="75" t="n">
        <v>630467</v>
      </c>
      <c r="N24" s="75" t="n">
        <v>795439</v>
      </c>
      <c r="O24" s="75" t="n">
        <v>795439</v>
      </c>
      <c r="Q24" s="75" t="n"/>
      <c r="R24" s="81" t="n"/>
      <c r="S24" s="81" t="n"/>
      <c r="T24" s="81" t="n"/>
      <c r="U24" s="81" t="n"/>
    </row>
    <row customHeight="1" ht="17.55" r="25" s="3">
      <c r="A25" s="69" t="inlineStr">
        <is>
          <t>AdClaim</t>
        </is>
      </c>
      <c r="B25" s="69" t="n">
        <v>6008</v>
      </c>
      <c r="C25" s="70" t="n">
        <v>0.066</v>
      </c>
      <c r="D25" s="71" t="inlineStr">
        <is>
          <t>详情</t>
        </is>
      </c>
      <c r="E25" s="80" t="n"/>
      <c r="F25" s="69" t="inlineStr">
        <is>
          <t>AdClaim</t>
        </is>
      </c>
      <c r="G25" s="69" t="n">
        <v>7446</v>
      </c>
      <c r="H25" s="70" t="n">
        <v>0.075</v>
      </c>
      <c r="I25" s="71" t="inlineStr">
        <is>
          <t>详情</t>
        </is>
      </c>
      <c r="J25" s="84" t="n"/>
      <c r="L25" s="66" t="inlineStr">
        <is>
          <t>视频（独立用户）</t>
        </is>
      </c>
      <c r="M25" s="75" t="n">
        <v>37852</v>
      </c>
      <c r="N25" s="75" t="n">
        <v>56293</v>
      </c>
      <c r="O25" s="75" t="n">
        <v>56293</v>
      </c>
      <c r="Q25" s="75" t="n"/>
      <c r="R25" s="81" t="n"/>
      <c r="S25" s="81" t="n"/>
      <c r="T25" s="81" t="n"/>
    </row>
    <row customHeight="1" ht="17.55" r="26" s="3">
      <c r="A26" s="69" t="inlineStr">
        <is>
          <t>cost_50%_off</t>
        </is>
      </c>
      <c r="B26" s="69" t="n">
        <v>4930</v>
      </c>
      <c r="C26" s="70" t="n">
        <v>0.054</v>
      </c>
      <c r="D26" s="71" t="inlineStr">
        <is>
          <t>详情</t>
        </is>
      </c>
      <c r="E26" s="80" t="n"/>
      <c r="F26" s="69" t="inlineStr">
        <is>
          <t>cost_50%_off</t>
        </is>
      </c>
      <c r="G26" s="69" t="n">
        <v>6153</v>
      </c>
      <c r="H26" s="70" t="n">
        <v>0.062</v>
      </c>
      <c r="I26" s="71" t="inlineStr">
        <is>
          <t>详情</t>
        </is>
      </c>
      <c r="J26" s="84" t="n"/>
      <c r="L26" s="66" t="inlineStr">
        <is>
          <t>IAP（独立用户）</t>
        </is>
      </c>
      <c r="M26" s="75" t="n">
        <v>402</v>
      </c>
      <c r="N26" s="75" t="n">
        <v>644</v>
      </c>
      <c r="O26" s="75" t="n">
        <v>644</v>
      </c>
      <c r="Q26" s="75" t="n"/>
    </row>
    <row customHeight="1" ht="17.55" r="27" s="3">
      <c r="A27" s="69" t="inlineStr">
        <is>
          <t>Slot</t>
        </is>
      </c>
      <c r="B27" s="69" t="n">
        <v>1788</v>
      </c>
      <c r="C27" s="72" t="n">
        <v>0.02</v>
      </c>
      <c r="D27" s="71" t="inlineStr">
        <is>
          <t>详情</t>
        </is>
      </c>
      <c r="E27" s="80" t="n"/>
      <c r="F27" s="69" t="inlineStr">
        <is>
          <t>Slot</t>
        </is>
      </c>
      <c r="G27" s="69" t="n">
        <v>1984</v>
      </c>
      <c r="H27" s="72" t="n">
        <v>0.02</v>
      </c>
      <c r="I27" s="71" t="inlineStr">
        <is>
          <t>详情</t>
        </is>
      </c>
      <c r="J27" s="84" t="n"/>
      <c r="L27" s="66" t="inlineStr">
        <is>
          <t>open_map2（独立用户）</t>
        </is>
      </c>
      <c r="M27" s="75" t="n">
        <v>14375</v>
      </c>
      <c r="N27" s="75" t="n">
        <v>17541</v>
      </c>
      <c r="O27" s="75" t="n">
        <v>17541</v>
      </c>
      <c r="Q27" s="75" t="n"/>
    </row>
    <row customHeight="1" ht="17.55" r="28" s="3">
      <c r="A28" s="69" t="inlineStr">
        <is>
          <t>FreeBonus_gold</t>
        </is>
      </c>
      <c r="B28" s="69" t="n">
        <v>995</v>
      </c>
      <c r="C28" s="70" t="n">
        <v>0.011</v>
      </c>
      <c r="D28" s="71" t="inlineStr">
        <is>
          <t>详情</t>
        </is>
      </c>
      <c r="E28" s="80" t="n"/>
      <c r="F28" s="69" t="inlineStr">
        <is>
          <t>FreeBonus_gold</t>
        </is>
      </c>
      <c r="G28" s="69" t="n">
        <v>1312</v>
      </c>
      <c r="H28" s="70" t="n">
        <v>0.013</v>
      </c>
      <c r="I28" s="71" t="inlineStr">
        <is>
          <t>详情</t>
        </is>
      </c>
      <c r="J28" s="84" t="n"/>
      <c r="L28" s="66" t="inlineStr">
        <is>
          <t>open_map3（独立用户）</t>
        </is>
      </c>
      <c r="M28" s="75" t="n">
        <v>2401</v>
      </c>
      <c r="N28" s="75" t="n">
        <v>2301</v>
      </c>
      <c r="O28" s="75" t="n">
        <v>2301</v>
      </c>
      <c r="Q28" s="75" t="n"/>
    </row>
    <row customHeight="1" ht="18" r="29" s="3">
      <c r="A29" s="69" t="inlineStr">
        <is>
          <t>FreeBonus_money</t>
        </is>
      </c>
      <c r="B29" s="69" t="n">
        <v>3627</v>
      </c>
      <c r="C29" s="70" t="n">
        <v>0.232</v>
      </c>
      <c r="D29" s="71" t="inlineStr">
        <is>
          <t>详情</t>
        </is>
      </c>
      <c r="E29" s="80" t="n"/>
      <c r="F29" s="69" t="inlineStr">
        <is>
          <t>FreeBonus_money</t>
        </is>
      </c>
      <c r="G29" s="69" t="n">
        <v>3201</v>
      </c>
      <c r="H29" s="70" t="n">
        <v>0.229</v>
      </c>
      <c r="I29" s="71" t="inlineStr">
        <is>
          <t>详情</t>
        </is>
      </c>
      <c r="J29" s="84" t="n"/>
      <c r="K29" s="86" t="n"/>
      <c r="L29" s="86" t="inlineStr">
        <is>
          <t>open_event（独立用户）</t>
        </is>
      </c>
      <c r="M29" s="100" t="n">
        <v>15882</v>
      </c>
      <c r="N29" s="100" t="n">
        <v>20790</v>
      </c>
      <c r="O29" s="101" t="n">
        <v>20790</v>
      </c>
      <c r="Q29" s="75" t="n"/>
    </row>
    <row customHeight="1" ht="17.55" r="30" s="3">
      <c r="A30" s="69" t="inlineStr">
        <is>
          <t>Double_Cash</t>
        </is>
      </c>
      <c r="B30" s="69" t="n">
        <v>3559</v>
      </c>
      <c r="C30" s="70" t="n">
        <v>0.227</v>
      </c>
      <c r="D30" s="71" t="inlineStr">
        <is>
          <t>详情</t>
        </is>
      </c>
      <c r="E30" s="80" t="n"/>
      <c r="F30" s="69" t="inlineStr">
        <is>
          <t>Double_Cash</t>
        </is>
      </c>
      <c r="G30" s="69" t="n">
        <v>3067</v>
      </c>
      <c r="H30" s="70" t="n">
        <v>0.219</v>
      </c>
      <c r="I30" s="71" t="inlineStr">
        <is>
          <t>详情</t>
        </is>
      </c>
      <c r="J30" s="84" t="n"/>
      <c r="K30" s="91" t="n"/>
      <c r="L30" s="91" t="inlineStr">
        <is>
          <t>IAP购买次数（action）</t>
        </is>
      </c>
      <c r="M30" s="102" t="n">
        <v>598</v>
      </c>
      <c r="N30" s="102" t="n">
        <v>863</v>
      </c>
      <c r="O30" s="103">
        <f>SUM(M2:M14)</f>
        <v/>
      </c>
      <c r="Q30" s="75" t="n"/>
    </row>
    <row customHeight="1" ht="17.55" r="31" s="3">
      <c r="A31" s="69" t="inlineStr">
        <is>
          <t>speedUp</t>
        </is>
      </c>
      <c r="B31" s="69" t="n">
        <v>2591</v>
      </c>
      <c r="C31" s="70" t="n">
        <v>0.166</v>
      </c>
      <c r="D31" s="71" t="inlineStr">
        <is>
          <t>详情</t>
        </is>
      </c>
      <c r="E31" s="80" t="n"/>
      <c r="F31" s="69" t="inlineStr">
        <is>
          <t>Offline</t>
        </is>
      </c>
      <c r="G31" s="69" t="n">
        <v>2291</v>
      </c>
      <c r="H31" s="70" t="n">
        <v>0.164</v>
      </c>
      <c r="I31" s="71" t="inlineStr">
        <is>
          <t>详情</t>
        </is>
      </c>
      <c r="J31" s="84" t="n"/>
      <c r="K31" s="91" t="n"/>
      <c r="L31" s="91" t="inlineStr">
        <is>
          <t>IAP付费金额（action）</t>
        </is>
      </c>
      <c r="M31" s="102" t="n">
        <v>3708.02</v>
      </c>
      <c r="N31" s="102" t="n">
        <v>5799.37</v>
      </c>
      <c r="O31" s="103">
        <f>SUM(K2:K14)</f>
        <v/>
      </c>
      <c r="Q31" s="75" t="n"/>
      <c r="R31" s="81" t="n"/>
      <c r="S31" s="81" t="n"/>
      <c r="T31" s="81" t="n"/>
    </row>
    <row customHeight="1" ht="17.55" r="32" s="3">
      <c r="A32" s="69" t="inlineStr">
        <is>
          <t>Offline</t>
        </is>
      </c>
      <c r="B32" s="69" t="n">
        <v>2449</v>
      </c>
      <c r="C32" s="70" t="n">
        <v>0.157</v>
      </c>
      <c r="D32" s="71" t="inlineStr">
        <is>
          <t>详情</t>
        </is>
      </c>
      <c r="E32" s="80" t="n"/>
      <c r="F32" s="69" t="inlineStr">
        <is>
          <t>speedUp</t>
        </is>
      </c>
      <c r="G32" s="69" t="n">
        <v>2128</v>
      </c>
      <c r="H32" s="70" t="n">
        <v>0.152</v>
      </c>
      <c r="I32" s="71" t="inlineStr">
        <is>
          <t>详情</t>
        </is>
      </c>
      <c r="J32" s="84" t="n"/>
      <c r="K32" s="91" t="n"/>
      <c r="L32" s="91" t="inlineStr">
        <is>
          <t>show_claim（success次数）（action）</t>
        </is>
      </c>
      <c r="M32" s="68" t="n">
        <v>28318</v>
      </c>
      <c r="N32" s="68" t="n">
        <v>40418</v>
      </c>
      <c r="O32" s="104" t="n">
        <v>40418</v>
      </c>
      <c r="Q32" s="75" t="n"/>
      <c r="T32" s="81" t="n"/>
      <c r="U32" s="81" t="n"/>
    </row>
    <row customHeight="1" ht="17.55" r="33" s="3">
      <c r="A33" s="69" t="inlineStr">
        <is>
          <t>skip_30_minutes</t>
        </is>
      </c>
      <c r="B33" s="69" t="n">
        <v>1534</v>
      </c>
      <c r="C33" s="70" t="n">
        <v>0.098</v>
      </c>
      <c r="D33" s="71" t="inlineStr">
        <is>
          <t>详情</t>
        </is>
      </c>
      <c r="E33" s="80" t="n"/>
      <c r="F33" s="69" t="inlineStr">
        <is>
          <t>skip_30_minutes</t>
        </is>
      </c>
      <c r="G33" s="69" t="n">
        <v>1538</v>
      </c>
      <c r="H33" s="72" t="n">
        <v>0.11</v>
      </c>
      <c r="I33" s="71" t="inlineStr">
        <is>
          <t>详情</t>
        </is>
      </c>
      <c r="J33" s="84" t="n"/>
      <c r="K33" s="91" t="n"/>
      <c r="L33" s="91" t="inlineStr">
        <is>
          <t>第5层用户数（action）</t>
        </is>
      </c>
      <c r="M33" s="75" t="n">
        <v>10373</v>
      </c>
      <c r="N33" s="75" t="n">
        <v>21565</v>
      </c>
      <c r="O33" s="104" t="n">
        <v>21565</v>
      </c>
      <c r="Q33" s="75" t="n"/>
      <c r="R33" s="81" t="n"/>
      <c r="S33" s="81" t="n"/>
      <c r="T33" s="81" t="n"/>
      <c r="U33" s="81" t="n"/>
    </row>
    <row customHeight="1" ht="17.55" r="34" s="3">
      <c r="A34" s="69" t="inlineStr">
        <is>
          <t>AdClaim</t>
        </is>
      </c>
      <c r="B34" s="69" t="n">
        <v>1075</v>
      </c>
      <c r="C34" s="70" t="n">
        <v>0.06900000000000001</v>
      </c>
      <c r="D34" s="71" t="inlineStr">
        <is>
          <t>详情</t>
        </is>
      </c>
      <c r="E34" s="80" t="n"/>
      <c r="F34" s="69" t="inlineStr">
        <is>
          <t>AdClaim</t>
        </is>
      </c>
      <c r="G34" s="69" t="n">
        <v>911</v>
      </c>
      <c r="H34" s="70" t="n">
        <v>0.065</v>
      </c>
      <c r="I34" s="71" t="inlineStr">
        <is>
          <t>详情</t>
        </is>
      </c>
      <c r="J34" s="84" t="n"/>
      <c r="K34" s="91" t="n"/>
      <c r="L34" s="91" t="inlineStr">
        <is>
          <t>第10层用户数（action）</t>
        </is>
      </c>
      <c r="M34" s="75" t="n">
        <v>6508</v>
      </c>
      <c r="N34" s="75" t="n">
        <v>12727</v>
      </c>
      <c r="O34" s="104" t="n">
        <v>12727</v>
      </c>
      <c r="Q34" s="75" t="n"/>
      <c r="R34" s="81" t="n"/>
      <c r="S34" s="81" t="n"/>
      <c r="T34" s="81" t="n"/>
      <c r="U34" s="81" t="n"/>
    </row>
    <row customHeight="1" ht="17.55" r="35" s="3">
      <c r="A35" s="69" t="inlineStr">
        <is>
          <t>cost_50%_off</t>
        </is>
      </c>
      <c r="B35" s="69" t="n">
        <v>603</v>
      </c>
      <c r="C35" s="70" t="n">
        <v>0.039</v>
      </c>
      <c r="D35" s="71" t="inlineStr">
        <is>
          <t>详情</t>
        </is>
      </c>
      <c r="E35" s="80" t="n"/>
      <c r="F35" s="69" t="inlineStr">
        <is>
          <t>cost_50%_off</t>
        </is>
      </c>
      <c r="G35" s="69" t="n">
        <v>612</v>
      </c>
      <c r="H35" s="70" t="n">
        <v>0.044</v>
      </c>
      <c r="I35" s="71" t="inlineStr">
        <is>
          <t>详情</t>
        </is>
      </c>
      <c r="J35" s="84" t="n"/>
      <c r="M35" s="75" t="n"/>
      <c r="N35" s="75" t="inlineStr">
        <is>
          <t xml:space="preserve">   </t>
        </is>
      </c>
      <c r="Q35" s="75" t="n"/>
    </row>
    <row customHeight="1" ht="17.55" r="36" s="3">
      <c r="A36" s="69" t="inlineStr">
        <is>
          <t>Slot</t>
        </is>
      </c>
      <c r="B36" s="69" t="n">
        <v>187</v>
      </c>
      <c r="C36" s="70" t="n">
        <v>0.012</v>
      </c>
      <c r="D36" s="71" t="inlineStr">
        <is>
          <t>详情</t>
        </is>
      </c>
      <c r="E36" s="80" t="n"/>
      <c r="F36" s="69" t="inlineStr">
        <is>
          <t>Slot</t>
        </is>
      </c>
      <c r="G36" s="69" t="n">
        <v>205</v>
      </c>
      <c r="H36" s="70" t="n">
        <v>0.015</v>
      </c>
      <c r="I36" s="71" t="inlineStr">
        <is>
          <t>详情</t>
        </is>
      </c>
      <c r="J36" s="84" t="n"/>
    </row>
    <row customHeight="1" ht="17.55" r="37" s="3">
      <c r="A37" s="69" t="inlineStr">
        <is>
          <t>FreeBonus_gold</t>
        </is>
      </c>
      <c r="B37" s="69" t="n">
        <v>23</v>
      </c>
      <c r="C37" s="70" t="n">
        <v>0.001</v>
      </c>
      <c r="D37" s="71" t="inlineStr">
        <is>
          <t>详情</t>
        </is>
      </c>
      <c r="E37" s="68" t="n"/>
      <c r="F37" s="69" t="inlineStr">
        <is>
          <t>FreeBonus_gold</t>
        </is>
      </c>
      <c r="G37" s="69" t="n">
        <v>40</v>
      </c>
      <c r="H37" s="70" t="n">
        <v>0.003</v>
      </c>
      <c r="I37" s="71" t="inlineStr">
        <is>
          <t>详情</t>
        </is>
      </c>
      <c r="J37" s="92" t="n"/>
      <c r="K37" s="93" t="n"/>
      <c r="L37" s="92" t="n"/>
      <c r="M37" s="92" t="n"/>
      <c r="N37" s="92" t="n"/>
      <c r="O37" s="92" t="n"/>
      <c r="P37" s="92" t="n"/>
    </row>
    <row customHeight="1" ht="17.55" r="38" s="3">
      <c r="A38" s="69" t="n"/>
      <c r="B38" s="69" t="n"/>
      <c r="C38" s="73" t="n"/>
      <c r="D38" s="74" t="n"/>
      <c r="E38" s="75" t="n"/>
      <c r="F38" s="69" t="n"/>
      <c r="G38" s="69" t="n"/>
      <c r="H38" s="70" t="n"/>
      <c r="I38" s="71" t="n"/>
      <c r="J38" s="92" t="n"/>
      <c r="K38" s="93" t="n"/>
      <c r="L38" s="92" t="n"/>
      <c r="M38" s="92" t="n"/>
      <c r="N38" s="92" t="n"/>
      <c r="O38" s="92" t="n"/>
      <c r="P38" s="92" t="n"/>
    </row>
    <row customHeight="1" ht="17.55" r="39" s="3">
      <c r="A39" s="75" t="n"/>
      <c r="B39" s="75" t="n"/>
      <c r="C39" s="76" t="n"/>
      <c r="D39" s="75" t="n"/>
      <c r="E39" s="75" t="n"/>
      <c r="F39" s="75" t="n"/>
      <c r="G39" s="75" t="n"/>
      <c r="H39" s="75" t="n"/>
      <c r="I39" s="75" t="n"/>
      <c r="J39" s="92" t="n"/>
      <c r="K39" s="0" t="n"/>
      <c r="L39" s="0" t="n"/>
      <c r="M39" s="0" t="n"/>
      <c r="N39" s="0" t="n"/>
      <c r="O39" s="0" t="n"/>
      <c r="P39" s="0" t="n"/>
    </row>
    <row customHeight="1" ht="18" r="40" s="3">
      <c r="C40" s="77" t="n"/>
      <c r="J40" s="92" t="n"/>
      <c r="K40" s="71" t="inlineStr">
        <is>
          <t xml:space="preserve"> ad_interstitial_from</t>
        </is>
      </c>
      <c r="L40" s="69" t="inlineStr">
        <is>
          <t>插屏广告</t>
        </is>
      </c>
      <c r="M40" s="69" t="n">
        <v>529</v>
      </c>
      <c r="N40" s="69" t="n">
        <v>342</v>
      </c>
      <c r="O40" s="69" t="n">
        <v>454</v>
      </c>
      <c r="P40" s="71" t="inlineStr">
        <is>
          <t>查看</t>
        </is>
      </c>
      <c r="Q40" s="92" t="n"/>
      <c r="R40" s="108" t="n"/>
      <c r="S40" s="108" t="n"/>
      <c r="T40" s="95" t="n"/>
      <c r="U40" s="113" t="n"/>
      <c r="V40" s="95" t="n"/>
      <c r="W40" s="109" t="n"/>
    </row>
    <row customHeight="1" ht="18" r="41" s="3">
      <c r="C41" s="77" t="n"/>
      <c r="J41" s="92" t="n"/>
      <c r="K41" s="71" t="inlineStr">
        <is>
          <t xml:space="preserve"> watch_video</t>
        </is>
      </c>
      <c r="L41" s="69" t="inlineStr">
        <is>
          <t>视频广告播放细分</t>
        </is>
      </c>
      <c r="M41" s="69" t="n">
        <v>853689</v>
      </c>
      <c r="N41" s="69" t="n">
        <v>635426</v>
      </c>
      <c r="O41" s="69" t="n">
        <v>58218</v>
      </c>
      <c r="P41" s="71" t="inlineStr">
        <is>
          <t>查看</t>
        </is>
      </c>
      <c r="Q41" s="92" t="n"/>
      <c r="R41" s="109" t="n"/>
      <c r="S41" s="108" t="n"/>
      <c r="T41" s="95" t="n"/>
      <c r="U41" s="113" t="n"/>
      <c r="V41" s="95" t="n"/>
      <c r="W41" s="109" t="n"/>
    </row>
    <row customHeight="1" ht="18" r="42" s="3">
      <c r="C42" s="77" t="n"/>
      <c r="J42" s="92" t="n"/>
      <c r="K42" s="71" t="inlineStr">
        <is>
          <t xml:space="preserve"> buy_iap_total</t>
        </is>
      </c>
      <c r="L42" s="69" t="inlineStr">
        <is>
          <t>IAP合计</t>
        </is>
      </c>
      <c r="M42" s="69" t="n">
        <v>1914</v>
      </c>
      <c r="N42" s="69" t="n">
        <v>1496</v>
      </c>
      <c r="O42" s="69" t="n">
        <v>621</v>
      </c>
      <c r="P42" s="71" t="inlineStr">
        <is>
          <t>查看</t>
        </is>
      </c>
      <c r="Q42" s="92" t="n"/>
      <c r="R42" s="109" t="n"/>
      <c r="S42" s="108" t="n"/>
      <c r="T42" s="95" t="n"/>
      <c r="U42" s="113" t="n"/>
      <c r="V42" s="95" t="n"/>
      <c r="W42" s="109" t="n"/>
    </row>
    <row customHeight="1" ht="18" r="43" s="3">
      <c r="J43" s="92" t="n"/>
      <c r="K43" s="71" t="inlineStr">
        <is>
          <t xml:space="preserve"> open_map2</t>
        </is>
      </c>
      <c r="L43" s="69" t="inlineStr">
        <is>
          <t>地图2打开</t>
        </is>
      </c>
      <c r="M43" s="69" t="n">
        <v>49098</v>
      </c>
      <c r="N43" s="69" t="n">
        <v>40303</v>
      </c>
      <c r="O43" s="69" t="n">
        <v>15890</v>
      </c>
      <c r="P43" s="71" t="inlineStr">
        <is>
          <t>查看</t>
        </is>
      </c>
      <c r="Q43" s="92" t="n"/>
      <c r="R43" s="109" t="n"/>
      <c r="S43" s="108" t="n"/>
      <c r="T43" s="95" t="n"/>
      <c r="U43" s="113" t="n"/>
      <c r="V43" s="95" t="n"/>
      <c r="W43" s="109" t="n"/>
    </row>
    <row customHeight="1" ht="18" r="44" s="3">
      <c r="J44" s="92" t="n"/>
      <c r="K44" s="71" t="inlineStr">
        <is>
          <t xml:space="preserve"> open_map3</t>
        </is>
      </c>
      <c r="L44" s="69" t="inlineStr">
        <is>
          <t>地图3打开</t>
        </is>
      </c>
      <c r="M44" s="69" t="n">
        <v>5511</v>
      </c>
      <c r="N44" s="69" t="n">
        <v>4448</v>
      </c>
      <c r="O44" s="69" t="n">
        <v>2115</v>
      </c>
      <c r="P44" s="71" t="inlineStr">
        <is>
          <t>查看</t>
        </is>
      </c>
      <c r="Q44" s="92" t="n"/>
      <c r="R44" s="109" t="n"/>
      <c r="S44" s="108" t="n"/>
      <c r="T44" s="95" t="n"/>
      <c r="U44" s="113" t="n"/>
      <c r="V44" s="95" t="n"/>
      <c r="W44" s="109" t="n"/>
    </row>
    <row customHeight="1" ht="18" r="45" s="3">
      <c r="J45" s="92" t="n"/>
      <c r="K45" s="71" t="inlineStr">
        <is>
          <t xml:space="preserve"> open_event</t>
        </is>
      </c>
      <c r="L45" s="69" t="inlineStr">
        <is>
          <t>用户进入event</t>
        </is>
      </c>
      <c r="M45" s="69" t="n">
        <v>90319</v>
      </c>
      <c r="N45" s="69" t="n">
        <v>62094</v>
      </c>
      <c r="O45" s="69" t="n">
        <v>25628</v>
      </c>
      <c r="P45" s="71" t="inlineStr">
        <is>
          <t>查看</t>
        </is>
      </c>
      <c r="Q45" s="92" t="n"/>
      <c r="R45" s="110" t="n"/>
      <c r="S45" s="111" t="n"/>
      <c r="T45" s="95" t="n"/>
      <c r="U45" s="114" t="n"/>
      <c r="V45" s="95" t="n"/>
      <c r="W45" s="110" t="n"/>
    </row>
    <row customHeight="1" ht="17.55" r="46" s="3">
      <c r="J46" s="92" t="n"/>
      <c r="K46" s="71" t="n"/>
      <c r="L46" s="69" t="n"/>
      <c r="M46" s="69" t="n"/>
      <c r="N46" s="69" t="n"/>
      <c r="O46" s="69" t="n"/>
      <c r="P46" s="71" t="n"/>
      <c r="Q46" s="92" t="n"/>
    </row>
    <row r="47">
      <c r="J47" s="92" t="n"/>
      <c r="K47" s="93" t="n"/>
      <c r="L47" s="92" t="n"/>
      <c r="M47" s="92" t="n"/>
      <c r="N47" s="92" t="n"/>
      <c r="O47" s="92" t="n"/>
      <c r="P47" s="95" t="n"/>
    </row>
    <row r="48">
      <c r="P48" s="95" t="n"/>
    </row>
    <row r="49">
      <c r="P49" s="105" t="n"/>
    </row>
    <row r="50">
      <c r="P50" s="105" t="n"/>
    </row>
    <row r="51">
      <c r="P51" s="105" t="n"/>
    </row>
    <row r="52">
      <c r="K52" s="94" t="n"/>
      <c r="L52" s="95" t="n"/>
      <c r="N52" s="95" t="n"/>
      <c r="O52" s="95" t="n"/>
      <c r="P52" s="105" t="n"/>
    </row>
    <row r="53">
      <c r="K53" s="96" t="n"/>
      <c r="L53" s="81" t="n"/>
      <c r="M53" s="81" t="n"/>
      <c r="N53" s="81" t="n"/>
      <c r="O53" s="81" t="n"/>
      <c r="P53" s="106" t="n"/>
    </row>
    <row r="54">
      <c r="K54" s="96" t="n"/>
      <c r="L54" s="81" t="n"/>
      <c r="M54" s="81" t="n"/>
      <c r="N54" s="81" t="n"/>
      <c r="O54" s="81" t="n"/>
      <c r="P54" s="106" t="n"/>
    </row>
    <row r="60">
      <c r="B60" s="78" t="n"/>
      <c r="G60" s="78" t="n"/>
    </row>
    <row r="61">
      <c r="B61" s="78" t="n"/>
      <c r="G61" s="78" t="n"/>
    </row>
    <row r="62">
      <c r="B62" s="78" t="n"/>
      <c r="G62" s="78" t="n"/>
      <c r="K62" s="32" t="n"/>
      <c r="L62" s="32" t="n"/>
      <c r="M62" s="32" t="n"/>
      <c r="N62" s="32" t="n"/>
      <c r="O62" s="32" t="n"/>
      <c r="P62" s="32" t="n"/>
      <c r="Q62" s="32" t="n"/>
      <c r="R62" s="32" t="n"/>
      <c r="S62" s="32" t="n"/>
      <c r="T62" s="32" t="n"/>
    </row>
    <row r="63">
      <c r="B63" s="78" t="n"/>
      <c r="G63" s="78" t="n"/>
      <c r="K63" s="94" t="n"/>
      <c r="L63" s="95" t="n"/>
      <c r="M63" s="107" t="n"/>
      <c r="N63" s="107" t="n"/>
      <c r="O63" s="107" t="n"/>
      <c r="P63" s="107" t="n"/>
      <c r="Q63" s="107" t="n"/>
      <c r="R63" s="95" t="n"/>
      <c r="S63" s="95" t="n"/>
      <c r="T63" s="95" t="n"/>
    </row>
    <row r="64">
      <c r="B64" s="78" t="n"/>
      <c r="G64" s="78" t="n"/>
      <c r="K64" s="94" t="n"/>
      <c r="L64" s="95" t="n"/>
      <c r="M64" s="107" t="n"/>
      <c r="N64" s="107" t="n"/>
      <c r="O64" s="107" t="n"/>
      <c r="P64" s="107" t="n"/>
      <c r="Q64" s="112" t="n"/>
      <c r="R64" s="95" t="n"/>
      <c r="S64" s="95" t="n"/>
      <c r="T64" s="95" t="n"/>
    </row>
    <row r="65">
      <c r="B65" s="78" t="n"/>
      <c r="G65" s="78" t="n"/>
      <c r="K65" s="94" t="n"/>
      <c r="L65" s="95" t="n"/>
      <c r="M65" s="107" t="n"/>
      <c r="N65" s="107" t="n"/>
      <c r="O65" s="107" t="n"/>
      <c r="P65" s="107" t="n"/>
      <c r="Q65" s="107" t="n"/>
      <c r="R65" s="95" t="n"/>
      <c r="S65" s="95" t="n"/>
      <c r="T65" s="95" t="n"/>
    </row>
    <row r="66">
      <c r="B66" s="78" t="n"/>
      <c r="G66" s="78" t="n"/>
      <c r="K66" s="94" t="n"/>
      <c r="L66" s="95" t="n"/>
      <c r="M66" s="107" t="n"/>
      <c r="N66" s="107" t="n"/>
      <c r="O66" s="107" t="n"/>
      <c r="P66" s="107" t="n"/>
      <c r="Q66" s="107" t="n"/>
      <c r="R66" s="95" t="n"/>
      <c r="S66" s="95" t="n"/>
      <c r="T66" s="95" t="n"/>
    </row>
    <row r="67">
      <c r="B67" s="78" t="n"/>
      <c r="G67" s="78" t="n"/>
      <c r="K67" s="94" t="n"/>
      <c r="L67" s="95" t="n"/>
      <c r="M67" s="107" t="n"/>
      <c r="N67" s="107" t="n"/>
      <c r="O67" s="107" t="n"/>
      <c r="P67" s="107" t="n"/>
      <c r="Q67" s="112" t="n"/>
      <c r="R67" s="95" t="n"/>
      <c r="S67" s="95" t="n"/>
      <c r="T67" s="95" t="n"/>
    </row>
    <row r="68">
      <c r="K68" s="94" t="n"/>
      <c r="L68" s="95" t="n"/>
      <c r="M68" s="107" t="n"/>
      <c r="N68" s="107" t="n"/>
      <c r="O68" s="107" t="n"/>
      <c r="P68" s="107" t="n"/>
      <c r="Q68" s="95" t="n"/>
      <c r="R68" s="95" t="n"/>
      <c r="S68" s="95" t="n"/>
      <c r="T68" s="95" t="n"/>
    </row>
    <row r="69">
      <c r="K69" s="94" t="n"/>
      <c r="L69" s="95" t="n"/>
      <c r="M69" s="107" t="n"/>
      <c r="N69" s="107" t="n"/>
      <c r="O69" s="107" t="n"/>
      <c r="P69" s="107" t="n"/>
      <c r="Q69" s="95" t="n"/>
      <c r="R69" s="95" t="n"/>
      <c r="S69" s="95" t="n"/>
      <c r="T69" s="95" t="n"/>
    </row>
    <row r="70">
      <c r="K70" s="94" t="n"/>
      <c r="L70" s="95" t="n"/>
      <c r="M70" s="107" t="n"/>
      <c r="N70" s="107" t="n"/>
      <c r="O70" s="107" t="n"/>
      <c r="P70" s="112" t="n"/>
      <c r="Q70" s="95" t="n"/>
      <c r="R70" s="95" t="n"/>
      <c r="S70" s="95" t="n"/>
      <c r="T70" s="95" t="n"/>
    </row>
    <row r="71">
      <c r="K71" s="94" t="n"/>
      <c r="L71" s="95" t="n"/>
      <c r="M71" s="107" t="n"/>
      <c r="N71" s="107" t="n"/>
      <c r="O71" s="107" t="n"/>
      <c r="P71" s="107" t="n"/>
      <c r="Q71" s="95" t="n"/>
      <c r="R71" s="95" t="n"/>
      <c r="S71" s="95" t="n"/>
      <c r="T71" s="95" t="n"/>
    </row>
    <row r="72">
      <c r="K72" s="94" t="n"/>
      <c r="L72" s="95" t="n"/>
      <c r="M72" s="107" t="n"/>
      <c r="N72" s="107" t="n"/>
      <c r="O72" s="107" t="n"/>
      <c r="P72" s="95" t="n"/>
      <c r="Q72" s="95" t="n"/>
      <c r="R72" s="95" t="n"/>
      <c r="S72" s="95" t="n"/>
      <c r="T72" s="95" t="n"/>
    </row>
    <row r="73">
      <c r="K73" s="94" t="n"/>
      <c r="L73" s="95" t="n"/>
      <c r="M73" s="107" t="n"/>
      <c r="N73" s="107" t="n"/>
      <c r="O73" s="32" t="n"/>
      <c r="P73" s="32" t="n"/>
      <c r="Q73" s="32" t="n"/>
      <c r="R73" s="32" t="n"/>
      <c r="S73" s="32" t="n"/>
      <c r="T73" s="32" t="n"/>
    </row>
    <row r="74">
      <c r="K74" s="78" t="n"/>
      <c r="M74" s="115" t="n"/>
      <c r="N74" s="115" t="n"/>
    </row>
    <row r="1048459">
      <c r="E1048459" s="116" t="n"/>
    </row>
    <row r="1048576">
      <c r="Q1048576" s="65" t="inlineStr">
        <is>
          <t xml:space="preserve"> </t>
        </is>
      </c>
    </row>
  </sheetData>
  <hyperlinks>
    <hyperlink ref="O2" r:id="rId1"/>
    <hyperlink ref="D3" r:id="rId2"/>
    <hyperlink ref="I3" r:id="rId3"/>
    <hyperlink ref="O3" r:id="rId4"/>
    <hyperlink ref="D4" r:id="rId5"/>
    <hyperlink ref="I4" r:id="rId6"/>
    <hyperlink ref="O4" r:id="rId7"/>
    <hyperlink ref="D5" r:id="rId8"/>
    <hyperlink ref="I5" r:id="rId9"/>
    <hyperlink ref="O5" r:id="rId10"/>
    <hyperlink ref="D6" r:id="rId11"/>
    <hyperlink ref="I6" r:id="rId12"/>
    <hyperlink ref="O6" r:id="rId13"/>
    <hyperlink ref="D7" r:id="rId14"/>
    <hyperlink ref="I7" r:id="rId15"/>
    <hyperlink ref="O7" r:id="rId16"/>
    <hyperlink ref="D8" r:id="rId17"/>
    <hyperlink ref="I8" r:id="rId18"/>
    <hyperlink ref="O8" r:id="rId19"/>
    <hyperlink ref="D9" r:id="rId20"/>
    <hyperlink ref="I9" r:id="rId21"/>
    <hyperlink ref="O9" r:id="rId22"/>
    <hyperlink ref="D10" r:id="rId23"/>
    <hyperlink ref="I10" r:id="rId24"/>
    <hyperlink ref="O10" r:id="rId25"/>
    <hyperlink ref="D11" r:id="rId26"/>
    <hyperlink ref="I11" r:id="rId27"/>
    <hyperlink ref="O11" r:id="rId28"/>
    <hyperlink ref="D12" r:id="rId29"/>
    <hyperlink ref="I12" r:id="rId30"/>
    <hyperlink ref="O12" r:id="rId31"/>
    <hyperlink ref="D13" r:id="rId32"/>
    <hyperlink ref="I13" r:id="rId33"/>
    <hyperlink ref="O13" r:id="rId34"/>
    <hyperlink ref="D14" r:id="rId35"/>
    <hyperlink ref="I14" r:id="rId36"/>
    <hyperlink ref="D15" r:id="rId37"/>
    <hyperlink ref="I15" r:id="rId38"/>
    <hyperlink ref="D16" r:id="rId39"/>
    <hyperlink ref="I16" r:id="rId40"/>
    <hyperlink ref="D17" r:id="rId41"/>
    <hyperlink ref="I17" r:id="rId42"/>
    <hyperlink ref="D18" r:id="rId43"/>
    <hyperlink ref="I18" r:id="rId44"/>
    <hyperlink ref="D19" r:id="rId45"/>
    <hyperlink ref="I19" r:id="rId46"/>
    <hyperlink ref="D20" r:id="rId47"/>
    <hyperlink ref="I20" r:id="rId48"/>
    <hyperlink ref="D21" r:id="rId49"/>
    <hyperlink ref="I21" r:id="rId50"/>
    <hyperlink ref="D22" r:id="rId51"/>
    <hyperlink ref="I22" r:id="rId52"/>
    <hyperlink ref="D23" r:id="rId53"/>
    <hyperlink ref="I23" r:id="rId54"/>
    <hyperlink ref="D24" r:id="rId55"/>
    <hyperlink ref="I24" r:id="rId56"/>
    <hyperlink ref="D25" r:id="rId57"/>
    <hyperlink ref="I25" r:id="rId58"/>
    <hyperlink ref="D26" r:id="rId59"/>
    <hyperlink ref="I26" r:id="rId60"/>
    <hyperlink ref="D27" r:id="rId61"/>
    <hyperlink ref="I27" r:id="rId62"/>
    <hyperlink ref="D28" r:id="rId63"/>
    <hyperlink ref="I28" r:id="rId64"/>
    <hyperlink ref="D29" r:id="rId65"/>
    <hyperlink ref="I29" r:id="rId66"/>
    <hyperlink ref="D30" r:id="rId67"/>
    <hyperlink ref="I30" r:id="rId68"/>
    <hyperlink ref="D31" r:id="rId69"/>
    <hyperlink ref="I31" r:id="rId70"/>
    <hyperlink ref="D32" r:id="rId71"/>
    <hyperlink ref="I32" r:id="rId72"/>
    <hyperlink ref="D33" r:id="rId73"/>
    <hyperlink ref="I33" r:id="rId74"/>
    <hyperlink ref="D34" r:id="rId75"/>
    <hyperlink ref="I34" r:id="rId76"/>
    <hyperlink ref="D35" r:id="rId77"/>
    <hyperlink ref="I35" r:id="rId78"/>
    <hyperlink ref="D36" r:id="rId79"/>
    <hyperlink ref="I36" r:id="rId80"/>
    <hyperlink ref="D37" r:id="rId81"/>
    <hyperlink ref="I37" r:id="rId82"/>
    <hyperlink ref="K40" tooltip="将此事件置顶" r:id="rId83"/>
    <hyperlink ref="P40" r:id="rId84"/>
    <hyperlink ref="K41" tooltip="将此事件置顶" r:id="rId85"/>
    <hyperlink ref="P41" r:id="rId86"/>
    <hyperlink ref="K42" tooltip="将此事件置顶" r:id="rId87"/>
    <hyperlink ref="P42" r:id="rId88"/>
    <hyperlink ref="K43" tooltip="将此事件置顶" r:id="rId89"/>
    <hyperlink ref="P43" r:id="rId90"/>
    <hyperlink ref="K44" tooltip="将此事件置顶" r:id="rId91"/>
    <hyperlink ref="P44" r:id="rId92"/>
    <hyperlink ref="K45" tooltip="将此事件置顶" r:id="rId93"/>
    <hyperlink ref="P45" r:id="rId94"/>
  </hyperlink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101"/>
  <sheetViews>
    <sheetView tabSelected="1" topLeftCell="R14" workbookViewId="0" zoomScale="80" zoomScaleNormal="80">
      <selection activeCell="Q20" sqref="Q20:AF51"/>
    </sheetView>
  </sheetViews>
  <sheetFormatPr baseColWidth="8" defaultColWidth="11" defaultRowHeight="15.6"/>
  <cols>
    <col customWidth="1" max="2" min="2" style="3" width="26.6328125"/>
    <col customWidth="1" max="3" min="3" style="3" width="9.1796875"/>
    <col customWidth="1" max="4" min="4" style="4" width="4"/>
    <col customWidth="1" max="6" min="5" style="3" width="9.1796875"/>
    <col customWidth="1" max="7" min="7" style="3" width="31"/>
    <col customWidth="1" max="8" min="8" style="3" width="9.1796875"/>
    <col customWidth="1" max="9" min="9" style="4" width="4"/>
    <col customWidth="1" max="11" min="10" style="3" width="9.1796875"/>
    <col customWidth="1" max="12" min="12" style="3" width="31"/>
    <col customWidth="1" max="13" min="13" style="3" width="15.6328125"/>
    <col customWidth="1" max="15" min="15" style="3" width="8.1796875"/>
    <col customWidth="1" max="16" min="16" style="3" width="68"/>
    <col customWidth="1" max="17" min="17" style="3" width="7.1796875"/>
    <col customWidth="1" max="18" min="18" style="3" width="30.81640625"/>
    <col customWidth="1" max="19" min="19" style="3" width="10.1796875"/>
    <col customWidth="1" max="20" min="20" style="4" width="8"/>
    <col customWidth="1" max="22" min="21" style="3" width="10.1796875"/>
    <col customWidth="1" max="23" min="23" style="3" width="31"/>
    <col customWidth="1" max="24" min="24" style="3" width="10.1796875"/>
    <col customWidth="1" max="25" min="25" style="4" width="5"/>
    <col customWidth="1" max="27" min="26" style="3" width="10.1796875"/>
    <col customWidth="1" max="28" min="28" style="3" width="31"/>
    <col customWidth="1" max="31" min="31" style="3" width="8"/>
    <col customWidth="1" max="32" min="32" style="3" width="80.453125"/>
  </cols>
  <sheetData>
    <row customHeight="1" ht="13.95" r="1" s="3">
      <c r="B1" s="5" t="inlineStr">
        <is>
          <t>2019/11/16</t>
        </is>
      </c>
      <c r="D1" s="6" t="n">
        <v>0.05</v>
      </c>
      <c r="I1" s="6" t="n">
        <v>0.05</v>
      </c>
      <c r="Q1" s="0" t="n"/>
      <c r="R1" s="50" t="n"/>
      <c r="S1" s="0" t="n"/>
      <c r="T1" s="6" t="n"/>
      <c r="U1" s="0" t="n"/>
      <c r="V1" s="0" t="n"/>
      <c r="W1" s="0" t="n"/>
      <c r="X1" s="0" t="n"/>
      <c r="Y1" s="6" t="n"/>
      <c r="Z1" s="0" t="n"/>
      <c r="AA1" s="0" t="n"/>
      <c r="AB1" s="0" t="n"/>
    </row>
    <row customHeight="1" ht="13.95" r="2" s="3">
      <c r="D2" s="6" t="n">
        <v>0.03</v>
      </c>
      <c r="I2" s="6" t="n">
        <v>0.03</v>
      </c>
      <c r="Q2" s="0" t="n"/>
      <c r="R2" s="0" t="n"/>
      <c r="S2" s="0" t="n"/>
      <c r="T2" s="6" t="n"/>
      <c r="U2" s="0" t="n"/>
      <c r="V2" s="0" t="n"/>
      <c r="W2" s="0" t="n"/>
      <c r="X2" s="0" t="n"/>
      <c r="Y2" s="6" t="n"/>
      <c r="Z2" s="0" t="n"/>
      <c r="AA2" s="0" t="n"/>
      <c r="AB2" s="0" t="n"/>
    </row>
    <row customHeight="1" ht="18.3" r="3" s="3">
      <c r="B3" s="246" t="inlineStr">
        <is>
          <t>2019/11/15(周五，活动关闭day3）</t>
        </is>
      </c>
      <c r="C3" s="247" t="n"/>
      <c r="D3" s="247" t="n"/>
      <c r="E3" s="247" t="n"/>
      <c r="F3" s="247" t="n"/>
      <c r="G3" s="247" t="n"/>
      <c r="H3" s="247" t="n"/>
      <c r="I3" s="247" t="n"/>
      <c r="J3" s="247" t="n"/>
      <c r="K3" s="247" t="n"/>
      <c r="L3" s="248" t="n"/>
      <c r="M3" s="47" t="n"/>
      <c r="N3" s="326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  <c r="AA3" s="51" t="n"/>
      <c r="AB3" s="51" t="n"/>
    </row>
    <row customHeight="1" ht="18" r="4" s="3">
      <c r="B4" s="252" t="inlineStr">
        <is>
          <t>指标</t>
        </is>
      </c>
      <c r="C4" s="249" t="inlineStr">
        <is>
          <t>TBC3-安卓</t>
        </is>
      </c>
      <c r="D4" s="250" t="n"/>
      <c r="E4" s="250" t="n"/>
      <c r="F4" s="250" t="n"/>
      <c r="G4" s="251" t="n"/>
      <c r="H4" s="249" t="inlineStr">
        <is>
          <t>TBC3-iOS</t>
        </is>
      </c>
      <c r="I4" s="250" t="n"/>
      <c r="J4" s="250" t="n"/>
      <c r="K4" s="250" t="n"/>
      <c r="L4" s="251" t="n"/>
      <c r="M4" s="47" t="n"/>
      <c r="Q4" s="0" t="n"/>
      <c r="R4" s="52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</row>
    <row customHeight="1" hidden="1" ht="15" r="5" s="3">
      <c r="B5" s="253" t="n"/>
      <c r="C5" s="7">
        <f>B1</f>
        <v/>
      </c>
      <c r="D5" s="8" t="n"/>
      <c r="E5" s="8">
        <f>B1-1</f>
        <v/>
      </c>
      <c r="F5" s="8">
        <f>B1-7</f>
        <v/>
      </c>
      <c r="G5" s="33" t="n"/>
      <c r="H5" s="7">
        <f>B1</f>
        <v/>
      </c>
      <c r="I5" s="8" t="n"/>
      <c r="J5" s="8">
        <f>B1-1</f>
        <v/>
      </c>
      <c r="K5" s="8">
        <f>B1-7</f>
        <v/>
      </c>
      <c r="L5" s="33" t="n"/>
      <c r="M5" s="47" t="n"/>
      <c r="Q5" s="0" t="n"/>
      <c r="R5" s="52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</row>
    <row customFormat="1" customHeight="1" ht="15" r="6" s="1">
      <c r="A6" s="1" t="inlineStr">
        <is>
          <t>阈值</t>
        </is>
      </c>
      <c r="B6" s="254" t="n"/>
      <c r="C6" s="9" t="inlineStr">
        <is>
          <t>当天</t>
        </is>
      </c>
      <c r="D6" s="10" t="inlineStr">
        <is>
          <t>环比</t>
        </is>
      </c>
      <c r="E6" s="10" t="inlineStr">
        <is>
          <t>前1日</t>
        </is>
      </c>
      <c r="F6" s="10" t="inlineStr">
        <is>
          <t>上周</t>
        </is>
      </c>
      <c r="G6" s="34" t="inlineStr">
        <is>
          <t>数据说明</t>
        </is>
      </c>
      <c r="H6" s="9" t="inlineStr">
        <is>
          <t>当天</t>
        </is>
      </c>
      <c r="I6" s="10" t="inlineStr">
        <is>
          <t>环比</t>
        </is>
      </c>
      <c r="J6" s="10" t="inlineStr">
        <is>
          <t>前1日</t>
        </is>
      </c>
      <c r="K6" s="10" t="inlineStr">
        <is>
          <t>上周</t>
        </is>
      </c>
      <c r="L6" s="34" t="inlineStr">
        <is>
          <t>数据说明</t>
        </is>
      </c>
      <c r="M6" s="48" t="n"/>
      <c r="R6" s="52" t="n"/>
      <c r="S6" s="54" t="n"/>
      <c r="T6" s="55" t="n"/>
      <c r="U6" s="55" t="n"/>
      <c r="V6" s="55" t="n"/>
      <c r="W6" s="59" t="n"/>
      <c r="X6" s="54" t="n"/>
      <c r="Y6" s="55" t="n"/>
      <c r="Z6" s="55" t="n"/>
      <c r="AA6" s="55" t="n"/>
      <c r="AB6" s="59" t="n"/>
    </row>
    <row customHeight="1" ht="28.05" r="7" s="3">
      <c r="B7" s="11" t="inlineStr">
        <is>
          <t>新增</t>
        </is>
      </c>
      <c r="C7" s="12">
        <f>VLOOKUP(C$5,安卓!$A:$AM,3,0)</f>
        <v/>
      </c>
      <c r="D7" s="13">
        <f>IF(C7/F7&lt;1-D$1,"↓",IF(C7/F7&gt;1+D$2,"↑","-"))</f>
        <v/>
      </c>
      <c r="E7" s="35">
        <f>VLOOKUP(E$5,安卓!$A:$AM,3,0)</f>
        <v/>
      </c>
      <c r="F7" s="35">
        <f>VLOOKUP(F$5,安卓!$A:$AM,3,0)</f>
        <v/>
      </c>
      <c r="G7" s="255" t="n"/>
      <c r="H7" s="12">
        <f>VLOOKUP(H$5,iOS!$A:$AM,3,0)</f>
        <v/>
      </c>
      <c r="I7" s="13">
        <f>IF(H7/K7&lt;1-I$1,"↓",IF(H7/K7&gt;1+I$2,"↑","-"))</f>
        <v/>
      </c>
      <c r="J7" s="35">
        <f>VLOOKUP(J$5,iOS!$A:$AM,3,0)</f>
        <v/>
      </c>
      <c r="K7" s="35">
        <f>VLOOKUP(K$5,iOS!$A:$AM,3,0)</f>
        <v/>
      </c>
      <c r="L7" s="255" t="n"/>
      <c r="M7" s="47" t="n"/>
      <c r="Q7" s="0" t="n"/>
      <c r="R7" s="52" t="n"/>
      <c r="S7" s="52" t="n"/>
      <c r="U7" s="0" t="n"/>
      <c r="V7" s="0" t="n"/>
      <c r="W7" s="60" t="n"/>
      <c r="X7" s="52" t="n"/>
      <c r="Z7" s="0" t="n"/>
      <c r="AA7" s="0" t="n"/>
      <c r="AB7" s="60" t="n"/>
    </row>
    <row customHeight="1" ht="28.05" r="8" s="3">
      <c r="B8" s="14" t="inlineStr">
        <is>
          <t>活跃</t>
        </is>
      </c>
      <c r="C8" s="15">
        <f>VLOOKUP(C$5,安卓!$A:$AM,4,0)</f>
        <v/>
      </c>
      <c r="D8" s="16">
        <f>IF(C8/F8&lt;1-D$1,"↓",IF(C8/F8&gt;1+D$2,"↑","-"))</f>
        <v/>
      </c>
      <c r="E8" s="36">
        <f>VLOOKUP(E$5,安卓!$A:$AM,4,0)</f>
        <v/>
      </c>
      <c r="F8" s="36">
        <f>VLOOKUP(F$5,安卓!$A:$AM,4,0)</f>
        <v/>
      </c>
      <c r="G8" s="256" t="n"/>
      <c r="H8" s="15">
        <f>VLOOKUP(H$5,iOS!$A:$AM,4,0)</f>
        <v/>
      </c>
      <c r="I8" s="16">
        <f>IF(H8/K8&lt;1-I$1,"↓",IF(H8/K8&gt;1+I$2,"↑","-"))</f>
        <v/>
      </c>
      <c r="J8" s="36">
        <f>VLOOKUP(J$5,iOS!$A:$AM,4,0)</f>
        <v/>
      </c>
      <c r="K8" s="36">
        <f>VLOOKUP(K$5,iOS!$A:$AM,4,0)</f>
        <v/>
      </c>
      <c r="L8" s="256" t="n"/>
      <c r="M8" s="47" t="n"/>
      <c r="Q8" s="0" t="n"/>
      <c r="R8" s="52" t="n"/>
      <c r="S8" s="52" t="n"/>
      <c r="U8" s="0" t="n"/>
      <c r="V8" s="0" t="n"/>
      <c r="W8" s="60" t="n"/>
      <c r="X8" s="52" t="n"/>
      <c r="Z8" s="0" t="n"/>
      <c r="AA8" s="0" t="n"/>
      <c r="AB8" s="60" t="n"/>
    </row>
    <row customHeight="1" ht="28.05" r="9" s="3">
      <c r="B9" s="17" t="inlineStr">
        <is>
          <t>次留（d-1日）</t>
        </is>
      </c>
      <c r="C9" s="327">
        <f>VLOOKUP(C$5-1,安卓!$A:$AM,9,0)</f>
        <v/>
      </c>
      <c r="D9" s="18">
        <f>IF(C9/F9&lt;1-D$1,"↓",IF(C9/F9&gt;1+D$2,"↑","-"))</f>
        <v/>
      </c>
      <c r="E9" s="328">
        <f>VLOOKUP(E$5-1,安卓!$A:$AM,9,0)</f>
        <v/>
      </c>
      <c r="F9" s="329">
        <f>VLOOKUP(F$5-1,安卓!$A:$AM,9,0)</f>
        <v/>
      </c>
      <c r="G9" s="330" t="n"/>
      <c r="H9" s="327">
        <f>VLOOKUP(H$5-1,iOS!$A:$AM,9,0)</f>
        <v/>
      </c>
      <c r="I9" s="331">
        <f>IF(H9/K9&lt;1-I$1,"↓",IF(H9/K9&gt;1+I$2,"↑","-"))</f>
        <v/>
      </c>
      <c r="J9" s="328">
        <f>VLOOKUP(J$5-1,iOS!$A:$AM,9,0)</f>
        <v/>
      </c>
      <c r="K9" s="329">
        <f>VLOOKUP(K$5-1,iOS!$A:$AM,9,0)</f>
        <v/>
      </c>
      <c r="L9" s="330" t="n"/>
      <c r="M9" s="47" t="n"/>
      <c r="Q9" s="0" t="n"/>
      <c r="R9" s="52" t="n"/>
      <c r="S9" s="332" t="n"/>
      <c r="U9" s="333" t="n"/>
      <c r="V9" s="333" t="n"/>
      <c r="W9" s="334" t="n"/>
      <c r="X9" s="332" t="n"/>
      <c r="Z9" s="333" t="n"/>
      <c r="AA9" s="333" t="n"/>
      <c r="AB9" s="334" t="n"/>
    </row>
    <row customHeight="1" ht="28.05" r="10" s="3">
      <c r="B10" s="19" t="inlineStr">
        <is>
          <t>3日留存（d-3日）</t>
        </is>
      </c>
      <c r="C10" s="335">
        <f>VLOOKUP(C$5-3,安卓!$A:$AM,10,0)</f>
        <v/>
      </c>
      <c r="D10" s="20">
        <f>IF(C10/F10&lt;1-D$1,"↓",IF(C10/F10&gt;1+D$2,"↑","-"))</f>
        <v/>
      </c>
      <c r="E10" s="336">
        <f>VLOOKUP(E$5-3,安卓!$A:$AM,10,0)</f>
        <v/>
      </c>
      <c r="F10" s="333">
        <f>VLOOKUP(F$5-3,安卓!$A:$AM,10,0)</f>
        <v/>
      </c>
      <c r="G10" s="260" t="n"/>
      <c r="H10" s="335">
        <f>VLOOKUP(H$5-3,iOS!$A:$AM,10,0)</f>
        <v/>
      </c>
      <c r="I10" s="337">
        <f>IF(H10/K10&lt;1-I$1,"↓",IF(H10/K10&gt;1+I$2,"↑","-"))</f>
        <v/>
      </c>
      <c r="J10" s="336">
        <f>VLOOKUP(J$5-3,iOS!$A:$AM,10,0)</f>
        <v/>
      </c>
      <c r="K10" s="333">
        <f>VLOOKUP(K$5-3,iOS!$A:$AM,10,0)</f>
        <v/>
      </c>
      <c r="L10" s="260" t="n"/>
      <c r="M10" s="47" t="n"/>
      <c r="Q10" s="0" t="n"/>
      <c r="R10" s="52" t="n"/>
      <c r="S10" s="332" t="n"/>
      <c r="U10" s="333" t="n"/>
      <c r="V10" s="333" t="n"/>
      <c r="W10" s="334" t="n"/>
      <c r="X10" s="332" t="n"/>
      <c r="Z10" s="333" t="n"/>
      <c r="AA10" s="333" t="n"/>
      <c r="AB10" s="334" t="n"/>
    </row>
    <row customHeight="1" ht="28.05" r="11" s="3">
      <c r="B11" s="14" t="inlineStr">
        <is>
          <t>7日留存（d-7日）</t>
        </is>
      </c>
      <c r="C11" s="338">
        <f>VLOOKUP(C$5-7,安卓!$A:$AM,11,0)</f>
        <v/>
      </c>
      <c r="D11" s="21">
        <f>IF(C11/F11&lt;1-D$1,"↓",IF(C11/F11&gt;1+D$2,"↑","-"))</f>
        <v/>
      </c>
      <c r="E11" s="339">
        <f>VLOOKUP(E$5-7,安卓!$A:$AM,11,0)</f>
        <v/>
      </c>
      <c r="F11" s="340">
        <f>VLOOKUP(F$5-7,安卓!$A:$AM,11,0)</f>
        <v/>
      </c>
      <c r="G11" s="256" t="n"/>
      <c r="H11" s="338">
        <f>VLOOKUP(H$5-7,iOS!$A:$AM,11,0)</f>
        <v/>
      </c>
      <c r="I11" s="341">
        <f>IF(H11/K11&lt;1-I$1,"↓",IF(H11/K11&gt;1+I$2,"↑","-"))</f>
        <v/>
      </c>
      <c r="J11" s="339">
        <f>VLOOKUP(J$5-7,iOS!$A:$AM,11,0)</f>
        <v/>
      </c>
      <c r="K11" s="340">
        <f>VLOOKUP(K$5-7,iOS!$A:$AM,11,0)</f>
        <v/>
      </c>
      <c r="L11" s="256" t="n"/>
      <c r="M11" s="47" t="n"/>
      <c r="Q11" s="0" t="n"/>
      <c r="R11" s="52" t="n"/>
      <c r="S11" s="332" t="n"/>
      <c r="U11" s="333" t="n"/>
      <c r="V11" s="333" t="n"/>
      <c r="W11" s="334" t="n"/>
      <c r="X11" s="332" t="n"/>
      <c r="Z11" s="333" t="n"/>
      <c r="AA11" s="333" t="n"/>
      <c r="AB11" s="334" t="n"/>
    </row>
    <row customHeight="1" ht="28.05" r="12" s="3">
      <c r="B12" s="17" t="inlineStr">
        <is>
          <t>整体ecpm</t>
        </is>
      </c>
      <c r="C12" s="342">
        <f>VLOOKUP(C$5,安卓!$A:$AM,7,0)</f>
        <v/>
      </c>
      <c r="D12" s="22">
        <f>IF(C12/F12&lt;1-D$1,"↓",IF(C12/F12&gt;1+D$2,"↑","-"))</f>
        <v/>
      </c>
      <c r="E12" s="343">
        <f>VLOOKUP(E$5,安卓!$A:$AM,7,0)</f>
        <v/>
      </c>
      <c r="F12" s="37">
        <f>VLOOKUP(F$5,安卓!$A:$AM,7,0)</f>
        <v/>
      </c>
      <c r="G12" s="261" t="n"/>
      <c r="H12" s="342">
        <f>VLOOKUP(H$5,iOS!$A:$AM,7,0)</f>
        <v/>
      </c>
      <c r="I12" s="22">
        <f>IF(H12/K12&lt;1-I$1,"↓",IF(H12/K12&gt;1+I$2,"↑","-"))</f>
        <v/>
      </c>
      <c r="J12" s="37">
        <f>VLOOKUP(J$5,iOS!$A:$AM,7,0)</f>
        <v/>
      </c>
      <c r="K12" s="37">
        <f>VLOOKUP(K$5,iOS!$A:$AM,7,0)</f>
        <v/>
      </c>
      <c r="L12" s="265" t="n"/>
      <c r="M12" s="47" t="n"/>
      <c r="Q12" s="0" t="n"/>
      <c r="R12" s="52" t="n"/>
      <c r="S12" s="52" t="n"/>
      <c r="U12" s="0" t="n"/>
      <c r="V12" s="0" t="n"/>
      <c r="W12" s="60" t="n"/>
      <c r="X12" s="52" t="n"/>
      <c r="Z12" s="0" t="n"/>
      <c r="AA12" s="0" t="n"/>
      <c r="AB12" s="60" t="n"/>
    </row>
    <row customHeight="1" ht="28.05" r="13" s="3">
      <c r="B13" s="14" t="inlineStr">
        <is>
          <t>美国ecpm</t>
        </is>
      </c>
      <c r="C13" s="344">
        <f>VLOOKUP(C$5,安卓!$A:$AM,8,0)</f>
        <v/>
      </c>
      <c r="D13" s="16">
        <f>IF(C13/F13&lt;1-D$1,"↓",IF(C13/F13&gt;1+D$2,"↑","-"))</f>
        <v/>
      </c>
      <c r="E13" s="345">
        <f>VLOOKUP(E$5,安卓!$A:$AM,8,0)</f>
        <v/>
      </c>
      <c r="F13" s="36">
        <f>VLOOKUP(F$5,安卓!$A:$AM,8,0)</f>
        <v/>
      </c>
      <c r="G13" s="256" t="n"/>
      <c r="H13" s="344">
        <f>VLOOKUP(H$5,iOS!$A:$AM,8,0)</f>
        <v/>
      </c>
      <c r="I13" s="16">
        <f>IF(H13/K13&lt;1-I$1,"↓",IF(H13/K13&gt;1+I$2,"↑","-"))</f>
        <v/>
      </c>
      <c r="J13" s="38">
        <f>VLOOKUP(J$5,iOS!$A:$AM,8,0)</f>
        <v/>
      </c>
      <c r="K13" s="36">
        <f>VLOOKUP(K$5,iOS!$A:$AM,8,0)</f>
        <v/>
      </c>
      <c r="L13" s="256" t="n"/>
      <c r="M13" s="47" t="n"/>
      <c r="Q13" s="0" t="n"/>
      <c r="R13" s="52" t="n"/>
      <c r="S13" s="52" t="n"/>
      <c r="U13" s="0" t="n"/>
      <c r="V13" s="0" t="n"/>
      <c r="W13" s="60" t="n"/>
      <c r="X13" s="52" t="n"/>
      <c r="Z13" s="0" t="n"/>
      <c r="AA13" s="0" t="n"/>
      <c r="AB13" s="60" t="n"/>
    </row>
    <row customFormat="1" customHeight="1" ht="28.05" r="14" s="333">
      <c r="B14" s="346" t="inlineStr">
        <is>
          <t>视频用户覆盖率</t>
        </is>
      </c>
      <c r="C14" s="327">
        <f>VLOOKUP(C$5,安卓!$A:$AM,15,0)</f>
        <v/>
      </c>
      <c r="D14" s="347">
        <f>IF(C14/F14&lt;1-D$1,"↓",IF(C14/F14&gt;1+D$2,"↑","-"))</f>
        <v/>
      </c>
      <c r="E14" s="328">
        <f>VLOOKUP(E$5,安卓!$A:$AM,15,0)</f>
        <v/>
      </c>
      <c r="F14" s="328">
        <f>VLOOKUP(F$5,安卓!$A:$AM,15,0)</f>
        <v/>
      </c>
      <c r="G14" s="262" t="n"/>
      <c r="H14" s="327">
        <f>VLOOKUP(H$5,iOS!$A:$AM,15,0)</f>
        <v/>
      </c>
      <c r="I14" s="347">
        <f>IF(H14/K14&lt;1-I$1,"↓",IF(H14/K14&gt;1+I$2,"↑","-"))</f>
        <v/>
      </c>
      <c r="J14" s="328">
        <f>VLOOKUP(J$5,iOS!$A:$AM,15,0)</f>
        <v/>
      </c>
      <c r="K14" s="328">
        <f>VLOOKUP(K$5,iOS!$A:$AM,15,0)</f>
        <v/>
      </c>
      <c r="L14" s="266" t="n"/>
      <c r="M14" s="348" t="n"/>
      <c r="R14" s="332" t="n"/>
      <c r="S14" s="332" t="n"/>
      <c r="T14" s="349" t="n"/>
      <c r="W14" s="350" t="n"/>
      <c r="X14" s="332" t="n"/>
      <c r="Y14" s="349" t="n"/>
      <c r="AB14" s="350" t="n"/>
    </row>
    <row customHeight="1" ht="28.05" r="15" s="3">
      <c r="B15" s="14" t="inlineStr">
        <is>
          <t>人均广告次数（日活）</t>
        </is>
      </c>
      <c r="C15" s="23">
        <f>VLOOKUP(C$5,安卓!$A:$AM,25,0)</f>
        <v/>
      </c>
      <c r="D15" s="16">
        <f>IF(C15/F15&lt;1-D$1,"↓",IF(C15/F15&gt;1+D$2,"↑","-"))</f>
        <v/>
      </c>
      <c r="E15" s="38">
        <f>VLOOKUP(E$5,安卓!$A:$AM,25,0)</f>
        <v/>
      </c>
      <c r="F15" s="38">
        <f>VLOOKUP(F$5,安卓!$A:$AM,25,0)</f>
        <v/>
      </c>
      <c r="G15" s="256" t="n"/>
      <c r="H15" s="23">
        <f>VLOOKUP(H$5,iOS!$A:$AM,25,0)</f>
        <v/>
      </c>
      <c r="I15" s="16">
        <f>IF(H15/K15&lt;1-I$1,"↓",IF(H15/K15&gt;1+I$2,"↑","-"))</f>
        <v/>
      </c>
      <c r="J15" s="38">
        <f>VLOOKUP(J$5,iOS!$A:$AM,25,0)</f>
        <v/>
      </c>
      <c r="K15" s="38">
        <f>VLOOKUP(K$5,iOS!$A:$AM,25,0)</f>
        <v/>
      </c>
      <c r="L15" s="256" t="n"/>
      <c r="M15" s="47" t="n"/>
      <c r="Q15" s="0" t="n"/>
      <c r="R15" s="52" t="n"/>
      <c r="S15" s="56" t="n"/>
      <c r="U15" s="39" t="n"/>
      <c r="V15" s="39" t="n"/>
      <c r="W15" s="61" t="n"/>
      <c r="X15" s="56" t="n"/>
      <c r="Z15" s="39" t="n"/>
      <c r="AA15" s="39" t="n"/>
      <c r="AB15" s="61" t="n"/>
    </row>
    <row customHeight="1" ht="28.05" r="16" s="3">
      <c r="B16" s="19" t="inlineStr">
        <is>
          <t>美国facebook 24小时视频数</t>
        </is>
      </c>
      <c r="C16" s="23">
        <f>VLOOKUP($B93,安卓!$A:$AN,40,0)</f>
        <v/>
      </c>
      <c r="D16" s="16">
        <f>IF(C16/F16&lt;1-D$1,"↓",IF(C16/F16&gt;1+D$2,"↑","-"))</f>
        <v/>
      </c>
      <c r="E16" s="39">
        <f>VLOOKUP($B92,安卓!$A:$AN,40,0)</f>
        <v/>
      </c>
      <c r="F16" s="39">
        <f>VLOOKUP($B86,安卓!$A:$AN,40,0)</f>
        <v/>
      </c>
      <c r="G16" s="40" t="n"/>
      <c r="H16" s="41">
        <f>VLOOKUP($B93,iOS!$A:$AN,40,0)</f>
        <v/>
      </c>
      <c r="I16" s="16">
        <f>IF(H16/K16&lt;1-I$1,"↓",IF(H16/K16&gt;1+I$2,"↑","-"))</f>
        <v/>
      </c>
      <c r="J16" s="39">
        <f>VLOOKUP($B92,iOS!$A:$AN,40,0)</f>
        <v/>
      </c>
      <c r="K16" s="39">
        <f>VLOOKUP($B86,iOS!$A:$AN,40,0)</f>
        <v/>
      </c>
      <c r="L16" s="43" t="n"/>
      <c r="M16" s="47" t="n"/>
      <c r="Q16" s="0" t="n"/>
      <c r="R16" s="52" t="n"/>
      <c r="S16" s="56" t="n"/>
      <c r="U16" s="39" t="n"/>
      <c r="V16" s="39" t="n"/>
      <c r="W16" s="61" t="n"/>
      <c r="X16" s="56" t="n"/>
      <c r="Z16" s="39" t="n"/>
      <c r="AA16" s="39" t="n"/>
      <c r="AB16" s="61" t="n"/>
    </row>
    <row customHeight="1" ht="28.05" r="17" s="3">
      <c r="B17" s="17" t="inlineStr">
        <is>
          <t>iap付费率（付费人数/日活）</t>
        </is>
      </c>
      <c r="C17" s="24">
        <f>VLOOKUP(C$5,安卓!$A:$AM,31,0)</f>
        <v/>
      </c>
      <c r="D17" s="25">
        <f>IF(C17/F17&lt;1-D$1,"↓",IF(C17/F17&gt;1+D$2,"↑","-"))</f>
        <v/>
      </c>
      <c r="E17" s="42">
        <f>VLOOKUP(E$5,安卓!$A:$AM,31,0)</f>
        <v/>
      </c>
      <c r="F17" s="42">
        <f>VLOOKUP(F$5,安卓!$A:$AM,31,0)</f>
        <v/>
      </c>
      <c r="G17" s="263" t="n"/>
      <c r="H17" s="24">
        <f>VLOOKUP(H$5,iOS!$A:$AM,31,0)</f>
        <v/>
      </c>
      <c r="I17" s="25">
        <f>IF(H17/K17&lt;1-I$1,"↓",IF(H17/K17&gt;1+I$2,"↑","-"))</f>
        <v/>
      </c>
      <c r="J17" s="44">
        <f>VLOOKUP(J$5,iOS!$A:$AM,31,0)</f>
        <v/>
      </c>
      <c r="K17" s="42">
        <f>VLOOKUP(K$5,iOS!$A:$AM,31,0)</f>
        <v/>
      </c>
      <c r="L17" s="263" t="n"/>
      <c r="M17" s="47" t="n"/>
      <c r="Q17" s="0" t="n"/>
      <c r="R17" s="52" t="n"/>
      <c r="S17" s="57" t="n"/>
      <c r="T17" s="58" t="n"/>
      <c r="U17" s="62" t="n"/>
      <c r="V17" s="62" t="n"/>
      <c r="W17" s="63" t="n"/>
      <c r="X17" s="57" t="n"/>
      <c r="Y17" s="58" t="n"/>
      <c r="Z17" s="62" t="n"/>
      <c r="AA17" s="62" t="n"/>
      <c r="AB17" s="63" t="n"/>
    </row>
    <row customHeight="1" ht="28.05" r="18" s="3">
      <c r="B18" s="26" t="inlineStr">
        <is>
          <t>iap人均付费金额（日活）</t>
        </is>
      </c>
      <c r="C18" s="351">
        <f>VLOOKUP(C$5,安卓!$A:$AM,33,0)</f>
        <v/>
      </c>
      <c r="D18" s="27">
        <f>IF(C18/F18&lt;1-D$1,"↓",IF(C18/F18&gt;1+D$2,"↑","-"))</f>
        <v/>
      </c>
      <c r="E18" s="352">
        <f>VLOOKUP(E$5,安卓!$A:$AM,33,0)</f>
        <v/>
      </c>
      <c r="F18" s="352">
        <f>VLOOKUP(F$5,安卓!$A:$AM,33,0)</f>
        <v/>
      </c>
      <c r="G18" s="264" t="n"/>
      <c r="H18" s="351">
        <f>VLOOKUP(H$5,iOS!$A:$AM,33,0)</f>
        <v/>
      </c>
      <c r="I18" s="27">
        <f>IF(H18/K18&lt;1-I$1,"↓",IF(H18/K18&gt;1+I$2,"↑","-"))</f>
        <v/>
      </c>
      <c r="J18" s="352">
        <f>VLOOKUP(J$5,iOS!$A:$AM,33,0)</f>
        <v/>
      </c>
      <c r="K18" s="352">
        <f>VLOOKUP(K$5,iOS!$A:$AM,33,0)</f>
        <v/>
      </c>
      <c r="L18" s="264" t="n"/>
      <c r="M18" s="47" t="n"/>
      <c r="Q18" s="0" t="n"/>
      <c r="R18" s="52" t="n"/>
      <c r="S18" s="353" t="n"/>
      <c r="U18" s="354" t="n"/>
      <c r="V18" s="354" t="n"/>
      <c r="W18" s="63" t="n"/>
      <c r="X18" s="353" t="n"/>
      <c r="Z18" s="354" t="n"/>
      <c r="AA18" s="354" t="n"/>
      <c r="AB18" s="63" t="n"/>
    </row>
    <row customFormat="1" r="19" s="2">
      <c r="D19" s="28" t="n"/>
      <c r="I19" s="28" t="n"/>
      <c r="T19" s="28" t="n"/>
      <c r="Y19" s="28" t="n"/>
    </row>
    <row customFormat="1" customHeight="1" ht="14.25" r="20" s="258">
      <c r="A20" s="257" t="inlineStr">
        <is>
          <t>TBC3-安卓本周（2019/11/9~11/15）数据趋势</t>
        </is>
      </c>
      <c r="Q20" s="257" t="inlineStr">
        <is>
          <t>TBC3-iOS本周（2019/11/9~11/15）数据趋势</t>
        </is>
      </c>
    </row>
    <row customFormat="1" customHeight="1" ht="14.25" r="21" s="258"/>
    <row customFormat="1" customHeight="1" ht="14.25" r="22" s="258"/>
    <row customFormat="1" r="23" s="2">
      <c r="A23" s="29" t="n"/>
      <c r="B23" s="29" t="n"/>
      <c r="C23" s="29" t="n"/>
      <c r="D23" s="30" t="n"/>
      <c r="E23" s="29" t="n"/>
      <c r="F23" s="29" t="n"/>
      <c r="G23" s="29" t="n"/>
      <c r="H23" s="29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30" t="n"/>
      <c r="U23" s="29" t="n"/>
      <c r="V23" s="29" t="n"/>
      <c r="W23" s="29" t="n"/>
      <c r="X23" s="29" t="n"/>
      <c r="Y23" s="30" t="n"/>
      <c r="Z23" s="29" t="n"/>
      <c r="AA23" s="29" t="n"/>
      <c r="AB23" s="29" t="n"/>
      <c r="AC23" s="29" t="n"/>
      <c r="AD23" s="29" t="n"/>
      <c r="AE23" s="29" t="n"/>
      <c r="AF23" s="29" t="n"/>
    </row>
    <row customFormat="1" r="24" s="2">
      <c r="A24" s="29" t="n"/>
      <c r="B24" s="29" t="n"/>
      <c r="C24" s="29" t="n"/>
      <c r="D24" s="30" t="n"/>
      <c r="E24" s="29" t="n"/>
      <c r="F24" s="29" t="n"/>
      <c r="G24" s="29" t="n"/>
      <c r="H24" s="29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30" t="n"/>
      <c r="U24" s="29" t="n"/>
      <c r="V24" s="29" t="n"/>
      <c r="W24" s="29" t="n"/>
      <c r="X24" s="29" t="n"/>
      <c r="Y24" s="30" t="n"/>
      <c r="Z24" s="29" t="n"/>
      <c r="AA24" s="29" t="n"/>
      <c r="AB24" s="29" t="n"/>
      <c r="AC24" s="29" t="n"/>
      <c r="AD24" s="29" t="n"/>
      <c r="AE24" s="29" t="n"/>
      <c r="AF24" s="29" t="n"/>
    </row>
    <row customFormat="1" r="25" s="2">
      <c r="A25" s="29" t="n"/>
      <c r="B25" s="29" t="n"/>
      <c r="C25" s="29" t="n"/>
      <c r="D25" s="30" t="n"/>
      <c r="E25" s="29" t="n"/>
      <c r="F25" s="29" t="n"/>
      <c r="G25" s="29" t="n"/>
      <c r="H25" s="29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30" t="n"/>
      <c r="U25" s="29" t="n"/>
      <c r="V25" s="29" t="n"/>
      <c r="W25" s="29" t="n"/>
      <c r="X25" s="29" t="n"/>
      <c r="Y25" s="30" t="n"/>
      <c r="Z25" s="29" t="n"/>
      <c r="AA25" s="29" t="n"/>
      <c r="AB25" s="29" t="n"/>
      <c r="AC25" s="29" t="n"/>
      <c r="AD25" s="29" t="n"/>
      <c r="AE25" s="29" t="n"/>
      <c r="AF25" s="29" t="n"/>
    </row>
    <row customFormat="1" r="26" s="2">
      <c r="A26" s="29" t="n"/>
      <c r="B26" s="29" t="n"/>
      <c r="C26" s="29" t="n"/>
      <c r="D26" s="30" t="n"/>
      <c r="E26" s="29" t="n"/>
      <c r="F26" s="29" t="n"/>
      <c r="G26" s="29" t="n"/>
      <c r="H26" s="29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30" t="n"/>
      <c r="U26" s="29" t="n"/>
      <c r="V26" s="29" t="n"/>
      <c r="W26" s="29" t="n"/>
      <c r="X26" s="29" t="n"/>
      <c r="Y26" s="30" t="n"/>
      <c r="Z26" s="29" t="n"/>
      <c r="AA26" s="29" t="n"/>
      <c r="AB26" s="29" t="n"/>
      <c r="AC26" s="29" t="n"/>
      <c r="AD26" s="29" t="n"/>
      <c r="AE26" s="29" t="n"/>
      <c r="AF26" s="29" t="n"/>
    </row>
    <row customFormat="1" r="27" s="2">
      <c r="A27" s="29" t="n"/>
      <c r="B27" s="29" t="n"/>
      <c r="C27" s="29" t="n"/>
      <c r="D27" s="30" t="n"/>
      <c r="E27" s="29" t="n"/>
      <c r="F27" s="29" t="n"/>
      <c r="G27" s="29" t="n"/>
      <c r="H27" s="29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30" t="n"/>
      <c r="U27" s="29" t="n"/>
      <c r="V27" s="29" t="n"/>
      <c r="W27" s="29" t="n"/>
      <c r="X27" s="29" t="n"/>
      <c r="Y27" s="30" t="n"/>
      <c r="Z27" s="29" t="n"/>
      <c r="AA27" s="29" t="n"/>
      <c r="AB27" s="29" t="n"/>
      <c r="AC27" s="29" t="n"/>
      <c r="AD27" s="29" t="n"/>
      <c r="AE27" s="29" t="n"/>
      <c r="AF27" s="29" t="n"/>
    </row>
    <row customFormat="1" r="28" s="2">
      <c r="A28" s="29" t="n"/>
      <c r="B28" s="29" t="n"/>
      <c r="C28" s="29" t="n"/>
      <c r="D28" s="30" t="n"/>
      <c r="E28" s="29" t="n"/>
      <c r="F28" s="29" t="n"/>
      <c r="G28" s="29" t="n"/>
      <c r="H28" s="29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30" t="n"/>
      <c r="U28" s="29" t="n"/>
      <c r="V28" s="29" t="n"/>
      <c r="W28" s="29" t="n"/>
      <c r="X28" s="29" t="n"/>
      <c r="Y28" s="30" t="n"/>
      <c r="Z28" s="29" t="n"/>
      <c r="AA28" s="29" t="n"/>
      <c r="AB28" s="29" t="n"/>
      <c r="AC28" s="29" t="n"/>
      <c r="AD28" s="29" t="n"/>
      <c r="AE28" s="29" t="n"/>
      <c r="AF28" s="29" t="n"/>
    </row>
    <row customFormat="1" r="29" s="2">
      <c r="A29" s="29" t="n"/>
      <c r="B29" s="29" t="n"/>
      <c r="C29" s="29" t="n"/>
      <c r="D29" s="30" t="n"/>
      <c r="E29" s="29" t="n"/>
      <c r="F29" s="29" t="n"/>
      <c r="G29" s="29" t="n"/>
      <c r="H29" s="29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30" t="n"/>
      <c r="U29" s="29" t="n"/>
      <c r="V29" s="29" t="n"/>
      <c r="W29" s="29" t="n"/>
      <c r="X29" s="29" t="n"/>
      <c r="Y29" s="30" t="n"/>
      <c r="Z29" s="29" t="n"/>
      <c r="AA29" s="29" t="n"/>
      <c r="AB29" s="29" t="n"/>
      <c r="AC29" s="29" t="n"/>
      <c r="AD29" s="29" t="n"/>
      <c r="AE29" s="29" t="n"/>
      <c r="AF29" s="29" t="n"/>
    </row>
    <row customFormat="1" r="30" s="2">
      <c r="A30" s="29" t="n"/>
      <c r="B30" s="29" t="n"/>
      <c r="C30" s="29" t="n"/>
      <c r="D30" s="30" t="n"/>
      <c r="E30" s="29" t="n"/>
      <c r="F30" s="29" t="n"/>
      <c r="G30" s="29" t="n"/>
      <c r="H30" s="29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30" t="n"/>
      <c r="U30" s="29" t="n"/>
      <c r="V30" s="29" t="n"/>
      <c r="W30" s="29" t="n"/>
      <c r="X30" s="29" t="n"/>
      <c r="Y30" s="30" t="n"/>
      <c r="Z30" s="29" t="n"/>
      <c r="AA30" s="29" t="n"/>
      <c r="AB30" s="29" t="n"/>
      <c r="AC30" s="29" t="n"/>
      <c r="AD30" s="29" t="n"/>
      <c r="AE30" s="29" t="n"/>
      <c r="AF30" s="29" t="n"/>
    </row>
    <row customFormat="1" customHeight="1" ht="20.25" r="31" s="2">
      <c r="A31" s="29" t="n"/>
      <c r="B31" s="29" t="n"/>
      <c r="C31" s="29" t="n"/>
      <c r="D31" s="30" t="n"/>
      <c r="E31" s="29" t="n"/>
      <c r="F31" s="29" t="n"/>
      <c r="G31" s="29" t="n"/>
      <c r="H31" s="29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30" t="n"/>
      <c r="U31" s="29" t="n"/>
      <c r="V31" s="29" t="n"/>
      <c r="W31" s="29" t="n"/>
      <c r="X31" s="29" t="n"/>
      <c r="Y31" s="30" t="n"/>
      <c r="Z31" s="29" t="n"/>
      <c r="AA31" s="29" t="n"/>
      <c r="AB31" s="29" t="n"/>
      <c r="AC31" s="29" t="n"/>
      <c r="AD31" s="29" t="n"/>
      <c r="AE31" s="29" t="n"/>
      <c r="AF31" s="29" t="n"/>
    </row>
    <row customFormat="1" r="32" s="2">
      <c r="A32" s="29" t="n"/>
      <c r="B32" s="29" t="n"/>
      <c r="C32" s="29" t="n"/>
      <c r="D32" s="30" t="n"/>
      <c r="E32" s="29" t="n"/>
      <c r="F32" s="29" t="n"/>
      <c r="G32" s="29" t="n"/>
      <c r="H32" s="29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30" t="n"/>
      <c r="U32" s="29" t="n"/>
      <c r="V32" s="29" t="n"/>
      <c r="W32" s="29" t="n"/>
      <c r="X32" s="29" t="n"/>
      <c r="Y32" s="30" t="n"/>
      <c r="Z32" s="29" t="n"/>
      <c r="AA32" s="29" t="n"/>
      <c r="AB32" s="29" t="n"/>
      <c r="AC32" s="29" t="n"/>
      <c r="AD32" s="29" t="n"/>
      <c r="AE32" s="29" t="n"/>
      <c r="AF32" s="29" t="n"/>
    </row>
    <row customFormat="1" r="33" s="2">
      <c r="A33" s="29" t="n"/>
      <c r="B33" s="29" t="n"/>
      <c r="C33" s="29" t="n"/>
      <c r="D33" s="30" t="n"/>
      <c r="E33" s="29" t="n"/>
      <c r="F33" s="29" t="n"/>
      <c r="G33" s="29" t="n"/>
      <c r="H33" s="29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30" t="n"/>
      <c r="U33" s="29" t="n"/>
      <c r="V33" s="29" t="n"/>
      <c r="W33" s="29" t="n"/>
      <c r="X33" s="29" t="n"/>
      <c r="Y33" s="30" t="n"/>
      <c r="Z33" s="29" t="n"/>
      <c r="AA33" s="29" t="n"/>
      <c r="AB33" s="29" t="n"/>
      <c r="AC33" s="29" t="n"/>
      <c r="AD33" s="29" t="n"/>
      <c r="AE33" s="29" t="n"/>
      <c r="AF33" s="29" t="n"/>
    </row>
    <row customFormat="1" r="34" s="2">
      <c r="A34" s="29" t="n"/>
      <c r="B34" s="29" t="n"/>
      <c r="C34" s="29" t="n"/>
      <c r="D34" s="30" t="n"/>
      <c r="E34" s="29" t="n"/>
      <c r="F34" s="29" t="n"/>
      <c r="G34" s="29" t="n"/>
      <c r="H34" s="29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30" t="n"/>
      <c r="U34" s="29" t="n"/>
      <c r="V34" s="29" t="n"/>
      <c r="W34" s="29" t="n"/>
      <c r="X34" s="29" t="n"/>
      <c r="Y34" s="30" t="n"/>
      <c r="Z34" s="29" t="n"/>
      <c r="AA34" s="29" t="n"/>
      <c r="AB34" s="29" t="n"/>
      <c r="AC34" s="29" t="n"/>
      <c r="AD34" s="29" t="n"/>
      <c r="AE34" s="29" t="n"/>
      <c r="AF34" s="29" t="n"/>
    </row>
    <row customFormat="1" r="35" s="2">
      <c r="A35" s="29" t="n"/>
      <c r="B35" s="29" t="n"/>
      <c r="C35" s="29" t="n"/>
      <c r="D35" s="30" t="n"/>
      <c r="E35" s="29" t="n"/>
      <c r="F35" s="29" t="n"/>
      <c r="G35" s="29" t="n"/>
      <c r="H35" s="29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30" t="n"/>
      <c r="U35" s="29" t="n"/>
      <c r="V35" s="29" t="n"/>
      <c r="W35" s="29" t="n"/>
      <c r="X35" s="29" t="n"/>
      <c r="Y35" s="30" t="n"/>
      <c r="Z35" s="29" t="n"/>
      <c r="AA35" s="29" t="n"/>
      <c r="AB35" s="29" t="n"/>
      <c r="AC35" s="29" t="n"/>
      <c r="AD35" s="29" t="n"/>
      <c r="AE35" s="29" t="n"/>
      <c r="AF35" s="29" t="n"/>
    </row>
    <row customFormat="1" r="36" s="2">
      <c r="A36" s="29" t="n"/>
      <c r="B36" s="29" t="n"/>
      <c r="C36" s="29" t="n"/>
      <c r="D36" s="30" t="n"/>
      <c r="E36" s="29" t="n"/>
      <c r="F36" s="29" t="n"/>
      <c r="G36" s="29" t="n"/>
      <c r="H36" s="29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30" t="n"/>
      <c r="U36" s="29" t="n"/>
      <c r="V36" s="29" t="n"/>
      <c r="W36" s="29" t="n"/>
      <c r="X36" s="29" t="n"/>
      <c r="Y36" s="30" t="n"/>
      <c r="Z36" s="29" t="n"/>
      <c r="AA36" s="29" t="n"/>
      <c r="AB36" s="29" t="n"/>
      <c r="AC36" s="29" t="n"/>
      <c r="AD36" s="29" t="n"/>
      <c r="AE36" s="29" t="n"/>
      <c r="AF36" s="29" t="n"/>
    </row>
    <row customFormat="1" r="37" s="2">
      <c r="A37" s="29" t="n"/>
      <c r="B37" s="29" t="n"/>
      <c r="C37" s="29" t="n"/>
      <c r="D37" s="30" t="n"/>
      <c r="E37" s="29" t="n"/>
      <c r="F37" s="29" t="n"/>
      <c r="G37" s="29" t="n"/>
      <c r="H37" s="29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30" t="n"/>
      <c r="U37" s="29" t="n"/>
      <c r="V37" s="29" t="n"/>
      <c r="W37" s="29" t="n"/>
      <c r="X37" s="29" t="n"/>
      <c r="Y37" s="30" t="n"/>
      <c r="Z37" s="29" t="n"/>
      <c r="AA37" s="29" t="n"/>
      <c r="AB37" s="29" t="n"/>
      <c r="AC37" s="29" t="n"/>
      <c r="AD37" s="29" t="n"/>
      <c r="AE37" s="29" t="n"/>
      <c r="AF37" s="29" t="n"/>
    </row>
    <row customFormat="1" r="38" s="2">
      <c r="A38" s="29" t="n"/>
      <c r="B38" s="29" t="n"/>
      <c r="C38" s="29" t="n"/>
      <c r="D38" s="30" t="n"/>
      <c r="E38" s="29" t="n"/>
      <c r="F38" s="29" t="n"/>
      <c r="G38" s="29" t="n"/>
      <c r="H38" s="29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30" t="n"/>
      <c r="U38" s="29" t="n"/>
      <c r="V38" s="29" t="n"/>
      <c r="W38" s="29" t="n"/>
      <c r="X38" s="29" t="n"/>
      <c r="Y38" s="30" t="n"/>
      <c r="Z38" s="29" t="n"/>
      <c r="AA38" s="29" t="n"/>
      <c r="AB38" s="29" t="n"/>
      <c r="AC38" s="29" t="n"/>
      <c r="AD38" s="29" t="n"/>
      <c r="AE38" s="29" t="n"/>
      <c r="AF38" s="29" t="n"/>
    </row>
    <row customFormat="1" r="39" s="2">
      <c r="A39" s="29" t="n"/>
      <c r="B39" s="29" t="n"/>
      <c r="C39" s="29" t="n"/>
      <c r="D39" s="30" t="n"/>
      <c r="E39" s="29" t="n"/>
      <c r="F39" s="29" t="n"/>
      <c r="G39" s="29" t="n"/>
      <c r="H39" s="29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30" t="n"/>
      <c r="U39" s="29" t="n"/>
      <c r="V39" s="29" t="n"/>
      <c r="W39" s="29" t="n"/>
      <c r="X39" s="29" t="n"/>
      <c r="Y39" s="30" t="n"/>
      <c r="Z39" s="29" t="n"/>
      <c r="AA39" s="29" t="n"/>
      <c r="AB39" s="29" t="n"/>
      <c r="AC39" s="29" t="n"/>
      <c r="AD39" s="29" t="n"/>
      <c r="AE39" s="29" t="n"/>
      <c r="AF39" s="29" t="n"/>
    </row>
    <row customFormat="1" r="40" s="2">
      <c r="A40" s="29" t="n"/>
      <c r="B40" s="29" t="n"/>
      <c r="C40" s="29" t="n"/>
      <c r="D40" s="30" t="n"/>
      <c r="E40" s="29" t="n"/>
      <c r="F40" s="29" t="n"/>
      <c r="G40" s="29" t="n"/>
      <c r="H40" s="29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30" t="n"/>
      <c r="U40" s="29" t="n"/>
      <c r="V40" s="29" t="n"/>
      <c r="W40" s="29" t="n"/>
      <c r="X40" s="29" t="n"/>
      <c r="Y40" s="30" t="n"/>
      <c r="Z40" s="29" t="n"/>
      <c r="AA40" s="29" t="n"/>
      <c r="AB40" s="29" t="n"/>
      <c r="AC40" s="29" t="n"/>
      <c r="AD40" s="29" t="n"/>
      <c r="AE40" s="29" t="n"/>
      <c r="AF40" s="29" t="n"/>
    </row>
    <row customFormat="1" r="41" s="2">
      <c r="A41" s="29" t="n"/>
      <c r="B41" s="29" t="n"/>
      <c r="C41" s="29" t="n"/>
      <c r="D41" s="30" t="n"/>
      <c r="E41" s="29" t="n"/>
      <c r="F41" s="29" t="n"/>
      <c r="G41" s="29" t="n"/>
      <c r="H41" s="29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30" t="n"/>
      <c r="U41" s="29" t="n"/>
      <c r="V41" s="29" t="n"/>
      <c r="W41" s="29" t="n"/>
      <c r="X41" s="29" t="n"/>
      <c r="Y41" s="30" t="n"/>
      <c r="Z41" s="29" t="n"/>
      <c r="AA41" s="29" t="n"/>
      <c r="AB41" s="29" t="n"/>
      <c r="AC41" s="29" t="n"/>
      <c r="AD41" s="29" t="n"/>
      <c r="AE41" s="29" t="n"/>
      <c r="AF41" s="29" t="n"/>
    </row>
    <row customFormat="1" r="42" s="2">
      <c r="A42" s="29" t="n"/>
      <c r="B42" s="29" t="n"/>
      <c r="C42" s="29" t="n"/>
      <c r="D42" s="30" t="n"/>
      <c r="E42" s="29" t="n"/>
      <c r="F42" s="29" t="n"/>
      <c r="G42" s="29" t="n"/>
      <c r="H42" s="29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30" t="n"/>
      <c r="U42" s="29" t="n"/>
      <c r="V42" s="29" t="n"/>
      <c r="W42" s="29" t="n"/>
      <c r="X42" s="29" t="n"/>
      <c r="Y42" s="30" t="n"/>
      <c r="Z42" s="29" t="n"/>
      <c r="AA42" s="29" t="n"/>
      <c r="AB42" s="29" t="n"/>
      <c r="AC42" s="29" t="n"/>
      <c r="AD42" s="29" t="n"/>
      <c r="AE42" s="29" t="n"/>
      <c r="AF42" s="29" t="n"/>
    </row>
    <row customFormat="1" r="43" s="2">
      <c r="A43" s="29" t="n"/>
      <c r="B43" s="29" t="n"/>
      <c r="C43" s="29" t="n"/>
      <c r="D43" s="30" t="n"/>
      <c r="E43" s="29" t="n"/>
      <c r="F43" s="29" t="n"/>
      <c r="G43" s="29" t="n"/>
      <c r="H43" s="29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30" t="n"/>
      <c r="U43" s="29" t="n"/>
      <c r="V43" s="29" t="n"/>
      <c r="W43" s="29" t="n"/>
      <c r="X43" s="29" t="n"/>
      <c r="Y43" s="30" t="n"/>
      <c r="Z43" s="29" t="n"/>
      <c r="AA43" s="29" t="n"/>
      <c r="AB43" s="29" t="n"/>
      <c r="AC43" s="29" t="n"/>
      <c r="AD43" s="29" t="n"/>
      <c r="AE43" s="29" t="n"/>
      <c r="AF43" s="29" t="n"/>
    </row>
    <row customFormat="1" r="44" s="2">
      <c r="A44" s="29" t="n"/>
      <c r="B44" s="29" t="n"/>
      <c r="C44" s="29" t="n"/>
      <c r="D44" s="30" t="n"/>
      <c r="E44" s="29" t="n"/>
      <c r="F44" s="29" t="n"/>
      <c r="G44" s="29" t="n"/>
      <c r="H44" s="29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30" t="n"/>
      <c r="U44" s="29" t="n"/>
      <c r="V44" s="29" t="n"/>
      <c r="W44" s="29" t="n"/>
      <c r="X44" s="29" t="n"/>
      <c r="Y44" s="30" t="n"/>
      <c r="Z44" s="29" t="n"/>
      <c r="AA44" s="29" t="n"/>
      <c r="AB44" s="29" t="n"/>
      <c r="AC44" s="29" t="n"/>
      <c r="AD44" s="29" t="n"/>
      <c r="AE44" s="29" t="n"/>
      <c r="AF44" s="29" t="n"/>
    </row>
    <row customFormat="1" r="45" s="2">
      <c r="A45" s="29" t="n"/>
      <c r="B45" s="29" t="n"/>
      <c r="C45" s="29" t="n"/>
      <c r="D45" s="30" t="n"/>
      <c r="E45" s="29" t="n"/>
      <c r="F45" s="29" t="n"/>
      <c r="G45" s="29" t="n"/>
      <c r="H45" s="29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30" t="n"/>
      <c r="U45" s="29" t="n"/>
      <c r="V45" s="29" t="n"/>
      <c r="W45" s="29" t="n"/>
      <c r="X45" s="29" t="n"/>
      <c r="Y45" s="30" t="n"/>
      <c r="Z45" s="29" t="n"/>
      <c r="AA45" s="29" t="n"/>
      <c r="AB45" s="29" t="n"/>
      <c r="AC45" s="29" t="n"/>
      <c r="AD45" s="29" t="n"/>
      <c r="AE45" s="29" t="n"/>
      <c r="AF45" s="29" t="n"/>
    </row>
    <row customFormat="1" r="46" s="2">
      <c r="A46" s="29" t="n"/>
      <c r="B46" s="29" t="n"/>
      <c r="C46" s="29" t="n"/>
      <c r="D46" s="30" t="n"/>
      <c r="E46" s="29" t="n"/>
      <c r="F46" s="29" t="n"/>
      <c r="G46" s="29" t="n"/>
      <c r="H46" s="29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30" t="n"/>
      <c r="U46" s="29" t="n"/>
      <c r="V46" s="29" t="n"/>
      <c r="W46" s="29" t="n"/>
      <c r="X46" s="29" t="n"/>
      <c r="Y46" s="30" t="n"/>
      <c r="Z46" s="29" t="n"/>
      <c r="AA46" s="29" t="n"/>
      <c r="AB46" s="29" t="n"/>
      <c r="AC46" s="29" t="n"/>
      <c r="AD46" s="29" t="n"/>
      <c r="AE46" s="29" t="n"/>
      <c r="AF46" s="29" t="n"/>
    </row>
    <row customFormat="1" r="47" s="2">
      <c r="A47" s="29" t="n"/>
      <c r="B47" s="29" t="n"/>
      <c r="C47" s="29" t="n"/>
      <c r="D47" s="30" t="n"/>
      <c r="E47" s="29" t="n"/>
      <c r="F47" s="29" t="n"/>
      <c r="G47" s="29" t="n"/>
      <c r="H47" s="29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30" t="n"/>
      <c r="U47" s="29" t="n"/>
      <c r="V47" s="29" t="n"/>
      <c r="W47" s="29" t="n"/>
      <c r="X47" s="29" t="n"/>
      <c r="Y47" s="30" t="n"/>
      <c r="Z47" s="29" t="n"/>
      <c r="AA47" s="29" t="n"/>
      <c r="AB47" s="29" t="n"/>
      <c r="AC47" s="29" t="n"/>
      <c r="AD47" s="29" t="n"/>
      <c r="AE47" s="29" t="n"/>
      <c r="AF47" s="29" t="n"/>
    </row>
    <row customFormat="1" r="48" s="2">
      <c r="A48" s="29" t="n"/>
      <c r="B48" s="29" t="n"/>
      <c r="C48" s="29" t="n"/>
      <c r="D48" s="30" t="n"/>
      <c r="E48" s="29" t="n"/>
      <c r="F48" s="29" t="n"/>
      <c r="G48" s="29" t="n"/>
      <c r="H48" s="29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30" t="n"/>
      <c r="U48" s="29" t="n"/>
      <c r="V48" s="29" t="n"/>
      <c r="W48" s="29" t="n"/>
      <c r="X48" s="29" t="n"/>
      <c r="Y48" s="30" t="n"/>
      <c r="Z48" s="29" t="n"/>
      <c r="AA48" s="29" t="n"/>
      <c r="AB48" s="29" t="n"/>
      <c r="AC48" s="29" t="n"/>
      <c r="AD48" s="29" t="n"/>
      <c r="AE48" s="29" t="n"/>
      <c r="AF48" s="29" t="n"/>
    </row>
    <row customFormat="1" r="49" s="2">
      <c r="A49" s="29" t="n"/>
      <c r="B49" s="29" t="n"/>
      <c r="C49" s="29" t="n"/>
      <c r="D49" s="30" t="n"/>
      <c r="E49" s="29" t="n"/>
      <c r="F49" s="29" t="n"/>
      <c r="G49" s="29" t="n"/>
      <c r="H49" s="29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30" t="n"/>
      <c r="U49" s="29" t="n"/>
      <c r="V49" s="29" t="n"/>
      <c r="W49" s="29" t="n"/>
      <c r="X49" s="29" t="n"/>
      <c r="Y49" s="30" t="n"/>
      <c r="Z49" s="29" t="n"/>
      <c r="AA49" s="29" t="n"/>
      <c r="AB49" s="29" t="n"/>
      <c r="AC49" s="29" t="n"/>
      <c r="AD49" s="29" t="n"/>
      <c r="AE49" s="29" t="n"/>
      <c r="AF49" s="29" t="n"/>
    </row>
    <row customFormat="1" r="50" s="2">
      <c r="A50" s="29" t="n"/>
      <c r="B50" s="29" t="n"/>
      <c r="C50" s="29" t="n"/>
      <c r="D50" s="30" t="n"/>
      <c r="E50" s="29" t="n"/>
      <c r="F50" s="29" t="n"/>
      <c r="G50" s="29" t="n"/>
      <c r="H50" s="29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30" t="n"/>
      <c r="U50" s="29" t="n"/>
      <c r="V50" s="29" t="n"/>
      <c r="W50" s="29" t="n"/>
      <c r="X50" s="29" t="n"/>
      <c r="Y50" s="30" t="n"/>
      <c r="Z50" s="29" t="n"/>
      <c r="AA50" s="29" t="n"/>
      <c r="AB50" s="29" t="n"/>
      <c r="AC50" s="29" t="n"/>
      <c r="AD50" s="29" t="n"/>
      <c r="AE50" s="29" t="n"/>
      <c r="AF50" s="29" t="n"/>
    </row>
    <row customFormat="1" r="51" s="2">
      <c r="A51" s="29" t="n"/>
      <c r="B51" s="29" t="n"/>
      <c r="C51" s="29" t="n"/>
      <c r="D51" s="30" t="n"/>
      <c r="E51" s="29" t="n"/>
      <c r="F51" s="29" t="n"/>
      <c r="G51" s="29" t="n"/>
      <c r="H51" s="29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30" t="n"/>
      <c r="U51" s="29" t="n"/>
      <c r="V51" s="29" t="n"/>
      <c r="W51" s="29" t="n"/>
      <c r="X51" s="29" t="n"/>
      <c r="Y51" s="30" t="n"/>
      <c r="Z51" s="29" t="n"/>
      <c r="AA51" s="29" t="n"/>
      <c r="AB51" s="29" t="n"/>
      <c r="AC51" s="29" t="n"/>
      <c r="AD51" s="29" t="n"/>
      <c r="AE51" s="29" t="n"/>
      <c r="AF51" s="29" t="n"/>
    </row>
    <row r="54">
      <c r="B54" s="20" t="inlineStr">
        <is>
          <t>日期</t>
        </is>
      </c>
      <c r="C54" s="0" t="inlineStr">
        <is>
          <t>新增</t>
        </is>
      </c>
      <c r="D54" s="4" t="inlineStr">
        <is>
          <t>活跃</t>
        </is>
      </c>
      <c r="E54" s="0" t="inlineStr">
        <is>
          <t>次留（主轴）</t>
        </is>
      </c>
      <c r="F54" s="0" t="inlineStr">
        <is>
          <t>3日留存（次轴）</t>
        </is>
      </c>
      <c r="G54" s="0" t="inlineStr">
        <is>
          <t>7日留存（次轴）</t>
        </is>
      </c>
      <c r="H54" s="0" t="inlineStr">
        <is>
          <t>整体ecpm</t>
        </is>
      </c>
      <c r="I54" s="4" t="inlineStr">
        <is>
          <t>美国ecpm</t>
        </is>
      </c>
      <c r="J54" s="0" t="inlineStr">
        <is>
          <t>人均广告次数（日活）</t>
        </is>
      </c>
      <c r="K54" s="0" t="inlineStr">
        <is>
          <t>iap付费率（付费人数/日活）</t>
        </is>
      </c>
      <c r="L54" s="0" t="inlineStr">
        <is>
          <t>iap人均付费金额（日活）</t>
        </is>
      </c>
      <c r="M54" s="19" t="inlineStr">
        <is>
          <t>美国facebook 24小时视频数</t>
        </is>
      </c>
      <c r="R54" s="20" t="inlineStr">
        <is>
          <t>日期</t>
        </is>
      </c>
      <c r="S54" s="0" t="inlineStr">
        <is>
          <t>新增</t>
        </is>
      </c>
      <c r="T54" s="4" t="inlineStr">
        <is>
          <t>活跃</t>
        </is>
      </c>
      <c r="U54" s="0" t="inlineStr">
        <is>
          <t>次留（主轴）</t>
        </is>
      </c>
      <c r="V54" s="0" t="inlineStr">
        <is>
          <t>3日留存（次轴）</t>
        </is>
      </c>
      <c r="W54" s="0" t="inlineStr">
        <is>
          <t>7日留存（次轴）</t>
        </is>
      </c>
      <c r="X54" s="0" t="inlineStr">
        <is>
          <t>整体ecpm</t>
        </is>
      </c>
      <c r="Y54" s="4" t="inlineStr">
        <is>
          <t>美国ecpm</t>
        </is>
      </c>
      <c r="Z54" s="0" t="inlineStr">
        <is>
          <t>人均广告次数（日活）</t>
        </is>
      </c>
      <c r="AA54" s="0" t="inlineStr">
        <is>
          <t>iap付费率（付费人数/日活）</t>
        </is>
      </c>
      <c r="AB54" s="0" t="inlineStr">
        <is>
          <t>iap人均付费金额（日活）</t>
        </is>
      </c>
      <c r="AC54" s="0" t="inlineStr">
        <is>
          <t>美国facebook 24小时视频数</t>
        </is>
      </c>
    </row>
    <row r="55">
      <c r="B55" s="31">
        <f>$B$1-40</f>
        <v/>
      </c>
      <c r="C55" s="32">
        <f>VLOOKUP($B55,安卓!$A:$AM,3,0)</f>
        <v/>
      </c>
      <c r="D55" s="32">
        <f>VLOOKUP($B55,安卓!$A:$AM,4,0)</f>
        <v/>
      </c>
      <c r="E55" s="355">
        <f>VLOOKUP($B55,安卓!$A:$AM,9,0)</f>
        <v/>
      </c>
      <c r="F55" s="355">
        <f>VLOOKUP($B55,安卓!$A:$AM,10,0)</f>
        <v/>
      </c>
      <c r="G55" s="355">
        <f>VLOOKUP($B55,安卓!$A:$AM,11,0)</f>
        <v/>
      </c>
      <c r="H55" s="32">
        <f>VLOOKUP($B55,安卓!$A:$AM,7,0)</f>
        <v/>
      </c>
      <c r="I55" s="140">
        <f>VLOOKUP($B55,安卓!$A:$AM,8,0)</f>
        <v/>
      </c>
      <c r="J55" s="45">
        <f>VLOOKUP($B55,安卓!$A:$AM,25,0)</f>
        <v/>
      </c>
      <c r="K55" s="46">
        <f>VLOOKUP($B55,安卓!$A:$AM,31,0)</f>
        <v/>
      </c>
      <c r="L55" s="356">
        <f>VLOOKUP($B55,安卓!$A:$AM,33,0)</f>
        <v/>
      </c>
      <c r="M55" s="49">
        <f>VLOOKUP($B55,安卓!$A:$AN,40,0)</f>
        <v/>
      </c>
      <c r="R55" s="31">
        <f>$B$1-40</f>
        <v/>
      </c>
      <c r="S55" s="32">
        <f>VLOOKUP($B55,iOS!$A:$AM,3,0)</f>
        <v/>
      </c>
      <c r="T55" s="32">
        <f>VLOOKUP($B55,iOS!$A:$AM,4,0)</f>
        <v/>
      </c>
      <c r="U55" s="355">
        <f>VLOOKUP($B55,iOS!$A:$AM,9,0)</f>
        <v/>
      </c>
      <c r="V55" s="355">
        <f>VLOOKUP($B55,iOS!$A:$AM,10,0)</f>
        <v/>
      </c>
      <c r="W55" s="355">
        <f>VLOOKUP($B55,iOS!$A:$AM,11,0)</f>
        <v/>
      </c>
      <c r="X55" s="32">
        <f>VLOOKUP($B55,iOS!$A:$AM,7,0)</f>
        <v/>
      </c>
      <c r="Y55" s="32">
        <f>VLOOKUP($B55,iOS!$A:$AM,8,0)</f>
        <v/>
      </c>
      <c r="Z55" s="45">
        <f>VLOOKUP($B55,iOS!$A:$AM,25,0)</f>
        <v/>
      </c>
      <c r="AA55" s="46">
        <f>VLOOKUP($B55,iOS!$A:$AM,31,0)</f>
        <v/>
      </c>
      <c r="AB55" s="356">
        <f>VLOOKUP($B55,iOS!$A:$AM,33,0)</f>
        <v/>
      </c>
      <c r="AC55" s="356">
        <f>VLOOKUP($B55,iOS!$A:$AN,40,0)</f>
        <v/>
      </c>
    </row>
    <row r="56">
      <c r="B56" s="31">
        <f>B55+1</f>
        <v/>
      </c>
      <c r="C56" s="32">
        <f>VLOOKUP($B56,安卓!$A:$AM,3,0)</f>
        <v/>
      </c>
      <c r="D56" s="32">
        <f>VLOOKUP($B56,安卓!$A:$AM,4,0)</f>
        <v/>
      </c>
      <c r="E56" s="355">
        <f>VLOOKUP($B56,安卓!$A:$AM,9,0)</f>
        <v/>
      </c>
      <c r="F56" s="355">
        <f>VLOOKUP($B56,安卓!$A:$AM,10,0)</f>
        <v/>
      </c>
      <c r="G56" s="355">
        <f>VLOOKUP($B56,安卓!$A:$AM,11,0)</f>
        <v/>
      </c>
      <c r="H56" s="32">
        <f>VLOOKUP($B56,安卓!$A:$AM,7,0)</f>
        <v/>
      </c>
      <c r="I56" s="140">
        <f>VLOOKUP($B56,安卓!$A:$AM,8,0)</f>
        <v/>
      </c>
      <c r="J56" s="45">
        <f>VLOOKUP($B56,安卓!$A:$AM,25,0)</f>
        <v/>
      </c>
      <c r="K56" s="46">
        <f>VLOOKUP($B56,安卓!$A:$AM,31,0)</f>
        <v/>
      </c>
      <c r="L56" s="356">
        <f>VLOOKUP($B56,安卓!$A:$AM,33,0)</f>
        <v/>
      </c>
      <c r="M56" s="49">
        <f>VLOOKUP($B56,安卓!$A:$AN,40,0)</f>
        <v/>
      </c>
      <c r="R56" s="31">
        <f>R55+1</f>
        <v/>
      </c>
      <c r="S56" s="32">
        <f>VLOOKUP($B56,iOS!$A:$AM,3,0)</f>
        <v/>
      </c>
      <c r="T56" s="32">
        <f>VLOOKUP($B56,iOS!$A:$AM,4,0)</f>
        <v/>
      </c>
      <c r="U56" s="355">
        <f>VLOOKUP($B56,iOS!$A:$AM,9,0)</f>
        <v/>
      </c>
      <c r="V56" s="355">
        <f>VLOOKUP($B56,iOS!$A:$AM,10,0)</f>
        <v/>
      </c>
      <c r="W56" s="355">
        <f>VLOOKUP($B56,iOS!$A:$AM,11,0)</f>
        <v/>
      </c>
      <c r="X56" s="32">
        <f>VLOOKUP($B56,iOS!$A:$AM,7,0)</f>
        <v/>
      </c>
      <c r="Y56" s="32">
        <f>VLOOKUP($B56,iOS!$A:$AM,8,0)</f>
        <v/>
      </c>
      <c r="Z56" s="45">
        <f>VLOOKUP($B56,iOS!$A:$AM,25,0)</f>
        <v/>
      </c>
      <c r="AA56" s="46">
        <f>VLOOKUP($B56,iOS!$A:$AM,31,0)</f>
        <v/>
      </c>
      <c r="AB56" s="356">
        <f>VLOOKUP($B56,iOS!$A:$AM,33,0)</f>
        <v/>
      </c>
      <c r="AC56" s="356">
        <f>VLOOKUP($B56,iOS!$A:$AN,40,0)</f>
        <v/>
      </c>
    </row>
    <row r="57">
      <c r="B57" s="31">
        <f>B56+1</f>
        <v/>
      </c>
      <c r="C57" s="32">
        <f>VLOOKUP($B57,安卓!$A:$AM,3,0)</f>
        <v/>
      </c>
      <c r="D57" s="32">
        <f>VLOOKUP($B57,安卓!$A:$AM,4,0)</f>
        <v/>
      </c>
      <c r="E57" s="355">
        <f>VLOOKUP($B57,安卓!$A:$AM,9,0)</f>
        <v/>
      </c>
      <c r="F57" s="355">
        <f>VLOOKUP($B57,安卓!$A:$AM,10,0)</f>
        <v/>
      </c>
      <c r="G57" s="355">
        <f>VLOOKUP($B57,安卓!$A:$AM,11,0)</f>
        <v/>
      </c>
      <c r="H57" s="32">
        <f>VLOOKUP($B57,安卓!$A:$AM,7,0)</f>
        <v/>
      </c>
      <c r="I57" s="140">
        <f>VLOOKUP($B57,安卓!$A:$AM,8,0)</f>
        <v/>
      </c>
      <c r="J57" s="45">
        <f>VLOOKUP($B57,安卓!$A:$AM,25,0)</f>
        <v/>
      </c>
      <c r="K57" s="46">
        <f>VLOOKUP($B57,安卓!$A:$AM,31,0)</f>
        <v/>
      </c>
      <c r="L57" s="356">
        <f>VLOOKUP($B57,安卓!$A:$AM,33,0)</f>
        <v/>
      </c>
      <c r="M57" s="49">
        <f>VLOOKUP($B57,安卓!$A:$AN,40,0)</f>
        <v/>
      </c>
      <c r="R57" s="31">
        <f>R56+1</f>
        <v/>
      </c>
      <c r="S57" s="32">
        <f>VLOOKUP($B57,iOS!$A:$AM,3,0)</f>
        <v/>
      </c>
      <c r="T57" s="32">
        <f>VLOOKUP($B57,iOS!$A:$AM,4,0)</f>
        <v/>
      </c>
      <c r="U57" s="355">
        <f>VLOOKUP($B57,iOS!$A:$AM,9,0)</f>
        <v/>
      </c>
      <c r="V57" s="355">
        <f>VLOOKUP($B57,iOS!$A:$AM,10,0)</f>
        <v/>
      </c>
      <c r="W57" s="355">
        <f>VLOOKUP($B57,iOS!$A:$AM,11,0)</f>
        <v/>
      </c>
      <c r="X57" s="32">
        <f>VLOOKUP($B57,iOS!$A:$AM,7,0)</f>
        <v/>
      </c>
      <c r="Y57" s="32">
        <f>VLOOKUP($B57,iOS!$A:$AM,8,0)</f>
        <v/>
      </c>
      <c r="Z57" s="45">
        <f>VLOOKUP($B57,iOS!$A:$AM,25,0)</f>
        <v/>
      </c>
      <c r="AA57" s="46">
        <f>VLOOKUP($B57,iOS!$A:$AM,31,0)</f>
        <v/>
      </c>
      <c r="AB57" s="356">
        <f>VLOOKUP($B57,iOS!$A:$AM,33,0)</f>
        <v/>
      </c>
      <c r="AC57" s="356">
        <f>VLOOKUP($B57,iOS!$A:$AN,40,0)</f>
        <v/>
      </c>
    </row>
    <row r="58">
      <c r="B58" s="31">
        <f>B57+1</f>
        <v/>
      </c>
      <c r="C58" s="32">
        <f>VLOOKUP($B58,安卓!$A:$AM,3,0)</f>
        <v/>
      </c>
      <c r="D58" s="32">
        <f>VLOOKUP($B58,安卓!$A:$AM,4,0)</f>
        <v/>
      </c>
      <c r="E58" s="355">
        <f>VLOOKUP($B58,安卓!$A:$AM,9,0)</f>
        <v/>
      </c>
      <c r="F58" s="355">
        <f>VLOOKUP($B58,安卓!$A:$AM,10,0)</f>
        <v/>
      </c>
      <c r="G58" s="355">
        <f>VLOOKUP($B58,安卓!$A:$AM,11,0)</f>
        <v/>
      </c>
      <c r="H58" s="32">
        <f>VLOOKUP($B58,安卓!$A:$AM,7,0)</f>
        <v/>
      </c>
      <c r="I58" s="140">
        <f>VLOOKUP($B58,安卓!$A:$AM,8,0)</f>
        <v/>
      </c>
      <c r="J58" s="45">
        <f>VLOOKUP($B58,安卓!$A:$AM,25,0)</f>
        <v/>
      </c>
      <c r="K58" s="46">
        <f>VLOOKUP($B58,安卓!$A:$AM,31,0)</f>
        <v/>
      </c>
      <c r="L58" s="356">
        <f>VLOOKUP($B58,安卓!$A:$AM,33,0)</f>
        <v/>
      </c>
      <c r="M58" s="49">
        <f>VLOOKUP($B58,安卓!$A:$AN,40,0)</f>
        <v/>
      </c>
      <c r="R58" s="31">
        <f>R57+1</f>
        <v/>
      </c>
      <c r="S58" s="32">
        <f>VLOOKUP($B58,iOS!$A:$AM,3,0)</f>
        <v/>
      </c>
      <c r="T58" s="32">
        <f>VLOOKUP($B58,iOS!$A:$AM,4,0)</f>
        <v/>
      </c>
      <c r="U58" s="355">
        <f>VLOOKUP($B58,iOS!$A:$AM,9,0)</f>
        <v/>
      </c>
      <c r="V58" s="355">
        <f>VLOOKUP($B58,iOS!$A:$AM,10,0)</f>
        <v/>
      </c>
      <c r="W58" s="355">
        <f>VLOOKUP($B58,iOS!$A:$AM,11,0)</f>
        <v/>
      </c>
      <c r="X58" s="32">
        <f>VLOOKUP($B58,iOS!$A:$AM,7,0)</f>
        <v/>
      </c>
      <c r="Y58" s="32">
        <f>VLOOKUP($B58,iOS!$A:$AM,8,0)</f>
        <v/>
      </c>
      <c r="Z58" s="45">
        <f>VLOOKUP($B58,iOS!$A:$AM,25,0)</f>
        <v/>
      </c>
      <c r="AA58" s="46">
        <f>VLOOKUP($B58,iOS!$A:$AM,31,0)</f>
        <v/>
      </c>
      <c r="AB58" s="356">
        <f>VLOOKUP($B58,iOS!$A:$AM,33,0)</f>
        <v/>
      </c>
      <c r="AC58" s="356">
        <f>VLOOKUP($B58,iOS!$A:$AN,40,0)</f>
        <v/>
      </c>
    </row>
    <row r="59">
      <c r="B59" s="31">
        <f>B58+1</f>
        <v/>
      </c>
      <c r="C59" s="32">
        <f>VLOOKUP($B59,安卓!$A:$AM,3,0)</f>
        <v/>
      </c>
      <c r="D59" s="32">
        <f>VLOOKUP($B59,安卓!$A:$AM,4,0)</f>
        <v/>
      </c>
      <c r="E59" s="355">
        <f>VLOOKUP($B59,安卓!$A:$AM,9,0)</f>
        <v/>
      </c>
      <c r="F59" s="355">
        <f>VLOOKUP($B59,安卓!$A:$AM,10,0)</f>
        <v/>
      </c>
      <c r="G59" s="355">
        <f>VLOOKUP($B59,安卓!$A:$AM,11,0)</f>
        <v/>
      </c>
      <c r="H59" s="32">
        <f>VLOOKUP($B59,安卓!$A:$AM,7,0)</f>
        <v/>
      </c>
      <c r="I59" s="140">
        <f>VLOOKUP($B59,安卓!$A:$AM,8,0)</f>
        <v/>
      </c>
      <c r="J59" s="45">
        <f>VLOOKUP($B59,安卓!$A:$AM,25,0)</f>
        <v/>
      </c>
      <c r="K59" s="46">
        <f>VLOOKUP($B59,安卓!$A:$AM,31,0)</f>
        <v/>
      </c>
      <c r="L59" s="356">
        <f>VLOOKUP($B59,安卓!$A:$AM,33,0)</f>
        <v/>
      </c>
      <c r="M59" s="49">
        <f>VLOOKUP($B59,安卓!$A:$AN,40,0)</f>
        <v/>
      </c>
      <c r="R59" s="31">
        <f>R58+1</f>
        <v/>
      </c>
      <c r="S59" s="32">
        <f>VLOOKUP($B59,iOS!$A:$AM,3,0)</f>
        <v/>
      </c>
      <c r="T59" s="32">
        <f>VLOOKUP($B59,iOS!$A:$AM,4,0)</f>
        <v/>
      </c>
      <c r="U59" s="355">
        <f>VLOOKUP($B59,iOS!$A:$AM,9,0)</f>
        <v/>
      </c>
      <c r="V59" s="355">
        <f>VLOOKUP($B59,iOS!$A:$AM,10,0)</f>
        <v/>
      </c>
      <c r="W59" s="355">
        <f>VLOOKUP($B59,iOS!$A:$AM,11,0)</f>
        <v/>
      </c>
      <c r="X59" s="32">
        <f>VLOOKUP($B59,iOS!$A:$AM,7,0)</f>
        <v/>
      </c>
      <c r="Y59" s="32">
        <f>VLOOKUP($B59,iOS!$A:$AM,8,0)</f>
        <v/>
      </c>
      <c r="Z59" s="45">
        <f>VLOOKUP($B59,iOS!$A:$AM,25,0)</f>
        <v/>
      </c>
      <c r="AA59" s="46">
        <f>VLOOKUP($B59,iOS!$A:$AM,31,0)</f>
        <v/>
      </c>
      <c r="AB59" s="356">
        <f>VLOOKUP($B59,iOS!$A:$AM,33,0)</f>
        <v/>
      </c>
      <c r="AC59" s="356">
        <f>VLOOKUP($B59,iOS!$A:$AN,40,0)</f>
        <v/>
      </c>
    </row>
    <row r="60">
      <c r="B60" s="31">
        <f>B59+1</f>
        <v/>
      </c>
      <c r="C60" s="32">
        <f>VLOOKUP($B60,安卓!$A:$AM,3,0)</f>
        <v/>
      </c>
      <c r="D60" s="32">
        <f>VLOOKUP($B60,安卓!$A:$AM,4,0)</f>
        <v/>
      </c>
      <c r="E60" s="355">
        <f>VLOOKUP($B60,安卓!$A:$AM,9,0)</f>
        <v/>
      </c>
      <c r="F60" s="355">
        <f>VLOOKUP($B60,安卓!$A:$AM,10,0)</f>
        <v/>
      </c>
      <c r="G60" s="355">
        <f>VLOOKUP($B60,安卓!$A:$AM,11,0)</f>
        <v/>
      </c>
      <c r="H60" s="32">
        <f>VLOOKUP($B60,安卓!$A:$AM,7,0)</f>
        <v/>
      </c>
      <c r="I60" s="140">
        <f>VLOOKUP($B60,安卓!$A:$AM,8,0)</f>
        <v/>
      </c>
      <c r="J60" s="45">
        <f>VLOOKUP($B60,安卓!$A:$AM,25,0)</f>
        <v/>
      </c>
      <c r="K60" s="46">
        <f>VLOOKUP($B60,安卓!$A:$AM,31,0)</f>
        <v/>
      </c>
      <c r="L60" s="356">
        <f>VLOOKUP($B60,安卓!$A:$AM,33,0)</f>
        <v/>
      </c>
      <c r="M60" s="49">
        <f>VLOOKUP($B60,安卓!$A:$AN,40,0)</f>
        <v/>
      </c>
      <c r="R60" s="31">
        <f>R59+1</f>
        <v/>
      </c>
      <c r="S60" s="32">
        <f>VLOOKUP($B60,iOS!$A:$AM,3,0)</f>
        <v/>
      </c>
      <c r="T60" s="32">
        <f>VLOOKUP($B60,iOS!$A:$AM,4,0)</f>
        <v/>
      </c>
      <c r="U60" s="355">
        <f>VLOOKUP($B60,iOS!$A:$AM,9,0)</f>
        <v/>
      </c>
      <c r="V60" s="355">
        <f>VLOOKUP($B60,iOS!$A:$AM,10,0)</f>
        <v/>
      </c>
      <c r="W60" s="355">
        <f>VLOOKUP($B60,iOS!$A:$AM,11,0)</f>
        <v/>
      </c>
      <c r="X60" s="32">
        <f>VLOOKUP($B60,iOS!$A:$AM,7,0)</f>
        <v/>
      </c>
      <c r="Y60" s="32">
        <f>VLOOKUP($B60,iOS!$A:$AM,8,0)</f>
        <v/>
      </c>
      <c r="Z60" s="45">
        <f>VLOOKUP($B60,iOS!$A:$AM,25,0)</f>
        <v/>
      </c>
      <c r="AA60" s="46">
        <f>VLOOKUP($B60,iOS!$A:$AM,31,0)</f>
        <v/>
      </c>
      <c r="AB60" s="356">
        <f>VLOOKUP($B60,iOS!$A:$AM,33,0)</f>
        <v/>
      </c>
      <c r="AC60" s="356">
        <f>VLOOKUP($B60,iOS!$A:$AN,40,0)</f>
        <v/>
      </c>
    </row>
    <row r="61">
      <c r="B61" s="31">
        <f>B60+1</f>
        <v/>
      </c>
      <c r="C61" s="32">
        <f>VLOOKUP($B61,安卓!$A:$AM,3,0)</f>
        <v/>
      </c>
      <c r="D61" s="32">
        <f>VLOOKUP($B61,安卓!$A:$AM,4,0)</f>
        <v/>
      </c>
      <c r="E61" s="355">
        <f>VLOOKUP($B61,安卓!$A:$AM,9,0)</f>
        <v/>
      </c>
      <c r="F61" s="355">
        <f>VLOOKUP($B61,安卓!$A:$AM,10,0)</f>
        <v/>
      </c>
      <c r="G61" s="355">
        <f>VLOOKUP($B61,安卓!$A:$AM,11,0)</f>
        <v/>
      </c>
      <c r="H61" s="32">
        <f>VLOOKUP($B61,安卓!$A:$AM,7,0)</f>
        <v/>
      </c>
      <c r="I61" s="140">
        <f>VLOOKUP($B61,安卓!$A:$AM,8,0)</f>
        <v/>
      </c>
      <c r="J61" s="45">
        <f>VLOOKUP($B61,安卓!$A:$AM,25,0)</f>
        <v/>
      </c>
      <c r="K61" s="46">
        <f>VLOOKUP($B61,安卓!$A:$AM,31,0)</f>
        <v/>
      </c>
      <c r="L61" s="356">
        <f>VLOOKUP($B61,安卓!$A:$AM,33,0)</f>
        <v/>
      </c>
      <c r="M61" s="49">
        <f>VLOOKUP($B61,安卓!$A:$AN,40,0)</f>
        <v/>
      </c>
      <c r="R61" s="31">
        <f>R60+1</f>
        <v/>
      </c>
      <c r="S61" s="32">
        <f>VLOOKUP($B61,iOS!$A:$AM,3,0)</f>
        <v/>
      </c>
      <c r="T61" s="32">
        <f>VLOOKUP($B61,iOS!$A:$AM,4,0)</f>
        <v/>
      </c>
      <c r="U61" s="355">
        <f>VLOOKUP($B61,iOS!$A:$AM,9,0)</f>
        <v/>
      </c>
      <c r="V61" s="355">
        <f>VLOOKUP($B61,iOS!$A:$AM,10,0)</f>
        <v/>
      </c>
      <c r="W61" s="355">
        <f>VLOOKUP($B61,iOS!$A:$AM,11,0)</f>
        <v/>
      </c>
      <c r="X61" s="32">
        <f>VLOOKUP($B61,iOS!$A:$AM,7,0)</f>
        <v/>
      </c>
      <c r="Y61" s="32">
        <f>VLOOKUP($B61,iOS!$A:$AM,8,0)</f>
        <v/>
      </c>
      <c r="Z61" s="45">
        <f>VLOOKUP($B61,iOS!$A:$AM,25,0)</f>
        <v/>
      </c>
      <c r="AA61" s="46">
        <f>VLOOKUP($B61,iOS!$A:$AM,31,0)</f>
        <v/>
      </c>
      <c r="AB61" s="356">
        <f>VLOOKUP($B61,iOS!$A:$AM,33,0)</f>
        <v/>
      </c>
      <c r="AC61" s="356">
        <f>VLOOKUP($B61,iOS!$A:$AN,40,0)</f>
        <v/>
      </c>
    </row>
    <row r="62">
      <c r="B62" s="31">
        <f>B61+1</f>
        <v/>
      </c>
      <c r="C62" s="32">
        <f>VLOOKUP($B62,安卓!$A:$AM,3,0)</f>
        <v/>
      </c>
      <c r="D62" s="32">
        <f>VLOOKUP($B62,安卓!$A:$AM,4,0)</f>
        <v/>
      </c>
      <c r="E62" s="355">
        <f>VLOOKUP($B62,安卓!$A:$AM,9,0)</f>
        <v/>
      </c>
      <c r="F62" s="355">
        <f>VLOOKUP($B62,安卓!$A:$AM,10,0)</f>
        <v/>
      </c>
      <c r="G62" s="355">
        <f>VLOOKUP($B62,安卓!$A:$AM,11,0)</f>
        <v/>
      </c>
      <c r="H62" s="32">
        <f>VLOOKUP($B62,安卓!$A:$AM,7,0)</f>
        <v/>
      </c>
      <c r="I62" s="140">
        <f>VLOOKUP($B62,安卓!$A:$AM,8,0)</f>
        <v/>
      </c>
      <c r="J62" s="45">
        <f>VLOOKUP($B62,安卓!$A:$AM,25,0)</f>
        <v/>
      </c>
      <c r="K62" s="46">
        <f>VLOOKUP($B62,安卓!$A:$AM,31,0)</f>
        <v/>
      </c>
      <c r="L62" s="356">
        <f>VLOOKUP($B62,安卓!$A:$AM,33,0)</f>
        <v/>
      </c>
      <c r="M62" s="49">
        <f>VLOOKUP($B62,安卓!$A:$AN,40,0)</f>
        <v/>
      </c>
      <c r="R62" s="31">
        <f>R61+1</f>
        <v/>
      </c>
      <c r="S62" s="32">
        <f>VLOOKUP($B62,iOS!$A:$AM,3,0)</f>
        <v/>
      </c>
      <c r="T62" s="32">
        <f>VLOOKUP($B62,iOS!$A:$AM,4,0)</f>
        <v/>
      </c>
      <c r="U62" s="355">
        <f>VLOOKUP($B62,iOS!$A:$AM,9,0)</f>
        <v/>
      </c>
      <c r="V62" s="355">
        <f>VLOOKUP($B62,iOS!$A:$AM,10,0)</f>
        <v/>
      </c>
      <c r="W62" s="355">
        <f>VLOOKUP($B62,iOS!$A:$AM,11,0)</f>
        <v/>
      </c>
      <c r="X62" s="32">
        <f>VLOOKUP($B62,iOS!$A:$AM,7,0)</f>
        <v/>
      </c>
      <c r="Y62" s="32">
        <f>VLOOKUP($B62,iOS!$A:$AM,8,0)</f>
        <v/>
      </c>
      <c r="Z62" s="45">
        <f>VLOOKUP($B62,iOS!$A:$AM,25,0)</f>
        <v/>
      </c>
      <c r="AA62" s="46">
        <f>VLOOKUP($B62,iOS!$A:$AM,31,0)</f>
        <v/>
      </c>
      <c r="AB62" s="356">
        <f>VLOOKUP($B62,iOS!$A:$AM,33,0)</f>
        <v/>
      </c>
      <c r="AC62" s="356">
        <f>VLOOKUP($B62,iOS!$A:$AN,40,0)</f>
        <v/>
      </c>
    </row>
    <row r="63">
      <c r="B63" s="31">
        <f>B62+1</f>
        <v/>
      </c>
      <c r="C63" s="32">
        <f>VLOOKUP($B63,安卓!$A:$AM,3,0)</f>
        <v/>
      </c>
      <c r="D63" s="32">
        <f>VLOOKUP($B63,安卓!$A:$AM,4,0)</f>
        <v/>
      </c>
      <c r="E63" s="355">
        <f>VLOOKUP($B63,安卓!$A:$AM,9,0)</f>
        <v/>
      </c>
      <c r="F63" s="355">
        <f>VLOOKUP($B63,安卓!$A:$AM,10,0)</f>
        <v/>
      </c>
      <c r="G63" s="355">
        <f>VLOOKUP($B63,安卓!$A:$AM,11,0)</f>
        <v/>
      </c>
      <c r="H63" s="32">
        <f>VLOOKUP($B63,安卓!$A:$AM,7,0)</f>
        <v/>
      </c>
      <c r="I63" s="140">
        <f>VLOOKUP($B63,安卓!$A:$AM,8,0)</f>
        <v/>
      </c>
      <c r="J63" s="45">
        <f>VLOOKUP($B63,安卓!$A:$AM,25,0)</f>
        <v/>
      </c>
      <c r="K63" s="46">
        <f>VLOOKUP($B63,安卓!$A:$AM,31,0)</f>
        <v/>
      </c>
      <c r="L63" s="356">
        <f>VLOOKUP($B63,安卓!$A:$AM,33,0)</f>
        <v/>
      </c>
      <c r="M63" s="49">
        <f>VLOOKUP($B63,安卓!$A:$AN,40,0)</f>
        <v/>
      </c>
      <c r="R63" s="31">
        <f>R62+1</f>
        <v/>
      </c>
      <c r="S63" s="32">
        <f>VLOOKUP($B63,iOS!$A:$AM,3,0)</f>
        <v/>
      </c>
      <c r="T63" s="32">
        <f>VLOOKUP($B63,iOS!$A:$AM,4,0)</f>
        <v/>
      </c>
      <c r="U63" s="355">
        <f>VLOOKUP($B63,iOS!$A:$AM,9,0)</f>
        <v/>
      </c>
      <c r="V63" s="355">
        <f>VLOOKUP($B63,iOS!$A:$AM,10,0)</f>
        <v/>
      </c>
      <c r="W63" s="355">
        <f>VLOOKUP($B63,iOS!$A:$AM,11,0)</f>
        <v/>
      </c>
      <c r="X63" s="32">
        <f>VLOOKUP($B63,iOS!$A:$AM,7,0)</f>
        <v/>
      </c>
      <c r="Y63" s="32">
        <f>VLOOKUP($B63,iOS!$A:$AM,8,0)</f>
        <v/>
      </c>
      <c r="Z63" s="45">
        <f>VLOOKUP($B63,iOS!$A:$AM,25,0)</f>
        <v/>
      </c>
      <c r="AA63" s="46">
        <f>VLOOKUP($B63,iOS!$A:$AM,31,0)</f>
        <v/>
      </c>
      <c r="AB63" s="356">
        <f>VLOOKUP($B63,iOS!$A:$AM,33,0)</f>
        <v/>
      </c>
      <c r="AC63" s="356">
        <f>VLOOKUP($B63,iOS!$A:$AN,40,0)</f>
        <v/>
      </c>
    </row>
    <row r="64">
      <c r="B64" s="31">
        <f>B63+1</f>
        <v/>
      </c>
      <c r="C64" s="32">
        <f>VLOOKUP($B64,安卓!$A:$AM,3,0)</f>
        <v/>
      </c>
      <c r="D64" s="32">
        <f>VLOOKUP($B64,安卓!$A:$AM,4,0)</f>
        <v/>
      </c>
      <c r="E64" s="355">
        <f>VLOOKUP($B64,安卓!$A:$AM,9,0)</f>
        <v/>
      </c>
      <c r="F64" s="355">
        <f>VLOOKUP($B64,安卓!$A:$AM,10,0)</f>
        <v/>
      </c>
      <c r="G64" s="355">
        <f>VLOOKUP($B64,安卓!$A:$AM,11,0)</f>
        <v/>
      </c>
      <c r="H64" s="32">
        <f>VLOOKUP($B64,安卓!$A:$AM,7,0)</f>
        <v/>
      </c>
      <c r="I64" s="140">
        <f>VLOOKUP($B64,安卓!$A:$AM,8,0)</f>
        <v/>
      </c>
      <c r="J64" s="45">
        <f>VLOOKUP($B64,安卓!$A:$AM,25,0)</f>
        <v/>
      </c>
      <c r="K64" s="46">
        <f>VLOOKUP($B64,安卓!$A:$AM,31,0)</f>
        <v/>
      </c>
      <c r="L64" s="356">
        <f>VLOOKUP($B64,安卓!$A:$AM,33,0)</f>
        <v/>
      </c>
      <c r="M64" s="49">
        <f>VLOOKUP($B64,安卓!$A:$AN,40,0)</f>
        <v/>
      </c>
      <c r="R64" s="31">
        <f>R63+1</f>
        <v/>
      </c>
      <c r="S64" s="32">
        <f>VLOOKUP($B64,iOS!$A:$AM,3,0)</f>
        <v/>
      </c>
      <c r="T64" s="32">
        <f>VLOOKUP($B64,iOS!$A:$AM,4,0)</f>
        <v/>
      </c>
      <c r="U64" s="355">
        <f>VLOOKUP($B64,iOS!$A:$AM,9,0)</f>
        <v/>
      </c>
      <c r="V64" s="355">
        <f>VLOOKUP($B64,iOS!$A:$AM,10,0)</f>
        <v/>
      </c>
      <c r="W64" s="355">
        <f>VLOOKUP($B64,iOS!$A:$AM,11,0)</f>
        <v/>
      </c>
      <c r="X64" s="32">
        <f>VLOOKUP($B64,iOS!$A:$AM,7,0)</f>
        <v/>
      </c>
      <c r="Y64" s="32">
        <f>VLOOKUP($B64,iOS!$A:$AM,8,0)</f>
        <v/>
      </c>
      <c r="Z64" s="45">
        <f>VLOOKUP($B64,iOS!$A:$AM,25,0)</f>
        <v/>
      </c>
      <c r="AA64" s="46">
        <f>VLOOKUP($B64,iOS!$A:$AM,31,0)</f>
        <v/>
      </c>
      <c r="AB64" s="356">
        <f>VLOOKUP($B64,iOS!$A:$AM,33,0)</f>
        <v/>
      </c>
      <c r="AC64" s="356">
        <f>VLOOKUP($B64,iOS!$A:$AN,40,0)</f>
        <v/>
      </c>
    </row>
    <row r="65">
      <c r="B65" s="31">
        <f>B64+1</f>
        <v/>
      </c>
      <c r="C65" s="32">
        <f>VLOOKUP($B65,安卓!$A:$AM,3,0)</f>
        <v/>
      </c>
      <c r="D65" s="32">
        <f>VLOOKUP($B65,安卓!$A:$AM,4,0)</f>
        <v/>
      </c>
      <c r="E65" s="355">
        <f>VLOOKUP($B65,安卓!$A:$AM,9,0)</f>
        <v/>
      </c>
      <c r="F65" s="355">
        <f>VLOOKUP($B65,安卓!$A:$AM,10,0)</f>
        <v/>
      </c>
      <c r="G65" s="355">
        <f>VLOOKUP($B65,安卓!$A:$AM,11,0)</f>
        <v/>
      </c>
      <c r="H65" s="32">
        <f>VLOOKUP($B65,安卓!$A:$AM,7,0)</f>
        <v/>
      </c>
      <c r="I65" s="140">
        <f>VLOOKUP($B65,安卓!$A:$AM,8,0)</f>
        <v/>
      </c>
      <c r="J65" s="45">
        <f>VLOOKUP($B65,安卓!$A:$AM,25,0)</f>
        <v/>
      </c>
      <c r="K65" s="46">
        <f>VLOOKUP($B65,安卓!$A:$AM,31,0)</f>
        <v/>
      </c>
      <c r="L65" s="356">
        <f>VLOOKUP($B65,安卓!$A:$AM,33,0)</f>
        <v/>
      </c>
      <c r="M65" s="49">
        <f>VLOOKUP($B65,安卓!$A:$AN,40,0)</f>
        <v/>
      </c>
      <c r="R65" s="31">
        <f>R64+1</f>
        <v/>
      </c>
      <c r="S65" s="32">
        <f>VLOOKUP($B65,iOS!$A:$AM,3,0)</f>
        <v/>
      </c>
      <c r="T65" s="32">
        <f>VLOOKUP($B65,iOS!$A:$AM,4,0)</f>
        <v/>
      </c>
      <c r="U65" s="355">
        <f>VLOOKUP($B65,iOS!$A:$AM,9,0)</f>
        <v/>
      </c>
      <c r="V65" s="355">
        <f>VLOOKUP($B65,iOS!$A:$AM,10,0)</f>
        <v/>
      </c>
      <c r="W65" s="355">
        <f>VLOOKUP($B65,iOS!$A:$AM,11,0)</f>
        <v/>
      </c>
      <c r="X65" s="32">
        <f>VLOOKUP($B65,iOS!$A:$AM,7,0)</f>
        <v/>
      </c>
      <c r="Y65" s="32">
        <f>VLOOKUP($B65,iOS!$A:$AM,8,0)</f>
        <v/>
      </c>
      <c r="Z65" s="45">
        <f>VLOOKUP($B65,iOS!$A:$AM,25,0)</f>
        <v/>
      </c>
      <c r="AA65" s="46">
        <f>VLOOKUP($B65,iOS!$A:$AM,31,0)</f>
        <v/>
      </c>
      <c r="AB65" s="356">
        <f>VLOOKUP($B65,iOS!$A:$AM,33,0)</f>
        <v/>
      </c>
      <c r="AC65" s="356">
        <f>VLOOKUP($B65,iOS!$A:$AN,40,0)</f>
        <v/>
      </c>
    </row>
    <row r="66">
      <c r="B66" s="31">
        <f>B65+1</f>
        <v/>
      </c>
      <c r="C66" s="32">
        <f>VLOOKUP($B66,安卓!$A:$AM,3,0)</f>
        <v/>
      </c>
      <c r="D66" s="32">
        <f>VLOOKUP($B66,安卓!$A:$AM,4,0)</f>
        <v/>
      </c>
      <c r="E66" s="355">
        <f>VLOOKUP($B66,安卓!$A:$AM,9,0)</f>
        <v/>
      </c>
      <c r="F66" s="355">
        <f>VLOOKUP($B66,安卓!$A:$AM,10,0)</f>
        <v/>
      </c>
      <c r="G66" s="355">
        <f>VLOOKUP($B66,安卓!$A:$AM,11,0)</f>
        <v/>
      </c>
      <c r="H66" s="32">
        <f>VLOOKUP($B66,安卓!$A:$AM,7,0)</f>
        <v/>
      </c>
      <c r="I66" s="140">
        <f>VLOOKUP($B66,安卓!$A:$AM,8,0)</f>
        <v/>
      </c>
      <c r="J66" s="45">
        <f>VLOOKUP($B66,安卓!$A:$AM,25,0)</f>
        <v/>
      </c>
      <c r="K66" s="46">
        <f>VLOOKUP($B66,安卓!$A:$AM,31,0)</f>
        <v/>
      </c>
      <c r="L66" s="356">
        <f>VLOOKUP($B66,安卓!$A:$AM,33,0)</f>
        <v/>
      </c>
      <c r="M66" s="49">
        <f>VLOOKUP($B66,安卓!$A:$AN,40,0)</f>
        <v/>
      </c>
      <c r="R66" s="31">
        <f>R65+1</f>
        <v/>
      </c>
      <c r="S66" s="32">
        <f>VLOOKUP($B66,iOS!$A:$AM,3,0)</f>
        <v/>
      </c>
      <c r="T66" s="32">
        <f>VLOOKUP($B66,iOS!$A:$AM,4,0)</f>
        <v/>
      </c>
      <c r="U66" s="355">
        <f>VLOOKUP($B66,iOS!$A:$AM,9,0)</f>
        <v/>
      </c>
      <c r="V66" s="355">
        <f>VLOOKUP($B66,iOS!$A:$AM,10,0)</f>
        <v/>
      </c>
      <c r="W66" s="355">
        <f>VLOOKUP($B66,iOS!$A:$AM,11,0)</f>
        <v/>
      </c>
      <c r="X66" s="32">
        <f>VLOOKUP($B66,iOS!$A:$AM,7,0)</f>
        <v/>
      </c>
      <c r="Y66" s="32">
        <f>VLOOKUP($B66,iOS!$A:$AM,8,0)</f>
        <v/>
      </c>
      <c r="Z66" s="45">
        <f>VLOOKUP($B66,iOS!$A:$AM,25,0)</f>
        <v/>
      </c>
      <c r="AA66" s="46">
        <f>VLOOKUP($B66,iOS!$A:$AM,31,0)</f>
        <v/>
      </c>
      <c r="AB66" s="356">
        <f>VLOOKUP($B66,iOS!$A:$AM,33,0)</f>
        <v/>
      </c>
      <c r="AC66" s="356">
        <f>VLOOKUP($B66,iOS!$A:$AN,40,0)</f>
        <v/>
      </c>
    </row>
    <row r="67">
      <c r="B67" s="31">
        <f>B66+1</f>
        <v/>
      </c>
      <c r="C67" s="32">
        <f>VLOOKUP($B67,安卓!$A:$AM,3,0)</f>
        <v/>
      </c>
      <c r="D67" s="32">
        <f>VLOOKUP($B67,安卓!$A:$AM,4,0)</f>
        <v/>
      </c>
      <c r="E67" s="355">
        <f>VLOOKUP($B67,安卓!$A:$AM,9,0)</f>
        <v/>
      </c>
      <c r="F67" s="355">
        <f>VLOOKUP($B67,安卓!$A:$AM,10,0)</f>
        <v/>
      </c>
      <c r="G67" s="355">
        <f>VLOOKUP($B67,安卓!$A:$AM,11,0)</f>
        <v/>
      </c>
      <c r="H67" s="32">
        <f>VLOOKUP($B67,安卓!$A:$AM,7,0)</f>
        <v/>
      </c>
      <c r="I67" s="140">
        <f>VLOOKUP($B67,安卓!$A:$AM,8,0)</f>
        <v/>
      </c>
      <c r="J67" s="45">
        <f>VLOOKUP($B67,安卓!$A:$AM,25,0)</f>
        <v/>
      </c>
      <c r="K67" s="46">
        <f>VLOOKUP($B67,安卓!$A:$AM,31,0)</f>
        <v/>
      </c>
      <c r="L67" s="356">
        <f>VLOOKUP($B67,安卓!$A:$AM,33,0)</f>
        <v/>
      </c>
      <c r="M67" s="49">
        <f>VLOOKUP($B67,安卓!$A:$AN,40,0)</f>
        <v/>
      </c>
      <c r="R67" s="31">
        <f>R66+1</f>
        <v/>
      </c>
      <c r="S67" s="32">
        <f>VLOOKUP($B67,iOS!$A:$AM,3,0)</f>
        <v/>
      </c>
      <c r="T67" s="32">
        <f>VLOOKUP($B67,iOS!$A:$AM,4,0)</f>
        <v/>
      </c>
      <c r="U67" s="355">
        <f>VLOOKUP($B67,iOS!$A:$AM,9,0)</f>
        <v/>
      </c>
      <c r="V67" s="355">
        <f>VLOOKUP($B67,iOS!$A:$AM,10,0)</f>
        <v/>
      </c>
      <c r="W67" s="355">
        <f>VLOOKUP($B67,iOS!$A:$AM,11,0)</f>
        <v/>
      </c>
      <c r="X67" s="32">
        <f>VLOOKUP($B67,iOS!$A:$AM,7,0)</f>
        <v/>
      </c>
      <c r="Y67" s="32">
        <f>VLOOKUP($B67,iOS!$A:$AM,8,0)</f>
        <v/>
      </c>
      <c r="Z67" s="45">
        <f>VLOOKUP($B67,iOS!$A:$AM,25,0)</f>
        <v/>
      </c>
      <c r="AA67" s="46">
        <f>VLOOKUP($B67,iOS!$A:$AM,31,0)</f>
        <v/>
      </c>
      <c r="AB67" s="356">
        <f>VLOOKUP($B67,iOS!$A:$AM,33,0)</f>
        <v/>
      </c>
      <c r="AC67" s="356">
        <f>VLOOKUP($B67,iOS!$A:$AN,40,0)</f>
        <v/>
      </c>
    </row>
    <row r="68">
      <c r="B68" s="31">
        <f>B67+1</f>
        <v/>
      </c>
      <c r="C68" s="32">
        <f>VLOOKUP($B68,安卓!$A:$AM,3,0)</f>
        <v/>
      </c>
      <c r="D68" s="32">
        <f>VLOOKUP($B68,安卓!$A:$AM,4,0)</f>
        <v/>
      </c>
      <c r="E68" s="355">
        <f>VLOOKUP($B68,安卓!$A:$AM,9,0)</f>
        <v/>
      </c>
      <c r="F68" s="355">
        <f>VLOOKUP($B68,安卓!$A:$AM,10,0)</f>
        <v/>
      </c>
      <c r="G68" s="355">
        <f>VLOOKUP($B68,安卓!$A:$AM,11,0)</f>
        <v/>
      </c>
      <c r="H68" s="32">
        <f>VLOOKUP($B68,安卓!$A:$AM,7,0)</f>
        <v/>
      </c>
      <c r="I68" s="140">
        <f>VLOOKUP($B68,安卓!$A:$AM,8,0)</f>
        <v/>
      </c>
      <c r="J68" s="45">
        <f>VLOOKUP($B68,安卓!$A:$AM,25,0)</f>
        <v/>
      </c>
      <c r="K68" s="46">
        <f>VLOOKUP($B68,安卓!$A:$AM,31,0)</f>
        <v/>
      </c>
      <c r="L68" s="356">
        <f>VLOOKUP($B68,安卓!$A:$AM,33,0)</f>
        <v/>
      </c>
      <c r="M68" s="49">
        <f>VLOOKUP($B68,安卓!$A:$AN,40,0)</f>
        <v/>
      </c>
      <c r="R68" s="31">
        <f>R67+1</f>
        <v/>
      </c>
      <c r="S68" s="32">
        <f>VLOOKUP($B68,iOS!$A:$AM,3,0)</f>
        <v/>
      </c>
      <c r="T68" s="32">
        <f>VLOOKUP($B68,iOS!$A:$AM,4,0)</f>
        <v/>
      </c>
      <c r="U68" s="355">
        <f>VLOOKUP($B68,iOS!$A:$AM,9,0)</f>
        <v/>
      </c>
      <c r="V68" s="355">
        <f>VLOOKUP($B68,iOS!$A:$AM,10,0)</f>
        <v/>
      </c>
      <c r="W68" s="355">
        <f>VLOOKUP($B68,iOS!$A:$AM,11,0)</f>
        <v/>
      </c>
      <c r="X68" s="32">
        <f>VLOOKUP($B68,iOS!$A:$AM,7,0)</f>
        <v/>
      </c>
      <c r="Y68" s="32">
        <f>VLOOKUP($B68,iOS!$A:$AM,8,0)</f>
        <v/>
      </c>
      <c r="Z68" s="45">
        <f>VLOOKUP($B68,iOS!$A:$AM,25,0)</f>
        <v/>
      </c>
      <c r="AA68" s="46">
        <f>VLOOKUP($B68,iOS!$A:$AM,31,0)</f>
        <v/>
      </c>
      <c r="AB68" s="356">
        <f>VLOOKUP($B68,iOS!$A:$AM,33,0)</f>
        <v/>
      </c>
      <c r="AC68" s="356">
        <f>VLOOKUP($B68,iOS!$A:$AN,40,0)</f>
        <v/>
      </c>
    </row>
    <row r="69">
      <c r="B69" s="31">
        <f>B68+1</f>
        <v/>
      </c>
      <c r="C69" s="32">
        <f>VLOOKUP($B69,安卓!$A:$AM,3,0)</f>
        <v/>
      </c>
      <c r="D69" s="32">
        <f>VLOOKUP($B69,安卓!$A:$AM,4,0)</f>
        <v/>
      </c>
      <c r="E69" s="355">
        <f>VLOOKUP($B69,安卓!$A:$AM,9,0)</f>
        <v/>
      </c>
      <c r="F69" s="355">
        <f>VLOOKUP($B69,安卓!$A:$AM,10,0)</f>
        <v/>
      </c>
      <c r="G69" s="355">
        <f>VLOOKUP($B69,安卓!$A:$AM,11,0)</f>
        <v/>
      </c>
      <c r="H69" s="32">
        <f>VLOOKUP($B69,安卓!$A:$AM,7,0)</f>
        <v/>
      </c>
      <c r="I69" s="140">
        <f>VLOOKUP($B69,安卓!$A:$AM,8,0)</f>
        <v/>
      </c>
      <c r="J69" s="45">
        <f>VLOOKUP($B69,安卓!$A:$AM,25,0)</f>
        <v/>
      </c>
      <c r="K69" s="46">
        <f>VLOOKUP($B69,安卓!$A:$AM,31,0)</f>
        <v/>
      </c>
      <c r="L69" s="356">
        <f>VLOOKUP($B69,安卓!$A:$AM,33,0)</f>
        <v/>
      </c>
      <c r="M69" s="49">
        <f>VLOOKUP($B69,安卓!$A:$AN,40,0)</f>
        <v/>
      </c>
      <c r="R69" s="31">
        <f>R68+1</f>
        <v/>
      </c>
      <c r="S69" s="32">
        <f>VLOOKUP($B69,iOS!$A:$AM,3,0)</f>
        <v/>
      </c>
      <c r="T69" s="32">
        <f>VLOOKUP($B69,iOS!$A:$AM,4,0)</f>
        <v/>
      </c>
      <c r="U69" s="355">
        <f>VLOOKUP($B69,iOS!$A:$AM,9,0)</f>
        <v/>
      </c>
      <c r="V69" s="355">
        <f>VLOOKUP($B69,iOS!$A:$AM,10,0)</f>
        <v/>
      </c>
      <c r="W69" s="355">
        <f>VLOOKUP($B69,iOS!$A:$AM,11,0)</f>
        <v/>
      </c>
      <c r="X69" s="32">
        <f>VLOOKUP($B69,iOS!$A:$AM,7,0)</f>
        <v/>
      </c>
      <c r="Y69" s="32">
        <f>VLOOKUP($B69,iOS!$A:$AM,8,0)</f>
        <v/>
      </c>
      <c r="Z69" s="45">
        <f>VLOOKUP($B69,iOS!$A:$AM,25,0)</f>
        <v/>
      </c>
      <c r="AA69" s="46">
        <f>VLOOKUP($B69,iOS!$A:$AM,31,0)</f>
        <v/>
      </c>
      <c r="AB69" s="356">
        <f>VLOOKUP($B69,iOS!$A:$AM,33,0)</f>
        <v/>
      </c>
      <c r="AC69" s="356">
        <f>VLOOKUP($B69,iOS!$A:$AN,40,0)</f>
        <v/>
      </c>
    </row>
    <row r="70">
      <c r="B70" s="31">
        <f>B69+1</f>
        <v/>
      </c>
      <c r="C70" s="32">
        <f>VLOOKUP($B70,安卓!$A:$AM,3,0)</f>
        <v/>
      </c>
      <c r="D70" s="32">
        <f>VLOOKUP($B70,安卓!$A:$AM,4,0)</f>
        <v/>
      </c>
      <c r="E70" s="355">
        <f>VLOOKUP($B70,安卓!$A:$AM,9,0)</f>
        <v/>
      </c>
      <c r="F70" s="355">
        <f>VLOOKUP($B70,安卓!$A:$AM,10,0)</f>
        <v/>
      </c>
      <c r="G70" s="355">
        <f>VLOOKUP($B70,安卓!$A:$AM,11,0)</f>
        <v/>
      </c>
      <c r="H70" s="32">
        <f>VLOOKUP($B70,安卓!$A:$AM,7,0)</f>
        <v/>
      </c>
      <c r="I70" s="140">
        <f>VLOOKUP($B70,安卓!$A:$AM,8,0)</f>
        <v/>
      </c>
      <c r="J70" s="45">
        <f>VLOOKUP($B70,安卓!$A:$AM,25,0)</f>
        <v/>
      </c>
      <c r="K70" s="46">
        <f>VLOOKUP($B70,安卓!$A:$AM,31,0)</f>
        <v/>
      </c>
      <c r="L70" s="356">
        <f>VLOOKUP($B70,安卓!$A:$AM,33,0)</f>
        <v/>
      </c>
      <c r="M70" s="49">
        <f>VLOOKUP($B70,安卓!$A:$AN,40,0)</f>
        <v/>
      </c>
      <c r="R70" s="31">
        <f>R69+1</f>
        <v/>
      </c>
      <c r="S70" s="32">
        <f>VLOOKUP($B70,iOS!$A:$AM,3,0)</f>
        <v/>
      </c>
      <c r="T70" s="32">
        <f>VLOOKUP($B70,iOS!$A:$AM,4,0)</f>
        <v/>
      </c>
      <c r="U70" s="355">
        <f>VLOOKUP($B70,iOS!$A:$AM,9,0)</f>
        <v/>
      </c>
      <c r="V70" s="355">
        <f>VLOOKUP($B70,iOS!$A:$AM,10,0)</f>
        <v/>
      </c>
      <c r="W70" s="355">
        <f>VLOOKUP($B70,iOS!$A:$AM,11,0)</f>
        <v/>
      </c>
      <c r="X70" s="32">
        <f>VLOOKUP($B70,iOS!$A:$AM,7,0)</f>
        <v/>
      </c>
      <c r="Y70" s="32">
        <f>VLOOKUP($B70,iOS!$A:$AM,8,0)</f>
        <v/>
      </c>
      <c r="Z70" s="45">
        <f>VLOOKUP($B70,iOS!$A:$AM,25,0)</f>
        <v/>
      </c>
      <c r="AA70" s="46">
        <f>VLOOKUP($B70,iOS!$A:$AM,31,0)</f>
        <v/>
      </c>
      <c r="AB70" s="356">
        <f>VLOOKUP($B70,iOS!$A:$AM,33,0)</f>
        <v/>
      </c>
      <c r="AC70" s="356">
        <f>VLOOKUP($B70,iOS!$A:$AN,40,0)</f>
        <v/>
      </c>
    </row>
    <row r="71">
      <c r="B71" s="31">
        <f>B70+1</f>
        <v/>
      </c>
      <c r="C71" s="32">
        <f>VLOOKUP($B71,安卓!$A:$AM,3,0)</f>
        <v/>
      </c>
      <c r="D71" s="32">
        <f>VLOOKUP($B71,安卓!$A:$AM,4,0)</f>
        <v/>
      </c>
      <c r="E71" s="355">
        <f>VLOOKUP($B71,安卓!$A:$AM,9,0)</f>
        <v/>
      </c>
      <c r="F71" s="355">
        <f>VLOOKUP($B71,安卓!$A:$AM,10,0)</f>
        <v/>
      </c>
      <c r="G71" s="355">
        <f>VLOOKUP($B71,安卓!$A:$AM,11,0)</f>
        <v/>
      </c>
      <c r="H71" s="32">
        <f>VLOOKUP($B71,安卓!$A:$AM,7,0)</f>
        <v/>
      </c>
      <c r="I71" s="140">
        <f>VLOOKUP($B71,安卓!$A:$AM,8,0)</f>
        <v/>
      </c>
      <c r="J71" s="45">
        <f>VLOOKUP($B71,安卓!$A:$AM,25,0)</f>
        <v/>
      </c>
      <c r="K71" s="46">
        <f>VLOOKUP($B71,安卓!$A:$AM,31,0)</f>
        <v/>
      </c>
      <c r="L71" s="356">
        <f>VLOOKUP($B71,安卓!$A:$AM,33,0)</f>
        <v/>
      </c>
      <c r="M71" s="49">
        <f>VLOOKUP($B71,安卓!$A:$AN,40,0)</f>
        <v/>
      </c>
      <c r="R71" s="31">
        <f>R70+1</f>
        <v/>
      </c>
      <c r="S71" s="32">
        <f>VLOOKUP($B71,iOS!$A:$AM,3,0)</f>
        <v/>
      </c>
      <c r="T71" s="32">
        <f>VLOOKUP($B71,iOS!$A:$AM,4,0)</f>
        <v/>
      </c>
      <c r="U71" s="355">
        <f>VLOOKUP($B71,iOS!$A:$AM,9,0)</f>
        <v/>
      </c>
      <c r="V71" s="355">
        <f>VLOOKUP($B71,iOS!$A:$AM,10,0)</f>
        <v/>
      </c>
      <c r="W71" s="355">
        <f>VLOOKUP($B71,iOS!$A:$AM,11,0)</f>
        <v/>
      </c>
      <c r="X71" s="32">
        <f>VLOOKUP($B71,iOS!$A:$AM,7,0)</f>
        <v/>
      </c>
      <c r="Y71" s="32">
        <f>VLOOKUP($B71,iOS!$A:$AM,8,0)</f>
        <v/>
      </c>
      <c r="Z71" s="45">
        <f>VLOOKUP($B71,iOS!$A:$AM,25,0)</f>
        <v/>
      </c>
      <c r="AA71" s="46">
        <f>VLOOKUP($B71,iOS!$A:$AM,31,0)</f>
        <v/>
      </c>
      <c r="AB71" s="356">
        <f>VLOOKUP($B71,iOS!$A:$AM,33,0)</f>
        <v/>
      </c>
      <c r="AC71" s="356">
        <f>VLOOKUP($B71,iOS!$A:$AN,40,0)</f>
        <v/>
      </c>
    </row>
    <row r="72">
      <c r="B72" s="31">
        <f>B71+1</f>
        <v/>
      </c>
      <c r="C72" s="32">
        <f>VLOOKUP($B72,安卓!$A:$AM,3,0)</f>
        <v/>
      </c>
      <c r="D72" s="32">
        <f>VLOOKUP($B72,安卓!$A:$AM,4,0)</f>
        <v/>
      </c>
      <c r="E72" s="355">
        <f>VLOOKUP($B72,安卓!$A:$AM,9,0)</f>
        <v/>
      </c>
      <c r="F72" s="355">
        <f>VLOOKUP($B72,安卓!$A:$AM,10,0)</f>
        <v/>
      </c>
      <c r="G72" s="355">
        <f>VLOOKUP($B72,安卓!$A:$AM,11,0)</f>
        <v/>
      </c>
      <c r="H72" s="32">
        <f>VLOOKUP($B72,安卓!$A:$AM,7,0)</f>
        <v/>
      </c>
      <c r="I72" s="140">
        <f>VLOOKUP($B72,安卓!$A:$AM,8,0)</f>
        <v/>
      </c>
      <c r="J72" s="45">
        <f>VLOOKUP($B72,安卓!$A:$AM,25,0)</f>
        <v/>
      </c>
      <c r="K72" s="46">
        <f>VLOOKUP($B72,安卓!$A:$AM,31,0)</f>
        <v/>
      </c>
      <c r="L72" s="356">
        <f>VLOOKUP($B72,安卓!$A:$AM,33,0)</f>
        <v/>
      </c>
      <c r="M72" s="49">
        <f>VLOOKUP($B72,安卓!$A:$AN,40,0)</f>
        <v/>
      </c>
      <c r="R72" s="31">
        <f>R71+1</f>
        <v/>
      </c>
      <c r="S72" s="32">
        <f>VLOOKUP($B72,iOS!$A:$AM,3,0)</f>
        <v/>
      </c>
      <c r="T72" s="32">
        <f>VLOOKUP($B72,iOS!$A:$AM,4,0)</f>
        <v/>
      </c>
      <c r="U72" s="355">
        <f>VLOOKUP($B72,iOS!$A:$AM,9,0)</f>
        <v/>
      </c>
      <c r="V72" s="355">
        <f>VLOOKUP($B72,iOS!$A:$AM,10,0)</f>
        <v/>
      </c>
      <c r="W72" s="355">
        <f>VLOOKUP($B72,iOS!$A:$AM,11,0)</f>
        <v/>
      </c>
      <c r="X72" s="32">
        <f>VLOOKUP($B72,iOS!$A:$AM,7,0)</f>
        <v/>
      </c>
      <c r="Y72" s="32">
        <f>VLOOKUP($B72,iOS!$A:$AM,8,0)</f>
        <v/>
      </c>
      <c r="Z72" s="45">
        <f>VLOOKUP($B72,iOS!$A:$AM,25,0)</f>
        <v/>
      </c>
      <c r="AA72" s="46">
        <f>VLOOKUP($B72,iOS!$A:$AM,31,0)</f>
        <v/>
      </c>
      <c r="AB72" s="356">
        <f>VLOOKUP($B72,iOS!$A:$AM,33,0)</f>
        <v/>
      </c>
      <c r="AC72" s="356">
        <f>VLOOKUP($B72,iOS!$A:$AN,40,0)</f>
        <v/>
      </c>
    </row>
    <row r="73">
      <c r="B73" s="31">
        <f>B72+1</f>
        <v/>
      </c>
      <c r="C73" s="32">
        <f>VLOOKUP($B73,安卓!$A:$AM,3,0)</f>
        <v/>
      </c>
      <c r="D73" s="32">
        <f>VLOOKUP($B73,安卓!$A:$AM,4,0)</f>
        <v/>
      </c>
      <c r="E73" s="355">
        <f>VLOOKUP($B73,安卓!$A:$AM,9,0)</f>
        <v/>
      </c>
      <c r="F73" s="355">
        <f>VLOOKUP($B73,安卓!$A:$AM,10,0)</f>
        <v/>
      </c>
      <c r="G73" s="355">
        <f>VLOOKUP($B73,安卓!$A:$AM,11,0)</f>
        <v/>
      </c>
      <c r="H73" s="32">
        <f>VLOOKUP($B73,安卓!$A:$AM,7,0)</f>
        <v/>
      </c>
      <c r="I73" s="140">
        <f>VLOOKUP($B73,安卓!$A:$AM,8,0)</f>
        <v/>
      </c>
      <c r="J73" s="45">
        <f>VLOOKUP($B73,安卓!$A:$AM,25,0)</f>
        <v/>
      </c>
      <c r="K73" s="46">
        <f>VLOOKUP($B73,安卓!$A:$AM,31,0)</f>
        <v/>
      </c>
      <c r="L73" s="356">
        <f>VLOOKUP($B73,安卓!$A:$AM,33,0)</f>
        <v/>
      </c>
      <c r="M73" s="49">
        <f>VLOOKUP($B73,安卓!$A:$AN,40,0)</f>
        <v/>
      </c>
      <c r="R73" s="31">
        <f>R72+1</f>
        <v/>
      </c>
      <c r="S73" s="32">
        <f>VLOOKUP($B73,iOS!$A:$AM,3,0)</f>
        <v/>
      </c>
      <c r="T73" s="32">
        <f>VLOOKUP($B73,iOS!$A:$AM,4,0)</f>
        <v/>
      </c>
      <c r="U73" s="355">
        <f>VLOOKUP($B73,iOS!$A:$AM,9,0)</f>
        <v/>
      </c>
      <c r="V73" s="355">
        <f>VLOOKUP($B73,iOS!$A:$AM,10,0)</f>
        <v/>
      </c>
      <c r="W73" s="355">
        <f>VLOOKUP($B73,iOS!$A:$AM,11,0)</f>
        <v/>
      </c>
      <c r="X73" s="32">
        <f>VLOOKUP($B73,iOS!$A:$AM,7,0)</f>
        <v/>
      </c>
      <c r="Y73" s="32">
        <f>VLOOKUP($B73,iOS!$A:$AM,8,0)</f>
        <v/>
      </c>
      <c r="Z73" s="45">
        <f>VLOOKUP($B73,iOS!$A:$AM,25,0)</f>
        <v/>
      </c>
      <c r="AA73" s="46">
        <f>VLOOKUP($B73,iOS!$A:$AM,31,0)</f>
        <v/>
      </c>
      <c r="AB73" s="356">
        <f>VLOOKUP($B73,iOS!$A:$AM,33,0)</f>
        <v/>
      </c>
      <c r="AC73" s="356">
        <f>VLOOKUP($B73,iOS!$A:$AN,40,0)</f>
        <v/>
      </c>
    </row>
    <row r="74">
      <c r="B74" s="31">
        <f>B73+1</f>
        <v/>
      </c>
      <c r="C74" s="32">
        <f>VLOOKUP($B74,安卓!$A:$AM,3,0)</f>
        <v/>
      </c>
      <c r="D74" s="32">
        <f>VLOOKUP($B74,安卓!$A:$AM,4,0)</f>
        <v/>
      </c>
      <c r="E74" s="355">
        <f>VLOOKUP($B74,安卓!$A:$AM,9,0)</f>
        <v/>
      </c>
      <c r="F74" s="355">
        <f>VLOOKUP($B74,安卓!$A:$AM,10,0)</f>
        <v/>
      </c>
      <c r="G74" s="355">
        <f>VLOOKUP($B74,安卓!$A:$AM,11,0)</f>
        <v/>
      </c>
      <c r="H74" s="32">
        <f>VLOOKUP($B74,安卓!$A:$AM,7,0)</f>
        <v/>
      </c>
      <c r="I74" s="140">
        <f>VLOOKUP($B74,安卓!$A:$AM,8,0)</f>
        <v/>
      </c>
      <c r="J74" s="45">
        <f>VLOOKUP($B74,安卓!$A:$AM,25,0)</f>
        <v/>
      </c>
      <c r="K74" s="46">
        <f>VLOOKUP($B74,安卓!$A:$AM,31,0)</f>
        <v/>
      </c>
      <c r="L74" s="356">
        <f>VLOOKUP($B74,安卓!$A:$AM,33,0)</f>
        <v/>
      </c>
      <c r="M74" s="49">
        <f>VLOOKUP($B74,安卓!$A:$AN,40,0)</f>
        <v/>
      </c>
      <c r="R74" s="31">
        <f>R73+1</f>
        <v/>
      </c>
      <c r="S74" s="32">
        <f>VLOOKUP($B74,iOS!$A:$AM,3,0)</f>
        <v/>
      </c>
      <c r="T74" s="32">
        <f>VLOOKUP($B74,iOS!$A:$AM,4,0)</f>
        <v/>
      </c>
      <c r="U74" s="355">
        <f>VLOOKUP($B74,iOS!$A:$AM,9,0)</f>
        <v/>
      </c>
      <c r="V74" s="355">
        <f>VLOOKUP($B74,iOS!$A:$AM,10,0)</f>
        <v/>
      </c>
      <c r="W74" s="355">
        <f>VLOOKUP($B74,iOS!$A:$AM,11,0)</f>
        <v/>
      </c>
      <c r="X74" s="32">
        <f>VLOOKUP($B74,iOS!$A:$AM,7,0)</f>
        <v/>
      </c>
      <c r="Y74" s="32">
        <f>VLOOKUP($B74,iOS!$A:$AM,8,0)</f>
        <v/>
      </c>
      <c r="Z74" s="45">
        <f>VLOOKUP($B74,iOS!$A:$AM,25,0)</f>
        <v/>
      </c>
      <c r="AA74" s="46">
        <f>VLOOKUP($B74,iOS!$A:$AM,31,0)</f>
        <v/>
      </c>
      <c r="AB74" s="356">
        <f>VLOOKUP($B74,iOS!$A:$AM,33,0)</f>
        <v/>
      </c>
      <c r="AC74" s="356">
        <f>VLOOKUP($B74,iOS!$A:$AN,40,0)</f>
        <v/>
      </c>
    </row>
    <row r="75">
      <c r="B75" s="31">
        <f>B74+1</f>
        <v/>
      </c>
      <c r="C75" s="32">
        <f>VLOOKUP($B75,安卓!$A:$AM,3,0)</f>
        <v/>
      </c>
      <c r="D75" s="32">
        <f>VLOOKUP($B75,安卓!$A:$AM,4,0)</f>
        <v/>
      </c>
      <c r="E75" s="355">
        <f>VLOOKUP($B75,安卓!$A:$AM,9,0)</f>
        <v/>
      </c>
      <c r="F75" s="355">
        <f>VLOOKUP($B75,安卓!$A:$AM,10,0)</f>
        <v/>
      </c>
      <c r="G75" s="355">
        <f>VLOOKUP($B75,安卓!$A:$AM,11,0)</f>
        <v/>
      </c>
      <c r="H75" s="32">
        <f>VLOOKUP($B75,安卓!$A:$AM,7,0)</f>
        <v/>
      </c>
      <c r="I75" s="140">
        <f>VLOOKUP($B75,安卓!$A:$AM,8,0)</f>
        <v/>
      </c>
      <c r="J75" s="45">
        <f>VLOOKUP($B75,安卓!$A:$AM,25,0)</f>
        <v/>
      </c>
      <c r="K75" s="46">
        <f>VLOOKUP($B75,安卓!$A:$AM,31,0)</f>
        <v/>
      </c>
      <c r="L75" s="356">
        <f>VLOOKUP($B75,安卓!$A:$AM,33,0)</f>
        <v/>
      </c>
      <c r="M75" s="49">
        <f>VLOOKUP($B75,安卓!$A:$AN,40,0)</f>
        <v/>
      </c>
      <c r="R75" s="31">
        <f>R74+1</f>
        <v/>
      </c>
      <c r="S75" s="32">
        <f>VLOOKUP($B75,iOS!$A:$AM,3,0)</f>
        <v/>
      </c>
      <c r="T75" s="32">
        <f>VLOOKUP($B75,iOS!$A:$AM,4,0)</f>
        <v/>
      </c>
      <c r="U75" s="355">
        <f>VLOOKUP($B75,iOS!$A:$AM,9,0)</f>
        <v/>
      </c>
      <c r="V75" s="355">
        <f>VLOOKUP($B75,iOS!$A:$AM,10,0)</f>
        <v/>
      </c>
      <c r="W75" s="355">
        <f>VLOOKUP($B75,iOS!$A:$AM,11,0)</f>
        <v/>
      </c>
      <c r="X75" s="32">
        <f>VLOOKUP($B75,iOS!$A:$AM,7,0)</f>
        <v/>
      </c>
      <c r="Y75" s="32">
        <f>VLOOKUP($B75,iOS!$A:$AM,8,0)</f>
        <v/>
      </c>
      <c r="Z75" s="45">
        <f>VLOOKUP($B75,iOS!$A:$AM,25,0)</f>
        <v/>
      </c>
      <c r="AA75" s="46">
        <f>VLOOKUP($B75,iOS!$A:$AM,31,0)</f>
        <v/>
      </c>
      <c r="AB75" s="356">
        <f>VLOOKUP($B75,iOS!$A:$AM,33,0)</f>
        <v/>
      </c>
      <c r="AC75" s="356">
        <f>VLOOKUP($B75,iOS!$A:$AN,40,0)</f>
        <v/>
      </c>
    </row>
    <row r="76">
      <c r="B76" s="31">
        <f>B75+1</f>
        <v/>
      </c>
      <c r="C76" s="32">
        <f>VLOOKUP($B76,安卓!$A:$AM,3,0)</f>
        <v/>
      </c>
      <c r="D76" s="32">
        <f>VLOOKUP($B76,安卓!$A:$AM,4,0)</f>
        <v/>
      </c>
      <c r="E76" s="355">
        <f>VLOOKUP($B76,安卓!$A:$AM,9,0)</f>
        <v/>
      </c>
      <c r="F76" s="355">
        <f>VLOOKUP($B76,安卓!$A:$AM,10,0)</f>
        <v/>
      </c>
      <c r="G76" s="355">
        <f>VLOOKUP($B76,安卓!$A:$AM,11,0)</f>
        <v/>
      </c>
      <c r="H76" s="32">
        <f>VLOOKUP($B76,安卓!$A:$AM,7,0)</f>
        <v/>
      </c>
      <c r="I76" s="140">
        <f>VLOOKUP($B76,安卓!$A:$AM,8,0)</f>
        <v/>
      </c>
      <c r="J76" s="45">
        <f>VLOOKUP($B76,安卓!$A:$AM,25,0)</f>
        <v/>
      </c>
      <c r="K76" s="46">
        <f>VLOOKUP($B76,安卓!$A:$AM,31,0)</f>
        <v/>
      </c>
      <c r="L76" s="356">
        <f>VLOOKUP($B76,安卓!$A:$AM,33,0)</f>
        <v/>
      </c>
      <c r="M76" s="49">
        <f>VLOOKUP($B76,安卓!$A:$AN,40,0)</f>
        <v/>
      </c>
      <c r="R76" s="31">
        <f>R75+1</f>
        <v/>
      </c>
      <c r="S76" s="32">
        <f>VLOOKUP($B76,iOS!$A:$AM,3,0)</f>
        <v/>
      </c>
      <c r="T76" s="32">
        <f>VLOOKUP($B76,iOS!$A:$AM,4,0)</f>
        <v/>
      </c>
      <c r="U76" s="355">
        <f>VLOOKUP($B76,iOS!$A:$AM,9,0)</f>
        <v/>
      </c>
      <c r="V76" s="355">
        <f>VLOOKUP($B76,iOS!$A:$AM,10,0)</f>
        <v/>
      </c>
      <c r="W76" s="355">
        <f>VLOOKUP($B76,iOS!$A:$AM,11,0)</f>
        <v/>
      </c>
      <c r="X76" s="32">
        <f>VLOOKUP($B76,iOS!$A:$AM,7,0)</f>
        <v/>
      </c>
      <c r="Y76" s="32">
        <f>VLOOKUP($B76,iOS!$A:$AM,8,0)</f>
        <v/>
      </c>
      <c r="Z76" s="45">
        <f>VLOOKUP($B76,iOS!$A:$AM,25,0)</f>
        <v/>
      </c>
      <c r="AA76" s="46">
        <f>VLOOKUP($B76,iOS!$A:$AM,31,0)</f>
        <v/>
      </c>
      <c r="AB76" s="356">
        <f>VLOOKUP($B76,iOS!$A:$AM,33,0)</f>
        <v/>
      </c>
      <c r="AC76" s="356">
        <f>VLOOKUP($B76,iOS!$A:$AN,40,0)</f>
        <v/>
      </c>
    </row>
    <row r="77">
      <c r="B77" s="31">
        <f>B76+1</f>
        <v/>
      </c>
      <c r="C77" s="32">
        <f>VLOOKUP($B77,安卓!$A:$AM,3,0)</f>
        <v/>
      </c>
      <c r="D77" s="32">
        <f>VLOOKUP($B77,安卓!$A:$AM,4,0)</f>
        <v/>
      </c>
      <c r="E77" s="355">
        <f>VLOOKUP($B77,安卓!$A:$AM,9,0)</f>
        <v/>
      </c>
      <c r="F77" s="355">
        <f>VLOOKUP($B77,安卓!$A:$AM,10,0)</f>
        <v/>
      </c>
      <c r="G77" s="355">
        <f>VLOOKUP($B77,安卓!$A:$AM,11,0)</f>
        <v/>
      </c>
      <c r="H77" s="32">
        <f>VLOOKUP($B77,安卓!$A:$AM,7,0)</f>
        <v/>
      </c>
      <c r="I77" s="140">
        <f>VLOOKUP($B77,安卓!$A:$AM,8,0)</f>
        <v/>
      </c>
      <c r="J77" s="45">
        <f>VLOOKUP($B77,安卓!$A:$AM,25,0)</f>
        <v/>
      </c>
      <c r="K77" s="46">
        <f>VLOOKUP($B77,安卓!$A:$AM,31,0)</f>
        <v/>
      </c>
      <c r="L77" s="356">
        <f>VLOOKUP($B77,安卓!$A:$AM,33,0)</f>
        <v/>
      </c>
      <c r="M77" s="49">
        <f>VLOOKUP($B77,安卓!$A:$AN,40,0)</f>
        <v/>
      </c>
      <c r="R77" s="31">
        <f>R76+1</f>
        <v/>
      </c>
      <c r="S77" s="32">
        <f>VLOOKUP($B77,iOS!$A:$AM,3,0)</f>
        <v/>
      </c>
      <c r="T77" s="32">
        <f>VLOOKUP($B77,iOS!$A:$AM,4,0)</f>
        <v/>
      </c>
      <c r="U77" s="355">
        <f>VLOOKUP($B77,iOS!$A:$AM,9,0)</f>
        <v/>
      </c>
      <c r="V77" s="355">
        <f>VLOOKUP($B77,iOS!$A:$AM,10,0)</f>
        <v/>
      </c>
      <c r="W77" s="355">
        <f>VLOOKUP($B77,iOS!$A:$AM,11,0)</f>
        <v/>
      </c>
      <c r="X77" s="32">
        <f>VLOOKUP($B77,iOS!$A:$AM,7,0)</f>
        <v/>
      </c>
      <c r="Y77" s="32">
        <f>VLOOKUP($B77,iOS!$A:$AM,8,0)</f>
        <v/>
      </c>
      <c r="Z77" s="45">
        <f>VLOOKUP($B77,iOS!$A:$AM,25,0)</f>
        <v/>
      </c>
      <c r="AA77" s="46">
        <f>VLOOKUP($B77,iOS!$A:$AM,31,0)</f>
        <v/>
      </c>
      <c r="AB77" s="356">
        <f>VLOOKUP($B77,iOS!$A:$AM,33,0)</f>
        <v/>
      </c>
      <c r="AC77" s="356">
        <f>VLOOKUP($B77,iOS!$A:$AN,40,0)</f>
        <v/>
      </c>
    </row>
    <row r="78">
      <c r="B78" s="31">
        <f>B77+1</f>
        <v/>
      </c>
      <c r="C78" s="32">
        <f>VLOOKUP($B78,安卓!$A:$AM,3,0)</f>
        <v/>
      </c>
      <c r="D78" s="32">
        <f>VLOOKUP($B78,安卓!$A:$AM,4,0)</f>
        <v/>
      </c>
      <c r="E78" s="355">
        <f>VLOOKUP($B78,安卓!$A:$AM,9,0)</f>
        <v/>
      </c>
      <c r="F78" s="355">
        <f>VLOOKUP($B78,安卓!$A:$AM,10,0)</f>
        <v/>
      </c>
      <c r="G78" s="355">
        <f>VLOOKUP($B78,安卓!$A:$AM,11,0)</f>
        <v/>
      </c>
      <c r="H78" s="32">
        <f>VLOOKUP($B78,安卓!$A:$AM,7,0)</f>
        <v/>
      </c>
      <c r="I78" s="140">
        <f>VLOOKUP($B78,安卓!$A:$AM,8,0)</f>
        <v/>
      </c>
      <c r="J78" s="45">
        <f>VLOOKUP($B78,安卓!$A:$AM,25,0)</f>
        <v/>
      </c>
      <c r="K78" s="46">
        <f>VLOOKUP($B78,安卓!$A:$AM,31,0)</f>
        <v/>
      </c>
      <c r="L78" s="356">
        <f>VLOOKUP($B78,安卓!$A:$AM,33,0)</f>
        <v/>
      </c>
      <c r="M78" s="49">
        <f>VLOOKUP($B78,安卓!$A:$AN,40,0)</f>
        <v/>
      </c>
      <c r="R78" s="31">
        <f>R77+1</f>
        <v/>
      </c>
      <c r="S78" s="32">
        <f>VLOOKUP($B78,iOS!$A:$AM,3,0)</f>
        <v/>
      </c>
      <c r="T78" s="32">
        <f>VLOOKUP($B78,iOS!$A:$AM,4,0)</f>
        <v/>
      </c>
      <c r="U78" s="355">
        <f>VLOOKUP($B78,iOS!$A:$AM,9,0)</f>
        <v/>
      </c>
      <c r="V78" s="355">
        <f>VLOOKUP($B78,iOS!$A:$AM,10,0)</f>
        <v/>
      </c>
      <c r="W78" s="355">
        <f>VLOOKUP($B78,iOS!$A:$AM,11,0)</f>
        <v/>
      </c>
      <c r="X78" s="32">
        <f>VLOOKUP($B78,iOS!$A:$AM,7,0)</f>
        <v/>
      </c>
      <c r="Y78" s="32">
        <f>VLOOKUP($B78,iOS!$A:$AM,8,0)</f>
        <v/>
      </c>
      <c r="Z78" s="45">
        <f>VLOOKUP($B78,iOS!$A:$AM,25,0)</f>
        <v/>
      </c>
      <c r="AA78" s="46">
        <f>VLOOKUP($B78,iOS!$A:$AM,31,0)</f>
        <v/>
      </c>
      <c r="AB78" s="356">
        <f>VLOOKUP($B78,iOS!$A:$AM,33,0)</f>
        <v/>
      </c>
      <c r="AC78" s="356">
        <f>VLOOKUP($B78,iOS!$A:$AN,40,0)</f>
        <v/>
      </c>
    </row>
    <row r="79">
      <c r="B79" s="31">
        <f>B78+1</f>
        <v/>
      </c>
      <c r="C79" s="32">
        <f>VLOOKUP($B79,安卓!$A:$AM,3,0)</f>
        <v/>
      </c>
      <c r="D79" s="32">
        <f>VLOOKUP($B79,安卓!$A:$AM,4,0)</f>
        <v/>
      </c>
      <c r="E79" s="355">
        <f>VLOOKUP($B79,安卓!$A:$AM,9,0)</f>
        <v/>
      </c>
      <c r="F79" s="355">
        <f>VLOOKUP($B79,安卓!$A:$AM,10,0)</f>
        <v/>
      </c>
      <c r="G79" s="355">
        <f>VLOOKUP($B79,安卓!$A:$AM,11,0)</f>
        <v/>
      </c>
      <c r="H79" s="32">
        <f>VLOOKUP($B79,安卓!$A:$AM,7,0)</f>
        <v/>
      </c>
      <c r="I79" s="140">
        <f>VLOOKUP($B79,安卓!$A:$AM,8,0)</f>
        <v/>
      </c>
      <c r="J79" s="45">
        <f>VLOOKUP($B79,安卓!$A:$AM,25,0)</f>
        <v/>
      </c>
      <c r="K79" s="46">
        <f>VLOOKUP($B79,安卓!$A:$AM,31,0)</f>
        <v/>
      </c>
      <c r="L79" s="356">
        <f>VLOOKUP($B79,安卓!$A:$AM,33,0)</f>
        <v/>
      </c>
      <c r="M79" s="49">
        <f>VLOOKUP($B79,安卓!$A:$AN,40,0)</f>
        <v/>
      </c>
      <c r="R79" s="31">
        <f>R78+1</f>
        <v/>
      </c>
      <c r="S79" s="32">
        <f>VLOOKUP($B79,iOS!$A:$AM,3,0)</f>
        <v/>
      </c>
      <c r="T79" s="32">
        <f>VLOOKUP($B79,iOS!$A:$AM,4,0)</f>
        <v/>
      </c>
      <c r="U79" s="355">
        <f>VLOOKUP($B79,iOS!$A:$AM,9,0)</f>
        <v/>
      </c>
      <c r="V79" s="355">
        <f>VLOOKUP($B79,iOS!$A:$AM,10,0)</f>
        <v/>
      </c>
      <c r="W79" s="355">
        <f>VLOOKUP($B79,iOS!$A:$AM,11,0)</f>
        <v/>
      </c>
      <c r="X79" s="32">
        <f>VLOOKUP($B79,iOS!$A:$AM,7,0)</f>
        <v/>
      </c>
      <c r="Y79" s="32">
        <f>VLOOKUP($B79,iOS!$A:$AM,8,0)</f>
        <v/>
      </c>
      <c r="Z79" s="45">
        <f>VLOOKUP($B79,iOS!$A:$AM,25,0)</f>
        <v/>
      </c>
      <c r="AA79" s="46">
        <f>VLOOKUP($B79,iOS!$A:$AM,31,0)</f>
        <v/>
      </c>
      <c r="AB79" s="356">
        <f>VLOOKUP($B79,iOS!$A:$AM,33,0)</f>
        <v/>
      </c>
      <c r="AC79" s="356">
        <f>VLOOKUP($B79,iOS!$A:$AN,40,0)</f>
        <v/>
      </c>
    </row>
    <row r="80">
      <c r="B80" s="31">
        <f>B79+1</f>
        <v/>
      </c>
      <c r="C80" s="32">
        <f>VLOOKUP($B80,安卓!$A:$AM,3,0)</f>
        <v/>
      </c>
      <c r="D80" s="32">
        <f>VLOOKUP($B80,安卓!$A:$AM,4,0)</f>
        <v/>
      </c>
      <c r="E80" s="355">
        <f>VLOOKUP($B80,安卓!$A:$AM,9,0)</f>
        <v/>
      </c>
      <c r="F80" s="355">
        <f>VLOOKUP($B80,安卓!$A:$AM,10,0)</f>
        <v/>
      </c>
      <c r="G80" s="355">
        <f>VLOOKUP($B80,安卓!$A:$AM,11,0)</f>
        <v/>
      </c>
      <c r="H80" s="32">
        <f>VLOOKUP($B80,安卓!$A:$AM,7,0)</f>
        <v/>
      </c>
      <c r="I80" s="140">
        <f>VLOOKUP($B80,安卓!$A:$AM,8,0)</f>
        <v/>
      </c>
      <c r="J80" s="45">
        <f>VLOOKUP($B80,安卓!$A:$AM,25,0)</f>
        <v/>
      </c>
      <c r="K80" s="46">
        <f>VLOOKUP($B80,安卓!$A:$AM,31,0)</f>
        <v/>
      </c>
      <c r="L80" s="356">
        <f>VLOOKUP($B80,安卓!$A:$AM,33,0)</f>
        <v/>
      </c>
      <c r="M80" s="49">
        <f>VLOOKUP($B80,安卓!$A:$AN,40,0)</f>
        <v/>
      </c>
      <c r="R80" s="31">
        <f>R79+1</f>
        <v/>
      </c>
      <c r="S80" s="32">
        <f>VLOOKUP($B80,iOS!$A:$AM,3,0)</f>
        <v/>
      </c>
      <c r="T80" s="32">
        <f>VLOOKUP($B80,iOS!$A:$AM,4,0)</f>
        <v/>
      </c>
      <c r="U80" s="355">
        <f>VLOOKUP($B80,iOS!$A:$AM,9,0)</f>
        <v/>
      </c>
      <c r="V80" s="355">
        <f>VLOOKUP($B80,iOS!$A:$AM,10,0)</f>
        <v/>
      </c>
      <c r="W80" s="355">
        <f>VLOOKUP($B80,iOS!$A:$AM,11,0)</f>
        <v/>
      </c>
      <c r="X80" s="32">
        <f>VLOOKUP($B80,iOS!$A:$AM,7,0)</f>
        <v/>
      </c>
      <c r="Y80" s="32">
        <f>VLOOKUP($B80,iOS!$A:$AM,8,0)</f>
        <v/>
      </c>
      <c r="Z80" s="45">
        <f>VLOOKUP($B80,iOS!$A:$AM,25,0)</f>
        <v/>
      </c>
      <c r="AA80" s="46">
        <f>VLOOKUP($B80,iOS!$A:$AM,31,0)</f>
        <v/>
      </c>
      <c r="AB80" s="356">
        <f>VLOOKUP($B80,iOS!$A:$AM,33,0)</f>
        <v/>
      </c>
      <c r="AC80" s="356">
        <f>VLOOKUP($B80,iOS!$A:$AN,40,0)</f>
        <v/>
      </c>
    </row>
    <row r="81">
      <c r="B81" s="31">
        <f>B80+1</f>
        <v/>
      </c>
      <c r="C81" s="32">
        <f>VLOOKUP($B81,安卓!$A:$AM,3,0)</f>
        <v/>
      </c>
      <c r="D81" s="32">
        <f>VLOOKUP($B81,安卓!$A:$AM,4,0)</f>
        <v/>
      </c>
      <c r="E81" s="355">
        <f>VLOOKUP($B81,安卓!$A:$AM,9,0)</f>
        <v/>
      </c>
      <c r="F81" s="355">
        <f>VLOOKUP($B81,安卓!$A:$AM,10,0)</f>
        <v/>
      </c>
      <c r="G81" s="355">
        <f>VLOOKUP($B81,安卓!$A:$AM,11,0)</f>
        <v/>
      </c>
      <c r="H81" s="32">
        <f>VLOOKUP($B81,安卓!$A:$AM,7,0)</f>
        <v/>
      </c>
      <c r="I81" s="140">
        <f>VLOOKUP($B81,安卓!$A:$AM,8,0)</f>
        <v/>
      </c>
      <c r="J81" s="45">
        <f>VLOOKUP($B81,安卓!$A:$AM,25,0)</f>
        <v/>
      </c>
      <c r="K81" s="46">
        <f>VLOOKUP($B81,安卓!$A:$AM,31,0)</f>
        <v/>
      </c>
      <c r="L81" s="356">
        <f>VLOOKUP($B81,安卓!$A:$AM,33,0)</f>
        <v/>
      </c>
      <c r="M81" s="49">
        <f>VLOOKUP($B81,安卓!$A:$AN,40,0)</f>
        <v/>
      </c>
      <c r="R81" s="31">
        <f>R80+1</f>
        <v/>
      </c>
      <c r="S81" s="32">
        <f>VLOOKUP($B81,iOS!$A:$AM,3,0)</f>
        <v/>
      </c>
      <c r="T81" s="32">
        <f>VLOOKUP($B81,iOS!$A:$AM,4,0)</f>
        <v/>
      </c>
      <c r="U81" s="355">
        <f>VLOOKUP($B81,iOS!$A:$AM,9,0)</f>
        <v/>
      </c>
      <c r="V81" s="355">
        <f>VLOOKUP($B81,iOS!$A:$AM,10,0)</f>
        <v/>
      </c>
      <c r="W81" s="355">
        <f>VLOOKUP($B81,iOS!$A:$AM,11,0)</f>
        <v/>
      </c>
      <c r="X81" s="32">
        <f>VLOOKUP($B81,iOS!$A:$AM,7,0)</f>
        <v/>
      </c>
      <c r="Y81" s="32">
        <f>VLOOKUP($B81,iOS!$A:$AM,8,0)</f>
        <v/>
      </c>
      <c r="Z81" s="45">
        <f>VLOOKUP($B81,iOS!$A:$AM,25,0)</f>
        <v/>
      </c>
      <c r="AA81" s="46">
        <f>VLOOKUP($B81,iOS!$A:$AM,31,0)</f>
        <v/>
      </c>
      <c r="AB81" s="356">
        <f>VLOOKUP($B81,iOS!$A:$AM,33,0)</f>
        <v/>
      </c>
      <c r="AC81" s="356">
        <f>VLOOKUP($B81,iOS!$A:$AN,40,0)</f>
        <v/>
      </c>
    </row>
    <row r="82">
      <c r="B82" s="31">
        <f>B81+1</f>
        <v/>
      </c>
      <c r="C82" s="32">
        <f>VLOOKUP($B82,安卓!$A:$AM,3,0)</f>
        <v/>
      </c>
      <c r="D82" s="32">
        <f>VLOOKUP($B82,安卓!$A:$AM,4,0)</f>
        <v/>
      </c>
      <c r="E82" s="355">
        <f>VLOOKUP($B82,安卓!$A:$AM,9,0)</f>
        <v/>
      </c>
      <c r="F82" s="355">
        <f>VLOOKUP($B82,安卓!$A:$AM,10,0)</f>
        <v/>
      </c>
      <c r="G82" s="355">
        <f>VLOOKUP($B82,安卓!$A:$AM,11,0)</f>
        <v/>
      </c>
      <c r="H82" s="32">
        <f>VLOOKUP($B82,安卓!$A:$AM,7,0)</f>
        <v/>
      </c>
      <c r="I82" s="140">
        <f>VLOOKUP($B82,安卓!$A:$AM,8,0)</f>
        <v/>
      </c>
      <c r="J82" s="45">
        <f>VLOOKUP($B82,安卓!$A:$AM,25,0)</f>
        <v/>
      </c>
      <c r="K82" s="46">
        <f>VLOOKUP($B82,安卓!$A:$AM,31,0)</f>
        <v/>
      </c>
      <c r="L82" s="356">
        <f>VLOOKUP($B82,安卓!$A:$AM,33,0)</f>
        <v/>
      </c>
      <c r="M82" s="49">
        <f>VLOOKUP($B82,安卓!$A:$AN,40,0)</f>
        <v/>
      </c>
      <c r="R82" s="31">
        <f>R81+1</f>
        <v/>
      </c>
      <c r="S82" s="32">
        <f>VLOOKUP($B82,iOS!$A:$AM,3,0)</f>
        <v/>
      </c>
      <c r="T82" s="32">
        <f>VLOOKUP($B82,iOS!$A:$AM,4,0)</f>
        <v/>
      </c>
      <c r="U82" s="355">
        <f>VLOOKUP($B82,iOS!$A:$AM,9,0)</f>
        <v/>
      </c>
      <c r="V82" s="355">
        <f>VLOOKUP($B82,iOS!$A:$AM,10,0)</f>
        <v/>
      </c>
      <c r="W82" s="355">
        <f>VLOOKUP($B82,iOS!$A:$AM,11,0)</f>
        <v/>
      </c>
      <c r="X82" s="32">
        <f>VLOOKUP($B82,iOS!$A:$AM,7,0)</f>
        <v/>
      </c>
      <c r="Y82" s="32">
        <f>VLOOKUP($B82,iOS!$A:$AM,8,0)</f>
        <v/>
      </c>
      <c r="Z82" s="45">
        <f>VLOOKUP($B82,iOS!$A:$AM,25,0)</f>
        <v/>
      </c>
      <c r="AA82" s="46">
        <f>VLOOKUP($B82,iOS!$A:$AM,31,0)</f>
        <v/>
      </c>
      <c r="AB82" s="356">
        <f>VLOOKUP($B82,iOS!$A:$AM,33,0)</f>
        <v/>
      </c>
      <c r="AC82" s="356">
        <f>VLOOKUP($B82,iOS!$A:$AN,40,0)</f>
        <v/>
      </c>
    </row>
    <row r="83">
      <c r="B83" s="31">
        <f>B82+1</f>
        <v/>
      </c>
      <c r="C83" s="32">
        <f>VLOOKUP($B83,安卓!$A:$AM,3,0)</f>
        <v/>
      </c>
      <c r="D83" s="32">
        <f>VLOOKUP($B83,安卓!$A:$AM,4,0)</f>
        <v/>
      </c>
      <c r="E83" s="355">
        <f>VLOOKUP($B83,安卓!$A:$AM,9,0)</f>
        <v/>
      </c>
      <c r="F83" s="355">
        <f>VLOOKUP($B83,安卓!$A:$AM,10,0)</f>
        <v/>
      </c>
      <c r="G83" s="355">
        <f>VLOOKUP($B83,安卓!$A:$AM,11,0)</f>
        <v/>
      </c>
      <c r="H83" s="32">
        <f>VLOOKUP($B83,安卓!$A:$AM,7,0)</f>
        <v/>
      </c>
      <c r="I83" s="140">
        <f>VLOOKUP($B83,安卓!$A:$AM,8,0)</f>
        <v/>
      </c>
      <c r="J83" s="45">
        <f>VLOOKUP($B83,安卓!$A:$AM,25,0)</f>
        <v/>
      </c>
      <c r="K83" s="46">
        <f>VLOOKUP($B83,安卓!$A:$AM,31,0)</f>
        <v/>
      </c>
      <c r="L83" s="356">
        <f>VLOOKUP($B83,安卓!$A:$AM,33,0)</f>
        <v/>
      </c>
      <c r="M83" s="49">
        <f>VLOOKUP($B83,安卓!$A:$AN,40,0)</f>
        <v/>
      </c>
      <c r="R83" s="31">
        <f>R82+1</f>
        <v/>
      </c>
      <c r="S83" s="32">
        <f>VLOOKUP($B83,iOS!$A:$AM,3,0)</f>
        <v/>
      </c>
      <c r="T83" s="32">
        <f>VLOOKUP($B83,iOS!$A:$AM,4,0)</f>
        <v/>
      </c>
      <c r="U83" s="355">
        <f>VLOOKUP($B83,iOS!$A:$AM,9,0)</f>
        <v/>
      </c>
      <c r="V83" s="355">
        <f>VLOOKUP($B83,iOS!$A:$AM,10,0)</f>
        <v/>
      </c>
      <c r="W83" s="355">
        <f>VLOOKUP($B83,iOS!$A:$AM,11,0)</f>
        <v/>
      </c>
      <c r="X83" s="32">
        <f>VLOOKUP($B83,iOS!$A:$AM,7,0)</f>
        <v/>
      </c>
      <c r="Y83" s="32">
        <f>VLOOKUP($B83,iOS!$A:$AM,8,0)</f>
        <v/>
      </c>
      <c r="Z83" s="45">
        <f>VLOOKUP($B83,iOS!$A:$AM,25,0)</f>
        <v/>
      </c>
      <c r="AA83" s="46">
        <f>VLOOKUP($B83,iOS!$A:$AM,31,0)</f>
        <v/>
      </c>
      <c r="AB83" s="356">
        <f>VLOOKUP($B83,iOS!$A:$AM,33,0)</f>
        <v/>
      </c>
      <c r="AC83" s="356">
        <f>VLOOKUP($B83,iOS!$A:$AN,40,0)</f>
        <v/>
      </c>
    </row>
    <row r="84">
      <c r="B84" s="31">
        <f>B83+1</f>
        <v/>
      </c>
      <c r="C84" s="32">
        <f>VLOOKUP($B84,安卓!$A:$AM,3,0)</f>
        <v/>
      </c>
      <c r="D84" s="32">
        <f>VLOOKUP($B84,安卓!$A:$AM,4,0)</f>
        <v/>
      </c>
      <c r="E84" s="355">
        <f>VLOOKUP($B84,安卓!$A:$AM,9,0)</f>
        <v/>
      </c>
      <c r="F84" s="355">
        <f>VLOOKUP($B84,安卓!$A:$AM,10,0)</f>
        <v/>
      </c>
      <c r="G84" s="355">
        <f>VLOOKUP($B84,安卓!$A:$AM,11,0)</f>
        <v/>
      </c>
      <c r="H84" s="32">
        <f>VLOOKUP($B84,安卓!$A:$AM,7,0)</f>
        <v/>
      </c>
      <c r="I84" s="140">
        <f>VLOOKUP($B84,安卓!$A:$AM,8,0)</f>
        <v/>
      </c>
      <c r="J84" s="45">
        <f>VLOOKUP($B84,安卓!$A:$AM,25,0)</f>
        <v/>
      </c>
      <c r="K84" s="46">
        <f>VLOOKUP($B84,安卓!$A:$AM,31,0)</f>
        <v/>
      </c>
      <c r="L84" s="356">
        <f>VLOOKUP($B84,安卓!$A:$AM,33,0)</f>
        <v/>
      </c>
      <c r="M84" s="49">
        <f>VLOOKUP($B84,安卓!$A:$AN,40,0)</f>
        <v/>
      </c>
      <c r="R84" s="31">
        <f>R83+1</f>
        <v/>
      </c>
      <c r="S84" s="32">
        <f>VLOOKUP($B84,iOS!$A:$AM,3,0)</f>
        <v/>
      </c>
      <c r="T84" s="32">
        <f>VLOOKUP($B84,iOS!$A:$AM,4,0)</f>
        <v/>
      </c>
      <c r="U84" s="355">
        <f>VLOOKUP($B84,iOS!$A:$AM,9,0)</f>
        <v/>
      </c>
      <c r="V84" s="355">
        <f>VLOOKUP($B84,iOS!$A:$AM,10,0)</f>
        <v/>
      </c>
      <c r="W84" s="355">
        <f>VLOOKUP($B84,iOS!$A:$AM,11,0)</f>
        <v/>
      </c>
      <c r="X84" s="32">
        <f>VLOOKUP($B84,iOS!$A:$AM,7,0)</f>
        <v/>
      </c>
      <c r="Y84" s="32">
        <f>VLOOKUP($B84,iOS!$A:$AM,8,0)</f>
        <v/>
      </c>
      <c r="Z84" s="45">
        <f>VLOOKUP($B84,iOS!$A:$AM,25,0)</f>
        <v/>
      </c>
      <c r="AA84" s="46">
        <f>VLOOKUP($B84,iOS!$A:$AM,31,0)</f>
        <v/>
      </c>
      <c r="AB84" s="356">
        <f>VLOOKUP($B84,iOS!$A:$AM,33,0)</f>
        <v/>
      </c>
      <c r="AC84" s="356">
        <f>VLOOKUP($B84,iOS!$A:$AN,40,0)</f>
        <v/>
      </c>
    </row>
    <row r="85">
      <c r="B85" s="31">
        <f>B84+1</f>
        <v/>
      </c>
      <c r="C85" s="32">
        <f>VLOOKUP($B85,安卓!$A:$AM,3,0)</f>
        <v/>
      </c>
      <c r="D85" s="32">
        <f>VLOOKUP($B85,安卓!$A:$AM,4,0)</f>
        <v/>
      </c>
      <c r="E85" s="355">
        <f>VLOOKUP($B85,安卓!$A:$AM,9,0)</f>
        <v/>
      </c>
      <c r="F85" s="355">
        <f>VLOOKUP($B85,安卓!$A:$AM,10,0)</f>
        <v/>
      </c>
      <c r="G85" s="355">
        <f>VLOOKUP($B85,安卓!$A:$AM,11,0)</f>
        <v/>
      </c>
      <c r="H85" s="32">
        <f>VLOOKUP($B85,安卓!$A:$AM,7,0)</f>
        <v/>
      </c>
      <c r="I85" s="140">
        <f>VLOOKUP($B85,安卓!$A:$AM,8,0)</f>
        <v/>
      </c>
      <c r="J85" s="45">
        <f>VLOOKUP($B85,安卓!$A:$AM,25,0)</f>
        <v/>
      </c>
      <c r="K85" s="46">
        <f>VLOOKUP($B85,安卓!$A:$AM,31,0)</f>
        <v/>
      </c>
      <c r="L85" s="356">
        <f>VLOOKUP($B85,安卓!$A:$AM,33,0)</f>
        <v/>
      </c>
      <c r="M85" s="49">
        <f>VLOOKUP($B85,安卓!$A:$AN,40,0)</f>
        <v/>
      </c>
      <c r="R85" s="31">
        <f>R84+1</f>
        <v/>
      </c>
      <c r="S85" s="32">
        <f>VLOOKUP($B85,iOS!$A:$AM,3,0)</f>
        <v/>
      </c>
      <c r="T85" s="32">
        <f>VLOOKUP($B85,iOS!$A:$AM,4,0)</f>
        <v/>
      </c>
      <c r="U85" s="355">
        <f>VLOOKUP($B85,iOS!$A:$AM,9,0)</f>
        <v/>
      </c>
      <c r="V85" s="355">
        <f>VLOOKUP($B85,iOS!$A:$AM,10,0)</f>
        <v/>
      </c>
      <c r="W85" s="355">
        <f>VLOOKUP($B85,iOS!$A:$AM,11,0)</f>
        <v/>
      </c>
      <c r="X85" s="32">
        <f>VLOOKUP($B85,iOS!$A:$AM,7,0)</f>
        <v/>
      </c>
      <c r="Y85" s="32">
        <f>VLOOKUP($B85,iOS!$A:$AM,8,0)</f>
        <v/>
      </c>
      <c r="Z85" s="45">
        <f>VLOOKUP($B85,iOS!$A:$AM,25,0)</f>
        <v/>
      </c>
      <c r="AA85" s="46">
        <f>VLOOKUP($B85,iOS!$A:$AM,31,0)</f>
        <v/>
      </c>
      <c r="AB85" s="356">
        <f>VLOOKUP($B85,iOS!$A:$AM,33,0)</f>
        <v/>
      </c>
      <c r="AC85" s="356">
        <f>VLOOKUP($B85,iOS!$A:$AN,40,0)</f>
        <v/>
      </c>
    </row>
    <row r="86">
      <c r="B86" s="31">
        <f>B85+1</f>
        <v/>
      </c>
      <c r="C86" s="32">
        <f>VLOOKUP($B86,安卓!$A:$AM,3,0)</f>
        <v/>
      </c>
      <c r="D86" s="32">
        <f>VLOOKUP($B86,安卓!$A:$AM,4,0)</f>
        <v/>
      </c>
      <c r="E86" s="355">
        <f>VLOOKUP($B86,安卓!$A:$AM,9,0)</f>
        <v/>
      </c>
      <c r="F86" s="355">
        <f>VLOOKUP($B86,安卓!$A:$AM,10,0)</f>
        <v/>
      </c>
      <c r="G86" s="355">
        <f>VLOOKUP($B86,安卓!$A:$AM,11,0)</f>
        <v/>
      </c>
      <c r="H86" s="32">
        <f>VLOOKUP($B86,安卓!$A:$AM,7,0)</f>
        <v/>
      </c>
      <c r="I86" s="140">
        <f>VLOOKUP($B86,安卓!$A:$AM,8,0)</f>
        <v/>
      </c>
      <c r="J86" s="45">
        <f>VLOOKUP($B86,安卓!$A:$AM,25,0)</f>
        <v/>
      </c>
      <c r="K86" s="46">
        <f>VLOOKUP($B86,安卓!$A:$AM,31,0)</f>
        <v/>
      </c>
      <c r="L86" s="356">
        <f>VLOOKUP($B86,安卓!$A:$AM,33,0)</f>
        <v/>
      </c>
      <c r="M86" s="49">
        <f>VLOOKUP($B86,安卓!$A:$AN,40,0)</f>
        <v/>
      </c>
      <c r="R86" s="31">
        <f>R85+1</f>
        <v/>
      </c>
      <c r="S86" s="32">
        <f>VLOOKUP($B86,iOS!$A:$AM,3,0)</f>
        <v/>
      </c>
      <c r="T86" s="32">
        <f>VLOOKUP($B86,iOS!$A:$AM,4,0)</f>
        <v/>
      </c>
      <c r="U86" s="355">
        <f>VLOOKUP($B86,iOS!$A:$AM,9,0)</f>
        <v/>
      </c>
      <c r="V86" s="355">
        <f>VLOOKUP($B86,iOS!$A:$AM,10,0)</f>
        <v/>
      </c>
      <c r="W86" s="355">
        <f>VLOOKUP($B86,iOS!$A:$AM,11,0)</f>
        <v/>
      </c>
      <c r="X86" s="32">
        <f>VLOOKUP($B86,iOS!$A:$AM,7,0)</f>
        <v/>
      </c>
      <c r="Y86" s="32">
        <f>VLOOKUP($B86,iOS!$A:$AM,8,0)</f>
        <v/>
      </c>
      <c r="Z86" s="45">
        <f>VLOOKUP($B86,iOS!$A:$AM,25,0)</f>
        <v/>
      </c>
      <c r="AA86" s="46">
        <f>VLOOKUP($B86,iOS!$A:$AM,31,0)</f>
        <v/>
      </c>
      <c r="AB86" s="356">
        <f>VLOOKUP($B86,iOS!$A:$AM,33,0)</f>
        <v/>
      </c>
      <c r="AC86" s="356">
        <f>VLOOKUP($B86,iOS!$A:$AN,40,0)</f>
        <v/>
      </c>
    </row>
    <row r="87">
      <c r="B87" s="31">
        <f>B86+1</f>
        <v/>
      </c>
      <c r="C87" s="32">
        <f>VLOOKUP($B87,安卓!$A:$AM,3,0)</f>
        <v/>
      </c>
      <c r="D87" s="32">
        <f>VLOOKUP($B87,安卓!$A:$AM,4,0)</f>
        <v/>
      </c>
      <c r="E87" s="355">
        <f>VLOOKUP($B87,安卓!$A:$AM,9,0)</f>
        <v/>
      </c>
      <c r="F87" s="355">
        <f>VLOOKUP($B87,安卓!$A:$AM,10,0)</f>
        <v/>
      </c>
      <c r="G87" s="355">
        <f>VLOOKUP($B87,安卓!$A:$AM,11,0)</f>
        <v/>
      </c>
      <c r="H87" s="32">
        <f>VLOOKUP($B87,安卓!$A:$AM,7,0)</f>
        <v/>
      </c>
      <c r="I87" s="140">
        <f>VLOOKUP($B87,安卓!$A:$AM,8,0)</f>
        <v/>
      </c>
      <c r="J87" s="45">
        <f>VLOOKUP($B87,安卓!$A:$AM,25,0)</f>
        <v/>
      </c>
      <c r="K87" s="46">
        <f>VLOOKUP($B87,安卓!$A:$AM,31,0)</f>
        <v/>
      </c>
      <c r="L87" s="356">
        <f>VLOOKUP($B87,安卓!$A:$AM,33,0)</f>
        <v/>
      </c>
      <c r="M87" s="49">
        <f>VLOOKUP($B87,安卓!$A:$AN,40,0)</f>
        <v/>
      </c>
      <c r="R87" s="31">
        <f>R86+1</f>
        <v/>
      </c>
      <c r="S87" s="32">
        <f>VLOOKUP($B87,iOS!$A:$AM,3,0)</f>
        <v/>
      </c>
      <c r="T87" s="32">
        <f>VLOOKUP($B87,iOS!$A:$AM,4,0)</f>
        <v/>
      </c>
      <c r="U87" s="355">
        <f>VLOOKUP($B87,iOS!$A:$AM,9,0)</f>
        <v/>
      </c>
      <c r="V87" s="355">
        <f>VLOOKUP($B87,iOS!$A:$AM,10,0)</f>
        <v/>
      </c>
      <c r="W87" s="355">
        <f>VLOOKUP($B87,iOS!$A:$AM,11,0)</f>
        <v/>
      </c>
      <c r="X87" s="32">
        <f>VLOOKUP($B87,iOS!$A:$AM,7,0)</f>
        <v/>
      </c>
      <c r="Y87" s="32">
        <f>VLOOKUP($B87,iOS!$A:$AM,8,0)</f>
        <v/>
      </c>
      <c r="Z87" s="45">
        <f>VLOOKUP($B87,iOS!$A:$AM,25,0)</f>
        <v/>
      </c>
      <c r="AA87" s="46">
        <f>VLOOKUP($B87,iOS!$A:$AM,31,0)</f>
        <v/>
      </c>
      <c r="AB87" s="356">
        <f>VLOOKUP($B87,iOS!$A:$AM,33,0)</f>
        <v/>
      </c>
      <c r="AC87" s="356">
        <f>VLOOKUP($B87,iOS!$A:$AN,40,0)</f>
        <v/>
      </c>
    </row>
    <row r="88">
      <c r="B88" s="31">
        <f>B87+1</f>
        <v/>
      </c>
      <c r="C88" s="32">
        <f>VLOOKUP($B88,安卓!$A:$AM,3,0)</f>
        <v/>
      </c>
      <c r="D88" s="32">
        <f>VLOOKUP($B88,安卓!$A:$AM,4,0)</f>
        <v/>
      </c>
      <c r="E88" s="355">
        <f>VLOOKUP($B88,安卓!$A:$AM,9,0)</f>
        <v/>
      </c>
      <c r="F88" s="355">
        <f>VLOOKUP($B88,安卓!$A:$AM,10,0)</f>
        <v/>
      </c>
      <c r="G88" s="355">
        <f>VLOOKUP($B88,安卓!$A:$AM,11,0)</f>
        <v/>
      </c>
      <c r="H88" s="32">
        <f>VLOOKUP($B88,安卓!$A:$AM,7,0)</f>
        <v/>
      </c>
      <c r="I88" s="140">
        <f>VLOOKUP($B88,安卓!$A:$AM,8,0)</f>
        <v/>
      </c>
      <c r="J88" s="45">
        <f>VLOOKUP($B88,安卓!$A:$AM,25,0)</f>
        <v/>
      </c>
      <c r="K88" s="46">
        <f>VLOOKUP($B88,安卓!$A:$AM,31,0)</f>
        <v/>
      </c>
      <c r="L88" s="356">
        <f>VLOOKUP($B88,安卓!$A:$AM,33,0)</f>
        <v/>
      </c>
      <c r="M88" s="49">
        <f>VLOOKUP($B88,安卓!$A:$AN,40,0)</f>
        <v/>
      </c>
      <c r="R88" s="31">
        <f>R87+1</f>
        <v/>
      </c>
      <c r="S88" s="32">
        <f>VLOOKUP($B88,iOS!$A:$AM,3,0)</f>
        <v/>
      </c>
      <c r="T88" s="32">
        <f>VLOOKUP($B88,iOS!$A:$AM,4,0)</f>
        <v/>
      </c>
      <c r="U88" s="355">
        <f>VLOOKUP($B88,iOS!$A:$AM,9,0)</f>
        <v/>
      </c>
      <c r="V88" s="355">
        <f>VLOOKUP($B88,iOS!$A:$AM,10,0)</f>
        <v/>
      </c>
      <c r="W88" s="355">
        <f>VLOOKUP($B88,iOS!$A:$AM,11,0)</f>
        <v/>
      </c>
      <c r="X88" s="32">
        <f>VLOOKUP($B88,iOS!$A:$AM,7,0)</f>
        <v/>
      </c>
      <c r="Y88" s="32">
        <f>VLOOKUP($B88,iOS!$A:$AM,8,0)</f>
        <v/>
      </c>
      <c r="Z88" s="45">
        <f>VLOOKUP($B88,iOS!$A:$AM,25,0)</f>
        <v/>
      </c>
      <c r="AA88" s="46">
        <f>VLOOKUP($B88,iOS!$A:$AM,31,0)</f>
        <v/>
      </c>
      <c r="AB88" s="356">
        <f>VLOOKUP($B88,iOS!$A:$AM,33,0)</f>
        <v/>
      </c>
      <c r="AC88" s="356">
        <f>VLOOKUP($B88,iOS!$A:$AN,40,0)</f>
        <v/>
      </c>
    </row>
    <row r="89">
      <c r="B89" s="31">
        <f>B88+1</f>
        <v/>
      </c>
      <c r="C89" s="32">
        <f>VLOOKUP($B89,安卓!$A:$AM,3,0)</f>
        <v/>
      </c>
      <c r="D89" s="32">
        <f>VLOOKUP($B89,安卓!$A:$AM,4,0)</f>
        <v/>
      </c>
      <c r="E89" s="355">
        <f>VLOOKUP($B89,安卓!$A:$AM,9,0)</f>
        <v/>
      </c>
      <c r="F89" s="355">
        <f>VLOOKUP($B89,安卓!$A:$AM,10,0)</f>
        <v/>
      </c>
      <c r="G89" s="355" t="n"/>
      <c r="H89" s="32">
        <f>VLOOKUP($B89,安卓!$A:$AM,7,0)</f>
        <v/>
      </c>
      <c r="I89" s="140">
        <f>VLOOKUP($B89,安卓!$A:$AM,8,0)</f>
        <v/>
      </c>
      <c r="J89" s="45">
        <f>VLOOKUP($B89,安卓!$A:$AM,25,0)</f>
        <v/>
      </c>
      <c r="K89" s="46">
        <f>VLOOKUP($B89,安卓!$A:$AM,31,0)</f>
        <v/>
      </c>
      <c r="L89" s="356">
        <f>VLOOKUP($B89,安卓!$A:$AM,33,0)</f>
        <v/>
      </c>
      <c r="M89" s="49">
        <f>VLOOKUP($B89,安卓!$A:$AN,40,0)</f>
        <v/>
      </c>
      <c r="R89" s="31">
        <f>R88+1</f>
        <v/>
      </c>
      <c r="S89" s="32">
        <f>VLOOKUP($B89,iOS!$A:$AM,3,0)</f>
        <v/>
      </c>
      <c r="T89" s="32">
        <f>VLOOKUP($B89,iOS!$A:$AM,4,0)</f>
        <v/>
      </c>
      <c r="U89" s="355">
        <f>VLOOKUP($B89,iOS!$A:$AM,9,0)</f>
        <v/>
      </c>
      <c r="V89" s="355">
        <f>VLOOKUP($B89,iOS!$A:$AM,10,0)</f>
        <v/>
      </c>
      <c r="W89" s="355" t="n"/>
      <c r="X89" s="32">
        <f>VLOOKUP($B89,iOS!$A:$AM,7,0)</f>
        <v/>
      </c>
      <c r="Y89" s="32">
        <f>VLOOKUP($B89,iOS!$A:$AM,8,0)</f>
        <v/>
      </c>
      <c r="Z89" s="45">
        <f>VLOOKUP($B89,iOS!$A:$AM,25,0)</f>
        <v/>
      </c>
      <c r="AA89" s="46">
        <f>VLOOKUP($B89,iOS!$A:$AM,31,0)</f>
        <v/>
      </c>
      <c r="AB89" s="356">
        <f>VLOOKUP($B89,iOS!$A:$AM,33,0)</f>
        <v/>
      </c>
      <c r="AC89" s="356">
        <f>VLOOKUP($B89,iOS!$A:$AN,40,0)</f>
        <v/>
      </c>
    </row>
    <row r="90">
      <c r="B90" s="31">
        <f>B89+1</f>
        <v/>
      </c>
      <c r="C90" s="32">
        <f>VLOOKUP($B90,安卓!$A:$AM,3,0)</f>
        <v/>
      </c>
      <c r="D90" s="32">
        <f>VLOOKUP($B90,安卓!$A:$AM,4,0)</f>
        <v/>
      </c>
      <c r="E90" s="355">
        <f>VLOOKUP($B90,安卓!$A:$AM,9,0)</f>
        <v/>
      </c>
      <c r="F90" s="355">
        <f>VLOOKUP($B90,安卓!$A:$AM,10,0)</f>
        <v/>
      </c>
      <c r="G90" s="355" t="n"/>
      <c r="H90" s="32">
        <f>VLOOKUP($B90,安卓!$A:$AM,7,0)</f>
        <v/>
      </c>
      <c r="I90" s="140">
        <f>VLOOKUP($B90,安卓!$A:$AM,8,0)</f>
        <v/>
      </c>
      <c r="J90" s="45">
        <f>VLOOKUP($B90,安卓!$A:$AM,25,0)</f>
        <v/>
      </c>
      <c r="K90" s="46">
        <f>VLOOKUP($B90,安卓!$A:$AM,31,0)</f>
        <v/>
      </c>
      <c r="L90" s="356">
        <f>VLOOKUP($B90,安卓!$A:$AM,33,0)</f>
        <v/>
      </c>
      <c r="M90" s="49">
        <f>VLOOKUP($B90,安卓!$A:$AN,40,0)</f>
        <v/>
      </c>
      <c r="R90" s="31">
        <f>R89+1</f>
        <v/>
      </c>
      <c r="S90" s="32">
        <f>VLOOKUP($B90,iOS!$A:$AM,3,0)</f>
        <v/>
      </c>
      <c r="T90" s="32">
        <f>VLOOKUP($B90,iOS!$A:$AM,4,0)</f>
        <v/>
      </c>
      <c r="U90" s="355">
        <f>VLOOKUP($B90,iOS!$A:$AM,9,0)</f>
        <v/>
      </c>
      <c r="V90" s="355">
        <f>VLOOKUP($B90,iOS!$A:$AM,10,0)</f>
        <v/>
      </c>
      <c r="W90" s="355" t="n"/>
      <c r="X90" s="32">
        <f>VLOOKUP($B90,iOS!$A:$AM,7,0)</f>
        <v/>
      </c>
      <c r="Y90" s="32">
        <f>VLOOKUP($B90,iOS!$A:$AM,8,0)</f>
        <v/>
      </c>
      <c r="Z90" s="45">
        <f>VLOOKUP($B90,iOS!$A:$AM,25,0)</f>
        <v/>
      </c>
      <c r="AA90" s="46">
        <f>VLOOKUP($B90,iOS!$A:$AM,31,0)</f>
        <v/>
      </c>
      <c r="AB90" s="356">
        <f>VLOOKUP($B90,iOS!$A:$AM,33,0)</f>
        <v/>
      </c>
      <c r="AC90" s="356">
        <f>VLOOKUP($B90,iOS!$A:$AN,40,0)</f>
        <v/>
      </c>
    </row>
    <row r="91">
      <c r="B91" s="31">
        <f>B90+1</f>
        <v/>
      </c>
      <c r="C91" s="32">
        <f>VLOOKUP($B91,安卓!$A:$AM,3,0)</f>
        <v/>
      </c>
      <c r="D91" s="32">
        <f>VLOOKUP($B91,安卓!$A:$AM,4,0)</f>
        <v/>
      </c>
      <c r="E91" s="355">
        <f>VLOOKUP($B91,安卓!$A:$AM,9,0)</f>
        <v/>
      </c>
      <c r="F91" s="355">
        <f>VLOOKUP($B91,安卓!$A:$AM,10,0)</f>
        <v/>
      </c>
      <c r="G91" s="355" t="n"/>
      <c r="H91" s="32">
        <f>VLOOKUP($B91,安卓!$A:$AM,7,0)</f>
        <v/>
      </c>
      <c r="I91" s="140">
        <f>VLOOKUP($B91,安卓!$A:$AM,8,0)</f>
        <v/>
      </c>
      <c r="J91" s="45">
        <f>VLOOKUP($B91,安卓!$A:$AM,25,0)</f>
        <v/>
      </c>
      <c r="K91" s="46">
        <f>VLOOKUP($B91,安卓!$A:$AM,31,0)</f>
        <v/>
      </c>
      <c r="L91" s="356">
        <f>VLOOKUP($B91,安卓!$A:$AM,33,0)</f>
        <v/>
      </c>
      <c r="M91" s="49">
        <f>VLOOKUP($B91,安卓!$A:$AN,40,0)</f>
        <v/>
      </c>
      <c r="R91" s="31">
        <f>R90+1</f>
        <v/>
      </c>
      <c r="S91" s="32">
        <f>VLOOKUP($B91,iOS!$A:$AM,3,0)</f>
        <v/>
      </c>
      <c r="T91" s="32">
        <f>VLOOKUP($B91,iOS!$A:$AM,4,0)</f>
        <v/>
      </c>
      <c r="U91" s="355">
        <f>VLOOKUP($B91,iOS!$A:$AM,9,0)</f>
        <v/>
      </c>
      <c r="V91" s="355">
        <f>VLOOKUP($B91,iOS!$A:$AM,10,0)</f>
        <v/>
      </c>
      <c r="W91" s="355" t="n"/>
      <c r="X91" s="32">
        <f>VLOOKUP($B91,iOS!$A:$AM,7,0)</f>
        <v/>
      </c>
      <c r="Y91" s="32">
        <f>VLOOKUP($B91,iOS!$A:$AM,8,0)</f>
        <v/>
      </c>
      <c r="Z91" s="45">
        <f>VLOOKUP($B91,iOS!$A:$AM,25,0)</f>
        <v/>
      </c>
      <c r="AA91" s="46">
        <f>VLOOKUP($B91,iOS!$A:$AM,31,0)</f>
        <v/>
      </c>
      <c r="AB91" s="356">
        <f>VLOOKUP($B91,iOS!$A:$AM,33,0)</f>
        <v/>
      </c>
      <c r="AC91" s="356">
        <f>VLOOKUP($B91,iOS!$A:$AN,40,0)</f>
        <v/>
      </c>
    </row>
    <row r="92">
      <c r="B92" s="31">
        <f>B91+1</f>
        <v/>
      </c>
      <c r="C92" s="32">
        <f>VLOOKUP($B92,安卓!$A:$AM,3,0)</f>
        <v/>
      </c>
      <c r="D92" s="32">
        <f>VLOOKUP($B92,安卓!$A:$AM,4,0)</f>
        <v/>
      </c>
      <c r="E92" s="355">
        <f>VLOOKUP($B92,安卓!$A:$AM,9,0)</f>
        <v/>
      </c>
      <c r="F92" s="355">
        <f>VLOOKUP($B92,安卓!$A:$AM,10,0)</f>
        <v/>
      </c>
      <c r="G92" s="355" t="n"/>
      <c r="H92" s="32">
        <f>VLOOKUP($B92,安卓!$A:$AM,7,0)</f>
        <v/>
      </c>
      <c r="I92" s="140">
        <f>VLOOKUP($B92,安卓!$A:$AM,8,0)</f>
        <v/>
      </c>
      <c r="J92" s="45">
        <f>VLOOKUP($B92,安卓!$A:$AM,25,0)</f>
        <v/>
      </c>
      <c r="K92" s="46">
        <f>VLOOKUP($B92,安卓!$A:$AM,31,0)</f>
        <v/>
      </c>
      <c r="L92" s="356">
        <f>VLOOKUP($B92,安卓!$A:$AM,33,0)</f>
        <v/>
      </c>
      <c r="M92" s="49">
        <f>VLOOKUP($B92,安卓!$A:$AN,40,0)</f>
        <v/>
      </c>
      <c r="R92" s="31">
        <f>R91+1</f>
        <v/>
      </c>
      <c r="S92" s="32">
        <f>VLOOKUP($B92,iOS!$A:$AM,3,0)</f>
        <v/>
      </c>
      <c r="T92" s="32">
        <f>VLOOKUP($B92,iOS!$A:$AM,4,0)</f>
        <v/>
      </c>
      <c r="U92" s="355">
        <f>VLOOKUP($B92,iOS!$A:$AM,9,0)</f>
        <v/>
      </c>
      <c r="V92" s="355">
        <f>VLOOKUP($B92,iOS!$A:$AM,10,0)</f>
        <v/>
      </c>
      <c r="W92" s="355" t="n"/>
      <c r="X92" s="32">
        <f>VLOOKUP($B92,iOS!$A:$AM,7,0)</f>
        <v/>
      </c>
      <c r="Y92" s="32">
        <f>VLOOKUP($B92,iOS!$A:$AM,8,0)</f>
        <v/>
      </c>
      <c r="Z92" s="45">
        <f>VLOOKUP($B92,iOS!$A:$AM,25,0)</f>
        <v/>
      </c>
      <c r="AA92" s="46">
        <f>VLOOKUP($B92,iOS!$A:$AM,31,0)</f>
        <v/>
      </c>
      <c r="AB92" s="356">
        <f>VLOOKUP($B92,iOS!$A:$AM,33,0)</f>
        <v/>
      </c>
      <c r="AC92" s="356">
        <f>VLOOKUP($B92,iOS!$A:$AN,40,0)</f>
        <v/>
      </c>
    </row>
    <row r="93">
      <c r="B93" s="31">
        <f>B92+1</f>
        <v/>
      </c>
      <c r="C93" s="32">
        <f>VLOOKUP($B93,安卓!$A:$AM,3,0)</f>
        <v/>
      </c>
      <c r="D93" s="32">
        <f>VLOOKUP($B93,安卓!$A:$AM,4,0)</f>
        <v/>
      </c>
      <c r="E93" s="355">
        <f>VLOOKUP($B93,安卓!$A:$AM,9,0)</f>
        <v/>
      </c>
      <c r="F93" s="355" t="n"/>
      <c r="G93" s="355" t="n"/>
      <c r="H93" s="32">
        <f>VLOOKUP($B93,安卓!$A:$AM,7,0)</f>
        <v/>
      </c>
      <c r="I93" s="140">
        <f>VLOOKUP($B93,安卓!$A:$AM,8,0)</f>
        <v/>
      </c>
      <c r="J93" s="45">
        <f>VLOOKUP($B93,安卓!$A:$AM,25,0)</f>
        <v/>
      </c>
      <c r="K93" s="46">
        <f>VLOOKUP($B93,安卓!$A:$AM,31,0)</f>
        <v/>
      </c>
      <c r="L93" s="356">
        <f>VLOOKUP($B93,安卓!$A:$AM,33,0)</f>
        <v/>
      </c>
      <c r="M93" s="49">
        <f>VLOOKUP($B93,安卓!$A:$AN,40,0)</f>
        <v/>
      </c>
      <c r="R93" s="31">
        <f>R92+1</f>
        <v/>
      </c>
      <c r="S93" s="32">
        <f>VLOOKUP($B93,iOS!$A:$AM,3,0)</f>
        <v/>
      </c>
      <c r="T93" s="32">
        <f>VLOOKUP($B93,iOS!$A:$AM,4,0)</f>
        <v/>
      </c>
      <c r="U93" s="355">
        <f>VLOOKUP($B93,iOS!$A:$AM,9,0)</f>
        <v/>
      </c>
      <c r="V93" s="355" t="n"/>
      <c r="W93" s="355" t="n"/>
      <c r="X93" s="32">
        <f>VLOOKUP($B93,iOS!$A:$AM,7,0)</f>
        <v/>
      </c>
      <c r="Y93" s="32">
        <f>VLOOKUP($B93,iOS!$A:$AM,8,0)</f>
        <v/>
      </c>
      <c r="Z93" s="45">
        <f>VLOOKUP($B93,iOS!$A:$AM,25,0)</f>
        <v/>
      </c>
      <c r="AA93" s="46">
        <f>VLOOKUP($B93,iOS!$A:$AM,31,0)</f>
        <v/>
      </c>
      <c r="AB93" s="356">
        <f>VLOOKUP($B93,iOS!$A:$AM,33,0)</f>
        <v/>
      </c>
      <c r="AC93" s="356">
        <f>VLOOKUP($B93,iOS!$A:$AN,40,0)</f>
        <v/>
      </c>
    </row>
    <row r="94">
      <c r="B94" s="31">
        <f>B93+1</f>
        <v/>
      </c>
      <c r="C94" s="32">
        <f>VLOOKUP($B94,安卓!$A:$AM,3,0)</f>
        <v/>
      </c>
      <c r="D94" s="32">
        <f>VLOOKUP($B94,安卓!$A:$AM,4,0)</f>
        <v/>
      </c>
      <c r="E94" s="355">
        <f>VLOOKUP($B94,安卓!$A:$AM,9,0)</f>
        <v/>
      </c>
      <c r="F94" s="355" t="n"/>
      <c r="G94" s="355" t="n"/>
      <c r="H94" s="32">
        <f>VLOOKUP($B94,安卓!$A:$AM,7,0)</f>
        <v/>
      </c>
      <c r="I94" s="140">
        <f>VLOOKUP($B94,安卓!$A:$AM,8,0)</f>
        <v/>
      </c>
      <c r="J94" s="45">
        <f>VLOOKUP($B94,安卓!$A:$AM,25,0)</f>
        <v/>
      </c>
      <c r="K94" s="46">
        <f>VLOOKUP($B94,安卓!$A:$AM,31,0)</f>
        <v/>
      </c>
      <c r="L94" s="356">
        <f>VLOOKUP($B94,安卓!$A:$AM,33,0)</f>
        <v/>
      </c>
      <c r="M94" s="49">
        <f>VLOOKUP($B94,安卓!$A:$AN,40,0)</f>
        <v/>
      </c>
      <c r="R94" s="31">
        <f>R93+1</f>
        <v/>
      </c>
      <c r="S94" s="32">
        <f>VLOOKUP($B94,iOS!$A:$AM,3,0)</f>
        <v/>
      </c>
      <c r="T94" s="32">
        <f>VLOOKUP($B94,iOS!$A:$AM,4,0)</f>
        <v/>
      </c>
      <c r="U94" s="355">
        <f>VLOOKUP($B94,iOS!$A:$AM,9,0)</f>
        <v/>
      </c>
      <c r="V94" s="355" t="n"/>
      <c r="W94" s="355" t="n"/>
      <c r="X94" s="32">
        <f>VLOOKUP($B94,iOS!$A:$AM,7,0)</f>
        <v/>
      </c>
      <c r="Y94" s="32">
        <f>VLOOKUP($B94,iOS!$A:$AM,8,0)</f>
        <v/>
      </c>
      <c r="Z94" s="45">
        <f>VLOOKUP($B94,iOS!$A:$AM,25,0)</f>
        <v/>
      </c>
      <c r="AA94" s="46">
        <f>VLOOKUP($B94,iOS!$A:$AM,31,0)</f>
        <v/>
      </c>
      <c r="AB94" s="356">
        <f>VLOOKUP($B94,iOS!$A:$AM,33,0)</f>
        <v/>
      </c>
      <c r="AC94" s="356">
        <f>VLOOKUP($B94,iOS!$A:$AN,40,0)</f>
        <v/>
      </c>
    </row>
    <row r="95">
      <c r="B95" s="31">
        <f>B94+1</f>
        <v/>
      </c>
      <c r="C95" s="32">
        <f>VLOOKUP($B95,安卓!$A:$AM,3,0)</f>
        <v/>
      </c>
      <c r="D95" s="32">
        <f>VLOOKUP($B95,安卓!$A:$AM,4,0)</f>
        <v/>
      </c>
      <c r="E95" s="355" t="n"/>
      <c r="F95" s="355" t="n"/>
      <c r="G95" s="355" t="n"/>
      <c r="H95" s="32">
        <f>VLOOKUP($B95,安卓!$A:$AM,7,0)</f>
        <v/>
      </c>
      <c r="I95" s="140">
        <f>VLOOKUP($B95,安卓!$A:$AM,8,0)</f>
        <v/>
      </c>
      <c r="J95" s="45">
        <f>VLOOKUP($B95,安卓!$A:$AM,25,0)</f>
        <v/>
      </c>
      <c r="K95" s="46">
        <f>VLOOKUP($B95,安卓!$A:$AM,31,0)</f>
        <v/>
      </c>
      <c r="L95" s="356">
        <f>VLOOKUP($B95,安卓!$A:$AM,33,0)</f>
        <v/>
      </c>
      <c r="M95" s="49">
        <f>VLOOKUP($B95,安卓!$A:$AN,40,0)</f>
        <v/>
      </c>
      <c r="R95" s="31">
        <f>R94+1</f>
        <v/>
      </c>
      <c r="S95" s="32">
        <f>VLOOKUP($B95,iOS!$A:$AM,3,0)</f>
        <v/>
      </c>
      <c r="T95" s="32">
        <f>VLOOKUP($B95,iOS!$A:$AM,4,0)</f>
        <v/>
      </c>
      <c r="U95" s="355" t="n"/>
      <c r="V95" s="355" t="n"/>
      <c r="W95" s="355" t="n"/>
      <c r="X95" s="32">
        <f>VLOOKUP($B95,iOS!$A:$AM,7,0)</f>
        <v/>
      </c>
      <c r="Y95" s="32">
        <f>VLOOKUP($B95,iOS!$A:$AM,8,0)</f>
        <v/>
      </c>
      <c r="Z95" s="45">
        <f>VLOOKUP($B95,iOS!$A:$AM,25,0)</f>
        <v/>
      </c>
      <c r="AA95" s="46">
        <f>VLOOKUP($B95,iOS!$A:$AM,31,0)</f>
        <v/>
      </c>
      <c r="AB95" s="356">
        <f>VLOOKUP($B95,iOS!$A:$AM,33,0)</f>
        <v/>
      </c>
      <c r="AC95" s="356">
        <f>VLOOKUP($B95,iOS!$A:$AN,40,0)</f>
        <v/>
      </c>
    </row>
    <row r="96">
      <c r="B96" s="31" t="n"/>
      <c r="C96" s="32" t="n"/>
      <c r="D96" s="32" t="n"/>
      <c r="E96" s="355" t="n"/>
      <c r="F96" s="355" t="n"/>
      <c r="G96" s="355" t="n"/>
      <c r="H96" s="32" t="n"/>
      <c r="I96" s="140" t="n"/>
      <c r="J96" s="45" t="n"/>
      <c r="K96" s="64" t="n"/>
      <c r="L96" s="356" t="n"/>
      <c r="R96" s="31" t="n"/>
      <c r="S96" s="32" t="n"/>
      <c r="T96" s="32" t="n"/>
      <c r="U96" s="355" t="n"/>
      <c r="V96" s="355" t="n"/>
      <c r="W96" s="355" t="n"/>
      <c r="X96" s="32" t="n"/>
      <c r="Y96" s="32" t="n"/>
      <c r="Z96" s="45" t="n"/>
      <c r="AA96" s="46" t="n"/>
      <c r="AB96" s="356" t="n"/>
    </row>
    <row r="97">
      <c r="C97" s="32" t="n"/>
      <c r="D97" s="32" t="n"/>
      <c r="E97" s="355" t="n"/>
      <c r="F97" s="355" t="n"/>
      <c r="G97" s="355" t="n"/>
      <c r="H97" s="32" t="n"/>
      <c r="I97" s="140" t="n"/>
      <c r="J97" s="45" t="n"/>
      <c r="K97" s="46" t="n"/>
      <c r="L97" s="356" t="n"/>
      <c r="S97" s="32" t="n"/>
      <c r="T97" s="32" t="n"/>
      <c r="U97" s="355" t="n"/>
      <c r="V97" s="355" t="n"/>
      <c r="W97" s="355" t="n"/>
      <c r="X97" s="32" t="n"/>
      <c r="Y97" s="32" t="n"/>
      <c r="Z97" s="45" t="n"/>
      <c r="AA97" s="46" t="n"/>
      <c r="AB97" s="356" t="n"/>
    </row>
    <row r="98">
      <c r="C98" s="32" t="n"/>
      <c r="D98" s="32" t="n"/>
      <c r="E98" s="355" t="n"/>
      <c r="F98" s="355" t="n"/>
      <c r="G98" s="355" t="n"/>
      <c r="H98" s="32" t="n"/>
      <c r="I98" s="140" t="n"/>
      <c r="J98" s="45" t="n"/>
      <c r="K98" s="46" t="n"/>
      <c r="L98" s="356" t="n"/>
      <c r="S98" s="32" t="n"/>
      <c r="T98" s="32" t="n"/>
      <c r="U98" s="355" t="n"/>
      <c r="V98" s="355" t="n"/>
      <c r="W98" s="355" t="n"/>
      <c r="X98" s="32" t="n"/>
      <c r="Y98" s="32" t="n"/>
      <c r="Z98" s="45" t="n"/>
      <c r="AA98" s="46" t="n"/>
      <c r="AB98" s="356" t="n"/>
    </row>
    <row r="99">
      <c r="C99" s="32" t="n"/>
      <c r="D99" s="32" t="n"/>
      <c r="E99" s="355" t="n"/>
      <c r="F99" s="355" t="n"/>
      <c r="G99" s="355" t="n"/>
      <c r="H99" s="32" t="n"/>
      <c r="I99" s="140" t="n"/>
      <c r="J99" s="45" t="n"/>
      <c r="K99" s="46" t="n"/>
      <c r="L99" s="356" t="n"/>
      <c r="S99" s="32" t="n"/>
      <c r="T99" s="32" t="n"/>
      <c r="U99" s="355" t="n"/>
      <c r="V99" s="355" t="n"/>
      <c r="W99" s="355" t="n"/>
      <c r="X99" s="32" t="n"/>
      <c r="Y99" s="32" t="n"/>
      <c r="Z99" s="45" t="n"/>
      <c r="AA99" s="46" t="n"/>
      <c r="AB99" s="356" t="n"/>
    </row>
    <row r="100">
      <c r="C100" s="32" t="n"/>
      <c r="D100" s="32" t="n"/>
      <c r="E100" s="355" t="n"/>
      <c r="F100" s="355" t="n"/>
      <c r="G100" s="355" t="n"/>
      <c r="H100" s="32" t="n"/>
      <c r="I100" s="140" t="n"/>
      <c r="J100" s="45" t="n"/>
      <c r="K100" s="46" t="n"/>
      <c r="L100" s="356" t="n"/>
      <c r="S100" s="32" t="n"/>
      <c r="T100" s="32" t="n"/>
      <c r="U100" s="355" t="n"/>
      <c r="V100" s="355" t="n"/>
      <c r="W100" s="355" t="n"/>
      <c r="X100" s="32" t="n"/>
      <c r="Y100" s="32" t="n"/>
      <c r="Z100" s="45" t="n"/>
      <c r="AA100" s="46" t="n"/>
      <c r="AB100" s="356" t="n"/>
    </row>
    <row r="101">
      <c r="C101" s="32" t="n"/>
      <c r="D101" s="32" t="n"/>
      <c r="E101" s="355" t="n"/>
      <c r="F101" s="355" t="n"/>
      <c r="G101" s="355" t="n"/>
      <c r="H101" s="32" t="n"/>
      <c r="I101" s="140" t="n"/>
      <c r="J101" s="45" t="n"/>
      <c r="K101" s="46" t="n"/>
      <c r="L101" s="356" t="n"/>
      <c r="S101" s="32" t="n"/>
      <c r="T101" s="32" t="n"/>
      <c r="U101" s="355" t="n"/>
      <c r="V101" s="355" t="n"/>
      <c r="W101" s="355" t="n"/>
      <c r="X101" s="32" t="n"/>
      <c r="Y101" s="32" t="n"/>
      <c r="Z101" s="45" t="n"/>
      <c r="AA101" s="46" t="n"/>
      <c r="AB101" s="356" t="n"/>
    </row>
  </sheetData>
  <mergeCells count="16">
    <mergeCell ref="Q20:AF22"/>
    <mergeCell ref="G9:G11"/>
    <mergeCell ref="G12:G13"/>
    <mergeCell ref="G14:G15"/>
    <mergeCell ref="G17:G18"/>
    <mergeCell ref="L9:L11"/>
    <mergeCell ref="L12:L13"/>
    <mergeCell ref="L14:L15"/>
    <mergeCell ref="L17:L18"/>
    <mergeCell ref="A20:P22"/>
    <mergeCell ref="B3:L3"/>
    <mergeCell ref="C4:G4"/>
    <mergeCell ref="H4:L4"/>
    <mergeCell ref="B4:B6"/>
    <mergeCell ref="G7:G8"/>
    <mergeCell ref="L7:L8"/>
  </mergeCells>
  <conditionalFormatting sqref="D14">
    <cfRule dxfId="1" priority="7" type="expression">
      <formula>D14="↑"</formula>
    </cfRule>
    <cfRule dxfId="0" priority="8" type="expression">
      <formula>D14="↓"</formula>
    </cfRule>
  </conditionalFormatting>
  <conditionalFormatting sqref="I14">
    <cfRule dxfId="1" priority="5" type="expression">
      <formula>I14="↑"</formula>
    </cfRule>
    <cfRule dxfId="0" priority="6" type="expression">
      <formula>I14="↓"</formula>
    </cfRule>
  </conditionalFormatting>
  <conditionalFormatting sqref="T14">
    <cfRule dxfId="1" priority="3" type="expression">
      <formula>T14="↑"</formula>
    </cfRule>
    <cfRule dxfId="0" priority="4" type="expression">
      <formula>T14="↓"</formula>
    </cfRule>
  </conditionalFormatting>
  <conditionalFormatting sqref="Y14">
    <cfRule dxfId="1" priority="1" type="expression">
      <formula>Y14="↑"</formula>
    </cfRule>
    <cfRule dxfId="0" priority="2" type="expression">
      <formula>Y14="↓"</formula>
    </cfRule>
  </conditionalFormatting>
  <conditionalFormatting sqref="I7:I13">
    <cfRule dxfId="1" priority="13" type="expression">
      <formula>I7="↑"</formula>
    </cfRule>
    <cfRule dxfId="0" priority="14" type="expression">
      <formula>I7="↓"</formula>
    </cfRule>
  </conditionalFormatting>
  <conditionalFormatting sqref="T7:T13">
    <cfRule dxfId="1" priority="11" type="expression">
      <formula>T7="↑"</formula>
    </cfRule>
    <cfRule dxfId="0" priority="12" type="expression">
      <formula>T7="↓"</formula>
    </cfRule>
  </conditionalFormatting>
  <conditionalFormatting sqref="Y7:Y13">
    <cfRule dxfId="1" priority="9" type="expression">
      <formula>Y7="↑"</formula>
    </cfRule>
    <cfRule dxfId="0" priority="10" type="expression">
      <formula>Y7="↓"</formula>
    </cfRule>
  </conditionalFormatting>
  <conditionalFormatting sqref="D7:D13 T15:T18 Y15:Y18 D15:D18 I15:I18">
    <cfRule dxfId="1" priority="15" type="expression">
      <formula>D7="↑"</formula>
    </cfRule>
    <cfRule dxfId="0" priority="16" type="expression">
      <formula>D7="↓"</formula>
    </cfRule>
  </conditionalFormatting>
  <pageMargins bottom="0.75" footer="0.3" header="0.3" left="0.699305555555556" right="0.699305555555556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lulu</dc:creator>
  <dcterms:created xsi:type="dcterms:W3CDTF">2018-09-28T22:52:00Z</dcterms:created>
  <dcterms:modified xsi:type="dcterms:W3CDTF">2019-11-17T06:29:56Z</dcterms:modified>
  <cp:lastModifiedBy>jqknono</cp:lastModifiedBy>
</cp:coreProperties>
</file>